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Objects="none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komonicky utvar\- Oddelenie  financne\MFT602\CAPOVA\ROZPOČET 2026\Zmeny rozpočtu 2026\Zmena rozpočtu_MsZ_17092026\"/>
    </mc:Choice>
  </mc:AlternateContent>
  <xr:revisionPtr revIDLastSave="0" documentId="13_ncr:1_{4865293C-D09E-4E2D-99F8-C769AFCF4C7C}" xr6:coauthVersionLast="47" xr6:coauthVersionMax="47" xr10:uidLastSave="{00000000-0000-0000-0000-000000000000}"/>
  <bookViews>
    <workbookView xWindow="-120" yWindow="-120" windowWidth="29040" windowHeight="15720" tabRatio="952" xr2:uid="{CA39F783-0073-46FA-90B5-450A32FCD8F6}"/>
  </bookViews>
  <sheets>
    <sheet name="Príjmy 2026" sheetId="13" r:id="rId1"/>
    <sheet name="Výdavky 2026" sheetId="14" r:id="rId2"/>
    <sheet name="Sumarizácia 2026" sheetId="15" r:id="rId3"/>
  </sheets>
  <definedNames>
    <definedName name="Data" localSheetId="2">#REF!</definedName>
    <definedName name="Data" localSheetId="1">#REF!</definedName>
    <definedName name="Data">#REF!</definedName>
    <definedName name="Gatl">#REF!</definedName>
    <definedName name="_xlnm.Print_Area" localSheetId="0">'Príjmy 2026'!$B$1:$G$389</definedName>
    <definedName name="_xlnm.Print_Area" localSheetId="2">'Sumarizácia 2026'!$B$2:$N$51</definedName>
    <definedName name="_xlnm.Print_Area" localSheetId="1">'Výdavky 2026'!$B$2:$S$1935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9" i="15" l="1"/>
  <c r="N50" i="15"/>
  <c r="N1253" i="14"/>
  <c r="R1253" i="14" s="1"/>
  <c r="O1255" i="14"/>
  <c r="Q1255" i="14"/>
  <c r="R1255" i="14"/>
  <c r="S1255" i="14"/>
  <c r="J186" i="14"/>
  <c r="J187" i="14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25" i="15"/>
  <c r="B26" i="15" s="1"/>
  <c r="N26" i="15"/>
  <c r="N27" i="15"/>
  <c r="N28" i="15"/>
  <c r="N29" i="15"/>
  <c r="N30" i="15"/>
  <c r="N31" i="15"/>
  <c r="M24" i="15"/>
  <c r="M23" i="15" s="1"/>
  <c r="F220" i="13"/>
  <c r="B151" i="13"/>
  <c r="B152" i="13"/>
  <c r="B153" i="13"/>
  <c r="B154" i="13"/>
  <c r="B155" i="13"/>
  <c r="B156" i="13"/>
  <c r="B157" i="13"/>
  <c r="B158" i="13"/>
  <c r="B159" i="13"/>
  <c r="B160" i="13"/>
  <c r="B161" i="13"/>
  <c r="B162" i="13"/>
  <c r="B163" i="13"/>
  <c r="B164" i="13"/>
  <c r="B165" i="13"/>
  <c r="F155" i="13"/>
  <c r="F156" i="13"/>
  <c r="G156" i="13" s="1"/>
  <c r="E156" i="13"/>
  <c r="G157" i="13"/>
  <c r="F69" i="13"/>
  <c r="G69" i="13" s="1"/>
  <c r="N1855" i="14"/>
  <c r="Q1859" i="14"/>
  <c r="R1859" i="14"/>
  <c r="O1859" i="14"/>
  <c r="S1859" i="14" s="1"/>
  <c r="R1854" i="14"/>
  <c r="Q1854" i="14"/>
  <c r="O1854" i="14"/>
  <c r="S1854" i="14" s="1"/>
  <c r="Q1853" i="14"/>
  <c r="N1853" i="14"/>
  <c r="F305" i="13"/>
  <c r="F304" i="13" s="1"/>
  <c r="N25" i="15"/>
  <c r="G343" i="13"/>
  <c r="F342" i="13"/>
  <c r="E342" i="13"/>
  <c r="G342" i="13" s="1"/>
  <c r="F341" i="13"/>
  <c r="E341" i="13"/>
  <c r="K828" i="14"/>
  <c r="O828" i="14"/>
  <c r="Q828" i="14"/>
  <c r="R828" i="14"/>
  <c r="S828" i="14"/>
  <c r="G221" i="13"/>
  <c r="G222" i="13"/>
  <c r="J1613" i="14"/>
  <c r="R1617" i="14"/>
  <c r="Q1617" i="14"/>
  <c r="O1617" i="14"/>
  <c r="K1617" i="14"/>
  <c r="N1616" i="14"/>
  <c r="M1616" i="14"/>
  <c r="M1615" i="14" s="1"/>
  <c r="K1616" i="14"/>
  <c r="K1615" i="14"/>
  <c r="F339" i="13"/>
  <c r="E339" i="13"/>
  <c r="E338" i="13" s="1"/>
  <c r="G340" i="13"/>
  <c r="J18" i="15"/>
  <c r="N42" i="15"/>
  <c r="N41" i="15"/>
  <c r="N39" i="15"/>
  <c r="N37" i="15"/>
  <c r="N36" i="15"/>
  <c r="N33" i="15"/>
  <c r="M38" i="15"/>
  <c r="R1918" i="14"/>
  <c r="R1919" i="14"/>
  <c r="R1921" i="14"/>
  <c r="R1924" i="14"/>
  <c r="R1925" i="14"/>
  <c r="R1927" i="14"/>
  <c r="R1928" i="14"/>
  <c r="R1930" i="14"/>
  <c r="R1931" i="14"/>
  <c r="R1932" i="14"/>
  <c r="R1933" i="14"/>
  <c r="O1933" i="14"/>
  <c r="O1932" i="14"/>
  <c r="O1931" i="14"/>
  <c r="O1930" i="14"/>
  <c r="O1929" i="14"/>
  <c r="O1928" i="14"/>
  <c r="O1927" i="14"/>
  <c r="O1926" i="14"/>
  <c r="O1925" i="14"/>
  <c r="O1924" i="14"/>
  <c r="O1921" i="14"/>
  <c r="O1920" i="14"/>
  <c r="O1919" i="14"/>
  <c r="O1918" i="14"/>
  <c r="O1917" i="14"/>
  <c r="N1923" i="14"/>
  <c r="K1933" i="14"/>
  <c r="K1932" i="14"/>
  <c r="K1931" i="14"/>
  <c r="K1930" i="14"/>
  <c r="K1928" i="14"/>
  <c r="K1927" i="14"/>
  <c r="K1925" i="14"/>
  <c r="K1924" i="14"/>
  <c r="K1923" i="14"/>
  <c r="K1922" i="14"/>
  <c r="K1921" i="14"/>
  <c r="K1919" i="14"/>
  <c r="K1918" i="14"/>
  <c r="J1917" i="14"/>
  <c r="J1920" i="14"/>
  <c r="J1929" i="14"/>
  <c r="R1741" i="14"/>
  <c r="R1742" i="14"/>
  <c r="R1744" i="14"/>
  <c r="R1745" i="14"/>
  <c r="R1746" i="14"/>
  <c r="R1747" i="14"/>
  <c r="R1748" i="14"/>
  <c r="R1751" i="14"/>
  <c r="R1754" i="14"/>
  <c r="R1755" i="14"/>
  <c r="R1758" i="14"/>
  <c r="R1759" i="14"/>
  <c r="R1760" i="14"/>
  <c r="R1761" i="14"/>
  <c r="R1762" i="14"/>
  <c r="R1763" i="14"/>
  <c r="R1764" i="14"/>
  <c r="R1767" i="14"/>
  <c r="R1768" i="14"/>
  <c r="R1770" i="14"/>
  <c r="R1771" i="14"/>
  <c r="R1776" i="14"/>
  <c r="R1778" i="14"/>
  <c r="R1779" i="14"/>
  <c r="R1781" i="14"/>
  <c r="R1782" i="14"/>
  <c r="R1783" i="14"/>
  <c r="R1784" i="14"/>
  <c r="R1785" i="14"/>
  <c r="R1786" i="14"/>
  <c r="R1789" i="14"/>
  <c r="R1790" i="14"/>
  <c r="R1792" i="14"/>
  <c r="R1793" i="14"/>
  <c r="R1794" i="14"/>
  <c r="R1795" i="14"/>
  <c r="R1796" i="14"/>
  <c r="R1797" i="14"/>
  <c r="R1800" i="14"/>
  <c r="R1802" i="14"/>
  <c r="R1806" i="14"/>
  <c r="R1807" i="14"/>
  <c r="R1808" i="14"/>
  <c r="R1810" i="14"/>
  <c r="R1811" i="14"/>
  <c r="R1814" i="14"/>
  <c r="R1815" i="14"/>
  <c r="R1817" i="14"/>
  <c r="R1818" i="14"/>
  <c r="R1819" i="14"/>
  <c r="R1820" i="14"/>
  <c r="R1821" i="14"/>
  <c r="R1822" i="14"/>
  <c r="R1823" i="14"/>
  <c r="R1824" i="14"/>
  <c r="R1827" i="14"/>
  <c r="R1829" i="14"/>
  <c r="R1830" i="14"/>
  <c r="R1833" i="14"/>
  <c r="R1834" i="14"/>
  <c r="R1835" i="14"/>
  <c r="R1836" i="14"/>
  <c r="R1839" i="14"/>
  <c r="R1841" i="14"/>
  <c r="R1842" i="14"/>
  <c r="R1844" i="14"/>
  <c r="R1845" i="14"/>
  <c r="R1846" i="14"/>
  <c r="R1847" i="14"/>
  <c r="R1848" i="14"/>
  <c r="R1849" i="14"/>
  <c r="R1850" i="14"/>
  <c r="R1851" i="14"/>
  <c r="R1856" i="14"/>
  <c r="R1857" i="14"/>
  <c r="R1858" i="14"/>
  <c r="R1862" i="14"/>
  <c r="R1864" i="14"/>
  <c r="R1865" i="14"/>
  <c r="R1867" i="14"/>
  <c r="R1868" i="14"/>
  <c r="R1869" i="14"/>
  <c r="R1870" i="14"/>
  <c r="R1871" i="14"/>
  <c r="R1872" i="14"/>
  <c r="R1873" i="14"/>
  <c r="R1876" i="14"/>
  <c r="R1879" i="14"/>
  <c r="R1881" i="14"/>
  <c r="R1884" i="14"/>
  <c r="R1885" i="14"/>
  <c r="R1887" i="14"/>
  <c r="R1888" i="14"/>
  <c r="R1889" i="14"/>
  <c r="R1890" i="14"/>
  <c r="R1891" i="14"/>
  <c r="R1894" i="14"/>
  <c r="R1895" i="14"/>
  <c r="R1897" i="14"/>
  <c r="R1898" i="14"/>
  <c r="R1899" i="14"/>
  <c r="R1900" i="14"/>
  <c r="R1901" i="14"/>
  <c r="R1902" i="14"/>
  <c r="R1903" i="14"/>
  <c r="R1904" i="14"/>
  <c r="O1904" i="14"/>
  <c r="O1903" i="14"/>
  <c r="O1902" i="14"/>
  <c r="O1901" i="14"/>
  <c r="O1900" i="14"/>
  <c r="O1899" i="14"/>
  <c r="O1898" i="14"/>
  <c r="O1897" i="14"/>
  <c r="O1896" i="14"/>
  <c r="O1895" i="14"/>
  <c r="O1894" i="14"/>
  <c r="O1893" i="14"/>
  <c r="O1892" i="14"/>
  <c r="O1891" i="14"/>
  <c r="O1890" i="14"/>
  <c r="O1889" i="14"/>
  <c r="O1888" i="14"/>
  <c r="O1887" i="14"/>
  <c r="O1886" i="14"/>
  <c r="O1885" i="14"/>
  <c r="O1884" i="14"/>
  <c r="O1883" i="14"/>
  <c r="O1882" i="14"/>
  <c r="O1881" i="14"/>
  <c r="O1880" i="14"/>
  <c r="O1879" i="14"/>
  <c r="O1878" i="14"/>
  <c r="O1877" i="14"/>
  <c r="O1876" i="14"/>
  <c r="O1875" i="14"/>
  <c r="O1874" i="14"/>
  <c r="O1873" i="14"/>
  <c r="O1872" i="14"/>
  <c r="O1871" i="14"/>
  <c r="O1870" i="14"/>
  <c r="O1869" i="14"/>
  <c r="O1868" i="14"/>
  <c r="O1867" i="14"/>
  <c r="O1866" i="14"/>
  <c r="O1865" i="14"/>
  <c r="O1864" i="14"/>
  <c r="O1863" i="14"/>
  <c r="O1862" i="14"/>
  <c r="O1861" i="14"/>
  <c r="O1860" i="14"/>
  <c r="O1858" i="14"/>
  <c r="O1857" i="14"/>
  <c r="O1856" i="14"/>
  <c r="O1851" i="14"/>
  <c r="O1850" i="14"/>
  <c r="O1849" i="14"/>
  <c r="O1848" i="14"/>
  <c r="O1847" i="14"/>
  <c r="O1846" i="14"/>
  <c r="O1845" i="14"/>
  <c r="O1844" i="14"/>
  <c r="O1843" i="14"/>
  <c r="O1842" i="14"/>
  <c r="O1841" i="14"/>
  <c r="O1839" i="14"/>
  <c r="O1838" i="14"/>
  <c r="O1836" i="14"/>
  <c r="O1835" i="14"/>
  <c r="O1834" i="14"/>
  <c r="O1833" i="14"/>
  <c r="O1832" i="14"/>
  <c r="O1831" i="14"/>
  <c r="O1830" i="14"/>
  <c r="O1829" i="14"/>
  <c r="O1827" i="14"/>
  <c r="O1824" i="14"/>
  <c r="O1823" i="14"/>
  <c r="O1822" i="14"/>
  <c r="O1821" i="14"/>
  <c r="O1820" i="14"/>
  <c r="O1819" i="14"/>
  <c r="O1818" i="14"/>
  <c r="O1817" i="14"/>
  <c r="O1816" i="14"/>
  <c r="O1815" i="14"/>
  <c r="O1814" i="14"/>
  <c r="O1811" i="14"/>
  <c r="O1810" i="14"/>
  <c r="O1809" i="14"/>
  <c r="O1808" i="14"/>
  <c r="O1807" i="14"/>
  <c r="O1806" i="14"/>
  <c r="O1805" i="14"/>
  <c r="O1804" i="14"/>
  <c r="O1802" i="14"/>
  <c r="O1801" i="14"/>
  <c r="O1800" i="14"/>
  <c r="O1799" i="14"/>
  <c r="O1798" i="14"/>
  <c r="O1797" i="14"/>
  <c r="O1796" i="14"/>
  <c r="O1795" i="14"/>
  <c r="O1794" i="14"/>
  <c r="O1793" i="14"/>
  <c r="O1792" i="14"/>
  <c r="O1791" i="14"/>
  <c r="O1790" i="14"/>
  <c r="O1789" i="14"/>
  <c r="O1788" i="14"/>
  <c r="O1787" i="14"/>
  <c r="O1786" i="14"/>
  <c r="O1785" i="14"/>
  <c r="O1784" i="14"/>
  <c r="O1783" i="14"/>
  <c r="O1782" i="14"/>
  <c r="O1781" i="14"/>
  <c r="O1780" i="14"/>
  <c r="O1779" i="14"/>
  <c r="O1778" i="14"/>
  <c r="O1777" i="14"/>
  <c r="O1776" i="14"/>
  <c r="O1771" i="14"/>
  <c r="O1770" i="14"/>
  <c r="O1768" i="14"/>
  <c r="O1767" i="14"/>
  <c r="O1766" i="14"/>
  <c r="O1765" i="14"/>
  <c r="O1764" i="14"/>
  <c r="O1763" i="14"/>
  <c r="O1762" i="14"/>
  <c r="O1761" i="14"/>
  <c r="O1760" i="14"/>
  <c r="O1759" i="14"/>
  <c r="O1758" i="14"/>
  <c r="O1757" i="14"/>
  <c r="O1755" i="14"/>
  <c r="O1754" i="14"/>
  <c r="O1753" i="14"/>
  <c r="O1752" i="14"/>
  <c r="O1751" i="14"/>
  <c r="O1748" i="14"/>
  <c r="O1747" i="14"/>
  <c r="O1746" i="14"/>
  <c r="O1745" i="14"/>
  <c r="O1744" i="14"/>
  <c r="O1743" i="14"/>
  <c r="O1742" i="14"/>
  <c r="O1741" i="14"/>
  <c r="N1750" i="14"/>
  <c r="N1769" i="14"/>
  <c r="N1775" i="14"/>
  <c r="N1826" i="14"/>
  <c r="R1826" i="14" s="1"/>
  <c r="N1828" i="14"/>
  <c r="K1904" i="14"/>
  <c r="K1903" i="14"/>
  <c r="K1902" i="14"/>
  <c r="K1901" i="14"/>
  <c r="K1900" i="14"/>
  <c r="K1899" i="14"/>
  <c r="K1898" i="14"/>
  <c r="K1897" i="14"/>
  <c r="K1895" i="14"/>
  <c r="K1894" i="14"/>
  <c r="K1891" i="14"/>
  <c r="K1890" i="14"/>
  <c r="K1889" i="14"/>
  <c r="K1888" i="14"/>
  <c r="K1887" i="14"/>
  <c r="K1885" i="14"/>
  <c r="K1884" i="14"/>
  <c r="K1881" i="14"/>
  <c r="K1879" i="14"/>
  <c r="K1876" i="14"/>
  <c r="K1873" i="14"/>
  <c r="K1872" i="14"/>
  <c r="K1871" i="14"/>
  <c r="K1870" i="14"/>
  <c r="K1869" i="14"/>
  <c r="K1868" i="14"/>
  <c r="K1867" i="14"/>
  <c r="K1862" i="14"/>
  <c r="K1858" i="14"/>
  <c r="K1857" i="14"/>
  <c r="K1856" i="14"/>
  <c r="K1855" i="14"/>
  <c r="K1852" i="14"/>
  <c r="K1851" i="14"/>
  <c r="K1850" i="14"/>
  <c r="K1849" i="14"/>
  <c r="K1847" i="14"/>
  <c r="K1845" i="14"/>
  <c r="K1844" i="14"/>
  <c r="K1842" i="14"/>
  <c r="K1841" i="14"/>
  <c r="K1839" i="14"/>
  <c r="K1836" i="14"/>
  <c r="K1835" i="14"/>
  <c r="K1833" i="14"/>
  <c r="K1830" i="14"/>
  <c r="K1829" i="14"/>
  <c r="K1828" i="14"/>
  <c r="K1827" i="14"/>
  <c r="K1826" i="14"/>
  <c r="K1825" i="14"/>
  <c r="K1824" i="14"/>
  <c r="K1823" i="14"/>
  <c r="K1822" i="14"/>
  <c r="K1820" i="14"/>
  <c r="K1818" i="14"/>
  <c r="K1817" i="14"/>
  <c r="K1815" i="14"/>
  <c r="K1814" i="14"/>
  <c r="K1811" i="14"/>
  <c r="K1810" i="14"/>
  <c r="K1808" i="14"/>
  <c r="K1807" i="14"/>
  <c r="K1802" i="14"/>
  <c r="K1800" i="14"/>
  <c r="K1797" i="14"/>
  <c r="K1796" i="14"/>
  <c r="K1795" i="14"/>
  <c r="K1794" i="14"/>
  <c r="K1793" i="14"/>
  <c r="K1792" i="14"/>
  <c r="K1790" i="14"/>
  <c r="K1789" i="14"/>
  <c r="K1786" i="14"/>
  <c r="K1785" i="14"/>
  <c r="K1784" i="14"/>
  <c r="K1783" i="14"/>
  <c r="K1782" i="14"/>
  <c r="K1781" i="14"/>
  <c r="K1779" i="14"/>
  <c r="K1778" i="14"/>
  <c r="K1776" i="14"/>
  <c r="K1775" i="14"/>
  <c r="K1774" i="14"/>
  <c r="K1771" i="14"/>
  <c r="K1770" i="14"/>
  <c r="K1769" i="14"/>
  <c r="K1768" i="14"/>
  <c r="K1764" i="14"/>
  <c r="K1762" i="14"/>
  <c r="K1761" i="14"/>
  <c r="K1760" i="14"/>
  <c r="K1759" i="14"/>
  <c r="K1758" i="14"/>
  <c r="K1754" i="14"/>
  <c r="K1751" i="14"/>
  <c r="K1750" i="14"/>
  <c r="K1749" i="14"/>
  <c r="K1748" i="14"/>
  <c r="K1747" i="14"/>
  <c r="K1746" i="14"/>
  <c r="K1745" i="14"/>
  <c r="K1744" i="14"/>
  <c r="K1742" i="14"/>
  <c r="K1741" i="14"/>
  <c r="J1743" i="14"/>
  <c r="J1753" i="14"/>
  <c r="J1757" i="14"/>
  <c r="R1757" i="14" s="1"/>
  <c r="J1766" i="14"/>
  <c r="J1780" i="14"/>
  <c r="J1791" i="14"/>
  <c r="J1801" i="14"/>
  <c r="J1805" i="14"/>
  <c r="R1805" i="14" s="1"/>
  <c r="J1809" i="14"/>
  <c r="R1809" i="14" s="1"/>
  <c r="J1816" i="14"/>
  <c r="J1832" i="14"/>
  <c r="J1838" i="14"/>
  <c r="R1838" i="14" s="1"/>
  <c r="J1843" i="14"/>
  <c r="J1861" i="14"/>
  <c r="R1861" i="14" s="1"/>
  <c r="J1866" i="14"/>
  <c r="R1866" i="14" s="1"/>
  <c r="J1875" i="14"/>
  <c r="J1878" i="14"/>
  <c r="R1878" i="14" s="1"/>
  <c r="J1880" i="14"/>
  <c r="R1880" i="14" s="1"/>
  <c r="J1886" i="14"/>
  <c r="J1896" i="14"/>
  <c r="R1724" i="14"/>
  <c r="R1633" i="14"/>
  <c r="R1634" i="14"/>
  <c r="R1637" i="14"/>
  <c r="R1638" i="14"/>
  <c r="R1640" i="14"/>
  <c r="R1641" i="14"/>
  <c r="R1642" i="14"/>
  <c r="R1645" i="14"/>
  <c r="R1646" i="14"/>
  <c r="R1648" i="14"/>
  <c r="R1649" i="14"/>
  <c r="R1650" i="14"/>
  <c r="R1651" i="14"/>
  <c r="R1652" i="14"/>
  <c r="R1653" i="14"/>
  <c r="R1654" i="14"/>
  <c r="R1657" i="14"/>
  <c r="R1659" i="14"/>
  <c r="R1660" i="14"/>
  <c r="R1662" i="14"/>
  <c r="R1663" i="14"/>
  <c r="R1664" i="14"/>
  <c r="R1665" i="14"/>
  <c r="R1666" i="14"/>
  <c r="R1667" i="14"/>
  <c r="R1670" i="14"/>
  <c r="R1672" i="14"/>
  <c r="R1673" i="14"/>
  <c r="R1677" i="14"/>
  <c r="R1678" i="14"/>
  <c r="R1679" i="14"/>
  <c r="R1682" i="14"/>
  <c r="R1684" i="14"/>
  <c r="R1687" i="14"/>
  <c r="R1690" i="14"/>
  <c r="R1691" i="14"/>
  <c r="R1692" i="14"/>
  <c r="R1694" i="14"/>
  <c r="R1697" i="14"/>
  <c r="R1699" i="14"/>
  <c r="R1702" i="14"/>
  <c r="R1705" i="14"/>
  <c r="R1709" i="14"/>
  <c r="R1710" i="14"/>
  <c r="R1711" i="14"/>
  <c r="R1712" i="14"/>
  <c r="R1715" i="14"/>
  <c r="R1716" i="14"/>
  <c r="R1718" i="14"/>
  <c r="R1719" i="14"/>
  <c r="R1720" i="14"/>
  <c r="R1721" i="14"/>
  <c r="R1722" i="14"/>
  <c r="R1723" i="14"/>
  <c r="O1724" i="14"/>
  <c r="O1723" i="14"/>
  <c r="O1722" i="14"/>
  <c r="O1721" i="14"/>
  <c r="O1720" i="14"/>
  <c r="O1719" i="14"/>
  <c r="O1718" i="14"/>
  <c r="O1717" i="14"/>
  <c r="O1716" i="14"/>
  <c r="O1715" i="14"/>
  <c r="O1714" i="14"/>
  <c r="O1713" i="14"/>
  <c r="O1712" i="14"/>
  <c r="O1711" i="14"/>
  <c r="O1710" i="14"/>
  <c r="O1709" i="14"/>
  <c r="O1708" i="14"/>
  <c r="O1707" i="14"/>
  <c r="O1706" i="14"/>
  <c r="O1705" i="14"/>
  <c r="O1704" i="14"/>
  <c r="O1703" i="14"/>
  <c r="O1702" i="14"/>
  <c r="O1701" i="14"/>
  <c r="O1700" i="14"/>
  <c r="O1699" i="14"/>
  <c r="S1699" i="14" s="1"/>
  <c r="O1697" i="14"/>
  <c r="S1697" i="14" s="1"/>
  <c r="O1694" i="14"/>
  <c r="O1693" i="14"/>
  <c r="O1692" i="14"/>
  <c r="O1691" i="14"/>
  <c r="O1690" i="14"/>
  <c r="O1689" i="14"/>
  <c r="O1687" i="14"/>
  <c r="O1686" i="14"/>
  <c r="O1685" i="14"/>
  <c r="O1682" i="14"/>
  <c r="O1679" i="14"/>
  <c r="O1678" i="14"/>
  <c r="O1677" i="14"/>
  <c r="O1676" i="14"/>
  <c r="O1670" i="14"/>
  <c r="O1667" i="14"/>
  <c r="O1666" i="14"/>
  <c r="O1665" i="14"/>
  <c r="O1664" i="14"/>
  <c r="O1663" i="14"/>
  <c r="O1662" i="14"/>
  <c r="O1661" i="14"/>
  <c r="O1660" i="14"/>
  <c r="O1659" i="14"/>
  <c r="O1654" i="14"/>
  <c r="O1653" i="14"/>
  <c r="O1652" i="14"/>
  <c r="O1651" i="14"/>
  <c r="O1650" i="14"/>
  <c r="O1649" i="14"/>
  <c r="O1648" i="14"/>
  <c r="O1647" i="14"/>
  <c r="O1646" i="14"/>
  <c r="O1645" i="14"/>
  <c r="O1642" i="14"/>
  <c r="O1641" i="14"/>
  <c r="O1640" i="14"/>
  <c r="O1638" i="14"/>
  <c r="O1637" i="14"/>
  <c r="O1634" i="14"/>
  <c r="O1633" i="14"/>
  <c r="O1632" i="14"/>
  <c r="N1636" i="14"/>
  <c r="R1636" i="14" s="1"/>
  <c r="N1639" i="14"/>
  <c r="R1639" i="14" s="1"/>
  <c r="N1656" i="14"/>
  <c r="N1669" i="14"/>
  <c r="R1669" i="14" s="1"/>
  <c r="N1671" i="14"/>
  <c r="R1671" i="14" s="1"/>
  <c r="N1681" i="14"/>
  <c r="R1681" i="14" s="1"/>
  <c r="N1683" i="14"/>
  <c r="R1683" i="14" s="1"/>
  <c r="N1696" i="14"/>
  <c r="R1696" i="14" s="1"/>
  <c r="N1698" i="14"/>
  <c r="R1698" i="14" s="1"/>
  <c r="K1723" i="14"/>
  <c r="K1722" i="14"/>
  <c r="K1721" i="14"/>
  <c r="K1720" i="14"/>
  <c r="K1719" i="14"/>
  <c r="K1718" i="14"/>
  <c r="K1716" i="14"/>
  <c r="K1715" i="14"/>
  <c r="K1712" i="14"/>
  <c r="K1711" i="14"/>
  <c r="K1710" i="14"/>
  <c r="K1709" i="14"/>
  <c r="K1705" i="14"/>
  <c r="K1702" i="14"/>
  <c r="K1699" i="14"/>
  <c r="K1698" i="14"/>
  <c r="K1697" i="14"/>
  <c r="K1696" i="14"/>
  <c r="K1695" i="14"/>
  <c r="K1692" i="14"/>
  <c r="K1691" i="14"/>
  <c r="K1690" i="14"/>
  <c r="K1684" i="14"/>
  <c r="K1683" i="14"/>
  <c r="K1682" i="14"/>
  <c r="K1681" i="14"/>
  <c r="K1680" i="14"/>
  <c r="K1677" i="14"/>
  <c r="K1673" i="14"/>
  <c r="K1672" i="14"/>
  <c r="K1671" i="14"/>
  <c r="K1670" i="14"/>
  <c r="K1669" i="14"/>
  <c r="K1668" i="14"/>
  <c r="K1665" i="14"/>
  <c r="K1663" i="14"/>
  <c r="K1660" i="14"/>
  <c r="K1659" i="14"/>
  <c r="K1657" i="14"/>
  <c r="K1656" i="14"/>
  <c r="K1655" i="14"/>
  <c r="K1652" i="14"/>
  <c r="K1651" i="14"/>
  <c r="K1650" i="14"/>
  <c r="K1649" i="14"/>
  <c r="K1648" i="14"/>
  <c r="K1646" i="14"/>
  <c r="K1645" i="14"/>
  <c r="K1642" i="14"/>
  <c r="K1641" i="14"/>
  <c r="K1640" i="14"/>
  <c r="K1639" i="14"/>
  <c r="K1638" i="14"/>
  <c r="K1637" i="14"/>
  <c r="K1636" i="14"/>
  <c r="K1635" i="14"/>
  <c r="K1633" i="14"/>
  <c r="J1632" i="14"/>
  <c r="R1632" i="14" s="1"/>
  <c r="J1647" i="14"/>
  <c r="J1661" i="14"/>
  <c r="J1676" i="14"/>
  <c r="J1686" i="14"/>
  <c r="J1689" i="14"/>
  <c r="R1689" i="14" s="1"/>
  <c r="J1693" i="14"/>
  <c r="R1693" i="14" s="1"/>
  <c r="J1701" i="14"/>
  <c r="J1704" i="14"/>
  <c r="J1708" i="14"/>
  <c r="J1717" i="14"/>
  <c r="R1536" i="14"/>
  <c r="R1537" i="14"/>
  <c r="R1538" i="14"/>
  <c r="R1539" i="14"/>
  <c r="R1540" i="14"/>
  <c r="R1541" i="14"/>
  <c r="R1542" i="14"/>
  <c r="R1543" i="14"/>
  <c r="R1544" i="14"/>
  <c r="R1545" i="14"/>
  <c r="R1546" i="14"/>
  <c r="R1547" i="14"/>
  <c r="R1548" i="14"/>
  <c r="R1549" i="14"/>
  <c r="R1550" i="14"/>
  <c r="R1551" i="14"/>
  <c r="R1552" i="14"/>
  <c r="R1553" i="14"/>
  <c r="R1554" i="14"/>
  <c r="R1555" i="14"/>
  <c r="R1556" i="14"/>
  <c r="R1557" i="14"/>
  <c r="R1560" i="14"/>
  <c r="R1561" i="14"/>
  <c r="R1562" i="14"/>
  <c r="R1563" i="14"/>
  <c r="R1564" i="14"/>
  <c r="R1567" i="14"/>
  <c r="R1569" i="14"/>
  <c r="R1570" i="14"/>
  <c r="R1572" i="14"/>
  <c r="R1573" i="14"/>
  <c r="R1574" i="14"/>
  <c r="R1575" i="14"/>
  <c r="R1576" i="14"/>
  <c r="R1577" i="14"/>
  <c r="R1578" i="14"/>
  <c r="R1581" i="14"/>
  <c r="R1583" i="14"/>
  <c r="R1585" i="14"/>
  <c r="R1586" i="14"/>
  <c r="R1587" i="14"/>
  <c r="R1588" i="14"/>
  <c r="R1590" i="14"/>
  <c r="R1591" i="14"/>
  <c r="R1593" i="14"/>
  <c r="R1594" i="14"/>
  <c r="R1595" i="14"/>
  <c r="R1596" i="14"/>
  <c r="R1597" i="14"/>
  <c r="R1598" i="14"/>
  <c r="R1599" i="14"/>
  <c r="R1600" i="14"/>
  <c r="R1603" i="14"/>
  <c r="R1605" i="14"/>
  <c r="R1608" i="14"/>
  <c r="R1611" i="14"/>
  <c r="R1612" i="14"/>
  <c r="R1614" i="14"/>
  <c r="R1620" i="14"/>
  <c r="O1620" i="14"/>
  <c r="O1618" i="14"/>
  <c r="O1614" i="14"/>
  <c r="O1613" i="14"/>
  <c r="O1612" i="14"/>
  <c r="O1611" i="14"/>
  <c r="O1610" i="14"/>
  <c r="O1609" i="14"/>
  <c r="O1608" i="14"/>
  <c r="O1607" i="14"/>
  <c r="O1605" i="14"/>
  <c r="O1603" i="14"/>
  <c r="O1600" i="14"/>
  <c r="O1599" i="14"/>
  <c r="O1598" i="14"/>
  <c r="O1597" i="14"/>
  <c r="O1596" i="14"/>
  <c r="O1595" i="14"/>
  <c r="O1594" i="14"/>
  <c r="O1593" i="14"/>
  <c r="O1592" i="14"/>
  <c r="O1591" i="14"/>
  <c r="O1590" i="14"/>
  <c r="O1578" i="14"/>
  <c r="O1577" i="14"/>
  <c r="O1576" i="14"/>
  <c r="O1575" i="14"/>
  <c r="O1574" i="14"/>
  <c r="O1573" i="14"/>
  <c r="O1572" i="14"/>
  <c r="O1571" i="14"/>
  <c r="O1570" i="14"/>
  <c r="O1569" i="14"/>
  <c r="O1567" i="14"/>
  <c r="S1567" i="14" s="1"/>
  <c r="O1564" i="14"/>
  <c r="O1563" i="14"/>
  <c r="O1562" i="14"/>
  <c r="O1561" i="14"/>
  <c r="O1560" i="14"/>
  <c r="O1559" i="14"/>
  <c r="O1557" i="14"/>
  <c r="O1556" i="14"/>
  <c r="O1555" i="14"/>
  <c r="O1554" i="14"/>
  <c r="O1553" i="14"/>
  <c r="O1552" i="14"/>
  <c r="O1551" i="14"/>
  <c r="O1550" i="14"/>
  <c r="O1549" i="14"/>
  <c r="O1548" i="14"/>
  <c r="O1547" i="14"/>
  <c r="O1546" i="14"/>
  <c r="O1545" i="14"/>
  <c r="O1544" i="14"/>
  <c r="O1543" i="14"/>
  <c r="O1542" i="14"/>
  <c r="O1541" i="14"/>
  <c r="O1540" i="14"/>
  <c r="O1539" i="14"/>
  <c r="O1538" i="14"/>
  <c r="O1537" i="14"/>
  <c r="O1536" i="14"/>
  <c r="O1535" i="14"/>
  <c r="O1534" i="14"/>
  <c r="N1566" i="14"/>
  <c r="R1566" i="14" s="1"/>
  <c r="N1580" i="14"/>
  <c r="R1580" i="14" s="1"/>
  <c r="N1582" i="14"/>
  <c r="R1582" i="14" s="1"/>
  <c r="N1584" i="14"/>
  <c r="R1584" i="14" s="1"/>
  <c r="N1602" i="14"/>
  <c r="R1602" i="14" s="1"/>
  <c r="N1604" i="14"/>
  <c r="R1604" i="14" s="1"/>
  <c r="N1619" i="14"/>
  <c r="K1620" i="14"/>
  <c r="K1619" i="14"/>
  <c r="K1618" i="14"/>
  <c r="K1614" i="14"/>
  <c r="K1612" i="14"/>
  <c r="K1609" i="14"/>
  <c r="K1608" i="14"/>
  <c r="K1605" i="14"/>
  <c r="K1604" i="14"/>
  <c r="K1603" i="14"/>
  <c r="K1602" i="14"/>
  <c r="K1601" i="14"/>
  <c r="K1600" i="14"/>
  <c r="K1599" i="14"/>
  <c r="K1597" i="14"/>
  <c r="K1596" i="14"/>
  <c r="K1594" i="14"/>
  <c r="K1591" i="14"/>
  <c r="K1590" i="14"/>
  <c r="K1588" i="14"/>
  <c r="K1587" i="14"/>
  <c r="K1586" i="14"/>
  <c r="K1585" i="14"/>
  <c r="K1584" i="14"/>
  <c r="K1583" i="14"/>
  <c r="K1582" i="14"/>
  <c r="K1581" i="14"/>
  <c r="K1580" i="14"/>
  <c r="K1579" i="14"/>
  <c r="K1578" i="14"/>
  <c r="K1577" i="14"/>
  <c r="K1572" i="14"/>
  <c r="K1570" i="14"/>
  <c r="K1569" i="14"/>
  <c r="K1567" i="14"/>
  <c r="K1566" i="14"/>
  <c r="K1565" i="14"/>
  <c r="K1564" i="14"/>
  <c r="K1563" i="14"/>
  <c r="K1561" i="14"/>
  <c r="K1560" i="14"/>
  <c r="K1557" i="14"/>
  <c r="K1555" i="14"/>
  <c r="K1553" i="14"/>
  <c r="K1552" i="14"/>
  <c r="K1551" i="14"/>
  <c r="K1550" i="14"/>
  <c r="K1549" i="14"/>
  <c r="K1548" i="14"/>
  <c r="K1546" i="14"/>
  <c r="K1543" i="14"/>
  <c r="K1542" i="14"/>
  <c r="K1541" i="14"/>
  <c r="K1539" i="14"/>
  <c r="K1538" i="14"/>
  <c r="K1537" i="14"/>
  <c r="K1536" i="14"/>
  <c r="J1535" i="14"/>
  <c r="J1534" i="14" s="1"/>
  <c r="R1534" i="14" s="1"/>
  <c r="J1559" i="14"/>
  <c r="J1571" i="14"/>
  <c r="J1568" i="14" s="1"/>
  <c r="J1592" i="14"/>
  <c r="J1589" i="14" s="1"/>
  <c r="J1607" i="14"/>
  <c r="R1607" i="14" s="1"/>
  <c r="R1391" i="14"/>
  <c r="R1394" i="14"/>
  <c r="R1395" i="14"/>
  <c r="R1396" i="14"/>
  <c r="R1397" i="14"/>
  <c r="R1398" i="14"/>
  <c r="R1399" i="14"/>
  <c r="R1400" i="14"/>
  <c r="R1401" i="14"/>
  <c r="R1402" i="14"/>
  <c r="R1403" i="14"/>
  <c r="R1404" i="14"/>
  <c r="R1408" i="14"/>
  <c r="R1409" i="14"/>
  <c r="R1412" i="14"/>
  <c r="R1415" i="14"/>
  <c r="R1416" i="14"/>
  <c r="R1417" i="14"/>
  <c r="R1420" i="14"/>
  <c r="R1422" i="14"/>
  <c r="R1423" i="14"/>
  <c r="R1424" i="14"/>
  <c r="R1427" i="14"/>
  <c r="R1430" i="14"/>
  <c r="R1431" i="14"/>
  <c r="R1433" i="14"/>
  <c r="R1434" i="14"/>
  <c r="R1436" i="14"/>
  <c r="R1437" i="14"/>
  <c r="R1438" i="14"/>
  <c r="R1439" i="14"/>
  <c r="R1440" i="14"/>
  <c r="R1441" i="14"/>
  <c r="R1444" i="14"/>
  <c r="R1445" i="14"/>
  <c r="R1447" i="14"/>
  <c r="R1450" i="14"/>
  <c r="R1454" i="14"/>
  <c r="R1455" i="14"/>
  <c r="R1457" i="14"/>
  <c r="R1458" i="14"/>
  <c r="R1460" i="14"/>
  <c r="R1461" i="14"/>
  <c r="R1462" i="14"/>
  <c r="R1463" i="14"/>
  <c r="R1464" i="14"/>
  <c r="R1467" i="14"/>
  <c r="R1469" i="14"/>
  <c r="R1471" i="14"/>
  <c r="R1472" i="14"/>
  <c r="R1473" i="14"/>
  <c r="R1477" i="14"/>
  <c r="R1478" i="14"/>
  <c r="R1479" i="14"/>
  <c r="R1480" i="14"/>
  <c r="R1481" i="14"/>
  <c r="R1482" i="14"/>
  <c r="R1483" i="14"/>
  <c r="R1484" i="14"/>
  <c r="R1485" i="14"/>
  <c r="R1487" i="14"/>
  <c r="R1488" i="14"/>
  <c r="R1489" i="14"/>
  <c r="R1490" i="14"/>
  <c r="R1491" i="14"/>
  <c r="R1492" i="14"/>
  <c r="R1493" i="14"/>
  <c r="R1494" i="14"/>
  <c r="R1495" i="14"/>
  <c r="R1496" i="14"/>
  <c r="R1497" i="14"/>
  <c r="R1498" i="14"/>
  <c r="R1499" i="14"/>
  <c r="R1500" i="14"/>
  <c r="R1501" i="14"/>
  <c r="R1502" i="14"/>
  <c r="R1503" i="14"/>
  <c r="R1504" i="14"/>
  <c r="R1505" i="14"/>
  <c r="R1507" i="14"/>
  <c r="R1508" i="14"/>
  <c r="R1510" i="14"/>
  <c r="R1511" i="14"/>
  <c r="R1512" i="14"/>
  <c r="R1513" i="14"/>
  <c r="R1514" i="14"/>
  <c r="R1515" i="14"/>
  <c r="R1516" i="14"/>
  <c r="R1519" i="14"/>
  <c r="R1521" i="14"/>
  <c r="R1523" i="14"/>
  <c r="O1523" i="14"/>
  <c r="O1521" i="14"/>
  <c r="O1519" i="14"/>
  <c r="S1519" i="14" s="1"/>
  <c r="O1516" i="14"/>
  <c r="O1515" i="14"/>
  <c r="O1514" i="14"/>
  <c r="O1513" i="14"/>
  <c r="O1512" i="14"/>
  <c r="O1511" i="14"/>
  <c r="O1510" i="14"/>
  <c r="O1509" i="14"/>
  <c r="O1508" i="14"/>
  <c r="O1507" i="14"/>
  <c r="O1504" i="14"/>
  <c r="O1500" i="14"/>
  <c r="O1498" i="14"/>
  <c r="O1497" i="14"/>
  <c r="O1496" i="14"/>
  <c r="O1494" i="14"/>
  <c r="O1493" i="14"/>
  <c r="O1492" i="14"/>
  <c r="O1489" i="14"/>
  <c r="O1488" i="14"/>
  <c r="O1487" i="14"/>
  <c r="O1485" i="14"/>
  <c r="O1484" i="14"/>
  <c r="O1483" i="14"/>
  <c r="O1482" i="14"/>
  <c r="O1480" i="14"/>
  <c r="O1478" i="14"/>
  <c r="O1477" i="14"/>
  <c r="O1473" i="14"/>
  <c r="O1472" i="14"/>
  <c r="O1471" i="14"/>
  <c r="O1469" i="14"/>
  <c r="O1467" i="14"/>
  <c r="S1467" i="14" s="1"/>
  <c r="O1464" i="14"/>
  <c r="O1463" i="14"/>
  <c r="O1462" i="14"/>
  <c r="O1461" i="14"/>
  <c r="O1460" i="14"/>
  <c r="O1459" i="14"/>
  <c r="O1458" i="14"/>
  <c r="O1457" i="14"/>
  <c r="O1450" i="14"/>
  <c r="O1449" i="14"/>
  <c r="O1448" i="14"/>
  <c r="O1445" i="14"/>
  <c r="O1441" i="14"/>
  <c r="O1440" i="14"/>
  <c r="O1439" i="14"/>
  <c r="O1438" i="14"/>
  <c r="O1437" i="14"/>
  <c r="O1436" i="14"/>
  <c r="O1435" i="14"/>
  <c r="O1434" i="14"/>
  <c r="O1433" i="14"/>
  <c r="O1431" i="14"/>
  <c r="O1427" i="14"/>
  <c r="O1426" i="14"/>
  <c r="O1424" i="14"/>
  <c r="O1422" i="14"/>
  <c r="O1417" i="14"/>
  <c r="O1416" i="14"/>
  <c r="O1415" i="14"/>
  <c r="O1414" i="14"/>
  <c r="O1412" i="14"/>
  <c r="O1409" i="14"/>
  <c r="O1408" i="14"/>
  <c r="O1407" i="14"/>
  <c r="O1404" i="14"/>
  <c r="O1403" i="14"/>
  <c r="O1402" i="14"/>
  <c r="O1401" i="14"/>
  <c r="O1400" i="14"/>
  <c r="O1399" i="14"/>
  <c r="O1398" i="14"/>
  <c r="O1397" i="14"/>
  <c r="O1396" i="14"/>
  <c r="O1395" i="14"/>
  <c r="O1394" i="14"/>
  <c r="O1393" i="14"/>
  <c r="O1392" i="14"/>
  <c r="O1391" i="14"/>
  <c r="O1390" i="14"/>
  <c r="O1389" i="14"/>
  <c r="N1411" i="14"/>
  <c r="N1410" i="14" s="1"/>
  <c r="N1406" i="14" s="1"/>
  <c r="N1419" i="14"/>
  <c r="R1419" i="14" s="1"/>
  <c r="N1421" i="14"/>
  <c r="R1421" i="14" s="1"/>
  <c r="N1429" i="14"/>
  <c r="N1428" i="14" s="1"/>
  <c r="R1428" i="14" s="1"/>
  <c r="N1443" i="14"/>
  <c r="R1443" i="14" s="1"/>
  <c r="N1446" i="14"/>
  <c r="R1446" i="14" s="1"/>
  <c r="N1453" i="14"/>
  <c r="N1466" i="14"/>
  <c r="R1466" i="14" s="1"/>
  <c r="N1468" i="14"/>
  <c r="R1468" i="14" s="1"/>
  <c r="N1470" i="14"/>
  <c r="N1476" i="14"/>
  <c r="R1476" i="14" s="1"/>
  <c r="N1486" i="14"/>
  <c r="R1486" i="14" s="1"/>
  <c r="N1518" i="14"/>
  <c r="R1518" i="14" s="1"/>
  <c r="N1520" i="14"/>
  <c r="R1520" i="14" s="1"/>
  <c r="N1522" i="14"/>
  <c r="R1522" i="14" s="1"/>
  <c r="M1468" i="14"/>
  <c r="O1468" i="14" s="1"/>
  <c r="K1523" i="14"/>
  <c r="K1522" i="14"/>
  <c r="K1521" i="14"/>
  <c r="K1520" i="14"/>
  <c r="K1519" i="14"/>
  <c r="K1518" i="14"/>
  <c r="K1517" i="14"/>
  <c r="K1514" i="14"/>
  <c r="K1512" i="14"/>
  <c r="K1511" i="14"/>
  <c r="K1510" i="14"/>
  <c r="K1508" i="14"/>
  <c r="K1507" i="14"/>
  <c r="K1505" i="14"/>
  <c r="K1504" i="14"/>
  <c r="K1503" i="14"/>
  <c r="K1502" i="14"/>
  <c r="K1501" i="14"/>
  <c r="K1500" i="14"/>
  <c r="K1499" i="14"/>
  <c r="K1498" i="14"/>
  <c r="K1497" i="14"/>
  <c r="K1496" i="14"/>
  <c r="K1495" i="14"/>
  <c r="K1494" i="14"/>
  <c r="S1494" i="14" s="1"/>
  <c r="K1493" i="14"/>
  <c r="S1493" i="14" s="1"/>
  <c r="K1492" i="14"/>
  <c r="S1492" i="14" s="1"/>
  <c r="K1491" i="14"/>
  <c r="K1490" i="14"/>
  <c r="K1489" i="14"/>
  <c r="K1488" i="14"/>
  <c r="K1487" i="14"/>
  <c r="K1486" i="14"/>
  <c r="K1485" i="14"/>
  <c r="K1484" i="14"/>
  <c r="K1483" i="14"/>
  <c r="K1482" i="14"/>
  <c r="K1481" i="14"/>
  <c r="K1480" i="14"/>
  <c r="K1479" i="14"/>
  <c r="K1478" i="14"/>
  <c r="K1477" i="14"/>
  <c r="K1476" i="14"/>
  <c r="K1475" i="14"/>
  <c r="K1473" i="14"/>
  <c r="S1473" i="14" s="1"/>
  <c r="K1472" i="14"/>
  <c r="S1472" i="14" s="1"/>
  <c r="K1471" i="14"/>
  <c r="S1471" i="14" s="1"/>
  <c r="K1470" i="14"/>
  <c r="K1469" i="14"/>
  <c r="K1468" i="14"/>
  <c r="K1467" i="14"/>
  <c r="K1466" i="14"/>
  <c r="K1465" i="14"/>
  <c r="K1464" i="14"/>
  <c r="S1464" i="14" s="1"/>
  <c r="K1463" i="14"/>
  <c r="K1462" i="14"/>
  <c r="K1460" i="14"/>
  <c r="K1458" i="14"/>
  <c r="K1457" i="14"/>
  <c r="K1455" i="14"/>
  <c r="K1454" i="14"/>
  <c r="K1453" i="14"/>
  <c r="K1452" i="14"/>
  <c r="K1450" i="14"/>
  <c r="K1447" i="14"/>
  <c r="K1446" i="14"/>
  <c r="K1445" i="14"/>
  <c r="K1444" i="14"/>
  <c r="K1443" i="14"/>
  <c r="K1442" i="14"/>
  <c r="K1441" i="14"/>
  <c r="K1440" i="14"/>
  <c r="K1439" i="14"/>
  <c r="K1438" i="14"/>
  <c r="K1437" i="14"/>
  <c r="K1434" i="14"/>
  <c r="K1433" i="14"/>
  <c r="K1431" i="14"/>
  <c r="K1430" i="14"/>
  <c r="K1429" i="14"/>
  <c r="K1428" i="14"/>
  <c r="K1427" i="14"/>
  <c r="K1424" i="14"/>
  <c r="S1424" i="14" s="1"/>
  <c r="K1423" i="14"/>
  <c r="K1422" i="14"/>
  <c r="K1421" i="14"/>
  <c r="K1420" i="14"/>
  <c r="K1419" i="14"/>
  <c r="K1418" i="14"/>
  <c r="K1417" i="14"/>
  <c r="K1416" i="14"/>
  <c r="K1415" i="14"/>
  <c r="S1415" i="14" s="1"/>
  <c r="K1412" i="14"/>
  <c r="K1411" i="14"/>
  <c r="K1410" i="14"/>
  <c r="K1409" i="14"/>
  <c r="K1408" i="14"/>
  <c r="K1402" i="14"/>
  <c r="K1401" i="14"/>
  <c r="K1399" i="14"/>
  <c r="K1398" i="14"/>
  <c r="K1397" i="14"/>
  <c r="K1396" i="14"/>
  <c r="K1391" i="14"/>
  <c r="J1390" i="14"/>
  <c r="J1389" i="14" s="1"/>
  <c r="R1389" i="14" s="1"/>
  <c r="J1393" i="14"/>
  <c r="J1407" i="14"/>
  <c r="J1406" i="14" s="1"/>
  <c r="J1414" i="14"/>
  <c r="J1426" i="14"/>
  <c r="R1426" i="14" s="1"/>
  <c r="J1435" i="14"/>
  <c r="J1432" i="14" s="1"/>
  <c r="J1449" i="14"/>
  <c r="J1448" i="14" s="1"/>
  <c r="R1448" i="14" s="1"/>
  <c r="J1459" i="14"/>
  <c r="J1456" i="14" s="1"/>
  <c r="J1451" i="14" s="1"/>
  <c r="J1509" i="14"/>
  <c r="J1506" i="14" s="1"/>
  <c r="J1474" i="14" s="1"/>
  <c r="R511" i="14"/>
  <c r="R512" i="14"/>
  <c r="R514" i="14"/>
  <c r="R515" i="14"/>
  <c r="R516" i="14"/>
  <c r="R517" i="14"/>
  <c r="R518" i="14"/>
  <c r="R519" i="14"/>
  <c r="R520" i="14"/>
  <c r="R521" i="14"/>
  <c r="R524" i="14"/>
  <c r="R526" i="14"/>
  <c r="R527" i="14"/>
  <c r="R529" i="14"/>
  <c r="R530" i="14"/>
  <c r="R531" i="14"/>
  <c r="R532" i="14"/>
  <c r="R533" i="14"/>
  <c r="R534" i="14"/>
  <c r="R535" i="14"/>
  <c r="R536" i="14"/>
  <c r="R539" i="14"/>
  <c r="R541" i="14"/>
  <c r="R542" i="14"/>
  <c r="R544" i="14"/>
  <c r="R545" i="14"/>
  <c r="R546" i="14"/>
  <c r="R547" i="14"/>
  <c r="R548" i="14"/>
  <c r="R549" i="14"/>
  <c r="R550" i="14"/>
  <c r="R551" i="14"/>
  <c r="R553" i="14"/>
  <c r="R554" i="14"/>
  <c r="R556" i="14"/>
  <c r="R557" i="14"/>
  <c r="R558" i="14"/>
  <c r="R559" i="14"/>
  <c r="R560" i="14"/>
  <c r="R561" i="14"/>
  <c r="R562" i="14"/>
  <c r="R563" i="14"/>
  <c r="R564" i="14"/>
  <c r="R567" i="14"/>
  <c r="R569" i="14"/>
  <c r="R570" i="14"/>
  <c r="R572" i="14"/>
  <c r="R573" i="14"/>
  <c r="R574" i="14"/>
  <c r="R575" i="14"/>
  <c r="R576" i="14"/>
  <c r="R577" i="14"/>
  <c r="R578" i="14"/>
  <c r="R579" i="14"/>
  <c r="R582" i="14"/>
  <c r="R584" i="14"/>
  <c r="R585" i="14"/>
  <c r="R587" i="14"/>
  <c r="R588" i="14"/>
  <c r="R589" i="14"/>
  <c r="R590" i="14"/>
  <c r="R591" i="14"/>
  <c r="R592" i="14"/>
  <c r="R593" i="14"/>
  <c r="R594" i="14"/>
  <c r="R596" i="14"/>
  <c r="R597" i="14"/>
  <c r="R599" i="14"/>
  <c r="R600" i="14"/>
  <c r="R601" i="14"/>
  <c r="R602" i="14"/>
  <c r="R603" i="14"/>
  <c r="R604" i="14"/>
  <c r="R605" i="14"/>
  <c r="R606" i="14"/>
  <c r="R609" i="14"/>
  <c r="R611" i="14"/>
  <c r="R612" i="14"/>
  <c r="R614" i="14"/>
  <c r="R615" i="14"/>
  <c r="R616" i="14"/>
  <c r="R617" i="14"/>
  <c r="R618" i="14"/>
  <c r="R619" i="14"/>
  <c r="R620" i="14"/>
  <c r="R621" i="14"/>
  <c r="R622" i="14"/>
  <c r="R625" i="14"/>
  <c r="R627" i="14"/>
  <c r="R629" i="14"/>
  <c r="R630" i="14"/>
  <c r="R632" i="14"/>
  <c r="R633" i="14"/>
  <c r="R634" i="14"/>
  <c r="R635" i="14"/>
  <c r="R636" i="14"/>
  <c r="R637" i="14"/>
  <c r="R638" i="14"/>
  <c r="R639" i="14"/>
  <c r="R640" i="14"/>
  <c r="R642" i="14"/>
  <c r="R643" i="14"/>
  <c r="R645" i="14"/>
  <c r="R646" i="14"/>
  <c r="R647" i="14"/>
  <c r="R648" i="14"/>
  <c r="R649" i="14"/>
  <c r="R650" i="14"/>
  <c r="R651" i="14"/>
  <c r="R652" i="14"/>
  <c r="R653" i="14"/>
  <c r="R656" i="14"/>
  <c r="R658" i="14"/>
  <c r="R659" i="14"/>
  <c r="R661" i="14"/>
  <c r="R662" i="14"/>
  <c r="R663" i="14"/>
  <c r="R664" i="14"/>
  <c r="R665" i="14"/>
  <c r="R666" i="14"/>
  <c r="R667" i="14"/>
  <c r="R668" i="14"/>
  <c r="R670" i="14"/>
  <c r="R671" i="14"/>
  <c r="R673" i="14"/>
  <c r="R674" i="14"/>
  <c r="R675" i="14"/>
  <c r="R676" i="14"/>
  <c r="R677" i="14"/>
  <c r="R678" i="14"/>
  <c r="R679" i="14"/>
  <c r="R680" i="14"/>
  <c r="R681" i="14"/>
  <c r="R684" i="14"/>
  <c r="R686" i="14"/>
  <c r="R687" i="14"/>
  <c r="R689" i="14"/>
  <c r="R690" i="14"/>
  <c r="R691" i="14"/>
  <c r="R692" i="14"/>
  <c r="R693" i="14"/>
  <c r="R694" i="14"/>
  <c r="R695" i="14"/>
  <c r="R696" i="14"/>
  <c r="R697" i="14"/>
  <c r="R699" i="14"/>
  <c r="R700" i="14"/>
  <c r="R702" i="14"/>
  <c r="R703" i="14"/>
  <c r="R704" i="14"/>
  <c r="R705" i="14"/>
  <c r="R706" i="14"/>
  <c r="R707" i="14"/>
  <c r="R708" i="14"/>
  <c r="R709" i="14"/>
  <c r="R711" i="14"/>
  <c r="R712" i="14"/>
  <c r="R714" i="14"/>
  <c r="R715" i="14"/>
  <c r="R716" i="14"/>
  <c r="R717" i="14"/>
  <c r="R718" i="14"/>
  <c r="R719" i="14"/>
  <c r="R720" i="14"/>
  <c r="R721" i="14"/>
  <c r="R723" i="14"/>
  <c r="R724" i="14"/>
  <c r="R726" i="14"/>
  <c r="R727" i="14"/>
  <c r="R728" i="14"/>
  <c r="R729" i="14"/>
  <c r="R730" i="14"/>
  <c r="R731" i="14"/>
  <c r="R732" i="14"/>
  <c r="R733" i="14"/>
  <c r="R734" i="14"/>
  <c r="R737" i="14"/>
  <c r="R738" i="14"/>
  <c r="R739" i="14"/>
  <c r="R740" i="14"/>
  <c r="R742" i="14"/>
  <c r="R743" i="14"/>
  <c r="R745" i="14"/>
  <c r="R746" i="14"/>
  <c r="R747" i="14"/>
  <c r="R748" i="14"/>
  <c r="R749" i="14"/>
  <c r="R750" i="14"/>
  <c r="R751" i="14"/>
  <c r="R752" i="14"/>
  <c r="R753" i="14"/>
  <c r="R755" i="14"/>
  <c r="R756" i="14"/>
  <c r="R757" i="14"/>
  <c r="R758" i="14"/>
  <c r="R759" i="14"/>
  <c r="R760" i="14"/>
  <c r="R761" i="14"/>
  <c r="R762" i="14"/>
  <c r="R764" i="14"/>
  <c r="R765" i="14"/>
  <c r="R767" i="14"/>
  <c r="R768" i="14"/>
  <c r="R769" i="14"/>
  <c r="R770" i="14"/>
  <c r="R771" i="14"/>
  <c r="R772" i="14"/>
  <c r="R773" i="14"/>
  <c r="R775" i="14"/>
  <c r="R776" i="14"/>
  <c r="R777" i="14"/>
  <c r="R778" i="14"/>
  <c r="R779" i="14"/>
  <c r="R780" i="14"/>
  <c r="R781" i="14"/>
  <c r="R782" i="14"/>
  <c r="R783" i="14"/>
  <c r="R785" i="14"/>
  <c r="R786" i="14"/>
  <c r="R788" i="14"/>
  <c r="R789" i="14"/>
  <c r="R790" i="14"/>
  <c r="R791" i="14"/>
  <c r="R792" i="14"/>
  <c r="R793" i="14"/>
  <c r="R794" i="14"/>
  <c r="R795" i="14"/>
  <c r="R796" i="14"/>
  <c r="R798" i="14"/>
  <c r="R799" i="14"/>
  <c r="R800" i="14"/>
  <c r="R801" i="14"/>
  <c r="R802" i="14"/>
  <c r="R803" i="14"/>
  <c r="R804" i="14"/>
  <c r="R805" i="14"/>
  <c r="R806" i="14"/>
  <c r="R809" i="14"/>
  <c r="R811" i="14"/>
  <c r="R812" i="14"/>
  <c r="R814" i="14"/>
  <c r="R815" i="14"/>
  <c r="R816" i="14"/>
  <c r="R817" i="14"/>
  <c r="R818" i="14"/>
  <c r="R819" i="14"/>
  <c r="R820" i="14"/>
  <c r="R821" i="14"/>
  <c r="R822" i="14"/>
  <c r="R823" i="14"/>
  <c r="R825" i="14"/>
  <c r="R826" i="14"/>
  <c r="R827" i="14"/>
  <c r="R829" i="14"/>
  <c r="R830" i="14"/>
  <c r="R831" i="14"/>
  <c r="R832" i="14"/>
  <c r="R833" i="14"/>
  <c r="R836" i="14"/>
  <c r="R838" i="14"/>
  <c r="R839" i="14"/>
  <c r="R841" i="14"/>
  <c r="R842" i="14"/>
  <c r="R843" i="14"/>
  <c r="R844" i="14"/>
  <c r="R845" i="14"/>
  <c r="R846" i="14"/>
  <c r="R847" i="14"/>
  <c r="R848" i="14"/>
  <c r="R849" i="14"/>
  <c r="R851" i="14"/>
  <c r="R852" i="14"/>
  <c r="R853" i="14"/>
  <c r="R854" i="14"/>
  <c r="R855" i="14"/>
  <c r="R856" i="14"/>
  <c r="R857" i="14"/>
  <c r="R858" i="14"/>
  <c r="R861" i="14"/>
  <c r="R863" i="14"/>
  <c r="R865" i="14"/>
  <c r="R866" i="14"/>
  <c r="R867" i="14"/>
  <c r="R869" i="14"/>
  <c r="R870" i="14"/>
  <c r="R872" i="14"/>
  <c r="R873" i="14"/>
  <c r="R874" i="14"/>
  <c r="R875" i="14"/>
  <c r="R876" i="14"/>
  <c r="R877" i="14"/>
  <c r="R878" i="14"/>
  <c r="R879" i="14"/>
  <c r="R880" i="14"/>
  <c r="R882" i="14"/>
  <c r="R883" i="14"/>
  <c r="R884" i="14"/>
  <c r="R885" i="14"/>
  <c r="R886" i="14"/>
  <c r="R887" i="14"/>
  <c r="R888" i="14"/>
  <c r="R889" i="14"/>
  <c r="R890" i="14"/>
  <c r="R893" i="14"/>
  <c r="R895" i="14"/>
  <c r="R897" i="14"/>
  <c r="R898" i="14"/>
  <c r="R900" i="14"/>
  <c r="R901" i="14"/>
  <c r="R902" i="14"/>
  <c r="R903" i="14"/>
  <c r="R904" i="14"/>
  <c r="R905" i="14"/>
  <c r="R906" i="14"/>
  <c r="R907" i="14"/>
  <c r="R908" i="14"/>
  <c r="R910" i="14"/>
  <c r="R911" i="14"/>
  <c r="R912" i="14"/>
  <c r="R913" i="14"/>
  <c r="R914" i="14"/>
  <c r="R915" i="14"/>
  <c r="R916" i="14"/>
  <c r="R917" i="14"/>
  <c r="R919" i="14"/>
  <c r="R920" i="14"/>
  <c r="R922" i="14"/>
  <c r="R923" i="14"/>
  <c r="R924" i="14"/>
  <c r="R925" i="14"/>
  <c r="R926" i="14"/>
  <c r="R927" i="14"/>
  <c r="R928" i="14"/>
  <c r="R930" i="14"/>
  <c r="R931" i="14"/>
  <c r="R932" i="14"/>
  <c r="R933" i="14"/>
  <c r="R934" i="14"/>
  <c r="R935" i="14"/>
  <c r="R938" i="14"/>
  <c r="R941" i="14"/>
  <c r="R942" i="14"/>
  <c r="R943" i="14"/>
  <c r="R944" i="14"/>
  <c r="R945" i="14"/>
  <c r="R946" i="14"/>
  <c r="R947" i="14"/>
  <c r="R948" i="14"/>
  <c r="R949" i="14"/>
  <c r="R951" i="14"/>
  <c r="R952" i="14"/>
  <c r="R954" i="14"/>
  <c r="R955" i="14"/>
  <c r="R956" i="14"/>
  <c r="R957" i="14"/>
  <c r="R958" i="14"/>
  <c r="R959" i="14"/>
  <c r="R960" i="14"/>
  <c r="R961" i="14"/>
  <c r="R963" i="14"/>
  <c r="R964" i="14"/>
  <c r="R966" i="14"/>
  <c r="R967" i="14"/>
  <c r="R968" i="14"/>
  <c r="R969" i="14"/>
  <c r="R970" i="14"/>
  <c r="R972" i="14"/>
  <c r="R973" i="14"/>
  <c r="R975" i="14"/>
  <c r="R976" i="14"/>
  <c r="R977" i="14"/>
  <c r="R978" i="14"/>
  <c r="R980" i="14"/>
  <c r="R981" i="14"/>
  <c r="R983" i="14"/>
  <c r="R984" i="14"/>
  <c r="R985" i="14"/>
  <c r="R986" i="14"/>
  <c r="R987" i="14"/>
  <c r="R989" i="14"/>
  <c r="R990" i="14"/>
  <c r="R992" i="14"/>
  <c r="R993" i="14"/>
  <c r="R994" i="14"/>
  <c r="R995" i="14"/>
  <c r="R996" i="14"/>
  <c r="R998" i="14"/>
  <c r="R999" i="14"/>
  <c r="R1001" i="14"/>
  <c r="R1002" i="14"/>
  <c r="R1003" i="14"/>
  <c r="R1004" i="14"/>
  <c r="R1005" i="14"/>
  <c r="R1007" i="14"/>
  <c r="R1008" i="14"/>
  <c r="R1010" i="14"/>
  <c r="R1011" i="14"/>
  <c r="R1012" i="14"/>
  <c r="R1013" i="14"/>
  <c r="R1014" i="14"/>
  <c r="R1016" i="14"/>
  <c r="R1017" i="14"/>
  <c r="R1019" i="14"/>
  <c r="R1020" i="14"/>
  <c r="R1021" i="14"/>
  <c r="R1022" i="14"/>
  <c r="R1023" i="14"/>
  <c r="R1025" i="14"/>
  <c r="R1026" i="14"/>
  <c r="R1028" i="14"/>
  <c r="R1029" i="14"/>
  <c r="R1030" i="14"/>
  <c r="R1031" i="14"/>
  <c r="R1032" i="14"/>
  <c r="R1034" i="14"/>
  <c r="R1035" i="14"/>
  <c r="R1037" i="14"/>
  <c r="R1038" i="14"/>
  <c r="R1039" i="14"/>
  <c r="R1040" i="14"/>
  <c r="R1041" i="14"/>
  <c r="R1042" i="14"/>
  <c r="R1043" i="14"/>
  <c r="R1046" i="14"/>
  <c r="R1048" i="14"/>
  <c r="R1051" i="14"/>
  <c r="R1053" i="14"/>
  <c r="R1054" i="14"/>
  <c r="R1055" i="14"/>
  <c r="R1056" i="14"/>
  <c r="R1057" i="14"/>
  <c r="R1058" i="14"/>
  <c r="R1059" i="14"/>
  <c r="R1060" i="14"/>
  <c r="R1061" i="14"/>
  <c r="R1062" i="14"/>
  <c r="R1063" i="14"/>
  <c r="R1064" i="14"/>
  <c r="R1065" i="14"/>
  <c r="R1066" i="14"/>
  <c r="R1069" i="14"/>
  <c r="R1070" i="14"/>
  <c r="R1072" i="14"/>
  <c r="R1073" i="14"/>
  <c r="R1074" i="14"/>
  <c r="R1075" i="14"/>
  <c r="R1076" i="14"/>
  <c r="R1077" i="14"/>
  <c r="R1080" i="14"/>
  <c r="R1082" i="14"/>
  <c r="R1083" i="14"/>
  <c r="R1085" i="14"/>
  <c r="R1086" i="14"/>
  <c r="R1087" i="14"/>
  <c r="R1088" i="14"/>
  <c r="R1089" i="14"/>
  <c r="R1091" i="14"/>
  <c r="R1092" i="14"/>
  <c r="R1094" i="14"/>
  <c r="R1095" i="14"/>
  <c r="R1096" i="14"/>
  <c r="R1097" i="14"/>
  <c r="R1098" i="14"/>
  <c r="R1100" i="14"/>
  <c r="R1101" i="14"/>
  <c r="R1103" i="14"/>
  <c r="R1104" i="14"/>
  <c r="R1105" i="14"/>
  <c r="R1106" i="14"/>
  <c r="R1107" i="14"/>
  <c r="R1109" i="14"/>
  <c r="R1110" i="14"/>
  <c r="R1112" i="14"/>
  <c r="R1113" i="14"/>
  <c r="R1114" i="14"/>
  <c r="R1115" i="14"/>
  <c r="R1116" i="14"/>
  <c r="R1118" i="14"/>
  <c r="R1119" i="14"/>
  <c r="R1121" i="14"/>
  <c r="R1122" i="14"/>
  <c r="R1123" i="14"/>
  <c r="R1124" i="14"/>
  <c r="R1125" i="14"/>
  <c r="R1127" i="14"/>
  <c r="R1128" i="14"/>
  <c r="R1130" i="14"/>
  <c r="R1131" i="14"/>
  <c r="R1132" i="14"/>
  <c r="R1133" i="14"/>
  <c r="R1134" i="14"/>
  <c r="R1136" i="14"/>
  <c r="R1137" i="14"/>
  <c r="R1139" i="14"/>
  <c r="R1140" i="14"/>
  <c r="R1141" i="14"/>
  <c r="R1142" i="14"/>
  <c r="R1143" i="14"/>
  <c r="R1145" i="14"/>
  <c r="R1146" i="14"/>
  <c r="R1148" i="14"/>
  <c r="R1149" i="14"/>
  <c r="R1150" i="14"/>
  <c r="R1151" i="14"/>
  <c r="R1152" i="14"/>
  <c r="R1154" i="14"/>
  <c r="R1155" i="14"/>
  <c r="R1157" i="14"/>
  <c r="R1158" i="14"/>
  <c r="R1159" i="14"/>
  <c r="R1160" i="14"/>
  <c r="R1161" i="14"/>
  <c r="R1163" i="14"/>
  <c r="R1164" i="14"/>
  <c r="R1166" i="14"/>
  <c r="R1167" i="14"/>
  <c r="R1168" i="14"/>
  <c r="R1169" i="14"/>
  <c r="R1170" i="14"/>
  <c r="R1172" i="14"/>
  <c r="R1173" i="14"/>
  <c r="R1175" i="14"/>
  <c r="R1176" i="14"/>
  <c r="R1177" i="14"/>
  <c r="R1178" i="14"/>
  <c r="R1179" i="14"/>
  <c r="R1181" i="14"/>
  <c r="R1182" i="14"/>
  <c r="R1184" i="14"/>
  <c r="R1185" i="14"/>
  <c r="R1186" i="14"/>
  <c r="R1187" i="14"/>
  <c r="R1188" i="14"/>
  <c r="R1190" i="14"/>
  <c r="R1191" i="14"/>
  <c r="R1193" i="14"/>
  <c r="R1194" i="14"/>
  <c r="R1195" i="14"/>
  <c r="R1196" i="14"/>
  <c r="R1197" i="14"/>
  <c r="R1199" i="14"/>
  <c r="R1200" i="14"/>
  <c r="R1202" i="14"/>
  <c r="R1203" i="14"/>
  <c r="R1204" i="14"/>
  <c r="R1205" i="14"/>
  <c r="R1206" i="14"/>
  <c r="R1208" i="14"/>
  <c r="R1209" i="14"/>
  <c r="R1211" i="14"/>
  <c r="R1212" i="14"/>
  <c r="R1213" i="14"/>
  <c r="R1214" i="14"/>
  <c r="R1215" i="14"/>
  <c r="R1218" i="14"/>
  <c r="R1220" i="14"/>
  <c r="R1221" i="14"/>
  <c r="R1223" i="14"/>
  <c r="R1224" i="14"/>
  <c r="R1225" i="14"/>
  <c r="R1226" i="14"/>
  <c r="R1227" i="14"/>
  <c r="R1228" i="14"/>
  <c r="R1229" i="14"/>
  <c r="R1231" i="14"/>
  <c r="R1232" i="14"/>
  <c r="R1233" i="14"/>
  <c r="R1234" i="14"/>
  <c r="R1235" i="14"/>
  <c r="R1237" i="14"/>
  <c r="R1238" i="14"/>
  <c r="R1240" i="14"/>
  <c r="R1241" i="14"/>
  <c r="R1242" i="14"/>
  <c r="R1243" i="14"/>
  <c r="R1244" i="14"/>
  <c r="R1245" i="14"/>
  <c r="R1247" i="14"/>
  <c r="R1248" i="14"/>
  <c r="R1249" i="14"/>
  <c r="R1250" i="14"/>
  <c r="R1251" i="14"/>
  <c r="R1254" i="14"/>
  <c r="R1257" i="14"/>
  <c r="R1258" i="14"/>
  <c r="R1260" i="14"/>
  <c r="R1261" i="14"/>
  <c r="R1263" i="14"/>
  <c r="R1264" i="14"/>
  <c r="R1265" i="14"/>
  <c r="R1266" i="14"/>
  <c r="R1267" i="14"/>
  <c r="R1268" i="14"/>
  <c r="R1269" i="14"/>
  <c r="R1271" i="14"/>
  <c r="R1272" i="14"/>
  <c r="R1273" i="14"/>
  <c r="R1274" i="14"/>
  <c r="R1275" i="14"/>
  <c r="R1276" i="14"/>
  <c r="R1279" i="14"/>
  <c r="R1282" i="14"/>
  <c r="R1283" i="14"/>
  <c r="R1284" i="14"/>
  <c r="R1286" i="14"/>
  <c r="R1287" i="14"/>
  <c r="R1288" i="14"/>
  <c r="R1289" i="14"/>
  <c r="R1290" i="14"/>
  <c r="R1291" i="14"/>
  <c r="R1292" i="14"/>
  <c r="R1294" i="14"/>
  <c r="R1295" i="14"/>
  <c r="R1296" i="14"/>
  <c r="R1297" i="14"/>
  <c r="R1298" i="14"/>
  <c r="R1299" i="14"/>
  <c r="R1302" i="14"/>
  <c r="R1303" i="14"/>
  <c r="R1305" i="14"/>
  <c r="R1306" i="14"/>
  <c r="R1308" i="14"/>
  <c r="R1309" i="14"/>
  <c r="R1310" i="14"/>
  <c r="R1311" i="14"/>
  <c r="R1312" i="14"/>
  <c r="R1313" i="14"/>
  <c r="R1314" i="14"/>
  <c r="R1316" i="14"/>
  <c r="R1317" i="14"/>
  <c r="R1318" i="14"/>
  <c r="R1319" i="14"/>
  <c r="R1320" i="14"/>
  <c r="R1321" i="14"/>
  <c r="R1323" i="14"/>
  <c r="R1324" i="14"/>
  <c r="R1326" i="14"/>
  <c r="R1327" i="14"/>
  <c r="R1328" i="14"/>
  <c r="R1329" i="14"/>
  <c r="R1330" i="14"/>
  <c r="R1331" i="14"/>
  <c r="R1332" i="14"/>
  <c r="R1334" i="14"/>
  <c r="R1335" i="14"/>
  <c r="R1336" i="14"/>
  <c r="R1337" i="14"/>
  <c r="R1338" i="14"/>
  <c r="R1339" i="14"/>
  <c r="R1342" i="14"/>
  <c r="R1343" i="14"/>
  <c r="R1344" i="14"/>
  <c r="R1346" i="14"/>
  <c r="R1347" i="14"/>
  <c r="R1348" i="14"/>
  <c r="R1349" i="14"/>
  <c r="R1350" i="14"/>
  <c r="R1351" i="14"/>
  <c r="R1352" i="14"/>
  <c r="R1354" i="14"/>
  <c r="R1355" i="14"/>
  <c r="R1356" i="14"/>
  <c r="R1357" i="14"/>
  <c r="R1358" i="14"/>
  <c r="R1359" i="14"/>
  <c r="R1362" i="14"/>
  <c r="R1364" i="14"/>
  <c r="R1365" i="14"/>
  <c r="R1367" i="14"/>
  <c r="R1369" i="14"/>
  <c r="R1370" i="14"/>
  <c r="R1372" i="14"/>
  <c r="R1373" i="14"/>
  <c r="R1374" i="14"/>
  <c r="R1377" i="14"/>
  <c r="R1378" i="14"/>
  <c r="O1378" i="14"/>
  <c r="O1377" i="14"/>
  <c r="O1376" i="14"/>
  <c r="O1375" i="14"/>
  <c r="O1374" i="14"/>
  <c r="O1373" i="14"/>
  <c r="O1372" i="14"/>
  <c r="O1371" i="14"/>
  <c r="O1370" i="14"/>
  <c r="O1369" i="14"/>
  <c r="O1368" i="14"/>
  <c r="O1367" i="14"/>
  <c r="O1366" i="14"/>
  <c r="O1365" i="14"/>
  <c r="O1364" i="14"/>
  <c r="O1363" i="14"/>
  <c r="O1362" i="14"/>
  <c r="O1361" i="14"/>
  <c r="O1360" i="14"/>
  <c r="O1359" i="14"/>
  <c r="O1358" i="14"/>
  <c r="O1357" i="14"/>
  <c r="O1356" i="14"/>
  <c r="O1355" i="14"/>
  <c r="O1354" i="14"/>
  <c r="O1353" i="14"/>
  <c r="O1352" i="14"/>
  <c r="O1351" i="14"/>
  <c r="O1350" i="14"/>
  <c r="O1349" i="14"/>
  <c r="O1348" i="14"/>
  <c r="O1347" i="14"/>
  <c r="O1346" i="14"/>
  <c r="O1345" i="14"/>
  <c r="O1344" i="14"/>
  <c r="O1343" i="14"/>
  <c r="O1342" i="14"/>
  <c r="O1341" i="14"/>
  <c r="O1340" i="14"/>
  <c r="O1339" i="14"/>
  <c r="O1338" i="14"/>
  <c r="O1337" i="14"/>
  <c r="O1336" i="14"/>
  <c r="O1335" i="14"/>
  <c r="O1334" i="14"/>
  <c r="O1333" i="14"/>
  <c r="O1332" i="14"/>
  <c r="O1331" i="14"/>
  <c r="O1330" i="14"/>
  <c r="O1329" i="14"/>
  <c r="O1328" i="14"/>
  <c r="O1327" i="14"/>
  <c r="O1326" i="14"/>
  <c r="O1325" i="14"/>
  <c r="O1324" i="14"/>
  <c r="O1323" i="14"/>
  <c r="O1322" i="14"/>
  <c r="O1321" i="14"/>
  <c r="O1320" i="14"/>
  <c r="O1319" i="14"/>
  <c r="O1318" i="14"/>
  <c r="O1317" i="14"/>
  <c r="O1316" i="14"/>
  <c r="O1315" i="14"/>
  <c r="O1314" i="14"/>
  <c r="O1313" i="14"/>
  <c r="O1312" i="14"/>
  <c r="O1311" i="14"/>
  <c r="O1310" i="14"/>
  <c r="O1309" i="14"/>
  <c r="O1308" i="14"/>
  <c r="O1307" i="14"/>
  <c r="O1306" i="14"/>
  <c r="O1305" i="14"/>
  <c r="O1304" i="14"/>
  <c r="O1303" i="14"/>
  <c r="O1302" i="14"/>
  <c r="O1299" i="14"/>
  <c r="O1298" i="14"/>
  <c r="O1297" i="14"/>
  <c r="O1296" i="14"/>
  <c r="O1295" i="14"/>
  <c r="O1294" i="14"/>
  <c r="O1293" i="14"/>
  <c r="O1292" i="14"/>
  <c r="O1291" i="14"/>
  <c r="O1290" i="14"/>
  <c r="O1289" i="14"/>
  <c r="O1288" i="14"/>
  <c r="O1287" i="14"/>
  <c r="O1286" i="14"/>
  <c r="O1285" i="14"/>
  <c r="O1284" i="14"/>
  <c r="O1283" i="14"/>
  <c r="O1282" i="14"/>
  <c r="O1281" i="14"/>
  <c r="O1279" i="14"/>
  <c r="O1276" i="14"/>
  <c r="O1275" i="14"/>
  <c r="O1274" i="14"/>
  <c r="O1273" i="14"/>
  <c r="O1272" i="14"/>
  <c r="O1271" i="14"/>
  <c r="O1270" i="14"/>
  <c r="O1269" i="14"/>
  <c r="O1268" i="14"/>
  <c r="O1267" i="14"/>
  <c r="O1266" i="14"/>
  <c r="O1265" i="14"/>
  <c r="O1264" i="14"/>
  <c r="O1263" i="14"/>
  <c r="O1262" i="14"/>
  <c r="O1261" i="14"/>
  <c r="O1260" i="14"/>
  <c r="O1258" i="14"/>
  <c r="O1254" i="14"/>
  <c r="S1254" i="14" s="1"/>
  <c r="O1251" i="14"/>
  <c r="O1250" i="14"/>
  <c r="O1249" i="14"/>
  <c r="O1248" i="14"/>
  <c r="O1247" i="14"/>
  <c r="O1246" i="14"/>
  <c r="O1245" i="14"/>
  <c r="O1244" i="14"/>
  <c r="O1243" i="14"/>
  <c r="O1242" i="14"/>
  <c r="O1241" i="14"/>
  <c r="O1240" i="14"/>
  <c r="O1239" i="14"/>
  <c r="O1238" i="14"/>
  <c r="O1237" i="14"/>
  <c r="O1235" i="14"/>
  <c r="O1234" i="14"/>
  <c r="O1233" i="14"/>
  <c r="O1232" i="14"/>
  <c r="O1231" i="14"/>
  <c r="O1230" i="14"/>
  <c r="O1229" i="14"/>
  <c r="O1228" i="14"/>
  <c r="O1227" i="14"/>
  <c r="O1226" i="14"/>
  <c r="O1225" i="14"/>
  <c r="O1224" i="14"/>
  <c r="O1223" i="14"/>
  <c r="O1222" i="14"/>
  <c r="O1221" i="14"/>
  <c r="O1220" i="14"/>
  <c r="O1219" i="14"/>
  <c r="O1218" i="14"/>
  <c r="O1215" i="14"/>
  <c r="O1214" i="14"/>
  <c r="O1213" i="14"/>
  <c r="O1212" i="14"/>
  <c r="O1211" i="14"/>
  <c r="O1210" i="14"/>
  <c r="O1209" i="14"/>
  <c r="O1208" i="14"/>
  <c r="O1206" i="14"/>
  <c r="O1205" i="14"/>
  <c r="O1204" i="14"/>
  <c r="O1203" i="14"/>
  <c r="O1202" i="14"/>
  <c r="O1201" i="14"/>
  <c r="O1200" i="14"/>
  <c r="O1199" i="14"/>
  <c r="O1198" i="14"/>
  <c r="O1197" i="14"/>
  <c r="O1196" i="14"/>
  <c r="O1195" i="14"/>
  <c r="O1194" i="14"/>
  <c r="O1193" i="14"/>
  <c r="O1192" i="14"/>
  <c r="O1191" i="14"/>
  <c r="O1190" i="14"/>
  <c r="O1189" i="14"/>
  <c r="O1188" i="14"/>
  <c r="O1187" i="14"/>
  <c r="O1186" i="14"/>
  <c r="O1185" i="14"/>
  <c r="O1184" i="14"/>
  <c r="O1183" i="14"/>
  <c r="O1182" i="14"/>
  <c r="O1181" i="14"/>
  <c r="O1180" i="14"/>
  <c r="O1179" i="14"/>
  <c r="O1178" i="14"/>
  <c r="O1177" i="14"/>
  <c r="O1176" i="14"/>
  <c r="O1175" i="14"/>
  <c r="O1174" i="14"/>
  <c r="O1173" i="14"/>
  <c r="O1172" i="14"/>
  <c r="O1171" i="14"/>
  <c r="O1170" i="14"/>
  <c r="O1169" i="14"/>
  <c r="O1168" i="14"/>
  <c r="O1167" i="14"/>
  <c r="O1166" i="14"/>
  <c r="O1165" i="14"/>
  <c r="O1164" i="14"/>
  <c r="O1163" i="14"/>
  <c r="O1162" i="14"/>
  <c r="O1161" i="14"/>
  <c r="O1160" i="14"/>
  <c r="O1159" i="14"/>
  <c r="O1158" i="14"/>
  <c r="O1157" i="14"/>
  <c r="O1156" i="14"/>
  <c r="O1155" i="14"/>
  <c r="O1154" i="14"/>
  <c r="O1153" i="14"/>
  <c r="O1152" i="14"/>
  <c r="O1151" i="14"/>
  <c r="O1150" i="14"/>
  <c r="O1149" i="14"/>
  <c r="O1148" i="14"/>
  <c r="O1147" i="14"/>
  <c r="O1146" i="14"/>
  <c r="O1145" i="14"/>
  <c r="O1144" i="14"/>
  <c r="O1143" i="14"/>
  <c r="O1142" i="14"/>
  <c r="O1141" i="14"/>
  <c r="O1140" i="14"/>
  <c r="O1139" i="14"/>
  <c r="O1138" i="14"/>
  <c r="O1137" i="14"/>
  <c r="O1136" i="14"/>
  <c r="O1135" i="14"/>
  <c r="O1134" i="14"/>
  <c r="O1133" i="14"/>
  <c r="O1132" i="14"/>
  <c r="O1131" i="14"/>
  <c r="O1130" i="14"/>
  <c r="O1129" i="14"/>
  <c r="O1128" i="14"/>
  <c r="O1127" i="14"/>
  <c r="O1126" i="14"/>
  <c r="O1125" i="14"/>
  <c r="O1124" i="14"/>
  <c r="O1123" i="14"/>
  <c r="O1122" i="14"/>
  <c r="O1121" i="14"/>
  <c r="O1120" i="14"/>
  <c r="O1119" i="14"/>
  <c r="O1118" i="14"/>
  <c r="O1117" i="14"/>
  <c r="O1116" i="14"/>
  <c r="O1115" i="14"/>
  <c r="O1114" i="14"/>
  <c r="O1113" i="14"/>
  <c r="O1112" i="14"/>
  <c r="O1111" i="14"/>
  <c r="O1110" i="14"/>
  <c r="O1109" i="14"/>
  <c r="O1108" i="14"/>
  <c r="O1107" i="14"/>
  <c r="O1106" i="14"/>
  <c r="O1105" i="14"/>
  <c r="O1104" i="14"/>
  <c r="O1103" i="14"/>
  <c r="O1102" i="14"/>
  <c r="O1101" i="14"/>
  <c r="O1100" i="14"/>
  <c r="O1099" i="14"/>
  <c r="O1098" i="14"/>
  <c r="O1097" i="14"/>
  <c r="O1096" i="14"/>
  <c r="O1095" i="14"/>
  <c r="O1094" i="14"/>
  <c r="O1093" i="14"/>
  <c r="O1092" i="14"/>
  <c r="O1091" i="14"/>
  <c r="O1090" i="14"/>
  <c r="O1089" i="14"/>
  <c r="O1088" i="14"/>
  <c r="O1087" i="14"/>
  <c r="O1086" i="14"/>
  <c r="O1085" i="14"/>
  <c r="O1084" i="14"/>
  <c r="O1083" i="14"/>
  <c r="O1082" i="14"/>
  <c r="O1081" i="14"/>
  <c r="O1080" i="14"/>
  <c r="O1077" i="14"/>
  <c r="O1076" i="14"/>
  <c r="O1075" i="14"/>
  <c r="O1074" i="14"/>
  <c r="O1073" i="14"/>
  <c r="O1072" i="14"/>
  <c r="O1071" i="14"/>
  <c r="O1070" i="14"/>
  <c r="O1069" i="14"/>
  <c r="O1066" i="14"/>
  <c r="O1065" i="14"/>
  <c r="O1064" i="14"/>
  <c r="O1063" i="14"/>
  <c r="O1062" i="14"/>
  <c r="O1061" i="14"/>
  <c r="O1060" i="14"/>
  <c r="O1059" i="14"/>
  <c r="O1058" i="14"/>
  <c r="O1057" i="14"/>
  <c r="O1056" i="14"/>
  <c r="O1055" i="14"/>
  <c r="O1054" i="14"/>
  <c r="O1053" i="14"/>
  <c r="O1052" i="14"/>
  <c r="O1051" i="14"/>
  <c r="O1050" i="14"/>
  <c r="O1048" i="14"/>
  <c r="S1048" i="14" s="1"/>
  <c r="O1046" i="14"/>
  <c r="O1043" i="14"/>
  <c r="O1042" i="14"/>
  <c r="O1041" i="14"/>
  <c r="O1040" i="14"/>
  <c r="O1039" i="14"/>
  <c r="O1038" i="14"/>
  <c r="O1037" i="14"/>
  <c r="O1036" i="14"/>
  <c r="O1035" i="14"/>
  <c r="O1034" i="14"/>
  <c r="O1032" i="14"/>
  <c r="O1031" i="14"/>
  <c r="O1030" i="14"/>
  <c r="O1029" i="14"/>
  <c r="O1028" i="14"/>
  <c r="O1027" i="14"/>
  <c r="O1026" i="14"/>
  <c r="O1025" i="14"/>
  <c r="O1024" i="14"/>
  <c r="O1023" i="14"/>
  <c r="O1022" i="14"/>
  <c r="O1021" i="14"/>
  <c r="O1020" i="14"/>
  <c r="O1019" i="14"/>
  <c r="O1018" i="14"/>
  <c r="O1017" i="14"/>
  <c r="O1016" i="14"/>
  <c r="O1015" i="14"/>
  <c r="O1014" i="14"/>
  <c r="O1013" i="14"/>
  <c r="O1012" i="14"/>
  <c r="O1011" i="14"/>
  <c r="O1010" i="14"/>
  <c r="O1009" i="14"/>
  <c r="O1008" i="14"/>
  <c r="O1007" i="14"/>
  <c r="O1006" i="14"/>
  <c r="O1005" i="14"/>
  <c r="O1004" i="14"/>
  <c r="O1003" i="14"/>
  <c r="O1002" i="14"/>
  <c r="O1001" i="14"/>
  <c r="O1000" i="14"/>
  <c r="O999" i="14"/>
  <c r="O998" i="14"/>
  <c r="O997" i="14"/>
  <c r="O996" i="14"/>
  <c r="O995" i="14"/>
  <c r="O994" i="14"/>
  <c r="O993" i="14"/>
  <c r="O992" i="14"/>
  <c r="O991" i="14"/>
  <c r="O990" i="14"/>
  <c r="O989" i="14"/>
  <c r="O988" i="14"/>
  <c r="O987" i="14"/>
  <c r="O986" i="14"/>
  <c r="O985" i="14"/>
  <c r="O984" i="14"/>
  <c r="O983" i="14"/>
  <c r="O982" i="14"/>
  <c r="O981" i="14"/>
  <c r="O980" i="14"/>
  <c r="O979" i="14"/>
  <c r="O978" i="14"/>
  <c r="O977" i="14"/>
  <c r="O976" i="14"/>
  <c r="O975" i="14"/>
  <c r="O974" i="14"/>
  <c r="O973" i="14"/>
  <c r="O972" i="14"/>
  <c r="O971" i="14"/>
  <c r="O970" i="14"/>
  <c r="O969" i="14"/>
  <c r="O968" i="14"/>
  <c r="O967" i="14"/>
  <c r="O966" i="14"/>
  <c r="O965" i="14"/>
  <c r="O964" i="14"/>
  <c r="O963" i="14"/>
  <c r="O962" i="14"/>
  <c r="O961" i="14"/>
  <c r="O960" i="14"/>
  <c r="O959" i="14"/>
  <c r="O958" i="14"/>
  <c r="O957" i="14"/>
  <c r="O956" i="14"/>
  <c r="O955" i="14"/>
  <c r="O954" i="14"/>
  <c r="O953" i="14"/>
  <c r="O952" i="14"/>
  <c r="O951" i="14"/>
  <c r="O950" i="14"/>
  <c r="O949" i="14"/>
  <c r="O948" i="14"/>
  <c r="O947" i="14"/>
  <c r="O946" i="14"/>
  <c r="O945" i="14"/>
  <c r="O944" i="14"/>
  <c r="O943" i="14"/>
  <c r="O942" i="14"/>
  <c r="O941" i="14"/>
  <c r="O940" i="14"/>
  <c r="O938" i="14"/>
  <c r="O935" i="14"/>
  <c r="O934" i="14"/>
  <c r="O933" i="14"/>
  <c r="O932" i="14"/>
  <c r="O931" i="14"/>
  <c r="O930" i="14"/>
  <c r="O929" i="14"/>
  <c r="O928" i="14"/>
  <c r="O927" i="14"/>
  <c r="O926" i="14"/>
  <c r="O925" i="14"/>
  <c r="O924" i="14"/>
  <c r="O923" i="14"/>
  <c r="O922" i="14"/>
  <c r="O921" i="14"/>
  <c r="O920" i="14"/>
  <c r="O919" i="14"/>
  <c r="O917" i="14"/>
  <c r="O916" i="14"/>
  <c r="O915" i="14"/>
  <c r="O914" i="14"/>
  <c r="O913" i="14"/>
  <c r="O912" i="14"/>
  <c r="O911" i="14"/>
  <c r="O910" i="14"/>
  <c r="O909" i="14"/>
  <c r="O908" i="14"/>
  <c r="O907" i="14"/>
  <c r="O906" i="14"/>
  <c r="O905" i="14"/>
  <c r="O904" i="14"/>
  <c r="O903" i="14"/>
  <c r="O902" i="14"/>
  <c r="O901" i="14"/>
  <c r="O900" i="14"/>
  <c r="O899" i="14"/>
  <c r="O898" i="14"/>
  <c r="O897" i="14"/>
  <c r="O896" i="14"/>
  <c r="O895" i="14"/>
  <c r="O893" i="14"/>
  <c r="O890" i="14"/>
  <c r="O889" i="14"/>
  <c r="O888" i="14"/>
  <c r="O887" i="14"/>
  <c r="O886" i="14"/>
  <c r="O885" i="14"/>
  <c r="O884" i="14"/>
  <c r="O883" i="14"/>
  <c r="O882" i="14"/>
  <c r="O881" i="14"/>
  <c r="O880" i="14"/>
  <c r="O879" i="14"/>
  <c r="O878" i="14"/>
  <c r="O877" i="14"/>
  <c r="O876" i="14"/>
  <c r="O875" i="14"/>
  <c r="O874" i="14"/>
  <c r="O873" i="14"/>
  <c r="O872" i="14"/>
  <c r="O871" i="14"/>
  <c r="O870" i="14"/>
  <c r="O869" i="14"/>
  <c r="O865" i="14"/>
  <c r="O863" i="14"/>
  <c r="O861" i="14"/>
  <c r="O858" i="14"/>
  <c r="O857" i="14"/>
  <c r="O856" i="14"/>
  <c r="O855" i="14"/>
  <c r="O854" i="14"/>
  <c r="O853" i="14"/>
  <c r="O852" i="14"/>
  <c r="O851" i="14"/>
  <c r="O850" i="14"/>
  <c r="O849" i="14"/>
  <c r="O848" i="14"/>
  <c r="O847" i="14"/>
  <c r="O846" i="14"/>
  <c r="O845" i="14"/>
  <c r="O844" i="14"/>
  <c r="O843" i="14"/>
  <c r="O842" i="14"/>
  <c r="O841" i="14"/>
  <c r="O840" i="14"/>
  <c r="O839" i="14"/>
  <c r="O838" i="14"/>
  <c r="O836" i="14"/>
  <c r="O833" i="14"/>
  <c r="O832" i="14"/>
  <c r="O831" i="14"/>
  <c r="O830" i="14"/>
  <c r="O829" i="14"/>
  <c r="O827" i="14"/>
  <c r="O826" i="14"/>
  <c r="O825" i="14"/>
  <c r="O824" i="14"/>
  <c r="O823" i="14"/>
  <c r="O822" i="14"/>
  <c r="O821" i="14"/>
  <c r="O820" i="14"/>
  <c r="O819" i="14"/>
  <c r="O818" i="14"/>
  <c r="O817" i="14"/>
  <c r="O816" i="14"/>
  <c r="O815" i="14"/>
  <c r="O814" i="14"/>
  <c r="O813" i="14"/>
  <c r="O812" i="14"/>
  <c r="O811" i="14"/>
  <c r="O806" i="14"/>
  <c r="O805" i="14"/>
  <c r="O804" i="14"/>
  <c r="O803" i="14"/>
  <c r="O802" i="14"/>
  <c r="O801" i="14"/>
  <c r="O800" i="14"/>
  <c r="O799" i="14"/>
  <c r="O798" i="14"/>
  <c r="O797" i="14"/>
  <c r="O796" i="14"/>
  <c r="O795" i="14"/>
  <c r="O794" i="14"/>
  <c r="O793" i="14"/>
  <c r="O792" i="14"/>
  <c r="O791" i="14"/>
  <c r="O790" i="14"/>
  <c r="O789" i="14"/>
  <c r="O788" i="14"/>
  <c r="O787" i="14"/>
  <c r="O786" i="14"/>
  <c r="O785" i="14"/>
  <c r="O783" i="14"/>
  <c r="O782" i="14"/>
  <c r="O781" i="14"/>
  <c r="O780" i="14"/>
  <c r="O779" i="14"/>
  <c r="O778" i="14"/>
  <c r="O777" i="14"/>
  <c r="O776" i="14"/>
  <c r="O775" i="14"/>
  <c r="O774" i="14"/>
  <c r="O773" i="14"/>
  <c r="O772" i="14"/>
  <c r="O771" i="14"/>
  <c r="O770" i="14"/>
  <c r="O769" i="14"/>
  <c r="O768" i="14"/>
  <c r="O767" i="14"/>
  <c r="O766" i="14"/>
  <c r="O765" i="14"/>
  <c r="O764" i="14"/>
  <c r="O763" i="14"/>
  <c r="O762" i="14"/>
  <c r="O761" i="14"/>
  <c r="O760" i="14"/>
  <c r="O759" i="14"/>
  <c r="O758" i="14"/>
  <c r="O757" i="14"/>
  <c r="O756" i="14"/>
  <c r="O755" i="14"/>
  <c r="O754" i="14"/>
  <c r="O753" i="14"/>
  <c r="O752" i="14"/>
  <c r="O751" i="14"/>
  <c r="O750" i="14"/>
  <c r="O749" i="14"/>
  <c r="O748" i="14"/>
  <c r="O747" i="14"/>
  <c r="O746" i="14"/>
  <c r="O745" i="14"/>
  <c r="O744" i="14"/>
  <c r="O743" i="14"/>
  <c r="O742" i="14"/>
  <c r="O741" i="14"/>
  <c r="O740" i="14"/>
  <c r="O739" i="14"/>
  <c r="O738" i="14"/>
  <c r="O737" i="14"/>
  <c r="O736" i="14"/>
  <c r="O734" i="14"/>
  <c r="O733" i="14"/>
  <c r="O732" i="14"/>
  <c r="O731" i="14"/>
  <c r="O730" i="14"/>
  <c r="O729" i="14"/>
  <c r="O728" i="14"/>
  <c r="O727" i="14"/>
  <c r="O726" i="14"/>
  <c r="O725" i="14"/>
  <c r="O724" i="14"/>
  <c r="O723" i="14"/>
  <c r="O722" i="14"/>
  <c r="O721" i="14"/>
  <c r="O720" i="14"/>
  <c r="O719" i="14"/>
  <c r="O718" i="14"/>
  <c r="O717" i="14"/>
  <c r="O716" i="14"/>
  <c r="O715" i="14"/>
  <c r="O714" i="14"/>
  <c r="O713" i="14"/>
  <c r="O712" i="14"/>
  <c r="O711" i="14"/>
  <c r="O710" i="14"/>
  <c r="O709" i="14"/>
  <c r="O708" i="14"/>
  <c r="O707" i="14"/>
  <c r="O706" i="14"/>
  <c r="O705" i="14"/>
  <c r="O704" i="14"/>
  <c r="O703" i="14"/>
  <c r="O702" i="14"/>
  <c r="O701" i="14"/>
  <c r="O700" i="14"/>
  <c r="O699" i="14"/>
  <c r="O698" i="14"/>
  <c r="O697" i="14"/>
  <c r="O696" i="14"/>
  <c r="O695" i="14"/>
  <c r="O694" i="14"/>
  <c r="O693" i="14"/>
  <c r="O692" i="14"/>
  <c r="O691" i="14"/>
  <c r="O690" i="14"/>
  <c r="O689" i="14"/>
  <c r="O688" i="14"/>
  <c r="O687" i="14"/>
  <c r="O686" i="14"/>
  <c r="O685" i="14"/>
  <c r="O681" i="14"/>
  <c r="O680" i="14"/>
  <c r="O679" i="14"/>
  <c r="O678" i="14"/>
  <c r="O677" i="14"/>
  <c r="O676" i="14"/>
  <c r="O675" i="14"/>
  <c r="O674" i="14"/>
  <c r="O673" i="14"/>
  <c r="O672" i="14"/>
  <c r="O671" i="14"/>
  <c r="O670" i="14"/>
  <c r="O668" i="14"/>
  <c r="O667" i="14"/>
  <c r="O666" i="14"/>
  <c r="O665" i="14"/>
  <c r="O664" i="14"/>
  <c r="O663" i="14"/>
  <c r="O662" i="14"/>
  <c r="O661" i="14"/>
  <c r="O660" i="14"/>
  <c r="O659" i="14"/>
  <c r="O658" i="14"/>
  <c r="O657" i="14"/>
  <c r="O653" i="14"/>
  <c r="O652" i="14"/>
  <c r="O651" i="14"/>
  <c r="O650" i="14"/>
  <c r="O649" i="14"/>
  <c r="O648" i="14"/>
  <c r="O647" i="14"/>
  <c r="O646" i="14"/>
  <c r="O645" i="14"/>
  <c r="O644" i="14"/>
  <c r="O643" i="14"/>
  <c r="O642" i="14"/>
  <c r="O640" i="14"/>
  <c r="O639" i="14"/>
  <c r="O638" i="14"/>
  <c r="O637" i="14"/>
  <c r="O636" i="14"/>
  <c r="O635" i="14"/>
  <c r="O634" i="14"/>
  <c r="O633" i="14"/>
  <c r="O632" i="14"/>
  <c r="O631" i="14"/>
  <c r="O630" i="14"/>
  <c r="O629" i="14"/>
  <c r="O628" i="14"/>
  <c r="O627" i="14"/>
  <c r="O625" i="14"/>
  <c r="O622" i="14"/>
  <c r="O621" i="14"/>
  <c r="O620" i="14"/>
  <c r="O619" i="14"/>
  <c r="O618" i="14"/>
  <c r="O617" i="14"/>
  <c r="O616" i="14"/>
  <c r="O615" i="14"/>
  <c r="O614" i="14"/>
  <c r="O613" i="14"/>
  <c r="O612" i="14"/>
  <c r="O611" i="14"/>
  <c r="O609" i="14"/>
  <c r="O606" i="14"/>
  <c r="O605" i="14"/>
  <c r="O604" i="14"/>
  <c r="O603" i="14"/>
  <c r="O602" i="14"/>
  <c r="O601" i="14"/>
  <c r="O600" i="14"/>
  <c r="O599" i="14"/>
  <c r="O598" i="14"/>
  <c r="O597" i="14"/>
  <c r="O596" i="14"/>
  <c r="O594" i="14"/>
  <c r="O593" i="14"/>
  <c r="O592" i="14"/>
  <c r="O591" i="14"/>
  <c r="O590" i="14"/>
  <c r="O589" i="14"/>
  <c r="O588" i="14"/>
  <c r="O587" i="14"/>
  <c r="O586" i="14"/>
  <c r="O585" i="14"/>
  <c r="O584" i="14"/>
  <c r="O583" i="14"/>
  <c r="O579" i="14"/>
  <c r="O578" i="14"/>
  <c r="O577" i="14"/>
  <c r="O576" i="14"/>
  <c r="O575" i="14"/>
  <c r="O574" i="14"/>
  <c r="O573" i="14"/>
  <c r="O572" i="14"/>
  <c r="O571" i="14"/>
  <c r="O570" i="14"/>
  <c r="O569" i="14"/>
  <c r="O567" i="14"/>
  <c r="O564" i="14"/>
  <c r="O563" i="14"/>
  <c r="O562" i="14"/>
  <c r="O561" i="14"/>
  <c r="O560" i="14"/>
  <c r="O559" i="14"/>
  <c r="O558" i="14"/>
  <c r="O557" i="14"/>
  <c r="O556" i="14"/>
  <c r="O555" i="14"/>
  <c r="O554" i="14"/>
  <c r="O553" i="14"/>
  <c r="O551" i="14"/>
  <c r="O550" i="14"/>
  <c r="O549" i="14"/>
  <c r="O548" i="14"/>
  <c r="O547" i="14"/>
  <c r="O546" i="14"/>
  <c r="O545" i="14"/>
  <c r="O544" i="14"/>
  <c r="O543" i="14"/>
  <c r="O542" i="14"/>
  <c r="O541" i="14"/>
  <c r="O540" i="14"/>
  <c r="O539" i="14"/>
  <c r="O536" i="14"/>
  <c r="O535" i="14"/>
  <c r="O534" i="14"/>
  <c r="O533" i="14"/>
  <c r="O532" i="14"/>
  <c r="O531" i="14"/>
  <c r="O530" i="14"/>
  <c r="O529" i="14"/>
  <c r="O528" i="14"/>
  <c r="O527" i="14"/>
  <c r="O526" i="14"/>
  <c r="O524" i="14"/>
  <c r="O523" i="14"/>
  <c r="O521" i="14"/>
  <c r="O520" i="14"/>
  <c r="O519" i="14"/>
  <c r="O518" i="14"/>
  <c r="O517" i="14"/>
  <c r="O516" i="14"/>
  <c r="O515" i="14"/>
  <c r="O514" i="14"/>
  <c r="O513" i="14"/>
  <c r="O512" i="14"/>
  <c r="O511" i="14"/>
  <c r="O510" i="14"/>
  <c r="N538" i="14"/>
  <c r="N537" i="14" s="1"/>
  <c r="N566" i="14"/>
  <c r="N565" i="14" s="1"/>
  <c r="N552" i="14" s="1"/>
  <c r="N581" i="14"/>
  <c r="N580" i="14" s="1"/>
  <c r="N608" i="14"/>
  <c r="N607" i="14" s="1"/>
  <c r="N595" i="14" s="1"/>
  <c r="N624" i="14"/>
  <c r="R624" i="14" s="1"/>
  <c r="N626" i="14"/>
  <c r="R626" i="14" s="1"/>
  <c r="N655" i="14"/>
  <c r="N683" i="14"/>
  <c r="N808" i="14"/>
  <c r="N807" i="14" s="1"/>
  <c r="N784" i="14" s="1"/>
  <c r="N835" i="14"/>
  <c r="N834" i="14" s="1"/>
  <c r="N810" i="14" s="1"/>
  <c r="N860" i="14"/>
  <c r="R860" i="14" s="1"/>
  <c r="N862" i="14"/>
  <c r="R862" i="14" s="1"/>
  <c r="N864" i="14"/>
  <c r="N892" i="14"/>
  <c r="R892" i="14" s="1"/>
  <c r="N894" i="14"/>
  <c r="N937" i="14"/>
  <c r="N936" i="14" s="1"/>
  <c r="N1045" i="14"/>
  <c r="R1045" i="14" s="1"/>
  <c r="N1047" i="14"/>
  <c r="R1047" i="14" s="1"/>
  <c r="N1079" i="14"/>
  <c r="N1217" i="14"/>
  <c r="R1217" i="14" s="1"/>
  <c r="N1256" i="14"/>
  <c r="N1278" i="14"/>
  <c r="N1277" i="14" s="1"/>
  <c r="N1259" i="14" s="1"/>
  <c r="N1301" i="14"/>
  <c r="K1378" i="14"/>
  <c r="K1377" i="14"/>
  <c r="K1374" i="14"/>
  <c r="K1373" i="14"/>
  <c r="K1372" i="14"/>
  <c r="K1370" i="14"/>
  <c r="K1369" i="14"/>
  <c r="K1367" i="14"/>
  <c r="K1362" i="14"/>
  <c r="K1359" i="14"/>
  <c r="K1358" i="14"/>
  <c r="K1357" i="14"/>
  <c r="K1356" i="14"/>
  <c r="K1355" i="14"/>
  <c r="K1354" i="14"/>
  <c r="K1352" i="14"/>
  <c r="K1351" i="14"/>
  <c r="K1350" i="14"/>
  <c r="K1349" i="14"/>
  <c r="K1348" i="14"/>
  <c r="K1347" i="14"/>
  <c r="K1346" i="14"/>
  <c r="K1344" i="14"/>
  <c r="K1343" i="14"/>
  <c r="K1342" i="14"/>
  <c r="K1339" i="14"/>
  <c r="K1338" i="14"/>
  <c r="K1337" i="14"/>
  <c r="K1336" i="14"/>
  <c r="K1335" i="14"/>
  <c r="K1334" i="14"/>
  <c r="K1332" i="14"/>
  <c r="K1331" i="14"/>
  <c r="K1330" i="14"/>
  <c r="K1329" i="14"/>
  <c r="K1328" i="14"/>
  <c r="K1327" i="14"/>
  <c r="K1326" i="14"/>
  <c r="K1324" i="14"/>
  <c r="K1323" i="14"/>
  <c r="K1321" i="14"/>
  <c r="K1320" i="14"/>
  <c r="K1319" i="14"/>
  <c r="K1318" i="14"/>
  <c r="K1317" i="14"/>
  <c r="K1316" i="14"/>
  <c r="K1314" i="14"/>
  <c r="K1313" i="14"/>
  <c r="K1312" i="14"/>
  <c r="K1311" i="14"/>
  <c r="K1310" i="14"/>
  <c r="K1309" i="14"/>
  <c r="K1308" i="14"/>
  <c r="K1306" i="14"/>
  <c r="K1305" i="14"/>
  <c r="K1303" i="14"/>
  <c r="K1302" i="14"/>
  <c r="K1301" i="14"/>
  <c r="K1300" i="14"/>
  <c r="K1299" i="14"/>
  <c r="K1298" i="14"/>
  <c r="K1297" i="14"/>
  <c r="K1296" i="14"/>
  <c r="K1294" i="14"/>
  <c r="K1290" i="14"/>
  <c r="K1289" i="14"/>
  <c r="K1288" i="14"/>
  <c r="K1286" i="14"/>
  <c r="K1282" i="14"/>
  <c r="K1279" i="14"/>
  <c r="K1278" i="14"/>
  <c r="K1277" i="14"/>
  <c r="K1276" i="14"/>
  <c r="K1275" i="14"/>
  <c r="K1274" i="14"/>
  <c r="K1273" i="14"/>
  <c r="K1271" i="14"/>
  <c r="K1269" i="14"/>
  <c r="K1268" i="14"/>
  <c r="K1267" i="14"/>
  <c r="K1266" i="14"/>
  <c r="K1265" i="14"/>
  <c r="K1264" i="14"/>
  <c r="K1263" i="14"/>
  <c r="K1261" i="14"/>
  <c r="K1260" i="14"/>
  <c r="K1258" i="14"/>
  <c r="K1257" i="14"/>
  <c r="K1256" i="14"/>
  <c r="K1254" i="14"/>
  <c r="K1253" i="14"/>
  <c r="K1252" i="14"/>
  <c r="K1251" i="14"/>
  <c r="K1250" i="14"/>
  <c r="K1249" i="14"/>
  <c r="K1248" i="14"/>
  <c r="K1247" i="14"/>
  <c r="K1245" i="14"/>
  <c r="K1244" i="14"/>
  <c r="K1243" i="14"/>
  <c r="K1242" i="14"/>
  <c r="K1241" i="14"/>
  <c r="K1240" i="14"/>
  <c r="K1238" i="14"/>
  <c r="K1237" i="14"/>
  <c r="K1235" i="14"/>
  <c r="K1234" i="14"/>
  <c r="K1233" i="14"/>
  <c r="K1232" i="14"/>
  <c r="K1231" i="14"/>
  <c r="K1229" i="14"/>
  <c r="K1228" i="14"/>
  <c r="K1227" i="14"/>
  <c r="K1226" i="14"/>
  <c r="K1225" i="14"/>
  <c r="K1224" i="14"/>
  <c r="K1223" i="14"/>
  <c r="K1221" i="14"/>
  <c r="K1220" i="14"/>
  <c r="K1218" i="14"/>
  <c r="K1217" i="14"/>
  <c r="K1216" i="14"/>
  <c r="K1215" i="14"/>
  <c r="K1214" i="14"/>
  <c r="K1212" i="14"/>
  <c r="K1211" i="14"/>
  <c r="K1209" i="14"/>
  <c r="K1208" i="14"/>
  <c r="K1206" i="14"/>
  <c r="K1205" i="14"/>
  <c r="K1204" i="14"/>
  <c r="K1203" i="14"/>
  <c r="K1202" i="14"/>
  <c r="K1200" i="14"/>
  <c r="K1199" i="14"/>
  <c r="K1197" i="14"/>
  <c r="K1196" i="14"/>
  <c r="K1193" i="14"/>
  <c r="K1191" i="14"/>
  <c r="K1190" i="14"/>
  <c r="K1188" i="14"/>
  <c r="K1187" i="14"/>
  <c r="K1184" i="14"/>
  <c r="K1182" i="14"/>
  <c r="K1181" i="14"/>
  <c r="K1179" i="14"/>
  <c r="K1178" i="14"/>
  <c r="K1177" i="14"/>
  <c r="K1176" i="14"/>
  <c r="K1175" i="14"/>
  <c r="K1173" i="14"/>
  <c r="K1172" i="14"/>
  <c r="K1170" i="14"/>
  <c r="K1169" i="14"/>
  <c r="K1166" i="14"/>
  <c r="K1164" i="14"/>
  <c r="K1163" i="14"/>
  <c r="K1161" i="14"/>
  <c r="K1160" i="14"/>
  <c r="K1159" i="14"/>
  <c r="K1158" i="14"/>
  <c r="K1157" i="14"/>
  <c r="K1155" i="14"/>
  <c r="K1154" i="14"/>
  <c r="K1152" i="14"/>
  <c r="K1151" i="14"/>
  <c r="K1150" i="14"/>
  <c r="K1149" i="14"/>
  <c r="K1148" i="14"/>
  <c r="K1146" i="14"/>
  <c r="K1145" i="14"/>
  <c r="K1143" i="14"/>
  <c r="K1142" i="14"/>
  <c r="K1141" i="14"/>
  <c r="K1140" i="14"/>
  <c r="K1139" i="14"/>
  <c r="K1137" i="14"/>
  <c r="K1136" i="14"/>
  <c r="K1134" i="14"/>
  <c r="K1133" i="14"/>
  <c r="K1132" i="14"/>
  <c r="K1131" i="14"/>
  <c r="K1130" i="14"/>
  <c r="K1128" i="14"/>
  <c r="K1127" i="14"/>
  <c r="K1125" i="14"/>
  <c r="K1124" i="14"/>
  <c r="K1123" i="14"/>
  <c r="K1122" i="14"/>
  <c r="K1121" i="14"/>
  <c r="K1119" i="14"/>
  <c r="K1118" i="14"/>
  <c r="K1116" i="14"/>
  <c r="K1115" i="14"/>
  <c r="K1114" i="14"/>
  <c r="K1113" i="14"/>
  <c r="K1112" i="14"/>
  <c r="K1110" i="14"/>
  <c r="K1109" i="14"/>
  <c r="K1107" i="14"/>
  <c r="K1106" i="14"/>
  <c r="K1103" i="14"/>
  <c r="K1101" i="14"/>
  <c r="K1100" i="14"/>
  <c r="K1098" i="14"/>
  <c r="K1097" i="14"/>
  <c r="K1096" i="14"/>
  <c r="K1095" i="14"/>
  <c r="K1094" i="14"/>
  <c r="K1092" i="14"/>
  <c r="K1091" i="14"/>
  <c r="K1089" i="14"/>
  <c r="K1088" i="14"/>
  <c r="K1087" i="14"/>
  <c r="K1086" i="14"/>
  <c r="K1085" i="14"/>
  <c r="K1083" i="14"/>
  <c r="K1082" i="14"/>
  <c r="K1080" i="14"/>
  <c r="K1079" i="14"/>
  <c r="K1078" i="14"/>
  <c r="K1077" i="14"/>
  <c r="K1075" i="14"/>
  <c r="K1074" i="14"/>
  <c r="K1072" i="14"/>
  <c r="K1070" i="14"/>
  <c r="K1069" i="14"/>
  <c r="K1066" i="14"/>
  <c r="K1065" i="14"/>
  <c r="K1064" i="14"/>
  <c r="K1063" i="14"/>
  <c r="K1062" i="14"/>
  <c r="K1061" i="14"/>
  <c r="K1060" i="14"/>
  <c r="K1059" i="14"/>
  <c r="K1058" i="14"/>
  <c r="K1057" i="14"/>
  <c r="K1056" i="14"/>
  <c r="K1055" i="14"/>
  <c r="K1054" i="14"/>
  <c r="K1053" i="14"/>
  <c r="K1051" i="14"/>
  <c r="K1048" i="14"/>
  <c r="K1047" i="14"/>
  <c r="K1046" i="14"/>
  <c r="K1045" i="14"/>
  <c r="K1044" i="14"/>
  <c r="K1043" i="14"/>
  <c r="K1040" i="14"/>
  <c r="K1039" i="14"/>
  <c r="K1038" i="14"/>
  <c r="K1037" i="14"/>
  <c r="K1032" i="14"/>
  <c r="K1031" i="14"/>
  <c r="K1030" i="14"/>
  <c r="K1029" i="14"/>
  <c r="K1028" i="14"/>
  <c r="K1026" i="14"/>
  <c r="K1025" i="14"/>
  <c r="K1023" i="14"/>
  <c r="K1022" i="14"/>
  <c r="K1021" i="14"/>
  <c r="K1020" i="14"/>
  <c r="K1019" i="14"/>
  <c r="K1017" i="14"/>
  <c r="K1016" i="14"/>
  <c r="K1014" i="14"/>
  <c r="K1013" i="14"/>
  <c r="K1012" i="14"/>
  <c r="K1011" i="14"/>
  <c r="K1010" i="14"/>
  <c r="K1005" i="14"/>
  <c r="K1004" i="14"/>
  <c r="K1001" i="14"/>
  <c r="K996" i="14"/>
  <c r="K995" i="14"/>
  <c r="K994" i="14"/>
  <c r="K993" i="14"/>
  <c r="K992" i="14"/>
  <c r="K990" i="14"/>
  <c r="K989" i="14"/>
  <c r="K987" i="14"/>
  <c r="K986" i="14"/>
  <c r="K985" i="14"/>
  <c r="K984" i="14"/>
  <c r="K983" i="14"/>
  <c r="K978" i="14"/>
  <c r="K977" i="14"/>
  <c r="K976" i="14"/>
  <c r="K975" i="14"/>
  <c r="K973" i="14"/>
  <c r="K972" i="14"/>
  <c r="K970" i="14"/>
  <c r="K969" i="14"/>
  <c r="K968" i="14"/>
  <c r="K967" i="14"/>
  <c r="K966" i="14"/>
  <c r="K964" i="14"/>
  <c r="K963" i="14"/>
  <c r="K961" i="14"/>
  <c r="K959" i="14"/>
  <c r="K958" i="14"/>
  <c r="K957" i="14"/>
  <c r="K956" i="14"/>
  <c r="K955" i="14"/>
  <c r="K954" i="14"/>
  <c r="K951" i="14"/>
  <c r="K949" i="14"/>
  <c r="K948" i="14"/>
  <c r="K947" i="14"/>
  <c r="K946" i="14"/>
  <c r="K945" i="14"/>
  <c r="K944" i="14"/>
  <c r="K943" i="14"/>
  <c r="K942" i="14"/>
  <c r="K941" i="14"/>
  <c r="K938" i="14"/>
  <c r="K937" i="14"/>
  <c r="K936" i="14"/>
  <c r="K935" i="14"/>
  <c r="K934" i="14"/>
  <c r="K933" i="14"/>
  <c r="K932" i="14"/>
  <c r="K926" i="14"/>
  <c r="K925" i="14"/>
  <c r="K924" i="14"/>
  <c r="K923" i="14"/>
  <c r="K922" i="14"/>
  <c r="K917" i="14"/>
  <c r="K916" i="14"/>
  <c r="K914" i="14"/>
  <c r="K913" i="14"/>
  <c r="K910" i="14"/>
  <c r="K906" i="14"/>
  <c r="K904" i="14"/>
  <c r="K903" i="14"/>
  <c r="K900" i="14"/>
  <c r="K898" i="14"/>
  <c r="K895" i="14"/>
  <c r="K894" i="14"/>
  <c r="K893" i="14"/>
  <c r="K892" i="14"/>
  <c r="K891" i="14"/>
  <c r="K890" i="14"/>
  <c r="K887" i="14"/>
  <c r="K886" i="14"/>
  <c r="K885" i="14"/>
  <c r="K882" i="14"/>
  <c r="K876" i="14"/>
  <c r="K875" i="14"/>
  <c r="K874" i="14"/>
  <c r="K872" i="14"/>
  <c r="K867" i="14"/>
  <c r="K866" i="14"/>
  <c r="K865" i="14"/>
  <c r="K864" i="14"/>
  <c r="K863" i="14"/>
  <c r="K862" i="14"/>
  <c r="K861" i="14"/>
  <c r="K860" i="14"/>
  <c r="K859" i="14"/>
  <c r="K858" i="14"/>
  <c r="K857" i="14"/>
  <c r="K855" i="14"/>
  <c r="K854" i="14"/>
  <c r="K852" i="14"/>
  <c r="K851" i="14"/>
  <c r="K847" i="14"/>
  <c r="K846" i="14"/>
  <c r="K845" i="14"/>
  <c r="K844" i="14"/>
  <c r="K843" i="14"/>
  <c r="K842" i="14"/>
  <c r="K841" i="14"/>
  <c r="K836" i="14"/>
  <c r="K835" i="14"/>
  <c r="K834" i="14"/>
  <c r="K833" i="14"/>
  <c r="K832" i="14"/>
  <c r="K830" i="14"/>
  <c r="K829" i="14"/>
  <c r="K826" i="14"/>
  <c r="K825" i="14"/>
  <c r="K821" i="14"/>
  <c r="K820" i="14"/>
  <c r="K819" i="14"/>
  <c r="K818" i="14"/>
  <c r="K817" i="14"/>
  <c r="K816" i="14"/>
  <c r="K815" i="14"/>
  <c r="K814" i="14"/>
  <c r="K812" i="14"/>
  <c r="K811" i="14"/>
  <c r="K809" i="14"/>
  <c r="K808" i="14"/>
  <c r="K807" i="14"/>
  <c r="K806" i="14"/>
  <c r="K805" i="14"/>
  <c r="K804" i="14"/>
  <c r="K803" i="14"/>
  <c r="K802" i="14"/>
  <c r="K798" i="14"/>
  <c r="K794" i="14"/>
  <c r="K793" i="14"/>
  <c r="K792" i="14"/>
  <c r="K791" i="14"/>
  <c r="K790" i="14"/>
  <c r="K789" i="14"/>
  <c r="K788" i="14"/>
  <c r="K783" i="14"/>
  <c r="K782" i="14"/>
  <c r="K780" i="14"/>
  <c r="K779" i="14"/>
  <c r="K778" i="14"/>
  <c r="K775" i="14"/>
  <c r="K771" i="14"/>
  <c r="K769" i="14"/>
  <c r="K768" i="14"/>
  <c r="K762" i="14"/>
  <c r="K761" i="14"/>
  <c r="K760" i="14"/>
  <c r="K759" i="14"/>
  <c r="K758" i="14"/>
  <c r="K755" i="14"/>
  <c r="K751" i="14"/>
  <c r="K750" i="14"/>
  <c r="K749" i="14"/>
  <c r="K748" i="14"/>
  <c r="K747" i="14"/>
  <c r="K745" i="14"/>
  <c r="K740" i="14"/>
  <c r="K734" i="14"/>
  <c r="K733" i="14"/>
  <c r="K731" i="14"/>
  <c r="K730" i="14"/>
  <c r="K729" i="14"/>
  <c r="K727" i="14"/>
  <c r="K726" i="14"/>
  <c r="K721" i="14"/>
  <c r="K720" i="14"/>
  <c r="K718" i="14"/>
  <c r="K717" i="14"/>
  <c r="K715" i="14"/>
  <c r="K714" i="14"/>
  <c r="K709" i="14"/>
  <c r="K708" i="14"/>
  <c r="K707" i="14"/>
  <c r="K706" i="14"/>
  <c r="K705" i="14"/>
  <c r="K704" i="14"/>
  <c r="K703" i="14"/>
  <c r="K702" i="14"/>
  <c r="K697" i="14"/>
  <c r="K696" i="14"/>
  <c r="K694" i="14"/>
  <c r="K693" i="14"/>
  <c r="K692" i="14"/>
  <c r="K690" i="14"/>
  <c r="K689" i="14"/>
  <c r="K684" i="14"/>
  <c r="K683" i="14"/>
  <c r="K682" i="14"/>
  <c r="K681" i="14"/>
  <c r="K680" i="14"/>
  <c r="K678" i="14"/>
  <c r="K676" i="14"/>
  <c r="K673" i="14"/>
  <c r="K668" i="14"/>
  <c r="K667" i="14"/>
  <c r="K666" i="14"/>
  <c r="K665" i="14"/>
  <c r="K664" i="14"/>
  <c r="K663" i="14"/>
  <c r="K661" i="14"/>
  <c r="K656" i="14"/>
  <c r="K655" i="14"/>
  <c r="K654" i="14"/>
  <c r="K653" i="14"/>
  <c r="K652" i="14"/>
  <c r="K650" i="14"/>
  <c r="K649" i="14"/>
  <c r="K648" i="14"/>
  <c r="K647" i="14"/>
  <c r="K646" i="14"/>
  <c r="K645" i="14"/>
  <c r="K640" i="14"/>
  <c r="K639" i="14"/>
  <c r="K637" i="14"/>
  <c r="K636" i="14"/>
  <c r="K635" i="14"/>
  <c r="K633" i="14"/>
  <c r="K632" i="14"/>
  <c r="K627" i="14"/>
  <c r="K626" i="14"/>
  <c r="K625" i="14"/>
  <c r="K624" i="14"/>
  <c r="K623" i="14"/>
  <c r="K622" i="14"/>
  <c r="K621" i="14"/>
  <c r="K620" i="14"/>
  <c r="K619" i="14"/>
  <c r="K618" i="14"/>
  <c r="K617" i="14"/>
  <c r="K615" i="14"/>
  <c r="K614" i="14"/>
  <c r="K609" i="14"/>
  <c r="K608" i="14"/>
  <c r="K607" i="14"/>
  <c r="K606" i="14"/>
  <c r="K605" i="14"/>
  <c r="K604" i="14"/>
  <c r="K603" i="14"/>
  <c r="K601" i="14"/>
  <c r="K599" i="14"/>
  <c r="K594" i="14"/>
  <c r="K593" i="14"/>
  <c r="K591" i="14"/>
  <c r="K589" i="14"/>
  <c r="K588" i="14"/>
  <c r="K587" i="14"/>
  <c r="K582" i="14"/>
  <c r="K581" i="14"/>
  <c r="K580" i="14"/>
  <c r="K579" i="14"/>
  <c r="K578" i="14"/>
  <c r="K577" i="14"/>
  <c r="K576" i="14"/>
  <c r="K575" i="14"/>
  <c r="K574" i="14"/>
  <c r="K572" i="14"/>
  <c r="K567" i="14"/>
  <c r="K566" i="14"/>
  <c r="K565" i="14"/>
  <c r="K564" i="14"/>
  <c r="K563" i="14"/>
  <c r="K562" i="14"/>
  <c r="K561" i="14"/>
  <c r="K560" i="14"/>
  <c r="K559" i="14"/>
  <c r="K557" i="14"/>
  <c r="K556" i="14"/>
  <c r="K551" i="14"/>
  <c r="K550" i="14"/>
  <c r="K548" i="14"/>
  <c r="K546" i="14"/>
  <c r="K544" i="14"/>
  <c r="K539" i="14"/>
  <c r="K538" i="14"/>
  <c r="K537" i="14"/>
  <c r="K536" i="14"/>
  <c r="K535" i="14"/>
  <c r="K533" i="14"/>
  <c r="K532" i="14"/>
  <c r="K531" i="14"/>
  <c r="K529" i="14"/>
  <c r="K521" i="14"/>
  <c r="K520" i="14"/>
  <c r="K518" i="14"/>
  <c r="K516" i="14"/>
  <c r="K514" i="14"/>
  <c r="J513" i="14"/>
  <c r="R513" i="14" s="1"/>
  <c r="J523" i="14"/>
  <c r="R523" i="14" s="1"/>
  <c r="J528" i="14"/>
  <c r="R528" i="14" s="1"/>
  <c r="J543" i="14"/>
  <c r="J555" i="14"/>
  <c r="J571" i="14"/>
  <c r="J568" i="14" s="1"/>
  <c r="J586" i="14"/>
  <c r="J583" i="14" s="1"/>
  <c r="R583" i="14" s="1"/>
  <c r="J598" i="14"/>
  <c r="J595" i="14" s="1"/>
  <c r="J613" i="14"/>
  <c r="J631" i="14"/>
  <c r="J628" i="14" s="1"/>
  <c r="R628" i="14" s="1"/>
  <c r="J644" i="14"/>
  <c r="R644" i="14" s="1"/>
  <c r="J660" i="14"/>
  <c r="J657" i="14" s="1"/>
  <c r="R657" i="14" s="1"/>
  <c r="J672" i="14"/>
  <c r="J669" i="14" s="1"/>
  <c r="J688" i="14"/>
  <c r="J685" i="14" s="1"/>
  <c r="R685" i="14" s="1"/>
  <c r="J701" i="14"/>
  <c r="J713" i="14"/>
  <c r="J725" i="14"/>
  <c r="J736" i="14"/>
  <c r="R736" i="14" s="1"/>
  <c r="J744" i="14"/>
  <c r="R744" i="14" s="1"/>
  <c r="J754" i="14"/>
  <c r="R754" i="14" s="1"/>
  <c r="J766" i="14"/>
  <c r="R766" i="14" s="1"/>
  <c r="J774" i="14"/>
  <c r="R774" i="14" s="1"/>
  <c r="J787" i="14"/>
  <c r="R787" i="14" s="1"/>
  <c r="J797" i="14"/>
  <c r="R797" i="14" s="1"/>
  <c r="J813" i="14"/>
  <c r="R813" i="14" s="1"/>
  <c r="J824" i="14"/>
  <c r="R824" i="14" s="1"/>
  <c r="J840" i="14"/>
  <c r="R840" i="14" s="1"/>
  <c r="J850" i="14"/>
  <c r="R850" i="14" s="1"/>
  <c r="J871" i="14"/>
  <c r="R871" i="14" s="1"/>
  <c r="J881" i="14"/>
  <c r="R881" i="14" s="1"/>
  <c r="J899" i="14"/>
  <c r="R899" i="14" s="1"/>
  <c r="J909" i="14"/>
  <c r="R909" i="14" s="1"/>
  <c r="J921" i="14"/>
  <c r="J929" i="14"/>
  <c r="R929" i="14" s="1"/>
  <c r="J940" i="14"/>
  <c r="R940" i="14" s="1"/>
  <c r="J953" i="14"/>
  <c r="R953" i="14" s="1"/>
  <c r="J965" i="14"/>
  <c r="J962" i="14" s="1"/>
  <c r="R962" i="14" s="1"/>
  <c r="J974" i="14"/>
  <c r="J982" i="14"/>
  <c r="R982" i="14" s="1"/>
  <c r="J991" i="14"/>
  <c r="J1000" i="14"/>
  <c r="R1000" i="14" s="1"/>
  <c r="J1009" i="14"/>
  <c r="R1009" i="14" s="1"/>
  <c r="J1018" i="14"/>
  <c r="J1015" i="14" s="1"/>
  <c r="R1015" i="14" s="1"/>
  <c r="J1027" i="14"/>
  <c r="J1024" i="14" s="1"/>
  <c r="R1024" i="14" s="1"/>
  <c r="J1036" i="14"/>
  <c r="J1033" i="14" s="1"/>
  <c r="J1050" i="14"/>
  <c r="R1050" i="14" s="1"/>
  <c r="J1052" i="14"/>
  <c r="R1052" i="14" s="1"/>
  <c r="J1071" i="14"/>
  <c r="J1068" i="14" s="1"/>
  <c r="J1084" i="14"/>
  <c r="J1081" i="14" s="1"/>
  <c r="R1081" i="14" s="1"/>
  <c r="J1093" i="14"/>
  <c r="J1090" i="14" s="1"/>
  <c r="R1090" i="14" s="1"/>
  <c r="J1102" i="14"/>
  <c r="J1099" i="14" s="1"/>
  <c r="R1099" i="14" s="1"/>
  <c r="J1111" i="14"/>
  <c r="J1120" i="14"/>
  <c r="J1117" i="14" s="1"/>
  <c r="R1117" i="14" s="1"/>
  <c r="J1129" i="14"/>
  <c r="J1126" i="14" s="1"/>
  <c r="R1126" i="14" s="1"/>
  <c r="J1138" i="14"/>
  <c r="J1147" i="14"/>
  <c r="J1144" i="14" s="1"/>
  <c r="R1144" i="14" s="1"/>
  <c r="J1156" i="14"/>
  <c r="J1153" i="14" s="1"/>
  <c r="R1153" i="14" s="1"/>
  <c r="J1165" i="14"/>
  <c r="J1162" i="14" s="1"/>
  <c r="R1162" i="14" s="1"/>
  <c r="J1174" i="14"/>
  <c r="J1183" i="14"/>
  <c r="J1192" i="14"/>
  <c r="J1189" i="14" s="1"/>
  <c r="R1189" i="14" s="1"/>
  <c r="J1201" i="14"/>
  <c r="J1198" i="14" s="1"/>
  <c r="R1198" i="14" s="1"/>
  <c r="J1210" i="14"/>
  <c r="J1222" i="14"/>
  <c r="R1222" i="14" s="1"/>
  <c r="J1230" i="14"/>
  <c r="R1230" i="14" s="1"/>
  <c r="J1239" i="14"/>
  <c r="R1239" i="14" s="1"/>
  <c r="J1246" i="14"/>
  <c r="R1246" i="14" s="1"/>
  <c r="J1262" i="14"/>
  <c r="R1262" i="14" s="1"/>
  <c r="J1270" i="14"/>
  <c r="R1270" i="14" s="1"/>
  <c r="J1281" i="14"/>
  <c r="R1281" i="14" s="1"/>
  <c r="J1285" i="14"/>
  <c r="R1285" i="14" s="1"/>
  <c r="J1293" i="14"/>
  <c r="R1293" i="14" s="1"/>
  <c r="J1307" i="14"/>
  <c r="R1307" i="14" s="1"/>
  <c r="J1315" i="14"/>
  <c r="J1325" i="14"/>
  <c r="R1325" i="14" s="1"/>
  <c r="J1333" i="14"/>
  <c r="R1333" i="14" s="1"/>
  <c r="J1341" i="14"/>
  <c r="R1341" i="14" s="1"/>
  <c r="J1345" i="14"/>
  <c r="R1345" i="14" s="1"/>
  <c r="J1353" i="14"/>
  <c r="J1361" i="14"/>
  <c r="R1361" i="14" s="1"/>
  <c r="J1366" i="14"/>
  <c r="R1366" i="14" s="1"/>
  <c r="J1371" i="14"/>
  <c r="J1368" i="14" s="1"/>
  <c r="R1368" i="14" s="1"/>
  <c r="J1376" i="14"/>
  <c r="J1375" i="14" s="1"/>
  <c r="R1375" i="14" s="1"/>
  <c r="R380" i="14"/>
  <c r="R382" i="14"/>
  <c r="R383" i="14"/>
  <c r="R384" i="14"/>
  <c r="R387" i="14"/>
  <c r="R388" i="14"/>
  <c r="R390" i="14"/>
  <c r="R391" i="14"/>
  <c r="R392" i="14"/>
  <c r="R393" i="14"/>
  <c r="R394" i="14"/>
  <c r="R398" i="14"/>
  <c r="R401" i="14"/>
  <c r="R403" i="14"/>
  <c r="R405" i="14"/>
  <c r="R406" i="14"/>
  <c r="R408" i="14"/>
  <c r="R409" i="14"/>
  <c r="R410" i="14"/>
  <c r="R411" i="14"/>
  <c r="R412" i="14"/>
  <c r="R413" i="14"/>
  <c r="R414" i="14"/>
  <c r="R417" i="14"/>
  <c r="R418" i="14"/>
  <c r="R419" i="14"/>
  <c r="R420" i="14"/>
  <c r="R424" i="14"/>
  <c r="R425" i="14"/>
  <c r="R426" i="14"/>
  <c r="R427" i="14"/>
  <c r="R428" i="14"/>
  <c r="R429" i="14"/>
  <c r="R430" i="14"/>
  <c r="R431" i="14"/>
  <c r="R432" i="14"/>
  <c r="R433" i="14"/>
  <c r="R434" i="14"/>
  <c r="R435" i="14"/>
  <c r="R436" i="14"/>
  <c r="R437" i="14"/>
  <c r="R438" i="14"/>
  <c r="R439" i="14"/>
  <c r="R440" i="14"/>
  <c r="R441" i="14"/>
  <c r="R442" i="14"/>
  <c r="R443" i="14"/>
  <c r="R444" i="14"/>
  <c r="R445" i="14"/>
  <c r="R446" i="14"/>
  <c r="R447" i="14"/>
  <c r="R448" i="14"/>
  <c r="R449" i="14"/>
  <c r="R450" i="14"/>
  <c r="R451" i="14"/>
  <c r="R452" i="14"/>
  <c r="R453" i="14"/>
  <c r="R454" i="14"/>
  <c r="R455" i="14"/>
  <c r="R456" i="14"/>
  <c r="R457" i="14"/>
  <c r="R459" i="14"/>
  <c r="R460" i="14"/>
  <c r="R461" i="14"/>
  <c r="R462" i="14"/>
  <c r="R463" i="14"/>
  <c r="R464" i="14"/>
  <c r="R465" i="14"/>
  <c r="R466" i="14"/>
  <c r="R467" i="14"/>
  <c r="R468" i="14"/>
  <c r="R469" i="14"/>
  <c r="R470" i="14"/>
  <c r="R471" i="14"/>
  <c r="R472" i="14"/>
  <c r="R473" i="14"/>
  <c r="R474" i="14"/>
  <c r="R475" i="14"/>
  <c r="R476" i="14"/>
  <c r="R477" i="14"/>
  <c r="R478" i="14"/>
  <c r="R479" i="14"/>
  <c r="R480" i="14"/>
  <c r="R481" i="14"/>
  <c r="R482" i="14"/>
  <c r="R483" i="14"/>
  <c r="R484" i="14"/>
  <c r="R485" i="14"/>
  <c r="R486" i="14"/>
  <c r="R487" i="14"/>
  <c r="R488" i="14"/>
  <c r="R489" i="14"/>
  <c r="R490" i="14"/>
  <c r="R491" i="14"/>
  <c r="R492" i="14"/>
  <c r="R493" i="14"/>
  <c r="R494" i="14"/>
  <c r="R495" i="14"/>
  <c r="R496" i="14"/>
  <c r="R497" i="14"/>
  <c r="R498" i="14"/>
  <c r="O498" i="14"/>
  <c r="S498" i="14" s="1"/>
  <c r="O497" i="14"/>
  <c r="S497" i="14" s="1"/>
  <c r="O494" i="14"/>
  <c r="S494" i="14" s="1"/>
  <c r="O492" i="14"/>
  <c r="S492" i="14" s="1"/>
  <c r="O491" i="14"/>
  <c r="S491" i="14" s="1"/>
  <c r="O489" i="14"/>
  <c r="S489" i="14" s="1"/>
  <c r="O487" i="14"/>
  <c r="S487" i="14" s="1"/>
  <c r="O486" i="14"/>
  <c r="S486" i="14" s="1"/>
  <c r="O485" i="14"/>
  <c r="S485" i="14" s="1"/>
  <c r="O482" i="14"/>
  <c r="S482" i="14" s="1"/>
  <c r="O481" i="14"/>
  <c r="S481" i="14" s="1"/>
  <c r="O480" i="14"/>
  <c r="S480" i="14" s="1"/>
  <c r="O479" i="14"/>
  <c r="S479" i="14" s="1"/>
  <c r="O478" i="14"/>
  <c r="S478" i="14" s="1"/>
  <c r="O477" i="14"/>
  <c r="S477" i="14" s="1"/>
  <c r="O476" i="14"/>
  <c r="S476" i="14" s="1"/>
  <c r="O475" i="14"/>
  <c r="S475" i="14" s="1"/>
  <c r="O474" i="14"/>
  <c r="S474" i="14" s="1"/>
  <c r="O472" i="14"/>
  <c r="S472" i="14" s="1"/>
  <c r="O470" i="14"/>
  <c r="S470" i="14" s="1"/>
  <c r="O469" i="14"/>
  <c r="S469" i="14" s="1"/>
  <c r="O468" i="14"/>
  <c r="S468" i="14" s="1"/>
  <c r="O467" i="14"/>
  <c r="S467" i="14" s="1"/>
  <c r="O465" i="14"/>
  <c r="S465" i="14" s="1"/>
  <c r="O464" i="14"/>
  <c r="S464" i="14" s="1"/>
  <c r="O457" i="14"/>
  <c r="S457" i="14" s="1"/>
  <c r="O456" i="14"/>
  <c r="S456" i="14" s="1"/>
  <c r="O455" i="14"/>
  <c r="S455" i="14" s="1"/>
  <c r="O454" i="14"/>
  <c r="S454" i="14" s="1"/>
  <c r="O453" i="14"/>
  <c r="S453" i="14" s="1"/>
  <c r="O451" i="14"/>
  <c r="S451" i="14" s="1"/>
  <c r="O450" i="14"/>
  <c r="S450" i="14" s="1"/>
  <c r="O449" i="14"/>
  <c r="S449" i="14" s="1"/>
  <c r="O448" i="14"/>
  <c r="S448" i="14" s="1"/>
  <c r="O447" i="14"/>
  <c r="S447" i="14" s="1"/>
  <c r="O445" i="14"/>
  <c r="S445" i="14" s="1"/>
  <c r="O444" i="14"/>
  <c r="S444" i="14" s="1"/>
  <c r="O443" i="14"/>
  <c r="S443" i="14" s="1"/>
  <c r="O442" i="14"/>
  <c r="S442" i="14" s="1"/>
  <c r="O441" i="14"/>
  <c r="S441" i="14" s="1"/>
  <c r="O440" i="14"/>
  <c r="S440" i="14" s="1"/>
  <c r="O438" i="14"/>
  <c r="S438" i="14" s="1"/>
  <c r="O437" i="14"/>
  <c r="S437" i="14" s="1"/>
  <c r="O435" i="14"/>
  <c r="S435" i="14" s="1"/>
  <c r="O433" i="14"/>
  <c r="S433" i="14" s="1"/>
  <c r="O432" i="14"/>
  <c r="S432" i="14" s="1"/>
  <c r="O430" i="14"/>
  <c r="S430" i="14" s="1"/>
  <c r="O429" i="14"/>
  <c r="S429" i="14" s="1"/>
  <c r="O428" i="14"/>
  <c r="S428" i="14" s="1"/>
  <c r="O426" i="14"/>
  <c r="S426" i="14" s="1"/>
  <c r="O425" i="14"/>
  <c r="S425" i="14" s="1"/>
  <c r="O424" i="14"/>
  <c r="S424" i="14" s="1"/>
  <c r="O420" i="14"/>
  <c r="O419" i="14"/>
  <c r="O418" i="14"/>
  <c r="O417" i="14"/>
  <c r="O416" i="14"/>
  <c r="O415" i="14"/>
  <c r="O414" i="14"/>
  <c r="O413" i="14"/>
  <c r="O412" i="14"/>
  <c r="O411" i="14"/>
  <c r="O410" i="14"/>
  <c r="O409" i="14"/>
  <c r="O408" i="14"/>
  <c r="O407" i="14"/>
  <c r="O406" i="14"/>
  <c r="O405" i="14"/>
  <c r="O404" i="14"/>
  <c r="O401" i="14"/>
  <c r="S401" i="14" s="1"/>
  <c r="O398" i="14"/>
  <c r="O397" i="14"/>
  <c r="O394" i="14"/>
  <c r="O393" i="14"/>
  <c r="O392" i="14"/>
  <c r="O388" i="14"/>
  <c r="O387" i="14"/>
  <c r="O384" i="14"/>
  <c r="O383" i="14"/>
  <c r="O382" i="14"/>
  <c r="O381" i="14"/>
  <c r="O380" i="14"/>
  <c r="O379" i="14"/>
  <c r="N386" i="14"/>
  <c r="R386" i="14" s="1"/>
  <c r="N400" i="14"/>
  <c r="N402" i="14"/>
  <c r="R402" i="14" s="1"/>
  <c r="K421" i="14"/>
  <c r="K420" i="14"/>
  <c r="K419" i="14"/>
  <c r="K418" i="14"/>
  <c r="K414" i="14"/>
  <c r="K412" i="14"/>
  <c r="K410" i="14"/>
  <c r="K408" i="14"/>
  <c r="K406" i="14"/>
  <c r="K405" i="14"/>
  <c r="K403" i="14"/>
  <c r="K402" i="14"/>
  <c r="K401" i="14"/>
  <c r="K400" i="14"/>
  <c r="K399" i="14"/>
  <c r="K394" i="14"/>
  <c r="K393" i="14"/>
  <c r="K392" i="14"/>
  <c r="K391" i="14"/>
  <c r="K390" i="14"/>
  <c r="K389" i="14"/>
  <c r="K388" i="14"/>
  <c r="K387" i="14"/>
  <c r="K386" i="14"/>
  <c r="K385" i="14"/>
  <c r="K380" i="14"/>
  <c r="J379" i="14"/>
  <c r="R379" i="14" s="1"/>
  <c r="J381" i="14"/>
  <c r="J378" i="14" s="1"/>
  <c r="J397" i="14"/>
  <c r="R397" i="14" s="1"/>
  <c r="J407" i="14"/>
  <c r="J404" i="14" s="1"/>
  <c r="R404" i="14" s="1"/>
  <c r="J416" i="14"/>
  <c r="J415" i="14" s="1"/>
  <c r="R415" i="14" s="1"/>
  <c r="R305" i="14"/>
  <c r="R306" i="14"/>
  <c r="R308" i="14"/>
  <c r="R309" i="14"/>
  <c r="R310" i="14"/>
  <c r="R311" i="14"/>
  <c r="R312" i="14"/>
  <c r="R313" i="14"/>
  <c r="R314" i="14"/>
  <c r="R315" i="14"/>
  <c r="R318" i="14"/>
  <c r="R320" i="14"/>
  <c r="R322" i="14"/>
  <c r="R326" i="14"/>
  <c r="R328" i="14"/>
  <c r="R330" i="14"/>
  <c r="R331" i="14"/>
  <c r="R332" i="14"/>
  <c r="R334" i="14"/>
  <c r="R335" i="14"/>
  <c r="R337" i="14"/>
  <c r="R338" i="14"/>
  <c r="R339" i="14"/>
  <c r="R340" i="14"/>
  <c r="R341" i="14"/>
  <c r="R342" i="14"/>
  <c r="R345" i="14"/>
  <c r="R348" i="14"/>
  <c r="R349" i="14"/>
  <c r="R352" i="14"/>
  <c r="R354" i="14"/>
  <c r="R356" i="14"/>
  <c r="R357" i="14"/>
  <c r="R358" i="14"/>
  <c r="R360" i="14"/>
  <c r="R362" i="14"/>
  <c r="R363" i="14"/>
  <c r="R364" i="14"/>
  <c r="R366" i="14"/>
  <c r="R367" i="14"/>
  <c r="O367" i="14"/>
  <c r="O366" i="14"/>
  <c r="O365" i="14"/>
  <c r="O364" i="14"/>
  <c r="O363" i="14"/>
  <c r="O362" i="14"/>
  <c r="O361" i="14"/>
  <c r="O360" i="14"/>
  <c r="O359" i="14"/>
  <c r="O358" i="14"/>
  <c r="O357" i="14"/>
  <c r="O356" i="14"/>
  <c r="O355" i="14"/>
  <c r="O354" i="14"/>
  <c r="O353" i="14"/>
  <c r="O352" i="14"/>
  <c r="O349" i="14"/>
  <c r="O348" i="14"/>
  <c r="O347" i="14"/>
  <c r="O345" i="14"/>
  <c r="O342" i="14"/>
  <c r="O341" i="14"/>
  <c r="O340" i="14"/>
  <c r="O339" i="14"/>
  <c r="O338" i="14"/>
  <c r="O337" i="14"/>
  <c r="O336" i="14"/>
  <c r="O335" i="14"/>
  <c r="O334" i="14"/>
  <c r="O331" i="14"/>
  <c r="O326" i="14"/>
  <c r="O322" i="14"/>
  <c r="O320" i="14"/>
  <c r="O318" i="14"/>
  <c r="O315" i="14"/>
  <c r="O314" i="14"/>
  <c r="O313" i="14"/>
  <c r="O312" i="14"/>
  <c r="O311" i="14"/>
  <c r="O310" i="14"/>
  <c r="O309" i="14"/>
  <c r="O308" i="14"/>
  <c r="O307" i="14"/>
  <c r="O306" i="14"/>
  <c r="O305" i="14"/>
  <c r="N317" i="14"/>
  <c r="R317" i="14" s="1"/>
  <c r="N319" i="14"/>
  <c r="R319" i="14" s="1"/>
  <c r="N321" i="14"/>
  <c r="R321" i="14" s="1"/>
  <c r="N325" i="14"/>
  <c r="R325" i="14" s="1"/>
  <c r="N327" i="14"/>
  <c r="R327" i="14" s="1"/>
  <c r="N329" i="14"/>
  <c r="R329" i="14" s="1"/>
  <c r="N344" i="14"/>
  <c r="N343" i="14" s="1"/>
  <c r="N351" i="14"/>
  <c r="N350" i="14" s="1"/>
  <c r="N346" i="14" s="1"/>
  <c r="K367" i="14"/>
  <c r="K366" i="14"/>
  <c r="K360" i="14"/>
  <c r="K354" i="14"/>
  <c r="K352" i="14"/>
  <c r="K351" i="14"/>
  <c r="K350" i="14"/>
  <c r="K349" i="14"/>
  <c r="K348" i="14"/>
  <c r="K345" i="14"/>
  <c r="K344" i="14"/>
  <c r="K343" i="14"/>
  <c r="K342" i="14"/>
  <c r="K339" i="14"/>
  <c r="K335" i="14"/>
  <c r="K334" i="14"/>
  <c r="K332" i="14"/>
  <c r="K331" i="14"/>
  <c r="K330" i="14"/>
  <c r="K329" i="14"/>
  <c r="K328" i="14"/>
  <c r="K327" i="14"/>
  <c r="K326" i="14"/>
  <c r="K325" i="14"/>
  <c r="K324" i="14"/>
  <c r="K322" i="14"/>
  <c r="K321" i="14"/>
  <c r="K320" i="14"/>
  <c r="K319" i="14"/>
  <c r="K318" i="14"/>
  <c r="K317" i="14"/>
  <c r="K316" i="14"/>
  <c r="K315" i="14"/>
  <c r="K314" i="14"/>
  <c r="K313" i="14"/>
  <c r="K312" i="14"/>
  <c r="K311" i="14"/>
  <c r="K309" i="14"/>
  <c r="K308" i="14"/>
  <c r="K306" i="14"/>
  <c r="K305" i="14"/>
  <c r="J307" i="14"/>
  <c r="J304" i="14" s="1"/>
  <c r="J336" i="14"/>
  <c r="J333" i="14" s="1"/>
  <c r="J323" i="14" s="1"/>
  <c r="J347" i="14"/>
  <c r="J346" i="14" s="1"/>
  <c r="J355" i="14"/>
  <c r="J353" i="14" s="1"/>
  <c r="R353" i="14" s="1"/>
  <c r="J361" i="14"/>
  <c r="J365" i="14"/>
  <c r="R365" i="14" s="1"/>
  <c r="R213" i="14"/>
  <c r="R214" i="14"/>
  <c r="R216" i="14"/>
  <c r="R217" i="14"/>
  <c r="R218" i="14"/>
  <c r="R220" i="14"/>
  <c r="R221" i="14"/>
  <c r="R223" i="14"/>
  <c r="R224" i="14"/>
  <c r="R225" i="14"/>
  <c r="R226" i="14"/>
  <c r="R227" i="14"/>
  <c r="R228" i="14"/>
  <c r="R230" i="14"/>
  <c r="R231" i="14"/>
  <c r="R233" i="14"/>
  <c r="R234" i="14"/>
  <c r="R235" i="14"/>
  <c r="R236" i="14"/>
  <c r="R237" i="14"/>
  <c r="R241" i="14"/>
  <c r="R243" i="14"/>
  <c r="R244" i="14"/>
  <c r="R246" i="14"/>
  <c r="R247" i="14"/>
  <c r="R248" i="14"/>
  <c r="R249" i="14"/>
  <c r="R250" i="14"/>
  <c r="R254" i="14"/>
  <c r="R256" i="14"/>
  <c r="R258" i="14"/>
  <c r="R259" i="14"/>
  <c r="R261" i="14"/>
  <c r="R262" i="14"/>
  <c r="R263" i="14"/>
  <c r="R264" i="14"/>
  <c r="R265" i="14"/>
  <c r="R266" i="14"/>
  <c r="R269" i="14"/>
  <c r="R272" i="14"/>
  <c r="R273" i="14"/>
  <c r="R274" i="14"/>
  <c r="R277" i="14"/>
  <c r="R279" i="14"/>
  <c r="R280" i="14"/>
  <c r="R281" i="14"/>
  <c r="R282" i="14"/>
  <c r="R283" i="14"/>
  <c r="R284" i="14"/>
  <c r="R285" i="14"/>
  <c r="R286" i="14"/>
  <c r="R290" i="14"/>
  <c r="R291" i="14"/>
  <c r="R292" i="14"/>
  <c r="R293" i="14"/>
  <c r="O293" i="14"/>
  <c r="O292" i="14"/>
  <c r="O291" i="14"/>
  <c r="O290" i="14"/>
  <c r="O289" i="14"/>
  <c r="O288" i="14"/>
  <c r="O287" i="14"/>
  <c r="O286" i="14"/>
  <c r="O284" i="14"/>
  <c r="O283" i="14"/>
  <c r="O282" i="14"/>
  <c r="O281" i="14"/>
  <c r="O279" i="14"/>
  <c r="O277" i="14"/>
  <c r="O274" i="14"/>
  <c r="O273" i="14"/>
  <c r="O272" i="14"/>
  <c r="O271" i="14"/>
  <c r="O269" i="14"/>
  <c r="O266" i="14"/>
  <c r="O265" i="14"/>
  <c r="O264" i="14"/>
  <c r="O263" i="14"/>
  <c r="O262" i="14"/>
  <c r="O261" i="14"/>
  <c r="O260" i="14"/>
  <c r="O259" i="14"/>
  <c r="O258" i="14"/>
  <c r="O256" i="14"/>
  <c r="O250" i="14"/>
  <c r="O249" i="14"/>
  <c r="O248" i="14"/>
  <c r="O247" i="14"/>
  <c r="O246" i="14"/>
  <c r="O245" i="14"/>
  <c r="O244" i="14"/>
  <c r="O243" i="14"/>
  <c r="O242" i="14"/>
  <c r="O241" i="14"/>
  <c r="O237" i="14"/>
  <c r="O236" i="14"/>
  <c r="O235" i="14"/>
  <c r="O234" i="14"/>
  <c r="O233" i="14"/>
  <c r="O232" i="14"/>
  <c r="O231" i="14"/>
  <c r="O230" i="14"/>
  <c r="O229" i="14"/>
  <c r="O228" i="14"/>
  <c r="O227" i="14"/>
  <c r="O226" i="14"/>
  <c r="O225" i="14"/>
  <c r="O224" i="14"/>
  <c r="O223" i="14"/>
  <c r="O222" i="14"/>
  <c r="O221" i="14"/>
  <c r="O220" i="14"/>
  <c r="O219" i="14"/>
  <c r="O218" i="14"/>
  <c r="O217" i="14"/>
  <c r="O216" i="14"/>
  <c r="O215" i="14"/>
  <c r="O214" i="14"/>
  <c r="O213" i="14"/>
  <c r="O212" i="14"/>
  <c r="N240" i="14"/>
  <c r="N239" i="14" s="1"/>
  <c r="N238" i="14" s="1"/>
  <c r="N253" i="14"/>
  <c r="R253" i="14" s="1"/>
  <c r="N255" i="14"/>
  <c r="R255" i="14" s="1"/>
  <c r="N268" i="14"/>
  <c r="N267" i="14" s="1"/>
  <c r="N257" i="14" s="1"/>
  <c r="N276" i="14"/>
  <c r="R276" i="14" s="1"/>
  <c r="N278" i="14"/>
  <c r="R278" i="14" s="1"/>
  <c r="K293" i="14"/>
  <c r="K292" i="14"/>
  <c r="K291" i="14"/>
  <c r="K290" i="14"/>
  <c r="K286" i="14"/>
  <c r="K285" i="14"/>
  <c r="K284" i="14"/>
  <c r="K283" i="14"/>
  <c r="K282" i="14"/>
  <c r="K281" i="14"/>
  <c r="K280" i="14"/>
  <c r="K279" i="14"/>
  <c r="K278" i="14"/>
  <c r="K277" i="14"/>
  <c r="K276" i="14"/>
  <c r="K275" i="14"/>
  <c r="K274" i="14"/>
  <c r="K272" i="14"/>
  <c r="K269" i="14"/>
  <c r="K268" i="14"/>
  <c r="K267" i="14"/>
  <c r="K266" i="14"/>
  <c r="K265" i="14"/>
  <c r="K264" i="14"/>
  <c r="K263" i="14"/>
  <c r="K262" i="14"/>
  <c r="K261" i="14"/>
  <c r="K259" i="14"/>
  <c r="K258" i="14"/>
  <c r="K256" i="14"/>
  <c r="K255" i="14"/>
  <c r="K254" i="14"/>
  <c r="K253" i="14"/>
  <c r="K252" i="14"/>
  <c r="K250" i="14"/>
  <c r="K249" i="14"/>
  <c r="K248" i="14"/>
  <c r="K247" i="14"/>
  <c r="K244" i="14"/>
  <c r="K243" i="14"/>
  <c r="K241" i="14"/>
  <c r="K240" i="14"/>
  <c r="K239" i="14"/>
  <c r="K237" i="14"/>
  <c r="K234" i="14"/>
  <c r="K233" i="14"/>
  <c r="K231" i="14"/>
  <c r="K230" i="14"/>
  <c r="K228" i="14"/>
  <c r="K227" i="14"/>
  <c r="K226" i="14"/>
  <c r="K225" i="14"/>
  <c r="K224" i="14"/>
  <c r="K223" i="14"/>
  <c r="K221" i="14"/>
  <c r="K220" i="14"/>
  <c r="K218" i="14"/>
  <c r="K217" i="14"/>
  <c r="K216" i="14"/>
  <c r="K214" i="14"/>
  <c r="K213" i="14"/>
  <c r="J215" i="14"/>
  <c r="J212" i="14" s="1"/>
  <c r="R212" i="14" s="1"/>
  <c r="J222" i="14"/>
  <c r="J219" i="14" s="1"/>
  <c r="R219" i="14" s="1"/>
  <c r="J232" i="14"/>
  <c r="J229" i="14" s="1"/>
  <c r="R229" i="14" s="1"/>
  <c r="J245" i="14"/>
  <c r="J242" i="14" s="1"/>
  <c r="J238" i="14" s="1"/>
  <c r="J260" i="14"/>
  <c r="J257" i="14" s="1"/>
  <c r="J251" i="14" s="1"/>
  <c r="J271" i="14"/>
  <c r="J270" i="14" s="1"/>
  <c r="J289" i="14"/>
  <c r="J288" i="14" s="1"/>
  <c r="J287" i="14" s="1"/>
  <c r="R287" i="14" s="1"/>
  <c r="R120" i="14"/>
  <c r="R124" i="14"/>
  <c r="R127" i="14"/>
  <c r="R128" i="14"/>
  <c r="R131" i="14"/>
  <c r="R134" i="14"/>
  <c r="R135" i="14"/>
  <c r="R138" i="14"/>
  <c r="R139" i="14"/>
  <c r="R142" i="14"/>
  <c r="R143" i="14"/>
  <c r="R146" i="14"/>
  <c r="R147" i="14"/>
  <c r="R148" i="14"/>
  <c r="R149" i="14"/>
  <c r="R152" i="14"/>
  <c r="R154" i="14"/>
  <c r="R155" i="14"/>
  <c r="R156" i="14"/>
  <c r="R158" i="14"/>
  <c r="R159" i="14"/>
  <c r="R160" i="14"/>
  <c r="R161" i="14"/>
  <c r="R162" i="14"/>
  <c r="R164" i="14"/>
  <c r="R165" i="14"/>
  <c r="R167" i="14"/>
  <c r="R168" i="14"/>
  <c r="R169" i="14"/>
  <c r="R170" i="14"/>
  <c r="R172" i="14"/>
  <c r="R173" i="14"/>
  <c r="R174" i="14"/>
  <c r="R177" i="14"/>
  <c r="R180" i="14"/>
  <c r="R182" i="14"/>
  <c r="R185" i="14"/>
  <c r="R188" i="14"/>
  <c r="R189" i="14"/>
  <c r="R192" i="14"/>
  <c r="R194" i="14"/>
  <c r="R197" i="14"/>
  <c r="R198" i="14"/>
  <c r="R201" i="14"/>
  <c r="O201" i="14"/>
  <c r="O198" i="14"/>
  <c r="O197" i="14"/>
  <c r="O196" i="14"/>
  <c r="O194" i="14"/>
  <c r="O192" i="14"/>
  <c r="O189" i="14"/>
  <c r="O188" i="14"/>
  <c r="O187" i="14"/>
  <c r="O186" i="14"/>
  <c r="O185" i="14"/>
  <c r="O184" i="14"/>
  <c r="O182" i="14"/>
  <c r="O181" i="14"/>
  <c r="O180" i="14"/>
  <c r="O179" i="14"/>
  <c r="O178" i="14"/>
  <c r="O177" i="14"/>
  <c r="O174" i="14"/>
  <c r="O173" i="14"/>
  <c r="O172" i="14"/>
  <c r="O171" i="14"/>
  <c r="O170" i="14"/>
  <c r="O169" i="14"/>
  <c r="O168" i="14"/>
  <c r="O167" i="14"/>
  <c r="O166" i="14"/>
  <c r="O165" i="14"/>
  <c r="O164" i="14"/>
  <c r="O161" i="14"/>
  <c r="O160" i="14"/>
  <c r="O159" i="14"/>
  <c r="O155" i="14"/>
  <c r="O154" i="14"/>
  <c r="O149" i="14"/>
  <c r="O148" i="14"/>
  <c r="O147" i="14"/>
  <c r="O146" i="14"/>
  <c r="O145" i="14"/>
  <c r="O143" i="14"/>
  <c r="O142" i="14"/>
  <c r="O141" i="14"/>
  <c r="O140" i="14"/>
  <c r="O135" i="14"/>
  <c r="O134" i="14"/>
  <c r="O133" i="14"/>
  <c r="O131" i="14"/>
  <c r="O128" i="14"/>
  <c r="O127" i="14"/>
  <c r="O126" i="14"/>
  <c r="O124" i="14"/>
  <c r="O123" i="14"/>
  <c r="O122" i="14"/>
  <c r="O120" i="14"/>
  <c r="O119" i="14"/>
  <c r="O118" i="14"/>
  <c r="N130" i="14"/>
  <c r="N129" i="14" s="1"/>
  <c r="N125" i="14" s="1"/>
  <c r="N137" i="14"/>
  <c r="N136" i="14" s="1"/>
  <c r="N132" i="14" s="1"/>
  <c r="N151" i="14"/>
  <c r="R151" i="14" s="1"/>
  <c r="N153" i="14"/>
  <c r="R153" i="14" s="1"/>
  <c r="N157" i="14"/>
  <c r="R157" i="14" s="1"/>
  <c r="N176" i="14"/>
  <c r="N175" i="14" s="1"/>
  <c r="N163" i="14" s="1"/>
  <c r="N191" i="14"/>
  <c r="N193" i="14"/>
  <c r="N200" i="14"/>
  <c r="N199" i="14" s="1"/>
  <c r="N195" i="14" s="1"/>
  <c r="K201" i="14"/>
  <c r="K200" i="14"/>
  <c r="K199" i="14"/>
  <c r="K198" i="14"/>
  <c r="K197" i="14"/>
  <c r="K194" i="14"/>
  <c r="K193" i="14"/>
  <c r="K192" i="14"/>
  <c r="K191" i="14"/>
  <c r="K190" i="14"/>
  <c r="K189" i="14"/>
  <c r="K188" i="14"/>
  <c r="K185" i="14"/>
  <c r="K180" i="14"/>
  <c r="K177" i="14"/>
  <c r="K176" i="14"/>
  <c r="K175" i="14"/>
  <c r="K174" i="14"/>
  <c r="K172" i="14"/>
  <c r="K169" i="14"/>
  <c r="K168" i="14"/>
  <c r="K165" i="14"/>
  <c r="K164" i="14"/>
  <c r="K162" i="14"/>
  <c r="K161" i="14"/>
  <c r="K160" i="14"/>
  <c r="K159" i="14"/>
  <c r="K158" i="14"/>
  <c r="K157" i="14"/>
  <c r="K156" i="14"/>
  <c r="K155" i="14"/>
  <c r="K154" i="14"/>
  <c r="K153" i="14"/>
  <c r="K152" i="14"/>
  <c r="K151" i="14"/>
  <c r="K150" i="14"/>
  <c r="K147" i="14"/>
  <c r="K146" i="14"/>
  <c r="K143" i="14"/>
  <c r="K142" i="14"/>
  <c r="K139" i="14"/>
  <c r="K138" i="14"/>
  <c r="K137" i="14"/>
  <c r="K136" i="14"/>
  <c r="K135" i="14"/>
  <c r="K134" i="14"/>
  <c r="K131" i="14"/>
  <c r="K130" i="14"/>
  <c r="K129" i="14"/>
  <c r="K128" i="14"/>
  <c r="K127" i="14"/>
  <c r="K124" i="14"/>
  <c r="J119" i="14"/>
  <c r="J123" i="14"/>
  <c r="J122" i="14" s="1"/>
  <c r="R122" i="14" s="1"/>
  <c r="J126" i="14"/>
  <c r="J125" i="14" s="1"/>
  <c r="J133" i="14"/>
  <c r="J132" i="14" s="1"/>
  <c r="J141" i="14"/>
  <c r="J140" i="14" s="1"/>
  <c r="R140" i="14" s="1"/>
  <c r="J145" i="14"/>
  <c r="J144" i="14" s="1"/>
  <c r="J166" i="14"/>
  <c r="R166" i="14" s="1"/>
  <c r="J171" i="14"/>
  <c r="R171" i="14" s="1"/>
  <c r="J179" i="14"/>
  <c r="R179" i="14" s="1"/>
  <c r="J181" i="14"/>
  <c r="R181" i="14" s="1"/>
  <c r="J196" i="14"/>
  <c r="J195" i="14" s="1"/>
  <c r="R90" i="14"/>
  <c r="R92" i="14"/>
  <c r="R93" i="14"/>
  <c r="R94" i="14"/>
  <c r="R95" i="14"/>
  <c r="R97" i="14"/>
  <c r="R100" i="14"/>
  <c r="R103" i="14"/>
  <c r="R105" i="14"/>
  <c r="O105" i="14"/>
  <c r="O104" i="14"/>
  <c r="O103" i="14"/>
  <c r="O102" i="14"/>
  <c r="O101" i="14"/>
  <c r="O100" i="14"/>
  <c r="O97" i="14"/>
  <c r="O96" i="14"/>
  <c r="O95" i="14"/>
  <c r="O94" i="14"/>
  <c r="O93" i="14"/>
  <c r="O92" i="14"/>
  <c r="O91" i="14"/>
  <c r="O90" i="14"/>
  <c r="O89" i="14"/>
  <c r="N99" i="14"/>
  <c r="N98" i="14" s="1"/>
  <c r="N88" i="14" s="1"/>
  <c r="N87" i="14" s="1"/>
  <c r="I7" i="15" s="1"/>
  <c r="K103" i="14"/>
  <c r="K100" i="14"/>
  <c r="K99" i="14"/>
  <c r="K98" i="14"/>
  <c r="K95" i="14"/>
  <c r="K94" i="14"/>
  <c r="K90" i="14"/>
  <c r="J89" i="14"/>
  <c r="J91" i="14"/>
  <c r="R91" i="14" s="1"/>
  <c r="J96" i="14"/>
  <c r="R96" i="14" s="1"/>
  <c r="J102" i="14"/>
  <c r="R102" i="14" s="1"/>
  <c r="J104" i="14"/>
  <c r="R104" i="14" s="1"/>
  <c r="R12" i="14"/>
  <c r="R13" i="14"/>
  <c r="R14" i="14"/>
  <c r="R15" i="14"/>
  <c r="R16" i="14"/>
  <c r="R19" i="14"/>
  <c r="R22" i="14"/>
  <c r="R24" i="14"/>
  <c r="R26" i="14"/>
  <c r="R27" i="14"/>
  <c r="R28" i="14"/>
  <c r="R29" i="14"/>
  <c r="R31" i="14"/>
  <c r="R33" i="14"/>
  <c r="R34" i="14"/>
  <c r="R35" i="14"/>
  <c r="R36" i="14"/>
  <c r="R39" i="14"/>
  <c r="R41" i="14"/>
  <c r="R43" i="14"/>
  <c r="R45" i="14"/>
  <c r="R47" i="14"/>
  <c r="R48" i="14"/>
  <c r="R49" i="14"/>
  <c r="R50" i="14"/>
  <c r="R53" i="14"/>
  <c r="R55" i="14"/>
  <c r="R56" i="14"/>
  <c r="R57" i="14"/>
  <c r="R59" i="14"/>
  <c r="R60" i="14"/>
  <c r="R61" i="14"/>
  <c r="R62" i="14"/>
  <c r="R63" i="14"/>
  <c r="R64" i="14"/>
  <c r="R65" i="14"/>
  <c r="R67" i="14"/>
  <c r="R69" i="14"/>
  <c r="R70" i="14"/>
  <c r="R71" i="14"/>
  <c r="R72" i="14"/>
  <c r="R74" i="14"/>
  <c r="R77" i="14"/>
  <c r="R78" i="14"/>
  <c r="O78" i="14"/>
  <c r="O77" i="14"/>
  <c r="O76" i="14"/>
  <c r="O75" i="14"/>
  <c r="O74" i="14"/>
  <c r="O73" i="14"/>
  <c r="O72" i="14"/>
  <c r="O71" i="14"/>
  <c r="O70" i="14"/>
  <c r="O69" i="14"/>
  <c r="O68" i="14"/>
  <c r="O67" i="14"/>
  <c r="O66" i="14"/>
  <c r="O65" i="14"/>
  <c r="O64" i="14"/>
  <c r="O63" i="14"/>
  <c r="O50" i="14"/>
  <c r="O49" i="14"/>
  <c r="O48" i="14"/>
  <c r="O47" i="14"/>
  <c r="O46" i="14"/>
  <c r="O45" i="14"/>
  <c r="O36" i="14"/>
  <c r="O35" i="14"/>
  <c r="O34" i="14"/>
  <c r="O33" i="14"/>
  <c r="O32" i="14"/>
  <c r="O31" i="14"/>
  <c r="O29" i="14"/>
  <c r="O28" i="14"/>
  <c r="O27" i="14"/>
  <c r="O26" i="14"/>
  <c r="O25" i="14"/>
  <c r="O24" i="14"/>
  <c r="O23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N38" i="14"/>
  <c r="R38" i="14" s="1"/>
  <c r="N40" i="14"/>
  <c r="R40" i="14" s="1"/>
  <c r="N42" i="14"/>
  <c r="R42" i="14" s="1"/>
  <c r="N52" i="14"/>
  <c r="R52" i="14" s="1"/>
  <c r="N54" i="14"/>
  <c r="R54" i="14" s="1"/>
  <c r="N58" i="14"/>
  <c r="R58" i="14" s="1"/>
  <c r="K74" i="14"/>
  <c r="K72" i="14"/>
  <c r="K71" i="14"/>
  <c r="K70" i="14"/>
  <c r="K67" i="14"/>
  <c r="K65" i="14"/>
  <c r="K64" i="14"/>
  <c r="K63" i="14"/>
  <c r="K62" i="14"/>
  <c r="K61" i="14"/>
  <c r="K60" i="14"/>
  <c r="K59" i="14"/>
  <c r="K58" i="14"/>
  <c r="K57" i="14"/>
  <c r="K56" i="14"/>
  <c r="K55" i="14"/>
  <c r="K54" i="14"/>
  <c r="K53" i="14"/>
  <c r="K52" i="14"/>
  <c r="K51" i="14"/>
  <c r="K50" i="14"/>
  <c r="K49" i="14"/>
  <c r="K48" i="14"/>
  <c r="K47" i="14"/>
  <c r="K45" i="14"/>
  <c r="K43" i="14"/>
  <c r="K42" i="14"/>
  <c r="K41" i="14"/>
  <c r="K40" i="14"/>
  <c r="K39" i="14"/>
  <c r="K38" i="14"/>
  <c r="K37" i="14"/>
  <c r="K35" i="14"/>
  <c r="K34" i="14"/>
  <c r="K33" i="14"/>
  <c r="K29" i="14"/>
  <c r="K28" i="14"/>
  <c r="K27" i="14"/>
  <c r="K26" i="14"/>
  <c r="K24" i="14"/>
  <c r="K22" i="14"/>
  <c r="K19" i="14"/>
  <c r="K16" i="14"/>
  <c r="K15" i="14"/>
  <c r="K14" i="14"/>
  <c r="K13" i="14"/>
  <c r="K12" i="14"/>
  <c r="J11" i="14"/>
  <c r="J18" i="14"/>
  <c r="J17" i="14" s="1"/>
  <c r="R17" i="14" s="1"/>
  <c r="J21" i="14"/>
  <c r="J20" i="14" s="1"/>
  <c r="R20" i="14" s="1"/>
  <c r="J25" i="14"/>
  <c r="J23" i="14" s="1"/>
  <c r="R23" i="14" s="1"/>
  <c r="J32" i="14"/>
  <c r="J30" i="14" s="1"/>
  <c r="J46" i="14"/>
  <c r="J44" i="14" s="1"/>
  <c r="J68" i="14"/>
  <c r="J73" i="14"/>
  <c r="R73" i="14" s="1"/>
  <c r="J76" i="14"/>
  <c r="J75" i="14" s="1"/>
  <c r="R75" i="14" s="1"/>
  <c r="B1915" i="14"/>
  <c r="B1916" i="14" s="1"/>
  <c r="B1917" i="14" s="1"/>
  <c r="B1918" i="14" s="1"/>
  <c r="B1919" i="14" s="1"/>
  <c r="B1920" i="14" s="1"/>
  <c r="B1921" i="14" s="1"/>
  <c r="B1922" i="14" s="1"/>
  <c r="B1923" i="14" s="1"/>
  <c r="B1924" i="14" s="1"/>
  <c r="B1925" i="14" s="1"/>
  <c r="B1926" i="14" s="1"/>
  <c r="B1927" i="14" s="1"/>
  <c r="B1928" i="14" s="1"/>
  <c r="B1929" i="14" s="1"/>
  <c r="B1930" i="14" s="1"/>
  <c r="B1931" i="14" s="1"/>
  <c r="B1932" i="14" s="1"/>
  <c r="B1933" i="14" s="1"/>
  <c r="I1917" i="14"/>
  <c r="Q1918" i="14"/>
  <c r="Q1919" i="14"/>
  <c r="I1920" i="14"/>
  <c r="Q1920" i="14" s="1"/>
  <c r="Q1921" i="14"/>
  <c r="M1923" i="14"/>
  <c r="M1922" i="14" s="1"/>
  <c r="Q1924" i="14"/>
  <c r="Q1925" i="14"/>
  <c r="P1926" i="14"/>
  <c r="Q1927" i="14"/>
  <c r="Q1928" i="14"/>
  <c r="I1929" i="14"/>
  <c r="Q1929" i="14" s="1"/>
  <c r="Q1930" i="14"/>
  <c r="Q1931" i="14"/>
  <c r="Q1932" i="14"/>
  <c r="Q1933" i="14"/>
  <c r="B1738" i="14"/>
  <c r="B1739" i="14" s="1"/>
  <c r="B1740" i="14" s="1"/>
  <c r="B1741" i="14" s="1"/>
  <c r="B1742" i="14" s="1"/>
  <c r="B1743" i="14" s="1"/>
  <c r="B1744" i="14" s="1"/>
  <c r="B1745" i="14" s="1"/>
  <c r="B1746" i="14" s="1"/>
  <c r="B1747" i="14" s="1"/>
  <c r="B1748" i="14" s="1"/>
  <c r="B1749" i="14" s="1"/>
  <c r="B1750" i="14" s="1"/>
  <c r="B1751" i="14" s="1"/>
  <c r="B1752" i="14" s="1"/>
  <c r="B1753" i="14" s="1"/>
  <c r="B1754" i="14" s="1"/>
  <c r="B1755" i="14" s="1"/>
  <c r="B1756" i="14" s="1"/>
  <c r="B1757" i="14" s="1"/>
  <c r="B1758" i="14" s="1"/>
  <c r="B1759" i="14" s="1"/>
  <c r="B1760" i="14" s="1"/>
  <c r="B1761" i="14" s="1"/>
  <c r="B1762" i="14" s="1"/>
  <c r="B1763" i="14" s="1"/>
  <c r="B1764" i="14" s="1"/>
  <c r="B1765" i="14" s="1"/>
  <c r="B1766" i="14" s="1"/>
  <c r="B1767" i="14" s="1"/>
  <c r="B1768" i="14" s="1"/>
  <c r="B1769" i="14" s="1"/>
  <c r="B1770" i="14" s="1"/>
  <c r="B1771" i="14" s="1"/>
  <c r="B1772" i="14" s="1"/>
  <c r="B1773" i="14" s="1"/>
  <c r="B1774" i="14" s="1"/>
  <c r="B1775" i="14" s="1"/>
  <c r="B1776" i="14" s="1"/>
  <c r="B1777" i="14" s="1"/>
  <c r="B1778" i="14" s="1"/>
  <c r="B1779" i="14" s="1"/>
  <c r="B1780" i="14" s="1"/>
  <c r="B1781" i="14" s="1"/>
  <c r="B1782" i="14" s="1"/>
  <c r="B1783" i="14" s="1"/>
  <c r="B1784" i="14" s="1"/>
  <c r="B1785" i="14" s="1"/>
  <c r="B1786" i="14" s="1"/>
  <c r="B1787" i="14" s="1"/>
  <c r="B1788" i="14" s="1"/>
  <c r="B1789" i="14" s="1"/>
  <c r="B1790" i="14" s="1"/>
  <c r="B1791" i="14" s="1"/>
  <c r="B1792" i="14" s="1"/>
  <c r="B1793" i="14" s="1"/>
  <c r="B1794" i="14" s="1"/>
  <c r="B1795" i="14" s="1"/>
  <c r="B1796" i="14" s="1"/>
  <c r="B1797" i="14" s="1"/>
  <c r="B1798" i="14" s="1"/>
  <c r="B1799" i="14" s="1"/>
  <c r="B1800" i="14" s="1"/>
  <c r="B1801" i="14" s="1"/>
  <c r="B1802" i="14" s="1"/>
  <c r="B1803" i="14" s="1"/>
  <c r="B1804" i="14" s="1"/>
  <c r="B1805" i="14" s="1"/>
  <c r="B1806" i="14" s="1"/>
  <c r="B1807" i="14" s="1"/>
  <c r="B1808" i="14" s="1"/>
  <c r="B1809" i="14" s="1"/>
  <c r="B1810" i="14" s="1"/>
  <c r="B1811" i="14" s="1"/>
  <c r="B1812" i="14" s="1"/>
  <c r="B1813" i="14" s="1"/>
  <c r="B1814" i="14" s="1"/>
  <c r="B1815" i="14" s="1"/>
  <c r="B1816" i="14" s="1"/>
  <c r="B1817" i="14" s="1"/>
  <c r="B1818" i="14" s="1"/>
  <c r="B1819" i="14" s="1"/>
  <c r="B1820" i="14" s="1"/>
  <c r="B1821" i="14" s="1"/>
  <c r="B1822" i="14" s="1"/>
  <c r="B1823" i="14" s="1"/>
  <c r="B1824" i="14" s="1"/>
  <c r="B1825" i="14" s="1"/>
  <c r="B1826" i="14" s="1"/>
  <c r="B1827" i="14" s="1"/>
  <c r="B1828" i="14" s="1"/>
  <c r="B1829" i="14" s="1"/>
  <c r="B1830" i="14" s="1"/>
  <c r="B1831" i="14" s="1"/>
  <c r="B1832" i="14" s="1"/>
  <c r="B1833" i="14" s="1"/>
  <c r="B1834" i="14" s="1"/>
  <c r="B1835" i="14" s="1"/>
  <c r="B1836" i="14" s="1"/>
  <c r="B1837" i="14" s="1"/>
  <c r="B1838" i="14" s="1"/>
  <c r="B1839" i="14" s="1"/>
  <c r="B1840" i="14" s="1"/>
  <c r="B1841" i="14" s="1"/>
  <c r="B1842" i="14" s="1"/>
  <c r="B1843" i="14" s="1"/>
  <c r="B1844" i="14" s="1"/>
  <c r="B1845" i="14" s="1"/>
  <c r="B1846" i="14" s="1"/>
  <c r="B1847" i="14" s="1"/>
  <c r="B1848" i="14" s="1"/>
  <c r="B1849" i="14" s="1"/>
  <c r="B1850" i="14" s="1"/>
  <c r="B1851" i="14" s="1"/>
  <c r="B1852" i="14" s="1"/>
  <c r="B1853" i="14" s="1"/>
  <c r="B1854" i="14" s="1"/>
  <c r="B1855" i="14" s="1"/>
  <c r="B1856" i="14" s="1"/>
  <c r="B1857" i="14" s="1"/>
  <c r="B1858" i="14" s="1"/>
  <c r="B1859" i="14" s="1"/>
  <c r="B1860" i="14" s="1"/>
  <c r="B1861" i="14" s="1"/>
  <c r="B1862" i="14" s="1"/>
  <c r="B1863" i="14" s="1"/>
  <c r="B1864" i="14" s="1"/>
  <c r="B1865" i="14" s="1"/>
  <c r="Q1741" i="14"/>
  <c r="Q1742" i="14"/>
  <c r="I1743" i="14"/>
  <c r="Q1744" i="14"/>
  <c r="Q1745" i="14"/>
  <c r="Q1746" i="14"/>
  <c r="Q1747" i="14"/>
  <c r="Q1748" i="14"/>
  <c r="M1750" i="14"/>
  <c r="Q1751" i="14"/>
  <c r="Q1754" i="14"/>
  <c r="I1755" i="14"/>
  <c r="Q1758" i="14"/>
  <c r="Q1759" i="14"/>
  <c r="Q1760" i="14"/>
  <c r="Q1761" i="14"/>
  <c r="Q1762" i="14"/>
  <c r="I1763" i="14"/>
  <c r="Q1764" i="14"/>
  <c r="I1767" i="14"/>
  <c r="Q1768" i="14"/>
  <c r="M1769" i="14"/>
  <c r="Q1770" i="14"/>
  <c r="Q1771" i="14"/>
  <c r="M1775" i="14"/>
  <c r="Q1776" i="14"/>
  <c r="Q1778" i="14"/>
  <c r="Q1779" i="14"/>
  <c r="I1780" i="14"/>
  <c r="Q1781" i="14"/>
  <c r="Q1782" i="14"/>
  <c r="Q1783" i="14"/>
  <c r="Q1784" i="14"/>
  <c r="Q1785" i="14"/>
  <c r="Q1786" i="14"/>
  <c r="Q1789" i="14"/>
  <c r="Q1790" i="14"/>
  <c r="I1791" i="14"/>
  <c r="Q1792" i="14"/>
  <c r="Q1793" i="14"/>
  <c r="Q1794" i="14"/>
  <c r="Q1795" i="14"/>
  <c r="Q1796" i="14"/>
  <c r="Q1797" i="14"/>
  <c r="Q1800" i="14"/>
  <c r="I1801" i="14"/>
  <c r="Q1802" i="14"/>
  <c r="I1806" i="14"/>
  <c r="Q1807" i="14"/>
  <c r="Q1808" i="14"/>
  <c r="I1809" i="14"/>
  <c r="Q1810" i="14"/>
  <c r="Q1811" i="14"/>
  <c r="Q1814" i="14"/>
  <c r="Q1815" i="14"/>
  <c r="Q1817" i="14"/>
  <c r="Q1818" i="14"/>
  <c r="I1819" i="14"/>
  <c r="Q1820" i="14"/>
  <c r="I1821" i="14"/>
  <c r="Q1822" i="14"/>
  <c r="Q1823" i="14"/>
  <c r="Q1824" i="14"/>
  <c r="M1826" i="14"/>
  <c r="Q1827" i="14"/>
  <c r="M1828" i="14"/>
  <c r="Q1829" i="14"/>
  <c r="Q1830" i="14"/>
  <c r="Q1833" i="14"/>
  <c r="I1834" i="14"/>
  <c r="Q1835" i="14"/>
  <c r="Q1836" i="14"/>
  <c r="I1838" i="14"/>
  <c r="Q1839" i="14"/>
  <c r="Q1841" i="14"/>
  <c r="Q1842" i="14"/>
  <c r="Q1844" i="14"/>
  <c r="Q1845" i="14"/>
  <c r="I1846" i="14"/>
  <c r="Q1847" i="14"/>
  <c r="I1848" i="14"/>
  <c r="Q1849" i="14"/>
  <c r="Q1850" i="14"/>
  <c r="Q1851" i="14"/>
  <c r="M1855" i="14"/>
  <c r="Q1856" i="14"/>
  <c r="Q1857" i="14"/>
  <c r="Q1858" i="14"/>
  <c r="I1861" i="14"/>
  <c r="Q1862" i="14"/>
  <c r="I1864" i="14"/>
  <c r="I1865" i="14"/>
  <c r="I1866" i="14"/>
  <c r="Q1867" i="14"/>
  <c r="Q1868" i="14"/>
  <c r="Q1869" i="14"/>
  <c r="Q1870" i="14"/>
  <c r="Q1871" i="14"/>
  <c r="Q1872" i="14"/>
  <c r="Q1873" i="14"/>
  <c r="I1875" i="14"/>
  <c r="Q1876" i="14"/>
  <c r="I1878" i="14"/>
  <c r="Q1879" i="14"/>
  <c r="I1880" i="14"/>
  <c r="Q1881" i="14"/>
  <c r="Q1884" i="14"/>
  <c r="Q1885" i="14"/>
  <c r="I1886" i="14"/>
  <c r="Q1887" i="14"/>
  <c r="Q1888" i="14"/>
  <c r="Q1889" i="14"/>
  <c r="Q1890" i="14"/>
  <c r="Q1891" i="14"/>
  <c r="Q1894" i="14"/>
  <c r="Q1895" i="14"/>
  <c r="I1896" i="14"/>
  <c r="Q1897" i="14"/>
  <c r="Q1898" i="14"/>
  <c r="Q1899" i="14"/>
  <c r="Q1900" i="14"/>
  <c r="Q1901" i="14"/>
  <c r="Q1902" i="14"/>
  <c r="Q1903" i="14"/>
  <c r="Q1904" i="14"/>
  <c r="B1631" i="14"/>
  <c r="B1632" i="14" s="1"/>
  <c r="B1633" i="14" s="1"/>
  <c r="B1634" i="14" s="1"/>
  <c r="B1635" i="14" s="1"/>
  <c r="B1636" i="14" s="1"/>
  <c r="B1637" i="14" s="1"/>
  <c r="B1638" i="14" s="1"/>
  <c r="B1639" i="14" s="1"/>
  <c r="B1640" i="14" s="1"/>
  <c r="B1641" i="14" s="1"/>
  <c r="B1642" i="14" s="1"/>
  <c r="B1643" i="14" s="1"/>
  <c r="B1644" i="14" s="1"/>
  <c r="B1645" i="14" s="1"/>
  <c r="B1646" i="14" s="1"/>
  <c r="B1647" i="14" s="1"/>
  <c r="B1648" i="14" s="1"/>
  <c r="B1649" i="14" s="1"/>
  <c r="B1650" i="14" s="1"/>
  <c r="B1651" i="14" s="1"/>
  <c r="B1652" i="14" s="1"/>
  <c r="B1653" i="14" s="1"/>
  <c r="B1654" i="14" s="1"/>
  <c r="B1655" i="14" s="1"/>
  <c r="B1656" i="14" s="1"/>
  <c r="B1657" i="14" s="1"/>
  <c r="B1658" i="14" s="1"/>
  <c r="B1659" i="14" s="1"/>
  <c r="B1660" i="14" s="1"/>
  <c r="B1661" i="14" s="1"/>
  <c r="B1662" i="14" s="1"/>
  <c r="B1663" i="14" s="1"/>
  <c r="B1664" i="14" s="1"/>
  <c r="B1665" i="14" s="1"/>
  <c r="B1666" i="14" s="1"/>
  <c r="B1667" i="14" s="1"/>
  <c r="B1668" i="14" s="1"/>
  <c r="B1669" i="14" s="1"/>
  <c r="B1670" i="14" s="1"/>
  <c r="B1671" i="14" s="1"/>
  <c r="B1672" i="14" s="1"/>
  <c r="B1673" i="14" s="1"/>
  <c r="B1674" i="14" s="1"/>
  <c r="B1675" i="14" s="1"/>
  <c r="B1676" i="14" s="1"/>
  <c r="B1677" i="14" s="1"/>
  <c r="B1678" i="14" s="1"/>
  <c r="B1679" i="14" s="1"/>
  <c r="B1680" i="14" s="1"/>
  <c r="B1681" i="14" s="1"/>
  <c r="Q1633" i="14"/>
  <c r="I1634" i="14"/>
  <c r="M1636" i="14"/>
  <c r="Q1637" i="14"/>
  <c r="Q1638" i="14"/>
  <c r="M1639" i="14"/>
  <c r="Q1640" i="14"/>
  <c r="Q1641" i="14"/>
  <c r="Q1642" i="14"/>
  <c r="Q1645" i="14"/>
  <c r="Q1646" i="14"/>
  <c r="Q1648" i="14"/>
  <c r="Q1649" i="14"/>
  <c r="Q1650" i="14"/>
  <c r="Q1651" i="14"/>
  <c r="Q1652" i="14"/>
  <c r="I1653" i="14"/>
  <c r="I1654" i="14"/>
  <c r="M1657" i="14"/>
  <c r="Q1659" i="14"/>
  <c r="Q1660" i="14"/>
  <c r="I1662" i="14"/>
  <c r="Q1662" i="14" s="1"/>
  <c r="Q1663" i="14"/>
  <c r="I1664" i="14"/>
  <c r="Q1664" i="14" s="1"/>
  <c r="Q1665" i="14"/>
  <c r="I1666" i="14"/>
  <c r="I1667" i="14"/>
  <c r="Q1667" i="14" s="1"/>
  <c r="M1669" i="14"/>
  <c r="Q1670" i="14"/>
  <c r="M1672" i="14"/>
  <c r="M1673" i="14"/>
  <c r="Q1677" i="14"/>
  <c r="I1678" i="14"/>
  <c r="K1678" i="14" s="1"/>
  <c r="I1679" i="14"/>
  <c r="Q1679" i="14" s="1"/>
  <c r="M1681" i="14"/>
  <c r="Q1682" i="14"/>
  <c r="M1684" i="14"/>
  <c r="I1687" i="14"/>
  <c r="I1686" i="14" s="1"/>
  <c r="I1685" i="14" s="1"/>
  <c r="I1689" i="14"/>
  <c r="Q1689" i="14" s="1"/>
  <c r="Q1690" i="14"/>
  <c r="Q1691" i="14"/>
  <c r="Q1692" i="14"/>
  <c r="I1694" i="14"/>
  <c r="M1696" i="14"/>
  <c r="Q1697" i="14"/>
  <c r="M1698" i="14"/>
  <c r="Q1699" i="14"/>
  <c r="I1701" i="14"/>
  <c r="Q1702" i="14"/>
  <c r="I1704" i="14"/>
  <c r="I1703" i="14" s="1"/>
  <c r="Q1705" i="14"/>
  <c r="I1708" i="14"/>
  <c r="Q1709" i="14"/>
  <c r="Q1710" i="14"/>
  <c r="Q1711" i="14"/>
  <c r="Q1712" i="14"/>
  <c r="Q1715" i="14"/>
  <c r="Q1716" i="14"/>
  <c r="I1717" i="14"/>
  <c r="Q1718" i="14"/>
  <c r="Q1719" i="14"/>
  <c r="Q1720" i="14"/>
  <c r="Q1721" i="14"/>
  <c r="Q1722" i="14"/>
  <c r="Q1723" i="14"/>
  <c r="I1724" i="14"/>
  <c r="Q1724" i="14" s="1"/>
  <c r="B1534" i="14"/>
  <c r="B1535" i="14" s="1"/>
  <c r="B1536" i="14" s="1"/>
  <c r="B1537" i="14" s="1"/>
  <c r="B1538" i="14" s="1"/>
  <c r="B1539" i="14" s="1"/>
  <c r="B1540" i="14" s="1"/>
  <c r="B1541" i="14" s="1"/>
  <c r="B1542" i="14" s="1"/>
  <c r="B1543" i="14" s="1"/>
  <c r="B1544" i="14" s="1"/>
  <c r="B1545" i="14" s="1"/>
  <c r="B1546" i="14" s="1"/>
  <c r="B1547" i="14" s="1"/>
  <c r="B1548" i="14" s="1"/>
  <c r="B1549" i="14" s="1"/>
  <c r="B1550" i="14" s="1"/>
  <c r="B1551" i="14" s="1"/>
  <c r="B1552" i="14" s="1"/>
  <c r="B1553" i="14" s="1"/>
  <c r="B1554" i="14" s="1"/>
  <c r="B1555" i="14" s="1"/>
  <c r="B1556" i="14" s="1"/>
  <c r="B1557" i="14" s="1"/>
  <c r="B1558" i="14" s="1"/>
  <c r="B1559" i="14" s="1"/>
  <c r="B1560" i="14" s="1"/>
  <c r="B1561" i="14" s="1"/>
  <c r="B1562" i="14" s="1"/>
  <c r="B1563" i="14" s="1"/>
  <c r="B1564" i="14" s="1"/>
  <c r="B1565" i="14" s="1"/>
  <c r="B1566" i="14" s="1"/>
  <c r="B1567" i="14" s="1"/>
  <c r="B1568" i="14" s="1"/>
  <c r="B1569" i="14" s="1"/>
  <c r="B1570" i="14" s="1"/>
  <c r="B1571" i="14" s="1"/>
  <c r="B1572" i="14" s="1"/>
  <c r="B1573" i="14" s="1"/>
  <c r="B1574" i="14" s="1"/>
  <c r="B1575" i="14" s="1"/>
  <c r="B1576" i="14" s="1"/>
  <c r="B1577" i="14" s="1"/>
  <c r="B1578" i="14" s="1"/>
  <c r="B1579" i="14" s="1"/>
  <c r="B1580" i="14" s="1"/>
  <c r="B1581" i="14" s="1"/>
  <c r="B1582" i="14" s="1"/>
  <c r="B1583" i="14" s="1"/>
  <c r="B1584" i="14" s="1"/>
  <c r="B1585" i="14" s="1"/>
  <c r="B1586" i="14" s="1"/>
  <c r="B1587" i="14" s="1"/>
  <c r="B1588" i="14" s="1"/>
  <c r="B1589" i="14" s="1"/>
  <c r="B1590" i="14" s="1"/>
  <c r="B1591" i="14" s="1"/>
  <c r="B1592" i="14" s="1"/>
  <c r="B1593" i="14" s="1"/>
  <c r="B1594" i="14" s="1"/>
  <c r="B1595" i="14" s="1"/>
  <c r="B1596" i="14" s="1"/>
  <c r="B1597" i="14" s="1"/>
  <c r="B1598" i="14" s="1"/>
  <c r="B1599" i="14" s="1"/>
  <c r="B1600" i="14" s="1"/>
  <c r="B1601" i="14" s="1"/>
  <c r="B1602" i="14" s="1"/>
  <c r="B1603" i="14" s="1"/>
  <c r="B1604" i="14" s="1"/>
  <c r="B1605" i="14" s="1"/>
  <c r="B1606" i="14" s="1"/>
  <c r="B1607" i="14" s="1"/>
  <c r="B1608" i="14" s="1"/>
  <c r="B1609" i="14" s="1"/>
  <c r="B1610" i="14" s="1"/>
  <c r="B1611" i="14" s="1"/>
  <c r="B1612" i="14" s="1"/>
  <c r="B1613" i="14" s="1"/>
  <c r="B1614" i="14" s="1"/>
  <c r="B1615" i="14" s="1"/>
  <c r="B1616" i="14" s="1"/>
  <c r="B1617" i="14" s="1"/>
  <c r="B1618" i="14" s="1"/>
  <c r="B1619" i="14" s="1"/>
  <c r="Q1536" i="14"/>
  <c r="Q1537" i="14"/>
  <c r="Q1538" i="14"/>
  <c r="Q1539" i="14"/>
  <c r="I1540" i="14"/>
  <c r="Q1540" i="14" s="1"/>
  <c r="Q1541" i="14"/>
  <c r="Q1542" i="14"/>
  <c r="Q1543" i="14"/>
  <c r="I1544" i="14"/>
  <c r="Q1544" i="14" s="1"/>
  <c r="I1545" i="14"/>
  <c r="Q1546" i="14"/>
  <c r="I1547" i="14"/>
  <c r="Q1547" i="14" s="1"/>
  <c r="Q1548" i="14"/>
  <c r="Q1549" i="14"/>
  <c r="Q1550" i="14"/>
  <c r="Q1551" i="14"/>
  <c r="Q1552" i="14"/>
  <c r="Q1553" i="14"/>
  <c r="I1554" i="14"/>
  <c r="Q1555" i="14"/>
  <c r="I1556" i="14"/>
  <c r="Q1556" i="14" s="1"/>
  <c r="Q1557" i="14"/>
  <c r="Q1560" i="14"/>
  <c r="Q1561" i="14"/>
  <c r="I1562" i="14"/>
  <c r="K1562" i="14" s="1"/>
  <c r="Q1563" i="14"/>
  <c r="Q1564" i="14"/>
  <c r="M1566" i="14"/>
  <c r="Q1566" i="14" s="1"/>
  <c r="Q1567" i="14"/>
  <c r="Q1569" i="14"/>
  <c r="Q1570" i="14"/>
  <c r="Q1572" i="14"/>
  <c r="I1573" i="14"/>
  <c r="K1573" i="14" s="1"/>
  <c r="I1574" i="14"/>
  <c r="Q1574" i="14" s="1"/>
  <c r="I1575" i="14"/>
  <c r="I1576" i="14"/>
  <c r="Q1577" i="14"/>
  <c r="Q1578" i="14"/>
  <c r="M1581" i="14"/>
  <c r="O1581" i="14" s="1"/>
  <c r="M1583" i="14"/>
  <c r="M1582" i="14" s="1"/>
  <c r="M1585" i="14"/>
  <c r="Q1585" i="14" s="1"/>
  <c r="M1586" i="14"/>
  <c r="Q1586" i="14" s="1"/>
  <c r="M1587" i="14"/>
  <c r="Q1587" i="14" s="1"/>
  <c r="M1588" i="14"/>
  <c r="Q1588" i="14" s="1"/>
  <c r="Q1590" i="14"/>
  <c r="Q1591" i="14"/>
  <c r="I1593" i="14"/>
  <c r="Q1594" i="14"/>
  <c r="I1595" i="14"/>
  <c r="Q1596" i="14"/>
  <c r="Q1597" i="14"/>
  <c r="I1598" i="14"/>
  <c r="Q1598" i="14" s="1"/>
  <c r="Q1599" i="14"/>
  <c r="Q1600" i="14"/>
  <c r="M1602" i="14"/>
  <c r="Q1603" i="14"/>
  <c r="M1604" i="14"/>
  <c r="Q1604" i="14" s="1"/>
  <c r="Q1605" i="14"/>
  <c r="I1607" i="14"/>
  <c r="Q1607" i="14" s="1"/>
  <c r="Q1608" i="14"/>
  <c r="I1611" i="14"/>
  <c r="Q1611" i="14" s="1"/>
  <c r="Q1612" i="14"/>
  <c r="Q1613" i="14"/>
  <c r="Q1614" i="14"/>
  <c r="M1619" i="14"/>
  <c r="Q1620" i="14"/>
  <c r="B1389" i="14"/>
  <c r="B1390" i="14" s="1"/>
  <c r="B1391" i="14" s="1"/>
  <c r="B1392" i="14" s="1"/>
  <c r="B1393" i="14" s="1"/>
  <c r="B1394" i="14" s="1"/>
  <c r="B1395" i="14" s="1"/>
  <c r="B1396" i="14" s="1"/>
  <c r="B1397" i="14" s="1"/>
  <c r="B1398" i="14" s="1"/>
  <c r="B1399" i="14" s="1"/>
  <c r="B1400" i="14" s="1"/>
  <c r="I1390" i="14"/>
  <c r="I1389" i="14" s="1"/>
  <c r="Q1389" i="14" s="1"/>
  <c r="Q1391" i="14"/>
  <c r="I1394" i="14"/>
  <c r="Q1394" i="14" s="1"/>
  <c r="I1395" i="14"/>
  <c r="Q1395" i="14" s="1"/>
  <c r="Q1396" i="14"/>
  <c r="Q1397" i="14"/>
  <c r="Q1398" i="14"/>
  <c r="Q1399" i="14"/>
  <c r="I1400" i="14"/>
  <c r="Q1400" i="14" s="1"/>
  <c r="Q1401" i="14"/>
  <c r="Q1402" i="14"/>
  <c r="I1403" i="14"/>
  <c r="Q1403" i="14" s="1"/>
  <c r="I1404" i="14"/>
  <c r="Q1404" i="14" s="1"/>
  <c r="I1407" i="14"/>
  <c r="I1406" i="14" s="1"/>
  <c r="Q1408" i="14"/>
  <c r="Q1409" i="14"/>
  <c r="M1411" i="14"/>
  <c r="M1410" i="14" s="1"/>
  <c r="Q1412" i="14"/>
  <c r="I1414" i="14"/>
  <c r="Q1414" i="14" s="1"/>
  <c r="Q1415" i="14"/>
  <c r="Q1416" i="14"/>
  <c r="Q1417" i="14"/>
  <c r="M1420" i="14"/>
  <c r="M1419" i="14" s="1"/>
  <c r="Q1419" i="14" s="1"/>
  <c r="Q1422" i="14"/>
  <c r="M1423" i="14"/>
  <c r="O1423" i="14" s="1"/>
  <c r="Q1424" i="14"/>
  <c r="I1426" i="14"/>
  <c r="Q1427" i="14"/>
  <c r="M1430" i="14"/>
  <c r="Q1431" i="14"/>
  <c r="Q1433" i="14"/>
  <c r="Q1434" i="14"/>
  <c r="I1436" i="14"/>
  <c r="I1435" i="14" s="1"/>
  <c r="Q1437" i="14"/>
  <c r="Q1438" i="14"/>
  <c r="Q1439" i="14"/>
  <c r="Q1440" i="14"/>
  <c r="Q1441" i="14"/>
  <c r="M1444" i="14"/>
  <c r="O1444" i="14" s="1"/>
  <c r="Q1445" i="14"/>
  <c r="M1447" i="14"/>
  <c r="I1449" i="14"/>
  <c r="I1448" i="14" s="1"/>
  <c r="Q1448" i="14" s="1"/>
  <c r="Q1450" i="14"/>
  <c r="M1454" i="14"/>
  <c r="Q1454" i="14" s="1"/>
  <c r="M1455" i="14"/>
  <c r="Q1455" i="14" s="1"/>
  <c r="Q1457" i="14"/>
  <c r="Q1458" i="14"/>
  <c r="Q1460" i="14"/>
  <c r="I1461" i="14"/>
  <c r="I1459" i="14" s="1"/>
  <c r="Q1462" i="14"/>
  <c r="Q1463" i="14"/>
  <c r="Q1464" i="14"/>
  <c r="M1466" i="14"/>
  <c r="Q1467" i="14"/>
  <c r="Q1469" i="14"/>
  <c r="M1470" i="14"/>
  <c r="Q1470" i="14" s="1"/>
  <c r="Q1471" i="14"/>
  <c r="Q1472" i="14"/>
  <c r="Q1473" i="14"/>
  <c r="P1474" i="14"/>
  <c r="Q1477" i="14"/>
  <c r="Q1478" i="14"/>
  <c r="M1479" i="14"/>
  <c r="O1479" i="14" s="1"/>
  <c r="Q1480" i="14"/>
  <c r="M1481" i="14"/>
  <c r="Q1481" i="14" s="1"/>
  <c r="Q1482" i="14"/>
  <c r="Q1483" i="14"/>
  <c r="Q1484" i="14"/>
  <c r="Q1485" i="14"/>
  <c r="Q1487" i="14"/>
  <c r="Q1488" i="14"/>
  <c r="Q1489" i="14"/>
  <c r="M1490" i="14"/>
  <c r="Q1490" i="14" s="1"/>
  <c r="M1491" i="14"/>
  <c r="Q1491" i="14" s="1"/>
  <c r="Q1492" i="14"/>
  <c r="Q1493" i="14"/>
  <c r="Q1494" i="14"/>
  <c r="M1495" i="14"/>
  <c r="Q1495" i="14" s="1"/>
  <c r="Q1496" i="14"/>
  <c r="Q1497" i="14"/>
  <c r="Q1498" i="14"/>
  <c r="M1499" i="14"/>
  <c r="Q1500" i="14"/>
  <c r="M1501" i="14"/>
  <c r="Q1501" i="14" s="1"/>
  <c r="M1502" i="14"/>
  <c r="Q1502" i="14" s="1"/>
  <c r="M1503" i="14"/>
  <c r="Q1503" i="14" s="1"/>
  <c r="Q1504" i="14"/>
  <c r="M1505" i="14"/>
  <c r="Q1507" i="14"/>
  <c r="Q1508" i="14"/>
  <c r="Q1510" i="14"/>
  <c r="Q1511" i="14"/>
  <c r="Q1512" i="14"/>
  <c r="I1513" i="14"/>
  <c r="Q1513" i="14" s="1"/>
  <c r="Q1514" i="14"/>
  <c r="I1515" i="14"/>
  <c r="Q1515" i="14" s="1"/>
  <c r="I1516" i="14"/>
  <c r="Q1516" i="14" s="1"/>
  <c r="M1518" i="14"/>
  <c r="Q1519" i="14"/>
  <c r="M1520" i="14"/>
  <c r="Q1521" i="14"/>
  <c r="M1522" i="14"/>
  <c r="Q1523" i="14"/>
  <c r="B509" i="14"/>
  <c r="B510" i="14" s="1"/>
  <c r="B511" i="14" s="1"/>
  <c r="B512" i="14" s="1"/>
  <c r="B513" i="14" s="1"/>
  <c r="B514" i="14" s="1"/>
  <c r="B515" i="14" s="1"/>
  <c r="B516" i="14" s="1"/>
  <c r="B517" i="14" s="1"/>
  <c r="B518" i="14" s="1"/>
  <c r="B519" i="14" s="1"/>
  <c r="B520" i="14" s="1"/>
  <c r="B521" i="14" s="1"/>
  <c r="B522" i="14" s="1"/>
  <c r="B523" i="14" s="1"/>
  <c r="B524" i="14" s="1"/>
  <c r="B525" i="14" s="1"/>
  <c r="B526" i="14" s="1"/>
  <c r="B527" i="14" s="1"/>
  <c r="B528" i="14" s="1"/>
  <c r="B529" i="14" s="1"/>
  <c r="B530" i="14" s="1"/>
  <c r="B531" i="14" s="1"/>
  <c r="B532" i="14" s="1"/>
  <c r="B533" i="14" s="1"/>
  <c r="B534" i="14" s="1"/>
  <c r="B535" i="14" s="1"/>
  <c r="B536" i="14" s="1"/>
  <c r="B537" i="14" s="1"/>
  <c r="B538" i="14" s="1"/>
  <c r="B539" i="14" s="1"/>
  <c r="B540" i="14" s="1"/>
  <c r="B541" i="14" s="1"/>
  <c r="B542" i="14" s="1"/>
  <c r="B543" i="14" s="1"/>
  <c r="B544" i="14" s="1"/>
  <c r="B545" i="14" s="1"/>
  <c r="B546" i="14" s="1"/>
  <c r="B547" i="14" s="1"/>
  <c r="B548" i="14" s="1"/>
  <c r="B549" i="14" s="1"/>
  <c r="B550" i="14" s="1"/>
  <c r="B551" i="14" s="1"/>
  <c r="B552" i="14" s="1"/>
  <c r="B553" i="14" s="1"/>
  <c r="B554" i="14" s="1"/>
  <c r="B555" i="14" s="1"/>
  <c r="B556" i="14" s="1"/>
  <c r="B557" i="14" s="1"/>
  <c r="B558" i="14" s="1"/>
  <c r="B559" i="14" s="1"/>
  <c r="B560" i="14" s="1"/>
  <c r="B561" i="14" s="1"/>
  <c r="B562" i="14" s="1"/>
  <c r="B563" i="14" s="1"/>
  <c r="B564" i="14" s="1"/>
  <c r="B565" i="14" s="1"/>
  <c r="B566" i="14" s="1"/>
  <c r="B567" i="14" s="1"/>
  <c r="B568" i="14" s="1"/>
  <c r="B569" i="14" s="1"/>
  <c r="B570" i="14" s="1"/>
  <c r="B571" i="14" s="1"/>
  <c r="B572" i="14" s="1"/>
  <c r="B573" i="14" s="1"/>
  <c r="B574" i="14" s="1"/>
  <c r="B575" i="14" s="1"/>
  <c r="B576" i="14" s="1"/>
  <c r="B577" i="14" s="1"/>
  <c r="B578" i="14" s="1"/>
  <c r="B579" i="14" s="1"/>
  <c r="B580" i="14" s="1"/>
  <c r="B581" i="14" s="1"/>
  <c r="B582" i="14" s="1"/>
  <c r="B583" i="14" s="1"/>
  <c r="B584" i="14" s="1"/>
  <c r="B585" i="14" s="1"/>
  <c r="B586" i="14" s="1"/>
  <c r="B587" i="14" s="1"/>
  <c r="B588" i="14" s="1"/>
  <c r="B589" i="14" s="1"/>
  <c r="B590" i="14" s="1"/>
  <c r="B591" i="14" s="1"/>
  <c r="B592" i="14" s="1"/>
  <c r="B593" i="14" s="1"/>
  <c r="B594" i="14" s="1"/>
  <c r="B595" i="14" s="1"/>
  <c r="B596" i="14" s="1"/>
  <c r="B597" i="14" s="1"/>
  <c r="B598" i="14" s="1"/>
  <c r="B599" i="14" s="1"/>
  <c r="B600" i="14" s="1"/>
  <c r="B601" i="14" s="1"/>
  <c r="B602" i="14" s="1"/>
  <c r="B603" i="14" s="1"/>
  <c r="B604" i="14" s="1"/>
  <c r="B605" i="14" s="1"/>
  <c r="B606" i="14" s="1"/>
  <c r="B607" i="14" s="1"/>
  <c r="B608" i="14" s="1"/>
  <c r="B609" i="14" s="1"/>
  <c r="B610" i="14" s="1"/>
  <c r="B611" i="14" s="1"/>
  <c r="B612" i="14" s="1"/>
  <c r="B613" i="14" s="1"/>
  <c r="B614" i="14" s="1"/>
  <c r="B615" i="14" s="1"/>
  <c r="B616" i="14" s="1"/>
  <c r="B617" i="14" s="1"/>
  <c r="B618" i="14" s="1"/>
  <c r="B619" i="14" s="1"/>
  <c r="B620" i="14" s="1"/>
  <c r="B621" i="14" s="1"/>
  <c r="B622" i="14" s="1"/>
  <c r="B623" i="14" s="1"/>
  <c r="B624" i="14" s="1"/>
  <c r="B625" i="14" s="1"/>
  <c r="B626" i="14" s="1"/>
  <c r="B627" i="14" s="1"/>
  <c r="B628" i="14" s="1"/>
  <c r="B629" i="14" s="1"/>
  <c r="B630" i="14" s="1"/>
  <c r="B631" i="14" s="1"/>
  <c r="B632" i="14" s="1"/>
  <c r="B633" i="14" s="1"/>
  <c r="B634" i="14" s="1"/>
  <c r="B635" i="14" s="1"/>
  <c r="B636" i="14" s="1"/>
  <c r="B637" i="14" s="1"/>
  <c r="B638" i="14" s="1"/>
  <c r="B639" i="14" s="1"/>
  <c r="B640" i="14" s="1"/>
  <c r="B641" i="14" s="1"/>
  <c r="B642" i="14" s="1"/>
  <c r="B643" i="14" s="1"/>
  <c r="B644" i="14" s="1"/>
  <c r="B645" i="14" s="1"/>
  <c r="B646" i="14" s="1"/>
  <c r="B647" i="14" s="1"/>
  <c r="B648" i="14" s="1"/>
  <c r="B649" i="14" s="1"/>
  <c r="B650" i="14" s="1"/>
  <c r="B651" i="14" s="1"/>
  <c r="B652" i="14" s="1"/>
  <c r="B653" i="14" s="1"/>
  <c r="B654" i="14" s="1"/>
  <c r="B655" i="14" s="1"/>
  <c r="B656" i="14" s="1"/>
  <c r="B657" i="14" s="1"/>
  <c r="B658" i="14" s="1"/>
  <c r="B659" i="14" s="1"/>
  <c r="B660" i="14" s="1"/>
  <c r="B661" i="14" s="1"/>
  <c r="B662" i="14" s="1"/>
  <c r="B663" i="14" s="1"/>
  <c r="B664" i="14" s="1"/>
  <c r="B665" i="14" s="1"/>
  <c r="B666" i="14" s="1"/>
  <c r="B667" i="14" s="1"/>
  <c r="B668" i="14" s="1"/>
  <c r="B669" i="14" s="1"/>
  <c r="B670" i="14" s="1"/>
  <c r="B671" i="14" s="1"/>
  <c r="B672" i="14" s="1"/>
  <c r="B673" i="14" s="1"/>
  <c r="B674" i="14" s="1"/>
  <c r="B675" i="14" s="1"/>
  <c r="B676" i="14" s="1"/>
  <c r="B677" i="14" s="1"/>
  <c r="B678" i="14" s="1"/>
  <c r="B679" i="14" s="1"/>
  <c r="B680" i="14" s="1"/>
  <c r="B681" i="14" s="1"/>
  <c r="B682" i="14" s="1"/>
  <c r="B683" i="14" s="1"/>
  <c r="B684" i="14" s="1"/>
  <c r="B685" i="14" s="1"/>
  <c r="B686" i="14" s="1"/>
  <c r="B687" i="14" s="1"/>
  <c r="B688" i="14" s="1"/>
  <c r="B689" i="14" s="1"/>
  <c r="B690" i="14" s="1"/>
  <c r="B691" i="14" s="1"/>
  <c r="B692" i="14" s="1"/>
  <c r="B693" i="14" s="1"/>
  <c r="B694" i="14" s="1"/>
  <c r="B695" i="14" s="1"/>
  <c r="B696" i="14" s="1"/>
  <c r="B697" i="14" s="1"/>
  <c r="B698" i="14" s="1"/>
  <c r="B699" i="14" s="1"/>
  <c r="B700" i="14" s="1"/>
  <c r="B701" i="14" s="1"/>
  <c r="B702" i="14" s="1"/>
  <c r="B703" i="14" s="1"/>
  <c r="B704" i="14" s="1"/>
  <c r="B705" i="14" s="1"/>
  <c r="B706" i="14" s="1"/>
  <c r="B707" i="14" s="1"/>
  <c r="B708" i="14" s="1"/>
  <c r="B709" i="14" s="1"/>
  <c r="B710" i="14" s="1"/>
  <c r="B711" i="14" s="1"/>
  <c r="B712" i="14" s="1"/>
  <c r="B713" i="14" s="1"/>
  <c r="B714" i="14" s="1"/>
  <c r="B715" i="14" s="1"/>
  <c r="B716" i="14" s="1"/>
  <c r="B717" i="14" s="1"/>
  <c r="B718" i="14" s="1"/>
  <c r="B719" i="14" s="1"/>
  <c r="B720" i="14" s="1"/>
  <c r="B721" i="14" s="1"/>
  <c r="B722" i="14" s="1"/>
  <c r="B723" i="14" s="1"/>
  <c r="B724" i="14" s="1"/>
  <c r="B725" i="14" s="1"/>
  <c r="B726" i="14" s="1"/>
  <c r="B727" i="14" s="1"/>
  <c r="B728" i="14" s="1"/>
  <c r="B729" i="14" s="1"/>
  <c r="B730" i="14" s="1"/>
  <c r="B731" i="14" s="1"/>
  <c r="B732" i="14" s="1"/>
  <c r="B733" i="14" s="1"/>
  <c r="B734" i="14" s="1"/>
  <c r="B735" i="14" s="1"/>
  <c r="B736" i="14" s="1"/>
  <c r="B737" i="14" s="1"/>
  <c r="B738" i="14" s="1"/>
  <c r="B739" i="14" s="1"/>
  <c r="B740" i="14" s="1"/>
  <c r="B741" i="14" s="1"/>
  <c r="B742" i="14" s="1"/>
  <c r="B743" i="14" s="1"/>
  <c r="B744" i="14" s="1"/>
  <c r="B745" i="14" s="1"/>
  <c r="B746" i="14" s="1"/>
  <c r="B747" i="14" s="1"/>
  <c r="B748" i="14" s="1"/>
  <c r="B749" i="14" s="1"/>
  <c r="B750" i="14" s="1"/>
  <c r="B751" i="14" s="1"/>
  <c r="B752" i="14" s="1"/>
  <c r="B753" i="14" s="1"/>
  <c r="B754" i="14" s="1"/>
  <c r="B755" i="14" s="1"/>
  <c r="B756" i="14" s="1"/>
  <c r="B757" i="14" s="1"/>
  <c r="B758" i="14" s="1"/>
  <c r="B759" i="14" s="1"/>
  <c r="B760" i="14" s="1"/>
  <c r="B761" i="14" s="1"/>
  <c r="B762" i="14" s="1"/>
  <c r="B763" i="14" s="1"/>
  <c r="B764" i="14" s="1"/>
  <c r="B765" i="14" s="1"/>
  <c r="B766" i="14" s="1"/>
  <c r="B767" i="14" s="1"/>
  <c r="B768" i="14" s="1"/>
  <c r="B769" i="14" s="1"/>
  <c r="B770" i="14" s="1"/>
  <c r="B771" i="14" s="1"/>
  <c r="B772" i="14" s="1"/>
  <c r="B773" i="14" s="1"/>
  <c r="B774" i="14" s="1"/>
  <c r="B775" i="14" s="1"/>
  <c r="B776" i="14" s="1"/>
  <c r="B777" i="14" s="1"/>
  <c r="B778" i="14" s="1"/>
  <c r="B779" i="14" s="1"/>
  <c r="B780" i="14" s="1"/>
  <c r="B781" i="14" s="1"/>
  <c r="B782" i="14" s="1"/>
  <c r="B783" i="14" s="1"/>
  <c r="B784" i="14" s="1"/>
  <c r="B785" i="14" s="1"/>
  <c r="B786" i="14" s="1"/>
  <c r="B787" i="14" s="1"/>
  <c r="B788" i="14" s="1"/>
  <c r="B789" i="14" s="1"/>
  <c r="B790" i="14" s="1"/>
  <c r="B791" i="14" s="1"/>
  <c r="B792" i="14" s="1"/>
  <c r="B793" i="14" s="1"/>
  <c r="B794" i="14" s="1"/>
  <c r="B795" i="14" s="1"/>
  <c r="B796" i="14" s="1"/>
  <c r="B797" i="14" s="1"/>
  <c r="B798" i="14" s="1"/>
  <c r="B799" i="14" s="1"/>
  <c r="B800" i="14" s="1"/>
  <c r="B801" i="14" s="1"/>
  <c r="B802" i="14" s="1"/>
  <c r="B803" i="14" s="1"/>
  <c r="B804" i="14" s="1"/>
  <c r="B805" i="14" s="1"/>
  <c r="B806" i="14" s="1"/>
  <c r="B807" i="14" s="1"/>
  <c r="B808" i="14" s="1"/>
  <c r="B809" i="14" s="1"/>
  <c r="B810" i="14" s="1"/>
  <c r="B811" i="14" s="1"/>
  <c r="B812" i="14" s="1"/>
  <c r="B813" i="14" s="1"/>
  <c r="B814" i="14" s="1"/>
  <c r="B815" i="14" s="1"/>
  <c r="B816" i="14" s="1"/>
  <c r="B817" i="14" s="1"/>
  <c r="B818" i="14" s="1"/>
  <c r="B819" i="14" s="1"/>
  <c r="B820" i="14" s="1"/>
  <c r="B821" i="14" s="1"/>
  <c r="B822" i="14" s="1"/>
  <c r="B823" i="14" s="1"/>
  <c r="B824" i="14" s="1"/>
  <c r="B825" i="14" s="1"/>
  <c r="B826" i="14" s="1"/>
  <c r="B827" i="14" s="1"/>
  <c r="B829" i="14" s="1"/>
  <c r="B830" i="14" s="1"/>
  <c r="B831" i="14" s="1"/>
  <c r="B832" i="14" s="1"/>
  <c r="B833" i="14" s="1"/>
  <c r="B834" i="14" s="1"/>
  <c r="B835" i="14" s="1"/>
  <c r="B836" i="14" s="1"/>
  <c r="B837" i="14" s="1"/>
  <c r="B838" i="14" s="1"/>
  <c r="B839" i="14" s="1"/>
  <c r="B840" i="14" s="1"/>
  <c r="B841" i="14" s="1"/>
  <c r="B842" i="14" s="1"/>
  <c r="B843" i="14" s="1"/>
  <c r="B844" i="14" s="1"/>
  <c r="B845" i="14" s="1"/>
  <c r="B846" i="14" s="1"/>
  <c r="B847" i="14" s="1"/>
  <c r="B848" i="14" s="1"/>
  <c r="B849" i="14" s="1"/>
  <c r="B850" i="14" s="1"/>
  <c r="B851" i="14" s="1"/>
  <c r="B852" i="14" s="1"/>
  <c r="B853" i="14" s="1"/>
  <c r="B854" i="14" s="1"/>
  <c r="B855" i="14" s="1"/>
  <c r="B856" i="14" s="1"/>
  <c r="B857" i="14" s="1"/>
  <c r="B858" i="14" s="1"/>
  <c r="B859" i="14" s="1"/>
  <c r="B860" i="14" s="1"/>
  <c r="B861" i="14" s="1"/>
  <c r="B862" i="14" s="1"/>
  <c r="B863" i="14" s="1"/>
  <c r="B864" i="14" s="1"/>
  <c r="B865" i="14" s="1"/>
  <c r="B866" i="14" s="1"/>
  <c r="B867" i="14" s="1"/>
  <c r="B868" i="14" s="1"/>
  <c r="B869" i="14" s="1"/>
  <c r="B870" i="14" s="1"/>
  <c r="B871" i="14" s="1"/>
  <c r="B872" i="14" s="1"/>
  <c r="B873" i="14" s="1"/>
  <c r="B874" i="14" s="1"/>
  <c r="B875" i="14" s="1"/>
  <c r="B876" i="14" s="1"/>
  <c r="B877" i="14" s="1"/>
  <c r="B878" i="14" s="1"/>
  <c r="B879" i="14" s="1"/>
  <c r="B880" i="14" s="1"/>
  <c r="B881" i="14" s="1"/>
  <c r="B882" i="14" s="1"/>
  <c r="B883" i="14" s="1"/>
  <c r="B884" i="14" s="1"/>
  <c r="B885" i="14" s="1"/>
  <c r="B886" i="14" s="1"/>
  <c r="B887" i="14" s="1"/>
  <c r="B888" i="14" s="1"/>
  <c r="B889" i="14" s="1"/>
  <c r="B890" i="14" s="1"/>
  <c r="B891" i="14" s="1"/>
  <c r="B892" i="14" s="1"/>
  <c r="B893" i="14" s="1"/>
  <c r="B894" i="14" s="1"/>
  <c r="B895" i="14" s="1"/>
  <c r="B896" i="14" s="1"/>
  <c r="B897" i="14" s="1"/>
  <c r="B898" i="14" s="1"/>
  <c r="B899" i="14" s="1"/>
  <c r="B900" i="14" s="1"/>
  <c r="B901" i="14" s="1"/>
  <c r="B902" i="14" s="1"/>
  <c r="B903" i="14" s="1"/>
  <c r="B904" i="14" s="1"/>
  <c r="B905" i="14" s="1"/>
  <c r="B906" i="14" s="1"/>
  <c r="B907" i="14" s="1"/>
  <c r="B908" i="14" s="1"/>
  <c r="B909" i="14" s="1"/>
  <c r="B910" i="14" s="1"/>
  <c r="B911" i="14" s="1"/>
  <c r="B912" i="14" s="1"/>
  <c r="B913" i="14" s="1"/>
  <c r="B914" i="14" s="1"/>
  <c r="B915" i="14" s="1"/>
  <c r="B916" i="14" s="1"/>
  <c r="B917" i="14" s="1"/>
  <c r="B918" i="14" s="1"/>
  <c r="B919" i="14" s="1"/>
  <c r="B920" i="14" s="1"/>
  <c r="B921" i="14" s="1"/>
  <c r="B922" i="14" s="1"/>
  <c r="B923" i="14" s="1"/>
  <c r="B924" i="14" s="1"/>
  <c r="B925" i="14" s="1"/>
  <c r="B926" i="14" s="1"/>
  <c r="B927" i="14" s="1"/>
  <c r="B928" i="14" s="1"/>
  <c r="B929" i="14" s="1"/>
  <c r="B930" i="14" s="1"/>
  <c r="B931" i="14" s="1"/>
  <c r="B932" i="14" s="1"/>
  <c r="B933" i="14" s="1"/>
  <c r="B934" i="14" s="1"/>
  <c r="B935" i="14" s="1"/>
  <c r="B936" i="14" s="1"/>
  <c r="B937" i="14" s="1"/>
  <c r="B938" i="14" s="1"/>
  <c r="B939" i="14" s="1"/>
  <c r="B940" i="14" s="1"/>
  <c r="B941" i="14" s="1"/>
  <c r="B942" i="14" s="1"/>
  <c r="B943" i="14" s="1"/>
  <c r="B944" i="14" s="1"/>
  <c r="B945" i="14" s="1"/>
  <c r="B946" i="14" s="1"/>
  <c r="B947" i="14" s="1"/>
  <c r="B948" i="14" s="1"/>
  <c r="B949" i="14" s="1"/>
  <c r="B950" i="14" s="1"/>
  <c r="B951" i="14" s="1"/>
  <c r="B952" i="14" s="1"/>
  <c r="B953" i="14" s="1"/>
  <c r="B954" i="14" s="1"/>
  <c r="B955" i="14" s="1"/>
  <c r="B956" i="14" s="1"/>
  <c r="B957" i="14" s="1"/>
  <c r="B958" i="14" s="1"/>
  <c r="B959" i="14" s="1"/>
  <c r="B960" i="14" s="1"/>
  <c r="B961" i="14" s="1"/>
  <c r="B962" i="14" s="1"/>
  <c r="B963" i="14" s="1"/>
  <c r="B964" i="14" s="1"/>
  <c r="B965" i="14" s="1"/>
  <c r="B966" i="14" s="1"/>
  <c r="B967" i="14" s="1"/>
  <c r="B968" i="14" s="1"/>
  <c r="B969" i="14" s="1"/>
  <c r="B970" i="14" s="1"/>
  <c r="B971" i="14" s="1"/>
  <c r="B972" i="14" s="1"/>
  <c r="B973" i="14" s="1"/>
  <c r="B974" i="14" s="1"/>
  <c r="B975" i="14" s="1"/>
  <c r="B976" i="14" s="1"/>
  <c r="B977" i="14" s="1"/>
  <c r="B978" i="14" s="1"/>
  <c r="B979" i="14" s="1"/>
  <c r="B980" i="14" s="1"/>
  <c r="B981" i="14" s="1"/>
  <c r="B982" i="14" s="1"/>
  <c r="B983" i="14" s="1"/>
  <c r="B984" i="14" s="1"/>
  <c r="B985" i="14" s="1"/>
  <c r="B986" i="14" s="1"/>
  <c r="B987" i="14" s="1"/>
  <c r="B988" i="14" s="1"/>
  <c r="B989" i="14" s="1"/>
  <c r="B990" i="14" s="1"/>
  <c r="B991" i="14" s="1"/>
  <c r="B992" i="14" s="1"/>
  <c r="B993" i="14" s="1"/>
  <c r="B994" i="14" s="1"/>
  <c r="B995" i="14" s="1"/>
  <c r="B996" i="14" s="1"/>
  <c r="B997" i="14" s="1"/>
  <c r="B998" i="14" s="1"/>
  <c r="B999" i="14" s="1"/>
  <c r="B1000" i="14" s="1"/>
  <c r="B1001" i="14" s="1"/>
  <c r="B1002" i="14" s="1"/>
  <c r="B1003" i="14" s="1"/>
  <c r="B1004" i="14" s="1"/>
  <c r="B1005" i="14" s="1"/>
  <c r="B1006" i="14" s="1"/>
  <c r="B1007" i="14" s="1"/>
  <c r="B1008" i="14" s="1"/>
  <c r="B1009" i="14" s="1"/>
  <c r="B1010" i="14" s="1"/>
  <c r="B1011" i="14" s="1"/>
  <c r="B1012" i="14" s="1"/>
  <c r="B1013" i="14" s="1"/>
  <c r="B1014" i="14" s="1"/>
  <c r="B1015" i="14" s="1"/>
  <c r="B1016" i="14" s="1"/>
  <c r="B1017" i="14" s="1"/>
  <c r="B1018" i="14" s="1"/>
  <c r="B1019" i="14" s="1"/>
  <c r="B1020" i="14" s="1"/>
  <c r="B1021" i="14" s="1"/>
  <c r="B1022" i="14" s="1"/>
  <c r="B1023" i="14" s="1"/>
  <c r="B1024" i="14" s="1"/>
  <c r="B1025" i="14" s="1"/>
  <c r="B1026" i="14" s="1"/>
  <c r="B1027" i="14" s="1"/>
  <c r="B1028" i="14" s="1"/>
  <c r="B1029" i="14" s="1"/>
  <c r="B1030" i="14" s="1"/>
  <c r="B1031" i="14" s="1"/>
  <c r="B1032" i="14" s="1"/>
  <c r="B1033" i="14" s="1"/>
  <c r="B1034" i="14" s="1"/>
  <c r="B1035" i="14" s="1"/>
  <c r="B1036" i="14" s="1"/>
  <c r="B1037" i="14" s="1"/>
  <c r="B1038" i="14" s="1"/>
  <c r="B1039" i="14" s="1"/>
  <c r="B1040" i="14" s="1"/>
  <c r="B1041" i="14" s="1"/>
  <c r="B1042" i="14" s="1"/>
  <c r="B1043" i="14" s="1"/>
  <c r="B1044" i="14" s="1"/>
  <c r="B1045" i="14" s="1"/>
  <c r="B1046" i="14" s="1"/>
  <c r="B1047" i="14" s="1"/>
  <c r="B1048" i="14" s="1"/>
  <c r="B1049" i="14" s="1"/>
  <c r="B1050" i="14" s="1"/>
  <c r="B1051" i="14" s="1"/>
  <c r="B1052" i="14" s="1"/>
  <c r="B1053" i="14" s="1"/>
  <c r="B1054" i="14" s="1"/>
  <c r="B1055" i="14" s="1"/>
  <c r="B1056" i="14" s="1"/>
  <c r="B1057" i="14" s="1"/>
  <c r="B1058" i="14" s="1"/>
  <c r="B1059" i="14" s="1"/>
  <c r="B1060" i="14" s="1"/>
  <c r="B1061" i="14" s="1"/>
  <c r="B1062" i="14" s="1"/>
  <c r="B1063" i="14" s="1"/>
  <c r="B1064" i="14" s="1"/>
  <c r="B1065" i="14" s="1"/>
  <c r="B1066" i="14" s="1"/>
  <c r="B1067" i="14" s="1"/>
  <c r="B1068" i="14" s="1"/>
  <c r="B1069" i="14" s="1"/>
  <c r="B1070" i="14" s="1"/>
  <c r="B1071" i="14" s="1"/>
  <c r="B1072" i="14" s="1"/>
  <c r="B1073" i="14" s="1"/>
  <c r="B1074" i="14" s="1"/>
  <c r="B1075" i="14" s="1"/>
  <c r="B1076" i="14" s="1"/>
  <c r="B1077" i="14" s="1"/>
  <c r="B1078" i="14" s="1"/>
  <c r="B1079" i="14" s="1"/>
  <c r="B1080" i="14" s="1"/>
  <c r="B1081" i="14" s="1"/>
  <c r="B1082" i="14" s="1"/>
  <c r="B1083" i="14" s="1"/>
  <c r="B1084" i="14" s="1"/>
  <c r="B1085" i="14" s="1"/>
  <c r="B1086" i="14" s="1"/>
  <c r="B1087" i="14" s="1"/>
  <c r="B1088" i="14" s="1"/>
  <c r="B1089" i="14" s="1"/>
  <c r="B1090" i="14" s="1"/>
  <c r="B1091" i="14" s="1"/>
  <c r="B1092" i="14" s="1"/>
  <c r="B1093" i="14" s="1"/>
  <c r="B1094" i="14" s="1"/>
  <c r="B1095" i="14" s="1"/>
  <c r="B1096" i="14" s="1"/>
  <c r="B1097" i="14" s="1"/>
  <c r="B1098" i="14" s="1"/>
  <c r="B1099" i="14" s="1"/>
  <c r="B1100" i="14" s="1"/>
  <c r="B1101" i="14" s="1"/>
  <c r="B1102" i="14" s="1"/>
  <c r="B1103" i="14" s="1"/>
  <c r="B1104" i="14" s="1"/>
  <c r="B1105" i="14" s="1"/>
  <c r="B1106" i="14" s="1"/>
  <c r="B1107" i="14" s="1"/>
  <c r="B1108" i="14" s="1"/>
  <c r="B1109" i="14" s="1"/>
  <c r="B1110" i="14" s="1"/>
  <c r="B1111" i="14" s="1"/>
  <c r="B1112" i="14" s="1"/>
  <c r="B1113" i="14" s="1"/>
  <c r="B1114" i="14" s="1"/>
  <c r="B1115" i="14" s="1"/>
  <c r="B1116" i="14" s="1"/>
  <c r="B1117" i="14" s="1"/>
  <c r="B1118" i="14" s="1"/>
  <c r="B1119" i="14" s="1"/>
  <c r="B1120" i="14" s="1"/>
  <c r="B1121" i="14" s="1"/>
  <c r="B1122" i="14" s="1"/>
  <c r="B1123" i="14" s="1"/>
  <c r="B1124" i="14" s="1"/>
  <c r="B1125" i="14" s="1"/>
  <c r="B1126" i="14" s="1"/>
  <c r="B1127" i="14" s="1"/>
  <c r="B1128" i="14" s="1"/>
  <c r="B1129" i="14" s="1"/>
  <c r="B1130" i="14" s="1"/>
  <c r="B1131" i="14" s="1"/>
  <c r="B1132" i="14" s="1"/>
  <c r="B1133" i="14" s="1"/>
  <c r="B1134" i="14" s="1"/>
  <c r="B1135" i="14" s="1"/>
  <c r="B1136" i="14" s="1"/>
  <c r="B1137" i="14" s="1"/>
  <c r="B1138" i="14" s="1"/>
  <c r="B1139" i="14" s="1"/>
  <c r="B1140" i="14" s="1"/>
  <c r="B1141" i="14" s="1"/>
  <c r="B1142" i="14" s="1"/>
  <c r="B1143" i="14" s="1"/>
  <c r="B1144" i="14" s="1"/>
  <c r="B1145" i="14" s="1"/>
  <c r="B1146" i="14" s="1"/>
  <c r="B1147" i="14" s="1"/>
  <c r="B1148" i="14" s="1"/>
  <c r="B1149" i="14" s="1"/>
  <c r="B1150" i="14" s="1"/>
  <c r="B1151" i="14" s="1"/>
  <c r="B1152" i="14" s="1"/>
  <c r="B1153" i="14" s="1"/>
  <c r="B1154" i="14" s="1"/>
  <c r="B1155" i="14" s="1"/>
  <c r="B1156" i="14" s="1"/>
  <c r="B1157" i="14" s="1"/>
  <c r="B1158" i="14" s="1"/>
  <c r="B1159" i="14" s="1"/>
  <c r="B1160" i="14" s="1"/>
  <c r="B1161" i="14" s="1"/>
  <c r="B1162" i="14" s="1"/>
  <c r="B1163" i="14" s="1"/>
  <c r="B1164" i="14" s="1"/>
  <c r="B1165" i="14" s="1"/>
  <c r="B1166" i="14" s="1"/>
  <c r="B1167" i="14" s="1"/>
  <c r="B1168" i="14" s="1"/>
  <c r="B1169" i="14" s="1"/>
  <c r="B1170" i="14" s="1"/>
  <c r="B1171" i="14" s="1"/>
  <c r="B1172" i="14" s="1"/>
  <c r="B1173" i="14" s="1"/>
  <c r="B1174" i="14" s="1"/>
  <c r="B1175" i="14" s="1"/>
  <c r="B1176" i="14" s="1"/>
  <c r="B1177" i="14" s="1"/>
  <c r="B1178" i="14" s="1"/>
  <c r="B1179" i="14" s="1"/>
  <c r="B1180" i="14" s="1"/>
  <c r="B1181" i="14" s="1"/>
  <c r="B1182" i="14" s="1"/>
  <c r="B1183" i="14" s="1"/>
  <c r="B1184" i="14" s="1"/>
  <c r="B1185" i="14" s="1"/>
  <c r="B1186" i="14" s="1"/>
  <c r="B1187" i="14" s="1"/>
  <c r="B1188" i="14" s="1"/>
  <c r="B1189" i="14" s="1"/>
  <c r="B1190" i="14" s="1"/>
  <c r="B1191" i="14" s="1"/>
  <c r="B1192" i="14" s="1"/>
  <c r="B1193" i="14" s="1"/>
  <c r="B1194" i="14" s="1"/>
  <c r="B1195" i="14" s="1"/>
  <c r="B1196" i="14" s="1"/>
  <c r="B1197" i="14" s="1"/>
  <c r="B1198" i="14" s="1"/>
  <c r="B1199" i="14" s="1"/>
  <c r="B1200" i="14" s="1"/>
  <c r="B1201" i="14" s="1"/>
  <c r="B1202" i="14" s="1"/>
  <c r="B1203" i="14" s="1"/>
  <c r="B1204" i="14" s="1"/>
  <c r="B1205" i="14" s="1"/>
  <c r="B1206" i="14" s="1"/>
  <c r="B1207" i="14" s="1"/>
  <c r="B1208" i="14" s="1"/>
  <c r="B1209" i="14" s="1"/>
  <c r="B1210" i="14" s="1"/>
  <c r="B1211" i="14" s="1"/>
  <c r="B1212" i="14" s="1"/>
  <c r="B1213" i="14" s="1"/>
  <c r="B1214" i="14" s="1"/>
  <c r="B1215" i="14" s="1"/>
  <c r="B1216" i="14" s="1"/>
  <c r="B1217" i="14" s="1"/>
  <c r="B1218" i="14" s="1"/>
  <c r="B1219" i="14" s="1"/>
  <c r="B1220" i="14" s="1"/>
  <c r="B1221" i="14" s="1"/>
  <c r="B1222" i="14" s="1"/>
  <c r="B1223" i="14" s="1"/>
  <c r="B1224" i="14" s="1"/>
  <c r="B1225" i="14" s="1"/>
  <c r="B1226" i="14" s="1"/>
  <c r="B1227" i="14" s="1"/>
  <c r="B1228" i="14" s="1"/>
  <c r="B1229" i="14" s="1"/>
  <c r="B1230" i="14" s="1"/>
  <c r="B1231" i="14" s="1"/>
  <c r="B1232" i="14" s="1"/>
  <c r="B1233" i="14" s="1"/>
  <c r="B1234" i="14" s="1"/>
  <c r="B1235" i="14" s="1"/>
  <c r="B1236" i="14" s="1"/>
  <c r="B1237" i="14" s="1"/>
  <c r="B1238" i="14" s="1"/>
  <c r="B1239" i="14" s="1"/>
  <c r="B1240" i="14" s="1"/>
  <c r="B1241" i="14" s="1"/>
  <c r="B1242" i="14" s="1"/>
  <c r="B1243" i="14" s="1"/>
  <c r="B1244" i="14" s="1"/>
  <c r="B1245" i="14" s="1"/>
  <c r="B1246" i="14" s="1"/>
  <c r="B1247" i="14" s="1"/>
  <c r="B1248" i="14" s="1"/>
  <c r="B1249" i="14" s="1"/>
  <c r="B1250" i="14" s="1"/>
  <c r="B1251" i="14" s="1"/>
  <c r="B1252" i="14" s="1"/>
  <c r="B1253" i="14" s="1"/>
  <c r="B1254" i="14" s="1"/>
  <c r="B1255" i="14" s="1"/>
  <c r="B1256" i="14" s="1"/>
  <c r="B1257" i="14" s="1"/>
  <c r="B1258" i="14" s="1"/>
  <c r="B1259" i="14" s="1"/>
  <c r="B1260" i="14" s="1"/>
  <c r="I511" i="14"/>
  <c r="Q511" i="14" s="1"/>
  <c r="I512" i="14"/>
  <c r="Q512" i="14" s="1"/>
  <c r="Q514" i="14"/>
  <c r="I515" i="14"/>
  <c r="K515" i="14" s="1"/>
  <c r="Q516" i="14"/>
  <c r="I517" i="14"/>
  <c r="Q518" i="14"/>
  <c r="I519" i="14"/>
  <c r="Q520" i="14"/>
  <c r="Q521" i="14"/>
  <c r="I524" i="14"/>
  <c r="I523" i="14" s="1"/>
  <c r="Q523" i="14" s="1"/>
  <c r="I526" i="14"/>
  <c r="Q526" i="14" s="1"/>
  <c r="I527" i="14"/>
  <c r="Q529" i="14"/>
  <c r="I530" i="14"/>
  <c r="K530" i="14" s="1"/>
  <c r="Q531" i="14"/>
  <c r="Q532" i="14"/>
  <c r="Q533" i="14"/>
  <c r="I534" i="14"/>
  <c r="Q534" i="14" s="1"/>
  <c r="Q535" i="14"/>
  <c r="Q536" i="14"/>
  <c r="M538" i="14"/>
  <c r="M537" i="14" s="1"/>
  <c r="Q539" i="14"/>
  <c r="I541" i="14"/>
  <c r="Q541" i="14" s="1"/>
  <c r="I542" i="14"/>
  <c r="Q542" i="14" s="1"/>
  <c r="Q544" i="14"/>
  <c r="I545" i="14"/>
  <c r="Q545" i="14" s="1"/>
  <c r="Q546" i="14"/>
  <c r="I547" i="14"/>
  <c r="Q548" i="14"/>
  <c r="I549" i="14"/>
  <c r="Q549" i="14" s="1"/>
  <c r="Q550" i="14"/>
  <c r="Q551" i="14"/>
  <c r="I553" i="14"/>
  <c r="I554" i="14"/>
  <c r="Q556" i="14"/>
  <c r="Q557" i="14"/>
  <c r="I558" i="14"/>
  <c r="I555" i="14" s="1"/>
  <c r="Q555" i="14" s="1"/>
  <c r="Q559" i="14"/>
  <c r="Q560" i="14"/>
  <c r="Q561" i="14"/>
  <c r="Q562" i="14"/>
  <c r="Q563" i="14"/>
  <c r="Q564" i="14"/>
  <c r="M566" i="14"/>
  <c r="M565" i="14" s="1"/>
  <c r="Q567" i="14"/>
  <c r="I569" i="14"/>
  <c r="Q569" i="14" s="1"/>
  <c r="I570" i="14"/>
  <c r="Q570" i="14" s="1"/>
  <c r="Q572" i="14"/>
  <c r="I573" i="14"/>
  <c r="K573" i="14" s="1"/>
  <c r="Q574" i="14"/>
  <c r="Q575" i="14"/>
  <c r="Q576" i="14"/>
  <c r="Q577" i="14"/>
  <c r="Q578" i="14"/>
  <c r="Q579" i="14"/>
  <c r="M582" i="14"/>
  <c r="O582" i="14" s="1"/>
  <c r="I584" i="14"/>
  <c r="Q584" i="14" s="1"/>
  <c r="I585" i="14"/>
  <c r="Q585" i="14" s="1"/>
  <c r="Q587" i="14"/>
  <c r="Q588" i="14"/>
  <c r="Q589" i="14"/>
  <c r="I590" i="14"/>
  <c r="Q590" i="14" s="1"/>
  <c r="Q591" i="14"/>
  <c r="I592" i="14"/>
  <c r="Q592" i="14" s="1"/>
  <c r="Q593" i="14"/>
  <c r="Q594" i="14"/>
  <c r="I596" i="14"/>
  <c r="I597" i="14"/>
  <c r="Q599" i="14"/>
  <c r="I600" i="14"/>
  <c r="Q601" i="14"/>
  <c r="I602" i="14"/>
  <c r="Q603" i="14"/>
  <c r="Q604" i="14"/>
  <c r="Q605" i="14"/>
  <c r="Q606" i="14"/>
  <c r="M608" i="14"/>
  <c r="Q609" i="14"/>
  <c r="I611" i="14"/>
  <c r="Q611" i="14" s="1"/>
  <c r="I612" i="14"/>
  <c r="Q612" i="14" s="1"/>
  <c r="Q614" i="14"/>
  <c r="Q615" i="14"/>
  <c r="I616" i="14"/>
  <c r="I613" i="14" s="1"/>
  <c r="Q617" i="14"/>
  <c r="Q618" i="14"/>
  <c r="Q619" i="14"/>
  <c r="Q620" i="14"/>
  <c r="Q621" i="14"/>
  <c r="Q622" i="14"/>
  <c r="M624" i="14"/>
  <c r="Q625" i="14"/>
  <c r="M626" i="14"/>
  <c r="Q627" i="14"/>
  <c r="I629" i="14"/>
  <c r="Q629" i="14" s="1"/>
  <c r="I630" i="14"/>
  <c r="Q630" i="14" s="1"/>
  <c r="Q632" i="14"/>
  <c r="Q633" i="14"/>
  <c r="I634" i="14"/>
  <c r="Q634" i="14" s="1"/>
  <c r="Q635" i="14"/>
  <c r="Q636" i="14"/>
  <c r="Q637" i="14"/>
  <c r="I638" i="14"/>
  <c r="Q638" i="14" s="1"/>
  <c r="Q639" i="14"/>
  <c r="Q640" i="14"/>
  <c r="I642" i="14"/>
  <c r="I643" i="14"/>
  <c r="Q643" i="14" s="1"/>
  <c r="Q645" i="14"/>
  <c r="Q646" i="14"/>
  <c r="Q647" i="14"/>
  <c r="Q648" i="14"/>
  <c r="Q649" i="14"/>
  <c r="Q650" i="14"/>
  <c r="I651" i="14"/>
  <c r="I644" i="14" s="1"/>
  <c r="Q652" i="14"/>
  <c r="Q653" i="14"/>
  <c r="M656" i="14"/>
  <c r="M655" i="14" s="1"/>
  <c r="Q655" i="14" s="1"/>
  <c r="I658" i="14"/>
  <c r="Q658" i="14" s="1"/>
  <c r="I659" i="14"/>
  <c r="Q659" i="14" s="1"/>
  <c r="Q661" i="14"/>
  <c r="I662" i="14"/>
  <c r="Q662" i="14" s="1"/>
  <c r="Q663" i="14"/>
  <c r="Q664" i="14"/>
  <c r="Q665" i="14"/>
  <c r="Q666" i="14"/>
  <c r="Q667" i="14"/>
  <c r="Q668" i="14"/>
  <c r="I670" i="14"/>
  <c r="Q670" i="14" s="1"/>
  <c r="I671" i="14"/>
  <c r="Q671" i="14" s="1"/>
  <c r="Q673" i="14"/>
  <c r="I674" i="14"/>
  <c r="I675" i="14"/>
  <c r="Q676" i="14"/>
  <c r="I677" i="14"/>
  <c r="Q678" i="14"/>
  <c r="I679" i="14"/>
  <c r="Q679" i="14" s="1"/>
  <c r="Q680" i="14"/>
  <c r="Q681" i="14"/>
  <c r="M684" i="14"/>
  <c r="O684" i="14" s="1"/>
  <c r="I686" i="14"/>
  <c r="Q686" i="14" s="1"/>
  <c r="I687" i="14"/>
  <c r="Q687" i="14" s="1"/>
  <c r="Q689" i="14"/>
  <c r="Q690" i="14"/>
  <c r="I691" i="14"/>
  <c r="K691" i="14" s="1"/>
  <c r="Q692" i="14"/>
  <c r="Q693" i="14"/>
  <c r="Q694" i="14"/>
  <c r="I695" i="14"/>
  <c r="Q696" i="14"/>
  <c r="Q697" i="14"/>
  <c r="I699" i="14"/>
  <c r="I700" i="14"/>
  <c r="I701" i="14"/>
  <c r="Q702" i="14"/>
  <c r="Q703" i="14"/>
  <c r="Q704" i="14"/>
  <c r="Q705" i="14"/>
  <c r="Q706" i="14"/>
  <c r="Q707" i="14"/>
  <c r="Q708" i="14"/>
  <c r="Q709" i="14"/>
  <c r="I711" i="14"/>
  <c r="Q711" i="14" s="1"/>
  <c r="I712" i="14"/>
  <c r="Q712" i="14" s="1"/>
  <c r="Q714" i="14"/>
  <c r="Q715" i="14"/>
  <c r="I716" i="14"/>
  <c r="K716" i="14" s="1"/>
  <c r="Q717" i="14"/>
  <c r="Q718" i="14"/>
  <c r="I719" i="14"/>
  <c r="Q719" i="14" s="1"/>
  <c r="Q720" i="14"/>
  <c r="Q721" i="14"/>
  <c r="I723" i="14"/>
  <c r="I724" i="14"/>
  <c r="Q726" i="14"/>
  <c r="Q727" i="14"/>
  <c r="I728" i="14"/>
  <c r="K728" i="14" s="1"/>
  <c r="Q729" i="14"/>
  <c r="Q730" i="14"/>
  <c r="Q731" i="14"/>
  <c r="I732" i="14"/>
  <c r="Q732" i="14" s="1"/>
  <c r="Q733" i="14"/>
  <c r="Q734" i="14"/>
  <c r="I737" i="14"/>
  <c r="K737" i="14" s="1"/>
  <c r="I738" i="14"/>
  <c r="I739" i="14"/>
  <c r="Q740" i="14"/>
  <c r="I742" i="14"/>
  <c r="I743" i="14"/>
  <c r="Q745" i="14"/>
  <c r="I746" i="14"/>
  <c r="I744" i="14" s="1"/>
  <c r="Q744" i="14" s="1"/>
  <c r="Q747" i="14"/>
  <c r="Q748" i="14"/>
  <c r="Q749" i="14"/>
  <c r="Q750" i="14"/>
  <c r="Q751" i="14"/>
  <c r="I752" i="14"/>
  <c r="Q752" i="14" s="1"/>
  <c r="I753" i="14"/>
  <c r="Q755" i="14"/>
  <c r="I756" i="14"/>
  <c r="Q756" i="14" s="1"/>
  <c r="I757" i="14"/>
  <c r="Q757" i="14" s="1"/>
  <c r="Q758" i="14"/>
  <c r="Q759" i="14"/>
  <c r="Q760" i="14"/>
  <c r="Q761" i="14"/>
  <c r="Q762" i="14"/>
  <c r="I764" i="14"/>
  <c r="K764" i="14" s="1"/>
  <c r="I765" i="14"/>
  <c r="I767" i="14"/>
  <c r="Q767" i="14" s="1"/>
  <c r="Q768" i="14"/>
  <c r="Q769" i="14"/>
  <c r="I770" i="14"/>
  <c r="Q771" i="14"/>
  <c r="I772" i="14"/>
  <c r="Q772" i="14" s="1"/>
  <c r="I773" i="14"/>
  <c r="Q775" i="14"/>
  <c r="I776" i="14"/>
  <c r="Q776" i="14" s="1"/>
  <c r="I777" i="14"/>
  <c r="Q778" i="14"/>
  <c r="Q779" i="14"/>
  <c r="Q780" i="14"/>
  <c r="I781" i="14"/>
  <c r="Q781" i="14" s="1"/>
  <c r="Q782" i="14"/>
  <c r="Q783" i="14"/>
  <c r="I785" i="14"/>
  <c r="Q785" i="14" s="1"/>
  <c r="I786" i="14"/>
  <c r="I787" i="14"/>
  <c r="Q788" i="14"/>
  <c r="Q789" i="14"/>
  <c r="Q790" i="14"/>
  <c r="Q791" i="14"/>
  <c r="Q792" i="14"/>
  <c r="Q793" i="14"/>
  <c r="Q794" i="14"/>
  <c r="I795" i="14"/>
  <c r="Q795" i="14" s="1"/>
  <c r="I796" i="14"/>
  <c r="Q796" i="14" s="1"/>
  <c r="Q798" i="14"/>
  <c r="I799" i="14"/>
  <c r="Q799" i="14" s="1"/>
  <c r="I800" i="14"/>
  <c r="Q800" i="14" s="1"/>
  <c r="I801" i="14"/>
  <c r="Q801" i="14" s="1"/>
  <c r="Q802" i="14"/>
  <c r="Q803" i="14"/>
  <c r="Q804" i="14"/>
  <c r="Q805" i="14"/>
  <c r="Q806" i="14"/>
  <c r="M809" i="14"/>
  <c r="Q811" i="14"/>
  <c r="Q812" i="14"/>
  <c r="I813" i="14"/>
  <c r="Q814" i="14"/>
  <c r="Q815" i="14"/>
  <c r="Q816" i="14"/>
  <c r="Q817" i="14"/>
  <c r="Q818" i="14"/>
  <c r="Q819" i="14"/>
  <c r="Q820" i="14"/>
  <c r="Q821" i="14"/>
  <c r="I822" i="14"/>
  <c r="Q822" i="14" s="1"/>
  <c r="I823" i="14"/>
  <c r="Q823" i="14" s="1"/>
  <c r="Q825" i="14"/>
  <c r="Q826" i="14"/>
  <c r="I827" i="14"/>
  <c r="Q827" i="14" s="1"/>
  <c r="Q829" i="14"/>
  <c r="Q830" i="14"/>
  <c r="I831" i="14"/>
  <c r="Q831" i="14" s="1"/>
  <c r="Q832" i="14"/>
  <c r="Q833" i="14"/>
  <c r="M835" i="14"/>
  <c r="Q835" i="14" s="1"/>
  <c r="Q836" i="14"/>
  <c r="I838" i="14"/>
  <c r="Q838" i="14" s="1"/>
  <c r="I839" i="14"/>
  <c r="Q839" i="14" s="1"/>
  <c r="I840" i="14"/>
  <c r="Q841" i="14"/>
  <c r="Q842" i="14"/>
  <c r="Q843" i="14"/>
  <c r="Q844" i="14"/>
  <c r="Q845" i="14"/>
  <c r="Q846" i="14"/>
  <c r="Q847" i="14"/>
  <c r="I848" i="14"/>
  <c r="Q848" i="14" s="1"/>
  <c r="I849" i="14"/>
  <c r="Q849" i="14" s="1"/>
  <c r="Q851" i="14"/>
  <c r="Q852" i="14"/>
  <c r="I853" i="14"/>
  <c r="Q853" i="14" s="1"/>
  <c r="Q854" i="14"/>
  <c r="Q855" i="14"/>
  <c r="I856" i="14"/>
  <c r="Q856" i="14" s="1"/>
  <c r="Q857" i="14"/>
  <c r="Q858" i="14"/>
  <c r="M860" i="14"/>
  <c r="Q861" i="14"/>
  <c r="M862" i="14"/>
  <c r="Q862" i="14" s="1"/>
  <c r="Q863" i="14"/>
  <c r="Q865" i="14"/>
  <c r="M866" i="14"/>
  <c r="O866" i="14" s="1"/>
  <c r="M867" i="14"/>
  <c r="Q867" i="14" s="1"/>
  <c r="I869" i="14"/>
  <c r="Q869" i="14" s="1"/>
  <c r="I870" i="14"/>
  <c r="Q870" i="14" s="1"/>
  <c r="Q872" i="14"/>
  <c r="I873" i="14"/>
  <c r="K873" i="14" s="1"/>
  <c r="Q874" i="14"/>
  <c r="Q875" i="14"/>
  <c r="Q876" i="14"/>
  <c r="I877" i="14"/>
  <c r="Q877" i="14" s="1"/>
  <c r="I878" i="14"/>
  <c r="Q878" i="14" s="1"/>
  <c r="I879" i="14"/>
  <c r="Q879" i="14" s="1"/>
  <c r="I880" i="14"/>
  <c r="Q882" i="14"/>
  <c r="I883" i="14"/>
  <c r="I884" i="14"/>
  <c r="Q885" i="14"/>
  <c r="Q886" i="14"/>
  <c r="Q887" i="14"/>
  <c r="I888" i="14"/>
  <c r="I889" i="14"/>
  <c r="Q890" i="14"/>
  <c r="M892" i="14"/>
  <c r="Q892" i="14" s="1"/>
  <c r="Q893" i="14"/>
  <c r="M894" i="14"/>
  <c r="Q895" i="14"/>
  <c r="I897" i="14"/>
  <c r="Q897" i="14" s="1"/>
  <c r="Q898" i="14"/>
  <c r="Q900" i="14"/>
  <c r="I901" i="14"/>
  <c r="Q901" i="14" s="1"/>
  <c r="I902" i="14"/>
  <c r="Q902" i="14" s="1"/>
  <c r="Q903" i="14"/>
  <c r="Q904" i="14"/>
  <c r="I905" i="14"/>
  <c r="Q906" i="14"/>
  <c r="I907" i="14"/>
  <c r="I908" i="14"/>
  <c r="Q910" i="14"/>
  <c r="I911" i="14"/>
  <c r="Q911" i="14" s="1"/>
  <c r="I912" i="14"/>
  <c r="Q912" i="14" s="1"/>
  <c r="Q913" i="14"/>
  <c r="Q914" i="14"/>
  <c r="I915" i="14"/>
  <c r="Q916" i="14"/>
  <c r="Q917" i="14"/>
  <c r="I919" i="14"/>
  <c r="Q919" i="14" s="1"/>
  <c r="I920" i="14"/>
  <c r="Q920" i="14" s="1"/>
  <c r="I921" i="14"/>
  <c r="Q921" i="14" s="1"/>
  <c r="Q922" i="14"/>
  <c r="Q923" i="14"/>
  <c r="Q924" i="14"/>
  <c r="Q925" i="14"/>
  <c r="Q926" i="14"/>
  <c r="I927" i="14"/>
  <c r="I928" i="14"/>
  <c r="I930" i="14"/>
  <c r="I931" i="14"/>
  <c r="Q931" i="14" s="1"/>
  <c r="Q932" i="14"/>
  <c r="Q933" i="14"/>
  <c r="Q934" i="14"/>
  <c r="Q935" i="14"/>
  <c r="M937" i="14"/>
  <c r="M936" i="14" s="1"/>
  <c r="Q938" i="14"/>
  <c r="I940" i="14"/>
  <c r="Q940" i="14" s="1"/>
  <c r="Q941" i="14"/>
  <c r="Q942" i="14"/>
  <c r="Q943" i="14"/>
  <c r="Q944" i="14"/>
  <c r="Q945" i="14"/>
  <c r="Q946" i="14"/>
  <c r="Q947" i="14"/>
  <c r="Q948" i="14"/>
  <c r="Q949" i="14"/>
  <c r="Q951" i="14"/>
  <c r="I952" i="14"/>
  <c r="Q952" i="14" s="1"/>
  <c r="Q954" i="14"/>
  <c r="Q955" i="14"/>
  <c r="Q956" i="14"/>
  <c r="Q957" i="14"/>
  <c r="Q958" i="14"/>
  <c r="Q959" i="14"/>
  <c r="I960" i="14"/>
  <c r="K960" i="14" s="1"/>
  <c r="Q961" i="14"/>
  <c r="Q963" i="14"/>
  <c r="Q964" i="14"/>
  <c r="I965" i="14"/>
  <c r="I962" i="14" s="1"/>
  <c r="Q962" i="14" s="1"/>
  <c r="Q966" i="14"/>
  <c r="Q967" i="14"/>
  <c r="Q968" i="14"/>
  <c r="Q969" i="14"/>
  <c r="Q970" i="14"/>
  <c r="Q972" i="14"/>
  <c r="Q973" i="14"/>
  <c r="I974" i="14"/>
  <c r="Q975" i="14"/>
  <c r="Q976" i="14"/>
  <c r="Q977" i="14"/>
  <c r="Q978" i="14"/>
  <c r="I980" i="14"/>
  <c r="Q980" i="14" s="1"/>
  <c r="I981" i="14"/>
  <c r="Q981" i="14" s="1"/>
  <c r="I982" i="14"/>
  <c r="Q983" i="14"/>
  <c r="Q984" i="14"/>
  <c r="Q985" i="14"/>
  <c r="Q986" i="14"/>
  <c r="Q987" i="14"/>
  <c r="Q989" i="14"/>
  <c r="Q990" i="14"/>
  <c r="I991" i="14"/>
  <c r="I988" i="14" s="1"/>
  <c r="Q988" i="14" s="1"/>
  <c r="Q992" i="14"/>
  <c r="Q993" i="14"/>
  <c r="Q994" i="14"/>
  <c r="Q995" i="14"/>
  <c r="Q996" i="14"/>
  <c r="I998" i="14"/>
  <c r="Q998" i="14" s="1"/>
  <c r="I999" i="14"/>
  <c r="Q999" i="14" s="1"/>
  <c r="Q1001" i="14"/>
  <c r="I1002" i="14"/>
  <c r="I1003" i="14"/>
  <c r="Q1004" i="14"/>
  <c r="Q1005" i="14"/>
  <c r="I1007" i="14"/>
  <c r="Q1007" i="14" s="1"/>
  <c r="I1008" i="14"/>
  <c r="Q1008" i="14" s="1"/>
  <c r="I1009" i="14"/>
  <c r="Q1009" i="14" s="1"/>
  <c r="Q1010" i="14"/>
  <c r="Q1011" i="14"/>
  <c r="Q1012" i="14"/>
  <c r="Q1013" i="14"/>
  <c r="Q1014" i="14"/>
  <c r="Q1016" i="14"/>
  <c r="Q1017" i="14"/>
  <c r="I1018" i="14"/>
  <c r="Q1019" i="14"/>
  <c r="Q1020" i="14"/>
  <c r="Q1021" i="14"/>
  <c r="Q1022" i="14"/>
  <c r="Q1023" i="14"/>
  <c r="Q1025" i="14"/>
  <c r="Q1026" i="14"/>
  <c r="I1027" i="14"/>
  <c r="Q1028" i="14"/>
  <c r="Q1029" i="14"/>
  <c r="Q1030" i="14"/>
  <c r="Q1031" i="14"/>
  <c r="Q1032" i="14"/>
  <c r="I1034" i="14"/>
  <c r="I1035" i="14"/>
  <c r="Q1037" i="14"/>
  <c r="Q1038" i="14"/>
  <c r="Q1039" i="14"/>
  <c r="Q1040" i="14"/>
  <c r="I1041" i="14"/>
  <c r="Q1041" i="14" s="1"/>
  <c r="I1042" i="14"/>
  <c r="Q1042" i="14" s="1"/>
  <c r="Q1043" i="14"/>
  <c r="M1045" i="14"/>
  <c r="Q1046" i="14"/>
  <c r="M1047" i="14"/>
  <c r="Q1048" i="14"/>
  <c r="I1050" i="14"/>
  <c r="Q1051" i="14"/>
  <c r="I1052" i="14"/>
  <c r="Q1053" i="14"/>
  <c r="Q1054" i="14"/>
  <c r="Q1055" i="14"/>
  <c r="Q1056" i="14"/>
  <c r="Q1057" i="14"/>
  <c r="Q1058" i="14"/>
  <c r="Q1059" i="14"/>
  <c r="Q1060" i="14"/>
  <c r="Q1061" i="14"/>
  <c r="Q1062" i="14"/>
  <c r="Q1063" i="14"/>
  <c r="Q1064" i="14"/>
  <c r="Q1065" i="14"/>
  <c r="Q1066" i="14"/>
  <c r="Q1069" i="14"/>
  <c r="Q1070" i="14"/>
  <c r="Q1072" i="14"/>
  <c r="I1073" i="14"/>
  <c r="Q1074" i="14"/>
  <c r="Q1075" i="14"/>
  <c r="I1076" i="14"/>
  <c r="Q1076" i="14" s="1"/>
  <c r="Q1077" i="14"/>
  <c r="M1079" i="14"/>
  <c r="M1078" i="14" s="1"/>
  <c r="M1068" i="14" s="1"/>
  <c r="Q1080" i="14"/>
  <c r="Q1082" i="14"/>
  <c r="Q1083" i="14"/>
  <c r="I1084" i="14"/>
  <c r="Q1085" i="14"/>
  <c r="Q1086" i="14"/>
  <c r="Q1087" i="14"/>
  <c r="Q1088" i="14"/>
  <c r="Q1089" i="14"/>
  <c r="Q1091" i="14"/>
  <c r="Q1092" i="14"/>
  <c r="I1093" i="14"/>
  <c r="Q1094" i="14"/>
  <c r="Q1095" i="14"/>
  <c r="Q1096" i="14"/>
  <c r="Q1097" i="14"/>
  <c r="Q1098" i="14"/>
  <c r="Q1100" i="14"/>
  <c r="Q1101" i="14"/>
  <c r="Q1103" i="14"/>
  <c r="I1104" i="14"/>
  <c r="K1104" i="14" s="1"/>
  <c r="I1105" i="14"/>
  <c r="Q1105" i="14" s="1"/>
  <c r="Q1106" i="14"/>
  <c r="Q1107" i="14"/>
  <c r="Q1109" i="14"/>
  <c r="Q1110" i="14"/>
  <c r="I1111" i="14"/>
  <c r="I1108" i="14" s="1"/>
  <c r="Q1108" i="14" s="1"/>
  <c r="Q1112" i="14"/>
  <c r="Q1113" i="14"/>
  <c r="Q1114" i="14"/>
  <c r="Q1115" i="14"/>
  <c r="Q1116" i="14"/>
  <c r="Q1118" i="14"/>
  <c r="Q1119" i="14"/>
  <c r="I1120" i="14"/>
  <c r="Q1121" i="14"/>
  <c r="Q1122" i="14"/>
  <c r="Q1123" i="14"/>
  <c r="Q1124" i="14"/>
  <c r="Q1125" i="14"/>
  <c r="Q1127" i="14"/>
  <c r="Q1128" i="14"/>
  <c r="I1129" i="14"/>
  <c r="Q1130" i="14"/>
  <c r="Q1131" i="14"/>
  <c r="Q1132" i="14"/>
  <c r="Q1133" i="14"/>
  <c r="Q1134" i="14"/>
  <c r="Q1136" i="14"/>
  <c r="Q1137" i="14"/>
  <c r="I1138" i="14"/>
  <c r="Q1139" i="14"/>
  <c r="Q1140" i="14"/>
  <c r="Q1141" i="14"/>
  <c r="Q1142" i="14"/>
  <c r="Q1143" i="14"/>
  <c r="Q1145" i="14"/>
  <c r="Q1146" i="14"/>
  <c r="I1147" i="14"/>
  <c r="Q1147" i="14" s="1"/>
  <c r="Q1148" i="14"/>
  <c r="Q1149" i="14"/>
  <c r="Q1150" i="14"/>
  <c r="Q1151" i="14"/>
  <c r="Q1152" i="14"/>
  <c r="Q1154" i="14"/>
  <c r="Q1155" i="14"/>
  <c r="I1156" i="14"/>
  <c r="Q1156" i="14" s="1"/>
  <c r="Q1157" i="14"/>
  <c r="Q1158" i="14"/>
  <c r="Q1159" i="14"/>
  <c r="Q1160" i="14"/>
  <c r="Q1161" i="14"/>
  <c r="Q1163" i="14"/>
  <c r="Q1164" i="14"/>
  <c r="Q1166" i="14"/>
  <c r="I1167" i="14"/>
  <c r="I1168" i="14"/>
  <c r="Q1169" i="14"/>
  <c r="Q1170" i="14"/>
  <c r="Q1172" i="14"/>
  <c r="Q1173" i="14"/>
  <c r="I1174" i="14"/>
  <c r="Q1175" i="14"/>
  <c r="Q1176" i="14"/>
  <c r="Q1177" i="14"/>
  <c r="Q1178" i="14"/>
  <c r="Q1179" i="14"/>
  <c r="Q1181" i="14"/>
  <c r="Q1182" i="14"/>
  <c r="Q1184" i="14"/>
  <c r="I1185" i="14"/>
  <c r="Q1185" i="14" s="1"/>
  <c r="I1186" i="14"/>
  <c r="Q1186" i="14" s="1"/>
  <c r="Q1187" i="14"/>
  <c r="Q1188" i="14"/>
  <c r="Q1190" i="14"/>
  <c r="Q1191" i="14"/>
  <c r="Q1193" i="14"/>
  <c r="I1194" i="14"/>
  <c r="I1195" i="14"/>
  <c r="Q1196" i="14"/>
  <c r="Q1197" i="14"/>
  <c r="Q1199" i="14"/>
  <c r="Q1200" i="14"/>
  <c r="I1201" i="14"/>
  <c r="I1198" i="14" s="1"/>
  <c r="Q1198" i="14" s="1"/>
  <c r="Q1202" i="14"/>
  <c r="Q1203" i="14"/>
  <c r="Q1204" i="14"/>
  <c r="Q1205" i="14"/>
  <c r="Q1206" i="14"/>
  <c r="Q1208" i="14"/>
  <c r="Q1209" i="14"/>
  <c r="Q1211" i="14"/>
  <c r="Q1212" i="14"/>
  <c r="I1213" i="14"/>
  <c r="Q1214" i="14"/>
  <c r="Q1215" i="14"/>
  <c r="M1217" i="14"/>
  <c r="M1216" i="14" s="1"/>
  <c r="Q1218" i="14"/>
  <c r="Q1220" i="14"/>
  <c r="Q1221" i="14"/>
  <c r="I1222" i="14"/>
  <c r="Q1222" i="14" s="1"/>
  <c r="Q1223" i="14"/>
  <c r="Q1224" i="14"/>
  <c r="Q1225" i="14"/>
  <c r="Q1226" i="14"/>
  <c r="Q1227" i="14"/>
  <c r="Q1228" i="14"/>
  <c r="Q1229" i="14"/>
  <c r="I1230" i="14"/>
  <c r="Q1231" i="14"/>
  <c r="Q1232" i="14"/>
  <c r="Q1233" i="14"/>
  <c r="Q1234" i="14"/>
  <c r="Q1235" i="14"/>
  <c r="Q1237" i="14"/>
  <c r="Q1238" i="14"/>
  <c r="I1239" i="14"/>
  <c r="Q1239" i="14" s="1"/>
  <c r="Q1240" i="14"/>
  <c r="Q1241" i="14"/>
  <c r="Q1242" i="14"/>
  <c r="Q1243" i="14"/>
  <c r="Q1244" i="14"/>
  <c r="Q1245" i="14"/>
  <c r="I1246" i="14"/>
  <c r="Q1246" i="14" s="1"/>
  <c r="Q1247" i="14"/>
  <c r="Q1248" i="14"/>
  <c r="Q1249" i="14"/>
  <c r="Q1250" i="14"/>
  <c r="Q1251" i="14"/>
  <c r="M1253" i="14"/>
  <c r="Q1254" i="14"/>
  <c r="M1257" i="14"/>
  <c r="M1256" i="14" s="1"/>
  <c r="Q1258" i="14"/>
  <c r="Q1260" i="14"/>
  <c r="Q1261" i="14"/>
  <c r="I1262" i="14"/>
  <c r="Q1262" i="14" s="1"/>
  <c r="Q1263" i="14"/>
  <c r="Q1264" i="14"/>
  <c r="Q1265" i="14"/>
  <c r="Q1266" i="14"/>
  <c r="Q1267" i="14"/>
  <c r="Q1268" i="14"/>
  <c r="Q1269" i="14"/>
  <c r="Q1271" i="14"/>
  <c r="I1272" i="14"/>
  <c r="I1270" i="14" s="1"/>
  <c r="Q1270" i="14" s="1"/>
  <c r="Q1273" i="14"/>
  <c r="Q1274" i="14"/>
  <c r="Q1275" i="14"/>
  <c r="Q1276" i="14"/>
  <c r="M1278" i="14"/>
  <c r="M1277" i="14" s="1"/>
  <c r="Q1279" i="14"/>
  <c r="I1281" i="14"/>
  <c r="Q1281" i="14" s="1"/>
  <c r="Q1282" i="14"/>
  <c r="I1283" i="14"/>
  <c r="Q1283" i="14" s="1"/>
  <c r="I1284" i="14"/>
  <c r="Q1286" i="14"/>
  <c r="I1287" i="14"/>
  <c r="I1285" i="14" s="1"/>
  <c r="Q1285" i="14" s="1"/>
  <c r="Q1288" i="14"/>
  <c r="Q1289" i="14"/>
  <c r="Q1290" i="14"/>
  <c r="I1291" i="14"/>
  <c r="Q1291" i="14" s="1"/>
  <c r="I1292" i="14"/>
  <c r="Q1292" i="14" s="1"/>
  <c r="Q1294" i="14"/>
  <c r="I1295" i="14"/>
  <c r="Q1296" i="14"/>
  <c r="Q1297" i="14"/>
  <c r="Q1298" i="14"/>
  <c r="Q1299" i="14"/>
  <c r="M1301" i="14"/>
  <c r="Q1302" i="14"/>
  <c r="Q1303" i="14"/>
  <c r="Q1305" i="14"/>
  <c r="Q1306" i="14"/>
  <c r="I1307" i="14"/>
  <c r="Q1307" i="14" s="1"/>
  <c r="Q1308" i="14"/>
  <c r="Q1309" i="14"/>
  <c r="Q1310" i="14"/>
  <c r="Q1311" i="14"/>
  <c r="Q1312" i="14"/>
  <c r="Q1313" i="14"/>
  <c r="Q1314" i="14"/>
  <c r="I1315" i="14"/>
  <c r="Q1316" i="14"/>
  <c r="Q1317" i="14"/>
  <c r="Q1318" i="14"/>
  <c r="Q1319" i="14"/>
  <c r="Q1320" i="14"/>
  <c r="Q1321" i="14"/>
  <c r="Q1323" i="14"/>
  <c r="Q1324" i="14"/>
  <c r="I1325" i="14"/>
  <c r="Q1326" i="14"/>
  <c r="Q1327" i="14"/>
  <c r="Q1328" i="14"/>
  <c r="Q1329" i="14"/>
  <c r="Q1330" i="14"/>
  <c r="Q1331" i="14"/>
  <c r="Q1332" i="14"/>
  <c r="I1333" i="14"/>
  <c r="Q1333" i="14" s="1"/>
  <c r="Q1334" i="14"/>
  <c r="Q1335" i="14"/>
  <c r="Q1336" i="14"/>
  <c r="Q1337" i="14"/>
  <c r="Q1338" i="14"/>
  <c r="Q1339" i="14"/>
  <c r="I1341" i="14"/>
  <c r="Q1341" i="14" s="1"/>
  <c r="Q1342" i="14"/>
  <c r="Q1343" i="14"/>
  <c r="Q1344" i="14"/>
  <c r="I1345" i="14"/>
  <c r="Q1345" i="14" s="1"/>
  <c r="Q1346" i="14"/>
  <c r="Q1347" i="14"/>
  <c r="Q1348" i="14"/>
  <c r="Q1349" i="14"/>
  <c r="Q1350" i="14"/>
  <c r="Q1351" i="14"/>
  <c r="Q1352" i="14"/>
  <c r="I1353" i="14"/>
  <c r="Q1353" i="14" s="1"/>
  <c r="Q1354" i="14"/>
  <c r="Q1355" i="14"/>
  <c r="Q1356" i="14"/>
  <c r="Q1357" i="14"/>
  <c r="Q1358" i="14"/>
  <c r="Q1359" i="14"/>
  <c r="I1361" i="14"/>
  <c r="Q1361" i="14" s="1"/>
  <c r="Q1362" i="14"/>
  <c r="I1364" i="14"/>
  <c r="Q1364" i="14" s="1"/>
  <c r="I1365" i="14"/>
  <c r="Q1365" i="14" s="1"/>
  <c r="I1366" i="14"/>
  <c r="Q1367" i="14"/>
  <c r="P1368" i="14"/>
  <c r="Q1369" i="14"/>
  <c r="Q1370" i="14"/>
  <c r="I1371" i="14"/>
  <c r="I1368" i="14" s="1"/>
  <c r="Q1368" i="14" s="1"/>
  <c r="Q1372" i="14"/>
  <c r="Q1373" i="14"/>
  <c r="Q1374" i="14"/>
  <c r="I1376" i="14"/>
  <c r="P1376" i="14"/>
  <c r="P1375" i="14" s="1"/>
  <c r="Q1377" i="14"/>
  <c r="Q1378" i="14"/>
  <c r="B378" i="14"/>
  <c r="B379" i="14" s="1"/>
  <c r="B380" i="14" s="1"/>
  <c r="B381" i="14" s="1"/>
  <c r="B382" i="14" s="1"/>
  <c r="B383" i="14" s="1"/>
  <c r="B384" i="14" s="1"/>
  <c r="B385" i="14" s="1"/>
  <c r="B386" i="14" s="1"/>
  <c r="B387" i="14" s="1"/>
  <c r="B388" i="14" s="1"/>
  <c r="B389" i="14" s="1"/>
  <c r="B390" i="14" s="1"/>
  <c r="B391" i="14" s="1"/>
  <c r="B392" i="14" s="1"/>
  <c r="B393" i="14" s="1"/>
  <c r="B394" i="14" s="1"/>
  <c r="B395" i="14" s="1"/>
  <c r="B396" i="14" s="1"/>
  <c r="B397" i="14" s="1"/>
  <c r="B398" i="14" s="1"/>
  <c r="B399" i="14" s="1"/>
  <c r="B400" i="14" s="1"/>
  <c r="B401" i="14" s="1"/>
  <c r="B402" i="14" s="1"/>
  <c r="B403" i="14" s="1"/>
  <c r="B404" i="14" s="1"/>
  <c r="B405" i="14" s="1"/>
  <c r="B406" i="14" s="1"/>
  <c r="B407" i="14" s="1"/>
  <c r="B408" i="14" s="1"/>
  <c r="B409" i="14" s="1"/>
  <c r="B410" i="14" s="1"/>
  <c r="B411" i="14" s="1"/>
  <c r="B412" i="14" s="1"/>
  <c r="B413" i="14" s="1"/>
  <c r="B414" i="14" s="1"/>
  <c r="B415" i="14" s="1"/>
  <c r="B416" i="14" s="1"/>
  <c r="B417" i="14" s="1"/>
  <c r="B418" i="14" s="1"/>
  <c r="B419" i="14" s="1"/>
  <c r="B420" i="14" s="1"/>
  <c r="B421" i="14" s="1"/>
  <c r="B422" i="14" s="1"/>
  <c r="B423" i="14" s="1"/>
  <c r="B424" i="14" s="1"/>
  <c r="B425" i="14" s="1"/>
  <c r="B426" i="14" s="1"/>
  <c r="B427" i="14" s="1"/>
  <c r="B428" i="14" s="1"/>
  <c r="B429" i="14" s="1"/>
  <c r="B430" i="14" s="1"/>
  <c r="B431" i="14" s="1"/>
  <c r="B433" i="14" s="1"/>
  <c r="B434" i="14" s="1"/>
  <c r="B435" i="14" s="1"/>
  <c r="B436" i="14" s="1"/>
  <c r="B437" i="14" s="1"/>
  <c r="B438" i="14" s="1"/>
  <c r="B439" i="14" s="1"/>
  <c r="B440" i="14" s="1"/>
  <c r="B441" i="14" s="1"/>
  <c r="B442" i="14" s="1"/>
  <c r="B443" i="14" s="1"/>
  <c r="B444" i="14" s="1"/>
  <c r="B445" i="14" s="1"/>
  <c r="B446" i="14" s="1"/>
  <c r="B447" i="14" s="1"/>
  <c r="B448" i="14" s="1"/>
  <c r="B449" i="14" s="1"/>
  <c r="B450" i="14" s="1"/>
  <c r="B451" i="14" s="1"/>
  <c r="I379" i="14"/>
  <c r="Q379" i="14" s="1"/>
  <c r="Q380" i="14"/>
  <c r="I382" i="14"/>
  <c r="Q382" i="14" s="1"/>
  <c r="I383" i="14"/>
  <c r="Q383" i="14" s="1"/>
  <c r="I384" i="14"/>
  <c r="Q384" i="14" s="1"/>
  <c r="M386" i="14"/>
  <c r="Q387" i="14"/>
  <c r="Q388" i="14"/>
  <c r="M390" i="14"/>
  <c r="M391" i="14"/>
  <c r="Q392" i="14"/>
  <c r="Q393" i="14"/>
  <c r="Q394" i="14"/>
  <c r="I398" i="14"/>
  <c r="Q398" i="14" s="1"/>
  <c r="M400" i="14"/>
  <c r="Q400" i="14" s="1"/>
  <c r="Q401" i="14"/>
  <c r="M403" i="14"/>
  <c r="M402" i="14" s="1"/>
  <c r="Q405" i="14"/>
  <c r="Q406" i="14"/>
  <c r="Q408" i="14"/>
  <c r="I409" i="14"/>
  <c r="Q409" i="14" s="1"/>
  <c r="Q410" i="14"/>
  <c r="I411" i="14"/>
  <c r="Q411" i="14" s="1"/>
  <c r="Q412" i="14"/>
  <c r="I413" i="14"/>
  <c r="Q413" i="14" s="1"/>
  <c r="Q414" i="14"/>
  <c r="I417" i="14"/>
  <c r="K417" i="14" s="1"/>
  <c r="Q418" i="14"/>
  <c r="Q419" i="14"/>
  <c r="Q420" i="14"/>
  <c r="Q424" i="14"/>
  <c r="Q425" i="14"/>
  <c r="Q426" i="14"/>
  <c r="M427" i="14"/>
  <c r="Q427" i="14" s="1"/>
  <c r="Q428" i="14"/>
  <c r="Q429" i="14"/>
  <c r="Q430" i="14"/>
  <c r="M431" i="14"/>
  <c r="Q431" i="14" s="1"/>
  <c r="Q432" i="14"/>
  <c r="Q433" i="14"/>
  <c r="M434" i="14"/>
  <c r="Q434" i="14" s="1"/>
  <c r="Q435" i="14"/>
  <c r="M436" i="14"/>
  <c r="Q436" i="14" s="1"/>
  <c r="Q437" i="14"/>
  <c r="Q438" i="14"/>
  <c r="M439" i="14"/>
  <c r="Q439" i="14" s="1"/>
  <c r="Q440" i="14"/>
  <c r="Q441" i="14"/>
  <c r="Q442" i="14"/>
  <c r="Q443" i="14"/>
  <c r="Q444" i="14"/>
  <c r="Q445" i="14"/>
  <c r="M446" i="14"/>
  <c r="Q447" i="14"/>
  <c r="Q448" i="14"/>
  <c r="Q449" i="14"/>
  <c r="Q450" i="14"/>
  <c r="Q451" i="14"/>
  <c r="M452" i="14"/>
  <c r="Q452" i="14" s="1"/>
  <c r="Q453" i="14"/>
  <c r="Q454" i="14"/>
  <c r="Q455" i="14"/>
  <c r="Q456" i="14"/>
  <c r="Q457" i="14"/>
  <c r="M459" i="14"/>
  <c r="Q459" i="14" s="1"/>
  <c r="M460" i="14"/>
  <c r="Q460" i="14" s="1"/>
  <c r="M461" i="14"/>
  <c r="Q461" i="14" s="1"/>
  <c r="M462" i="14"/>
  <c r="Q462" i="14" s="1"/>
  <c r="M463" i="14"/>
  <c r="Q464" i="14"/>
  <c r="Q465" i="14"/>
  <c r="M466" i="14"/>
  <c r="Q467" i="14"/>
  <c r="Q468" i="14"/>
  <c r="Q469" i="14"/>
  <c r="Q470" i="14"/>
  <c r="M471" i="14"/>
  <c r="Q471" i="14" s="1"/>
  <c r="Q472" i="14"/>
  <c r="M473" i="14"/>
  <c r="Q473" i="14" s="1"/>
  <c r="Q474" i="14"/>
  <c r="Q475" i="14"/>
  <c r="Q476" i="14"/>
  <c r="Q477" i="14"/>
  <c r="Q478" i="14"/>
  <c r="Q479" i="14"/>
  <c r="Q480" i="14"/>
  <c r="Q481" i="14"/>
  <c r="Q482" i="14"/>
  <c r="M483" i="14"/>
  <c r="M484" i="14"/>
  <c r="Q485" i="14"/>
  <c r="Q486" i="14"/>
  <c r="Q487" i="14"/>
  <c r="M488" i="14"/>
  <c r="Q488" i="14" s="1"/>
  <c r="Q489" i="14"/>
  <c r="M490" i="14"/>
  <c r="Q490" i="14" s="1"/>
  <c r="Q491" i="14"/>
  <c r="Q492" i="14"/>
  <c r="M493" i="14"/>
  <c r="Q493" i="14" s="1"/>
  <c r="Q494" i="14"/>
  <c r="M495" i="14"/>
  <c r="Q495" i="14" s="1"/>
  <c r="M496" i="14"/>
  <c r="Q496" i="14" s="1"/>
  <c r="Q497" i="14"/>
  <c r="Q498" i="14"/>
  <c r="B304" i="14"/>
  <c r="B305" i="14" s="1"/>
  <c r="B306" i="14" s="1"/>
  <c r="B307" i="14" s="1"/>
  <c r="B308" i="14" s="1"/>
  <c r="B309" i="14" s="1"/>
  <c r="B310" i="14" s="1"/>
  <c r="B311" i="14" s="1"/>
  <c r="B312" i="14" s="1"/>
  <c r="B313" i="14" s="1"/>
  <c r="B314" i="14" s="1"/>
  <c r="B315" i="14" s="1"/>
  <c r="B316" i="14" s="1"/>
  <c r="B317" i="14" s="1"/>
  <c r="B318" i="14" s="1"/>
  <c r="B319" i="14" s="1"/>
  <c r="B320" i="14" s="1"/>
  <c r="B321" i="14" s="1"/>
  <c r="B322" i="14" s="1"/>
  <c r="B323" i="14" s="1"/>
  <c r="B324" i="14" s="1"/>
  <c r="B325" i="14" s="1"/>
  <c r="B326" i="14" s="1"/>
  <c r="B327" i="14" s="1"/>
  <c r="B328" i="14" s="1"/>
  <c r="B329" i="14" s="1"/>
  <c r="B330" i="14" s="1"/>
  <c r="B331" i="14" s="1"/>
  <c r="B332" i="14" s="1"/>
  <c r="B333" i="14" s="1"/>
  <c r="B334" i="14" s="1"/>
  <c r="B335" i="14" s="1"/>
  <c r="B336" i="14" s="1"/>
  <c r="B337" i="14" s="1"/>
  <c r="B338" i="14" s="1"/>
  <c r="B339" i="14" s="1"/>
  <c r="B340" i="14" s="1"/>
  <c r="B341" i="14" s="1"/>
  <c r="B342" i="14" s="1"/>
  <c r="B343" i="14" s="1"/>
  <c r="B344" i="14" s="1"/>
  <c r="B345" i="14" s="1"/>
  <c r="B346" i="14" s="1"/>
  <c r="B347" i="14" s="1"/>
  <c r="B348" i="14" s="1"/>
  <c r="B349" i="14" s="1"/>
  <c r="B350" i="14" s="1"/>
  <c r="B351" i="14" s="1"/>
  <c r="B352" i="14" s="1"/>
  <c r="B353" i="14" s="1"/>
  <c r="B354" i="14" s="1"/>
  <c r="B355" i="14" s="1"/>
  <c r="B356" i="14" s="1"/>
  <c r="B357" i="14" s="1"/>
  <c r="B358" i="14" s="1"/>
  <c r="B359" i="14" s="1"/>
  <c r="B360" i="14" s="1"/>
  <c r="B361" i="14" s="1"/>
  <c r="B362" i="14" s="1"/>
  <c r="B363" i="14" s="1"/>
  <c r="B364" i="14" s="1"/>
  <c r="B365" i="14" s="1"/>
  <c r="B366" i="14" s="1"/>
  <c r="B367" i="14" s="1"/>
  <c r="Q305" i="14"/>
  <c r="Q306" i="14"/>
  <c r="Q308" i="14"/>
  <c r="Q309" i="14"/>
  <c r="I310" i="14"/>
  <c r="Q310" i="14" s="1"/>
  <c r="Q311" i="14"/>
  <c r="Q312" i="14"/>
  <c r="Q313" i="14"/>
  <c r="Q314" i="14"/>
  <c r="Q315" i="14"/>
  <c r="M317" i="14"/>
  <c r="Q317" i="14" s="1"/>
  <c r="Q318" i="14"/>
  <c r="M319" i="14"/>
  <c r="Q319" i="14" s="1"/>
  <c r="Q320" i="14"/>
  <c r="M321" i="14"/>
  <c r="Q321" i="14" s="1"/>
  <c r="Q322" i="14"/>
  <c r="M325" i="14"/>
  <c r="Q325" i="14" s="1"/>
  <c r="Q326" i="14"/>
  <c r="M328" i="14"/>
  <c r="M327" i="14" s="1"/>
  <c r="Q327" i="14" s="1"/>
  <c r="M330" i="14"/>
  <c r="Q330" i="14" s="1"/>
  <c r="Q331" i="14"/>
  <c r="M332" i="14"/>
  <c r="O332" i="14" s="1"/>
  <c r="Q334" i="14"/>
  <c r="Q335" i="14"/>
  <c r="I337" i="14"/>
  <c r="Q337" i="14" s="1"/>
  <c r="I338" i="14"/>
  <c r="Q338" i="14" s="1"/>
  <c r="Q339" i="14"/>
  <c r="I340" i="14"/>
  <c r="Q340" i="14" s="1"/>
  <c r="I341" i="14"/>
  <c r="Q341" i="14" s="1"/>
  <c r="Q342" i="14"/>
  <c r="M344" i="14"/>
  <c r="M343" i="14" s="1"/>
  <c r="Q345" i="14"/>
  <c r="P346" i="14"/>
  <c r="P303" i="14" s="1"/>
  <c r="I347" i="14"/>
  <c r="Q347" i="14" s="1"/>
  <c r="Q348" i="14"/>
  <c r="Q349" i="14"/>
  <c r="M351" i="14"/>
  <c r="M350" i="14" s="1"/>
  <c r="Q352" i="14"/>
  <c r="Q354" i="14"/>
  <c r="I356" i="14"/>
  <c r="Q356" i="14" s="1"/>
  <c r="I357" i="14"/>
  <c r="Q357" i="14" s="1"/>
  <c r="I358" i="14"/>
  <c r="Q360" i="14"/>
  <c r="I362" i="14"/>
  <c r="Q362" i="14" s="1"/>
  <c r="I363" i="14"/>
  <c r="Q363" i="14" s="1"/>
  <c r="I364" i="14"/>
  <c r="K364" i="14" s="1"/>
  <c r="I365" i="14"/>
  <c r="Q365" i="14" s="1"/>
  <c r="Q366" i="14"/>
  <c r="Q367" i="14"/>
  <c r="B212" i="14"/>
  <c r="B213" i="14" s="1"/>
  <c r="B214" i="14" s="1"/>
  <c r="B215" i="14" s="1"/>
  <c r="B216" i="14" s="1"/>
  <c r="B217" i="14" s="1"/>
  <c r="B218" i="14" s="1"/>
  <c r="B219" i="14" s="1"/>
  <c r="B220" i="14" s="1"/>
  <c r="B221" i="14" s="1"/>
  <c r="B222" i="14" s="1"/>
  <c r="B223" i="14" s="1"/>
  <c r="B224" i="14" s="1"/>
  <c r="B225" i="14" s="1"/>
  <c r="B226" i="14" s="1"/>
  <c r="B227" i="14" s="1"/>
  <c r="B228" i="14" s="1"/>
  <c r="B229" i="14" s="1"/>
  <c r="B230" i="14" s="1"/>
  <c r="B231" i="14" s="1"/>
  <c r="B232" i="14" s="1"/>
  <c r="B233" i="14" s="1"/>
  <c r="B234" i="14" s="1"/>
  <c r="B235" i="14" s="1"/>
  <c r="B236" i="14" s="1"/>
  <c r="B237" i="14" s="1"/>
  <c r="B238" i="14" s="1"/>
  <c r="B239" i="14" s="1"/>
  <c r="B240" i="14" s="1"/>
  <c r="B241" i="14" s="1"/>
  <c r="B242" i="14" s="1"/>
  <c r="B243" i="14" s="1"/>
  <c r="B244" i="14" s="1"/>
  <c r="B245" i="14" s="1"/>
  <c r="B246" i="14" s="1"/>
  <c r="B247" i="14" s="1"/>
  <c r="B248" i="14" s="1"/>
  <c r="B249" i="14" s="1"/>
  <c r="B250" i="14" s="1"/>
  <c r="B251" i="14" s="1"/>
  <c r="B252" i="14" s="1"/>
  <c r="B253" i="14" s="1"/>
  <c r="B254" i="14" s="1"/>
  <c r="B255" i="14" s="1"/>
  <c r="B256" i="14" s="1"/>
  <c r="B257" i="14" s="1"/>
  <c r="B258" i="14" s="1"/>
  <c r="B259" i="14" s="1"/>
  <c r="B260" i="14" s="1"/>
  <c r="B261" i="14" s="1"/>
  <c r="B262" i="14" s="1"/>
  <c r="B263" i="14" s="1"/>
  <c r="B264" i="14" s="1"/>
  <c r="B265" i="14" s="1"/>
  <c r="B266" i="14" s="1"/>
  <c r="B267" i="14" s="1"/>
  <c r="B268" i="14" s="1"/>
  <c r="B269" i="14" s="1"/>
  <c r="B270" i="14" s="1"/>
  <c r="B271" i="14" s="1"/>
  <c r="B272" i="14" s="1"/>
  <c r="B273" i="14" s="1"/>
  <c r="B274" i="14" s="1"/>
  <c r="B275" i="14" s="1"/>
  <c r="B276" i="14" s="1"/>
  <c r="B277" i="14" s="1"/>
  <c r="B278" i="14" s="1"/>
  <c r="B279" i="14" s="1"/>
  <c r="B280" i="14" s="1"/>
  <c r="B281" i="14" s="1"/>
  <c r="B282" i="14" s="1"/>
  <c r="B283" i="14" s="1"/>
  <c r="Q213" i="14"/>
  <c r="Q214" i="14"/>
  <c r="I215" i="14"/>
  <c r="I212" i="14" s="1"/>
  <c r="Q212" i="14" s="1"/>
  <c r="Q216" i="14"/>
  <c r="Q217" i="14"/>
  <c r="Q218" i="14"/>
  <c r="Q220" i="14"/>
  <c r="Q221" i="14"/>
  <c r="I222" i="14"/>
  <c r="I219" i="14" s="1"/>
  <c r="Q219" i="14" s="1"/>
  <c r="Q223" i="14"/>
  <c r="Q224" i="14"/>
  <c r="Q225" i="14"/>
  <c r="Q226" i="14"/>
  <c r="Q227" i="14"/>
  <c r="Q228" i="14"/>
  <c r="Q230" i="14"/>
  <c r="Q231" i="14"/>
  <c r="Q233" i="14"/>
  <c r="Q234" i="14"/>
  <c r="I235" i="14"/>
  <c r="K235" i="14" s="1"/>
  <c r="I236" i="14"/>
  <c r="Q236" i="14" s="1"/>
  <c r="Q237" i="14"/>
  <c r="M240" i="14"/>
  <c r="Q240" i="14" s="1"/>
  <c r="Q241" i="14"/>
  <c r="Q243" i="14"/>
  <c r="Q244" i="14"/>
  <c r="I246" i="14"/>
  <c r="I245" i="14" s="1"/>
  <c r="Q247" i="14"/>
  <c r="Q248" i="14"/>
  <c r="Q249" i="14"/>
  <c r="Q250" i="14"/>
  <c r="M254" i="14"/>
  <c r="M253" i="14" s="1"/>
  <c r="Q253" i="14" s="1"/>
  <c r="M255" i="14"/>
  <c r="Q255" i="14" s="1"/>
  <c r="Q256" i="14"/>
  <c r="Q258" i="14"/>
  <c r="Q259" i="14"/>
  <c r="I260" i="14"/>
  <c r="I257" i="14" s="1"/>
  <c r="I251" i="14" s="1"/>
  <c r="Q261" i="14"/>
  <c r="Q262" i="14"/>
  <c r="Q263" i="14"/>
  <c r="Q264" i="14"/>
  <c r="Q265" i="14"/>
  <c r="Q266" i="14"/>
  <c r="M268" i="14"/>
  <c r="M267" i="14" s="1"/>
  <c r="Q269" i="14"/>
  <c r="Q272" i="14"/>
  <c r="I273" i="14"/>
  <c r="I271" i="14" s="1"/>
  <c r="I270" i="14" s="1"/>
  <c r="Q274" i="14"/>
  <c r="Q277" i="14"/>
  <c r="Q279" i="14"/>
  <c r="M280" i="14"/>
  <c r="O280" i="14" s="1"/>
  <c r="Q281" i="14"/>
  <c r="Q282" i="14"/>
  <c r="Q283" i="14"/>
  <c r="Q284" i="14"/>
  <c r="M285" i="14"/>
  <c r="Q285" i="14" s="1"/>
  <c r="Q286" i="14"/>
  <c r="I289" i="14"/>
  <c r="I288" i="14" s="1"/>
  <c r="Q290" i="14"/>
  <c r="Q291" i="14"/>
  <c r="Q292" i="14"/>
  <c r="Q293" i="14"/>
  <c r="B118" i="14"/>
  <c r="B119" i="14" s="1"/>
  <c r="B120" i="14" s="1"/>
  <c r="B121" i="14" s="1"/>
  <c r="B122" i="14" s="1"/>
  <c r="B123" i="14" s="1"/>
  <c r="B124" i="14" s="1"/>
  <c r="B125" i="14" s="1"/>
  <c r="B126" i="14" s="1"/>
  <c r="B127" i="14" s="1"/>
  <c r="B128" i="14" s="1"/>
  <c r="B129" i="14" s="1"/>
  <c r="B130" i="14" s="1"/>
  <c r="B131" i="14" s="1"/>
  <c r="B132" i="14" s="1"/>
  <c r="B133" i="14" s="1"/>
  <c r="B134" i="14" s="1"/>
  <c r="B135" i="14" s="1"/>
  <c r="B136" i="14" s="1"/>
  <c r="B137" i="14" s="1"/>
  <c r="B138" i="14" s="1"/>
  <c r="B139" i="14" s="1"/>
  <c r="B140" i="14" s="1"/>
  <c r="B141" i="14" s="1"/>
  <c r="B142" i="14" s="1"/>
  <c r="B143" i="14" s="1"/>
  <c r="B144" i="14" s="1"/>
  <c r="B145" i="14" s="1"/>
  <c r="B146" i="14" s="1"/>
  <c r="B147" i="14" s="1"/>
  <c r="B148" i="14" s="1"/>
  <c r="B149" i="14" s="1"/>
  <c r="B150" i="14" s="1"/>
  <c r="B151" i="14" s="1"/>
  <c r="B152" i="14" s="1"/>
  <c r="B153" i="14" s="1"/>
  <c r="B154" i="14" s="1"/>
  <c r="B155" i="14" s="1"/>
  <c r="B156" i="14" s="1"/>
  <c r="B157" i="14" s="1"/>
  <c r="B158" i="14" s="1"/>
  <c r="B159" i="14" s="1"/>
  <c r="B160" i="14" s="1"/>
  <c r="B161" i="14" s="1"/>
  <c r="B162" i="14" s="1"/>
  <c r="B163" i="14" s="1"/>
  <c r="B164" i="14" s="1"/>
  <c r="B165" i="14" s="1"/>
  <c r="B166" i="14" s="1"/>
  <c r="B167" i="14" s="1"/>
  <c r="B168" i="14" s="1"/>
  <c r="B169" i="14" s="1"/>
  <c r="B170" i="14" s="1"/>
  <c r="B171" i="14" s="1"/>
  <c r="B172" i="14" s="1"/>
  <c r="B173" i="14" s="1"/>
  <c r="B174" i="14" s="1"/>
  <c r="B175" i="14" s="1"/>
  <c r="B176" i="14" s="1"/>
  <c r="B177" i="14" s="1"/>
  <c r="B178" i="14" s="1"/>
  <c r="B179" i="14" s="1"/>
  <c r="B180" i="14" s="1"/>
  <c r="B181" i="14" s="1"/>
  <c r="B182" i="14" s="1"/>
  <c r="B183" i="14" s="1"/>
  <c r="B184" i="14" s="1"/>
  <c r="B185" i="14" s="1"/>
  <c r="B186" i="14" s="1"/>
  <c r="B187" i="14" s="1"/>
  <c r="B188" i="14" s="1"/>
  <c r="B189" i="14" s="1"/>
  <c r="B190" i="14" s="1"/>
  <c r="B191" i="14" s="1"/>
  <c r="B192" i="14" s="1"/>
  <c r="B193" i="14" s="1"/>
  <c r="B194" i="14" s="1"/>
  <c r="B195" i="14" s="1"/>
  <c r="B196" i="14" s="1"/>
  <c r="B197" i="14" s="1"/>
  <c r="B198" i="14" s="1"/>
  <c r="B199" i="14" s="1"/>
  <c r="B200" i="14" s="1"/>
  <c r="B201" i="14" s="1"/>
  <c r="I120" i="14"/>
  <c r="I119" i="14" s="1"/>
  <c r="I123" i="14"/>
  <c r="I122" i="14" s="1"/>
  <c r="Q122" i="14" s="1"/>
  <c r="Q124" i="14"/>
  <c r="I126" i="14"/>
  <c r="I125" i="14" s="1"/>
  <c r="Q127" i="14"/>
  <c r="Q128" i="14"/>
  <c r="M130" i="14"/>
  <c r="Q130" i="14" s="1"/>
  <c r="Q131" i="14"/>
  <c r="I133" i="14"/>
  <c r="Q134" i="14"/>
  <c r="Q135" i="14"/>
  <c r="M138" i="14"/>
  <c r="Q138" i="14" s="1"/>
  <c r="M139" i="14"/>
  <c r="Q139" i="14" s="1"/>
  <c r="I141" i="14"/>
  <c r="Q142" i="14"/>
  <c r="Q143" i="14"/>
  <c r="Q146" i="14"/>
  <c r="Q147" i="14"/>
  <c r="I148" i="14"/>
  <c r="Q148" i="14" s="1"/>
  <c r="I149" i="14"/>
  <c r="Q149" i="14" s="1"/>
  <c r="M152" i="14"/>
  <c r="M151" i="14" s="1"/>
  <c r="Q151" i="14" s="1"/>
  <c r="Q154" i="14"/>
  <c r="Q155" i="14"/>
  <c r="M156" i="14"/>
  <c r="O156" i="14" s="1"/>
  <c r="M158" i="14"/>
  <c r="Q158" i="14" s="1"/>
  <c r="Q159" i="14"/>
  <c r="Q160" i="14"/>
  <c r="Q161" i="14"/>
  <c r="M162" i="14"/>
  <c r="Q162" i="14" s="1"/>
  <c r="Q164" i="14"/>
  <c r="Q165" i="14"/>
  <c r="I167" i="14"/>
  <c r="Q167" i="14" s="1"/>
  <c r="Q168" i="14"/>
  <c r="Q169" i="14"/>
  <c r="I170" i="14"/>
  <c r="Q170" i="14" s="1"/>
  <c r="I171" i="14"/>
  <c r="Q171" i="14" s="1"/>
  <c r="Q172" i="14"/>
  <c r="I173" i="14"/>
  <c r="Q173" i="14" s="1"/>
  <c r="Q174" i="14"/>
  <c r="M176" i="14"/>
  <c r="Q176" i="14" s="1"/>
  <c r="P176" i="14"/>
  <c r="Q177" i="14"/>
  <c r="I179" i="14"/>
  <c r="Q180" i="14"/>
  <c r="I182" i="14"/>
  <c r="Q182" i="14" s="1"/>
  <c r="I184" i="14"/>
  <c r="I183" i="14" s="1"/>
  <c r="Q185" i="14"/>
  <c r="Q186" i="14"/>
  <c r="Q187" i="14"/>
  <c r="Q188" i="14"/>
  <c r="Q189" i="14"/>
  <c r="M191" i="14"/>
  <c r="Q191" i="14" s="1"/>
  <c r="Q192" i="14"/>
  <c r="M193" i="14"/>
  <c r="Q194" i="14"/>
  <c r="I196" i="14"/>
  <c r="I195" i="14" s="1"/>
  <c r="Q197" i="14"/>
  <c r="Q198" i="14"/>
  <c r="M200" i="14"/>
  <c r="M199" i="14" s="1"/>
  <c r="Q201" i="14"/>
  <c r="B88" i="14"/>
  <c r="B89" i="14" s="1"/>
  <c r="B90" i="14" s="1"/>
  <c r="B91" i="14" s="1"/>
  <c r="B92" i="14" s="1"/>
  <c r="B93" i="14" s="1"/>
  <c r="B94" i="14" s="1"/>
  <c r="B95" i="14" s="1"/>
  <c r="B96" i="14" s="1"/>
  <c r="B97" i="14" s="1"/>
  <c r="B98" i="14" s="1"/>
  <c r="B99" i="14" s="1"/>
  <c r="B100" i="14" s="1"/>
  <c r="B101" i="14" s="1"/>
  <c r="B102" i="14" s="1"/>
  <c r="B103" i="14" s="1"/>
  <c r="B104" i="14" s="1"/>
  <c r="B105" i="14" s="1"/>
  <c r="I89" i="14"/>
  <c r="Q90" i="14"/>
  <c r="I92" i="14"/>
  <c r="K92" i="14" s="1"/>
  <c r="I93" i="14"/>
  <c r="Q93" i="14" s="1"/>
  <c r="Q94" i="14"/>
  <c r="Q95" i="14"/>
  <c r="I97" i="14"/>
  <c r="I96" i="14" s="1"/>
  <c r="Q96" i="14" s="1"/>
  <c r="M99" i="14"/>
  <c r="Q100" i="14"/>
  <c r="I102" i="14"/>
  <c r="Q102" i="14" s="1"/>
  <c r="Q103" i="14"/>
  <c r="I105" i="14"/>
  <c r="I104" i="14" s="1"/>
  <c r="Q104" i="14" s="1"/>
  <c r="G379" i="13"/>
  <c r="G375" i="13"/>
  <c r="G374" i="13"/>
  <c r="G373" i="13"/>
  <c r="G372" i="13"/>
  <c r="G370" i="13"/>
  <c r="G369" i="13"/>
  <c r="G368" i="13"/>
  <c r="G367" i="13"/>
  <c r="G366" i="13"/>
  <c r="G362" i="13"/>
  <c r="G361" i="13"/>
  <c r="G359" i="13"/>
  <c r="G358" i="13"/>
  <c r="G357" i="13"/>
  <c r="G356" i="13"/>
  <c r="G354" i="13"/>
  <c r="G353" i="13"/>
  <c r="G350" i="13"/>
  <c r="G348" i="13"/>
  <c r="G337" i="13"/>
  <c r="G336" i="13"/>
  <c r="G335" i="13"/>
  <c r="G313" i="13"/>
  <c r="G310" i="13"/>
  <c r="G307" i="13"/>
  <c r="G303" i="13"/>
  <c r="G300" i="13"/>
  <c r="G299" i="13"/>
  <c r="G294" i="13"/>
  <c r="G291" i="13"/>
  <c r="G290" i="13"/>
  <c r="G285" i="13"/>
  <c r="G284" i="13"/>
  <c r="G283" i="13"/>
  <c r="G282" i="13"/>
  <c r="G281" i="13"/>
  <c r="G280" i="13"/>
  <c r="G274" i="13"/>
  <c r="G273" i="13"/>
  <c r="G272" i="13"/>
  <c r="G271" i="13"/>
  <c r="G269" i="13"/>
  <c r="G268" i="13"/>
  <c r="G267" i="13"/>
  <c r="G266" i="13"/>
  <c r="G263" i="13"/>
  <c r="G262" i="13"/>
  <c r="G261" i="13"/>
  <c r="G260" i="13"/>
  <c r="G259" i="13"/>
  <c r="G254" i="13"/>
  <c r="G252" i="13"/>
  <c r="G249" i="13"/>
  <c r="G248" i="13"/>
  <c r="G247" i="13"/>
  <c r="G245" i="13"/>
  <c r="G242" i="13"/>
  <c r="G241" i="13"/>
  <c r="G240" i="13"/>
  <c r="G238" i="13"/>
  <c r="G235" i="13"/>
  <c r="G234" i="13"/>
  <c r="G233" i="13"/>
  <c r="G231" i="13"/>
  <c r="G228" i="13"/>
  <c r="G226" i="13"/>
  <c r="G225" i="13"/>
  <c r="G224" i="13"/>
  <c r="G218" i="13"/>
  <c r="G217" i="13"/>
  <c r="G216" i="13"/>
  <c r="G214" i="13"/>
  <c r="G211" i="13"/>
  <c r="G209" i="13"/>
  <c r="G206" i="13"/>
  <c r="G205" i="13"/>
  <c r="G204" i="13"/>
  <c r="G202" i="13"/>
  <c r="G199" i="13"/>
  <c r="G197" i="13"/>
  <c r="G196" i="13"/>
  <c r="G195" i="13"/>
  <c r="G193" i="13"/>
  <c r="G190" i="13"/>
  <c r="G188" i="13"/>
  <c r="G186" i="13"/>
  <c r="G185" i="13"/>
  <c r="G184" i="13"/>
  <c r="G182" i="13"/>
  <c r="G181" i="13"/>
  <c r="G180" i="13"/>
  <c r="G179" i="13"/>
  <c r="G177" i="13"/>
  <c r="G176" i="13"/>
  <c r="G175" i="13"/>
  <c r="G174" i="13"/>
  <c r="G172" i="13"/>
  <c r="G171" i="13"/>
  <c r="G169" i="13"/>
  <c r="G167" i="13"/>
  <c r="G166" i="13"/>
  <c r="G165" i="13"/>
  <c r="G164" i="13"/>
  <c r="G163" i="13"/>
  <c r="G161" i="13"/>
  <c r="G160" i="13"/>
  <c r="G159" i="13"/>
  <c r="G153" i="13"/>
  <c r="G152" i="13"/>
  <c r="G151" i="13"/>
  <c r="G149" i="13"/>
  <c r="G148" i="13"/>
  <c r="G146" i="13"/>
  <c r="G144" i="13"/>
  <c r="G142" i="13"/>
  <c r="G141" i="13"/>
  <c r="G140" i="13"/>
  <c r="G138" i="13"/>
  <c r="G137" i="13"/>
  <c r="G136" i="13"/>
  <c r="G134" i="13"/>
  <c r="G133" i="13"/>
  <c r="G132" i="13"/>
  <c r="G130" i="13"/>
  <c r="G129" i="13"/>
  <c r="G128" i="13"/>
  <c r="G126" i="13"/>
  <c r="G125" i="13"/>
  <c r="G124" i="13"/>
  <c r="G122" i="13"/>
  <c r="G121" i="13"/>
  <c r="G120" i="13"/>
  <c r="G118" i="13"/>
  <c r="G117" i="13"/>
  <c r="G116" i="13"/>
  <c r="G114" i="13"/>
  <c r="G113" i="13"/>
  <c r="G112" i="13"/>
  <c r="G110" i="13"/>
  <c r="G109" i="13"/>
  <c r="G108" i="13"/>
  <c r="G106" i="13"/>
  <c r="G105" i="13"/>
  <c r="G104" i="13"/>
  <c r="G102" i="13"/>
  <c r="G101" i="13"/>
  <c r="G100" i="13"/>
  <c r="G98" i="13"/>
  <c r="G97" i="13"/>
  <c r="G96" i="13"/>
  <c r="G94" i="13"/>
  <c r="G93" i="13"/>
  <c r="G92" i="13"/>
  <c r="G89" i="13"/>
  <c r="G88" i="13"/>
  <c r="G85" i="13"/>
  <c r="G84" i="13"/>
  <c r="G82" i="13"/>
  <c r="G81" i="13"/>
  <c r="G80" i="13"/>
  <c r="G78" i="13"/>
  <c r="G76" i="13"/>
  <c r="G74" i="13"/>
  <c r="G72" i="13"/>
  <c r="G71" i="13"/>
  <c r="G68" i="13"/>
  <c r="G66" i="13"/>
  <c r="G65" i="13"/>
  <c r="G64" i="13"/>
  <c r="G62" i="13"/>
  <c r="G61" i="13"/>
  <c r="G59" i="13"/>
  <c r="G58" i="13"/>
  <c r="G57" i="13"/>
  <c r="G56" i="13"/>
  <c r="G54" i="13"/>
  <c r="G52" i="13"/>
  <c r="G51" i="13"/>
  <c r="G49" i="13"/>
  <c r="G46" i="13"/>
  <c r="G40" i="13"/>
  <c r="G38" i="13"/>
  <c r="G37" i="13"/>
  <c r="G36" i="13"/>
  <c r="G35" i="13"/>
  <c r="G34" i="13"/>
  <c r="G33" i="13"/>
  <c r="G30" i="13"/>
  <c r="G29" i="13"/>
  <c r="G28" i="13"/>
  <c r="G27" i="13"/>
  <c r="G26" i="13"/>
  <c r="G25" i="13"/>
  <c r="G21" i="13"/>
  <c r="G20" i="13"/>
  <c r="G19" i="13"/>
  <c r="G18" i="13"/>
  <c r="G17" i="13"/>
  <c r="G15" i="13"/>
  <c r="G14" i="13"/>
  <c r="G13" i="13"/>
  <c r="F334" i="13"/>
  <c r="F333" i="13" s="1"/>
  <c r="F347" i="13"/>
  <c r="F378" i="13"/>
  <c r="F377" i="13" s="1"/>
  <c r="F376" i="13" s="1"/>
  <c r="F9" i="13"/>
  <c r="F12" i="13"/>
  <c r="F11" i="13" s="1"/>
  <c r="F16" i="13"/>
  <c r="F24" i="13"/>
  <c r="F31" i="13"/>
  <c r="F39" i="13"/>
  <c r="F41" i="13"/>
  <c r="F45" i="13"/>
  <c r="F44" i="13" s="1"/>
  <c r="F48" i="13"/>
  <c r="F50" i="13"/>
  <c r="F53" i="13"/>
  <c r="F55" i="13"/>
  <c r="F60" i="13"/>
  <c r="F63" i="13"/>
  <c r="F67" i="13"/>
  <c r="F70" i="13"/>
  <c r="F73" i="13"/>
  <c r="F75" i="13"/>
  <c r="F77" i="13"/>
  <c r="F79" i="13"/>
  <c r="F83" i="13"/>
  <c r="F87" i="13"/>
  <c r="F86" i="13" s="1"/>
  <c r="F91" i="13"/>
  <c r="F95" i="13"/>
  <c r="F99" i="13"/>
  <c r="F103" i="13"/>
  <c r="F107" i="13"/>
  <c r="F111" i="13"/>
  <c r="F115" i="13"/>
  <c r="F119" i="13"/>
  <c r="F123" i="13"/>
  <c r="F127" i="13"/>
  <c r="F131" i="13"/>
  <c r="F135" i="13"/>
  <c r="F139" i="13"/>
  <c r="F143" i="13"/>
  <c r="F145" i="13"/>
  <c r="F147" i="13"/>
  <c r="F150" i="13"/>
  <c r="F158" i="13"/>
  <c r="F162" i="13"/>
  <c r="F168" i="13"/>
  <c r="F170" i="13"/>
  <c r="F173" i="13"/>
  <c r="F178" i="13"/>
  <c r="F183" i="13"/>
  <c r="F187" i="13"/>
  <c r="F189" i="13"/>
  <c r="F192" i="13"/>
  <c r="F194" i="13"/>
  <c r="F198" i="13"/>
  <c r="F201" i="13"/>
  <c r="F203" i="13"/>
  <c r="F200" i="13" s="1"/>
  <c r="F208" i="13"/>
  <c r="F210" i="13"/>
  <c r="F213" i="13"/>
  <c r="F215" i="13"/>
  <c r="F223" i="13"/>
  <c r="F227" i="13"/>
  <c r="F230" i="13"/>
  <c r="F232" i="13"/>
  <c r="F237" i="13"/>
  <c r="F239" i="13"/>
  <c r="F244" i="13"/>
  <c r="F246" i="13"/>
  <c r="F251" i="13"/>
  <c r="F253" i="13"/>
  <c r="F258" i="13"/>
  <c r="F264" i="13"/>
  <c r="F275" i="13"/>
  <c r="F293" i="13"/>
  <c r="F295" i="13"/>
  <c r="F298" i="13"/>
  <c r="F297" i="13" s="1"/>
  <c r="F302" i="13"/>
  <c r="F301" i="13" s="1"/>
  <c r="F309" i="13"/>
  <c r="F308" i="13" s="1"/>
  <c r="F312" i="13"/>
  <c r="F311" i="13" s="1"/>
  <c r="M59" i="14"/>
  <c r="O59" i="14" s="1"/>
  <c r="M43" i="14"/>
  <c r="Q43" i="14" s="1"/>
  <c r="M41" i="14"/>
  <c r="Q41" i="14" s="1"/>
  <c r="M39" i="14"/>
  <c r="Q39" i="14" s="1"/>
  <c r="I78" i="14"/>
  <c r="Q78" i="14" s="1"/>
  <c r="E270" i="13"/>
  <c r="G270" i="13" s="1"/>
  <c r="I69" i="14"/>
  <c r="I68" i="14" s="1"/>
  <c r="M55" i="14"/>
  <c r="B24" i="15"/>
  <c r="L24" i="15"/>
  <c r="L32" i="15"/>
  <c r="L34" i="15"/>
  <c r="N34" i="15" s="1"/>
  <c r="L35" i="15"/>
  <c r="N35" i="15" s="1"/>
  <c r="L40" i="15"/>
  <c r="B9" i="14"/>
  <c r="B10" i="14" s="1"/>
  <c r="B11" i="14" s="1"/>
  <c r="B12" i="14" s="1"/>
  <c r="B13" i="14" s="1"/>
  <c r="B14" i="14" s="1"/>
  <c r="B15" i="14" s="1"/>
  <c r="B16" i="14" s="1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2" i="14" s="1"/>
  <c r="B33" i="14" s="1"/>
  <c r="B34" i="14" s="1"/>
  <c r="B35" i="14" s="1"/>
  <c r="B36" i="14" s="1"/>
  <c r="B37" i="14" s="1"/>
  <c r="B38" i="14" s="1"/>
  <c r="B39" i="14" s="1"/>
  <c r="B40" i="14" s="1"/>
  <c r="B41" i="14" s="1"/>
  <c r="B42" i="14" s="1"/>
  <c r="B43" i="14" s="1"/>
  <c r="B44" i="14" s="1"/>
  <c r="B45" i="14" s="1"/>
  <c r="B46" i="14" s="1"/>
  <c r="B47" i="14" s="1"/>
  <c r="B48" i="14" s="1"/>
  <c r="B49" i="14" s="1"/>
  <c r="B50" i="14" s="1"/>
  <c r="B51" i="14" s="1"/>
  <c r="B52" i="14" s="1"/>
  <c r="B53" i="14" s="1"/>
  <c r="B54" i="14" s="1"/>
  <c r="B55" i="14" s="1"/>
  <c r="B56" i="14" s="1"/>
  <c r="B57" i="14" s="1"/>
  <c r="B58" i="14" s="1"/>
  <c r="B59" i="14" s="1"/>
  <c r="B60" i="14" s="1"/>
  <c r="B61" i="14" s="1"/>
  <c r="B62" i="14" s="1"/>
  <c r="B63" i="14" s="1"/>
  <c r="B64" i="14" s="1"/>
  <c r="B65" i="14" s="1"/>
  <c r="B66" i="14" s="1"/>
  <c r="B67" i="14" s="1"/>
  <c r="B68" i="14" s="1"/>
  <c r="B69" i="14" s="1"/>
  <c r="B70" i="14" s="1"/>
  <c r="B71" i="14" s="1"/>
  <c r="B72" i="14" s="1"/>
  <c r="B73" i="14" s="1"/>
  <c r="B74" i="14" s="1"/>
  <c r="B75" i="14" s="1"/>
  <c r="B76" i="14" s="1"/>
  <c r="B77" i="14" s="1"/>
  <c r="B78" i="14" s="1"/>
  <c r="I11" i="14"/>
  <c r="I10" i="14" s="1"/>
  <c r="Q10" i="14" s="1"/>
  <c r="Q12" i="14"/>
  <c r="Q13" i="14"/>
  <c r="Q14" i="14"/>
  <c r="Q15" i="14"/>
  <c r="Q16" i="14"/>
  <c r="I18" i="14"/>
  <c r="I17" i="14" s="1"/>
  <c r="Q17" i="14" s="1"/>
  <c r="Q19" i="14"/>
  <c r="I21" i="14"/>
  <c r="Q21" i="14" s="1"/>
  <c r="Q22" i="14"/>
  <c r="Q24" i="14"/>
  <c r="I25" i="14"/>
  <c r="I23" i="14" s="1"/>
  <c r="Q26" i="14"/>
  <c r="Q27" i="14"/>
  <c r="Q28" i="14"/>
  <c r="Q29" i="14"/>
  <c r="I31" i="14"/>
  <c r="Q31" i="14" s="1"/>
  <c r="Q33" i="14"/>
  <c r="Q34" i="14"/>
  <c r="Q35" i="14"/>
  <c r="I36" i="14"/>
  <c r="I32" i="14" s="1"/>
  <c r="Q32" i="14" s="1"/>
  <c r="Q45" i="14"/>
  <c r="I46" i="14"/>
  <c r="Q47" i="14"/>
  <c r="Q48" i="14"/>
  <c r="Q49" i="14"/>
  <c r="Q50" i="14"/>
  <c r="M53" i="14"/>
  <c r="M52" i="14" s="1"/>
  <c r="Q52" i="14" s="1"/>
  <c r="M56" i="14"/>
  <c r="Q56" i="14" s="1"/>
  <c r="M57" i="14"/>
  <c r="Q57" i="14" s="1"/>
  <c r="M60" i="14"/>
  <c r="Q60" i="14" s="1"/>
  <c r="M61" i="14"/>
  <c r="Q61" i="14" s="1"/>
  <c r="M62" i="14"/>
  <c r="Q62" i="14" s="1"/>
  <c r="Q63" i="14"/>
  <c r="Q64" i="14"/>
  <c r="Q65" i="14"/>
  <c r="Q67" i="14"/>
  <c r="Q70" i="14"/>
  <c r="Q71" i="14"/>
  <c r="Q72" i="14"/>
  <c r="I73" i="14"/>
  <c r="Q73" i="14" s="1"/>
  <c r="Q74" i="14"/>
  <c r="I77" i="14"/>
  <c r="B8" i="13"/>
  <c r="B9" i="13" s="1"/>
  <c r="B10" i="13" s="1"/>
  <c r="B11" i="13" s="1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B23" i="13" s="1"/>
  <c r="B24" i="13" s="1"/>
  <c r="B26" i="13" s="1"/>
  <c r="B27" i="13" s="1"/>
  <c r="B28" i="13" s="1"/>
  <c r="B29" i="13" s="1"/>
  <c r="B30" i="13" s="1"/>
  <c r="B31" i="13" s="1"/>
  <c r="B32" i="13" s="1"/>
  <c r="B33" i="13" s="1"/>
  <c r="B34" i="13" s="1"/>
  <c r="B35" i="13" s="1"/>
  <c r="B36" i="13" s="1"/>
  <c r="B37" i="13" s="1"/>
  <c r="B38" i="13" s="1"/>
  <c r="B39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4" i="13" s="1"/>
  <c r="B55" i="13" s="1"/>
  <c r="B56" i="13" s="1"/>
  <c r="B57" i="13" s="1"/>
  <c r="B58" i="13" s="1"/>
  <c r="B59" i="13" s="1"/>
  <c r="B60" i="13" s="1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B74" i="13" s="1"/>
  <c r="B75" i="13" s="1"/>
  <c r="B76" i="13" s="1"/>
  <c r="B77" i="13" s="1"/>
  <c r="B78" i="13" s="1"/>
  <c r="B79" i="13" s="1"/>
  <c r="B80" i="13" s="1"/>
  <c r="B81" i="13" s="1"/>
  <c r="B82" i="13" s="1"/>
  <c r="B83" i="13" s="1"/>
  <c r="B84" i="13" s="1"/>
  <c r="B85" i="13" s="1"/>
  <c r="B86" i="13" s="1"/>
  <c r="B87" i="13" s="1"/>
  <c r="B88" i="13" s="1"/>
  <c r="B89" i="13" s="1"/>
  <c r="B90" i="13" s="1"/>
  <c r="B91" i="13" s="1"/>
  <c r="B92" i="13" s="1"/>
  <c r="B93" i="13" s="1"/>
  <c r="B94" i="13" s="1"/>
  <c r="B95" i="13" s="1"/>
  <c r="B96" i="13" s="1"/>
  <c r="B97" i="13" s="1"/>
  <c r="B98" i="13" s="1"/>
  <c r="B99" i="13" s="1"/>
  <c r="B100" i="13" s="1"/>
  <c r="B101" i="13" s="1"/>
  <c r="B102" i="13" s="1"/>
  <c r="B103" i="13" s="1"/>
  <c r="B104" i="13" s="1"/>
  <c r="B105" i="13" s="1"/>
  <c r="B106" i="13" s="1"/>
  <c r="B107" i="13" s="1"/>
  <c r="B108" i="13" s="1"/>
  <c r="B109" i="13" s="1"/>
  <c r="B110" i="13" s="1"/>
  <c r="B111" i="13" s="1"/>
  <c r="B112" i="13" s="1"/>
  <c r="B113" i="13" s="1"/>
  <c r="B114" i="13" s="1"/>
  <c r="B115" i="13" s="1"/>
  <c r="B116" i="13" s="1"/>
  <c r="B117" i="13" s="1"/>
  <c r="B118" i="13" s="1"/>
  <c r="B119" i="13" s="1"/>
  <c r="B120" i="13" s="1"/>
  <c r="B121" i="13" s="1"/>
  <c r="B122" i="13" s="1"/>
  <c r="B123" i="13" s="1"/>
  <c r="B124" i="13" s="1"/>
  <c r="B125" i="13" s="1"/>
  <c r="B126" i="13" s="1"/>
  <c r="B127" i="13" s="1"/>
  <c r="B128" i="13" s="1"/>
  <c r="B129" i="13" s="1"/>
  <c r="B130" i="13" s="1"/>
  <c r="B131" i="13" s="1"/>
  <c r="B132" i="13" s="1"/>
  <c r="B133" i="13" s="1"/>
  <c r="B134" i="13" s="1"/>
  <c r="B135" i="13" s="1"/>
  <c r="B136" i="13" s="1"/>
  <c r="B137" i="13" s="1"/>
  <c r="B138" i="13" s="1"/>
  <c r="B139" i="13" s="1"/>
  <c r="B140" i="13" s="1"/>
  <c r="B141" i="13" s="1"/>
  <c r="B142" i="13" s="1"/>
  <c r="B143" i="13" s="1"/>
  <c r="B144" i="13" s="1"/>
  <c r="B145" i="13" s="1"/>
  <c r="B146" i="13" s="1"/>
  <c r="B147" i="13" s="1"/>
  <c r="B148" i="13" s="1"/>
  <c r="B149" i="13" s="1"/>
  <c r="B150" i="13" s="1"/>
  <c r="B166" i="13" s="1"/>
  <c r="B167" i="13" s="1"/>
  <c r="B168" i="13" s="1"/>
  <c r="B169" i="13" s="1"/>
  <c r="B170" i="13" s="1"/>
  <c r="B171" i="13" s="1"/>
  <c r="B172" i="13" s="1"/>
  <c r="B173" i="13" s="1"/>
  <c r="B174" i="13" s="1"/>
  <c r="B175" i="13" s="1"/>
  <c r="B176" i="13" s="1"/>
  <c r="B177" i="13" s="1"/>
  <c r="B178" i="13" s="1"/>
  <c r="B179" i="13" s="1"/>
  <c r="B180" i="13" s="1"/>
  <c r="B181" i="13" s="1"/>
  <c r="B182" i="13" s="1"/>
  <c r="B183" i="13" s="1"/>
  <c r="B184" i="13" s="1"/>
  <c r="B185" i="13" s="1"/>
  <c r="B186" i="13" s="1"/>
  <c r="B187" i="13" s="1"/>
  <c r="B188" i="13" s="1"/>
  <c r="B189" i="13" s="1"/>
  <c r="B190" i="13" s="1"/>
  <c r="B191" i="13" s="1"/>
  <c r="B192" i="13" s="1"/>
  <c r="B193" i="13" s="1"/>
  <c r="B194" i="13" s="1"/>
  <c r="B195" i="13" s="1"/>
  <c r="B196" i="13" s="1"/>
  <c r="B197" i="13" s="1"/>
  <c r="B198" i="13" s="1"/>
  <c r="B199" i="13" s="1"/>
  <c r="B200" i="13" s="1"/>
  <c r="B201" i="13" s="1"/>
  <c r="B202" i="13" s="1"/>
  <c r="B203" i="13" s="1"/>
  <c r="B204" i="13" s="1"/>
  <c r="B205" i="13" s="1"/>
  <c r="B206" i="13" s="1"/>
  <c r="B207" i="13" s="1"/>
  <c r="B208" i="13" s="1"/>
  <c r="B209" i="13" s="1"/>
  <c r="B210" i="13" s="1"/>
  <c r="B211" i="13" s="1"/>
  <c r="B212" i="13" s="1"/>
  <c r="B213" i="13" s="1"/>
  <c r="B214" i="13" s="1"/>
  <c r="B215" i="13" s="1"/>
  <c r="B216" i="13" s="1"/>
  <c r="B217" i="13" s="1"/>
  <c r="B218" i="13" s="1"/>
  <c r="B219" i="13" s="1"/>
  <c r="B220" i="13" s="1"/>
  <c r="B221" i="13" s="1"/>
  <c r="B222" i="13" s="1"/>
  <c r="B223" i="13" s="1"/>
  <c r="B224" i="13" s="1"/>
  <c r="B225" i="13" s="1"/>
  <c r="B226" i="13" s="1"/>
  <c r="B227" i="13" s="1"/>
  <c r="B228" i="13" s="1"/>
  <c r="B229" i="13" s="1"/>
  <c r="B230" i="13" s="1"/>
  <c r="B231" i="13" s="1"/>
  <c r="B232" i="13" s="1"/>
  <c r="B233" i="13" s="1"/>
  <c r="B234" i="13" s="1"/>
  <c r="B235" i="13" s="1"/>
  <c r="B236" i="13" s="1"/>
  <c r="B237" i="13" s="1"/>
  <c r="B238" i="13" s="1"/>
  <c r="B239" i="13" s="1"/>
  <c r="B240" i="13" s="1"/>
  <c r="B241" i="13" s="1"/>
  <c r="B242" i="13" s="1"/>
  <c r="B243" i="13" s="1"/>
  <c r="B244" i="13" s="1"/>
  <c r="B245" i="13" s="1"/>
  <c r="B246" i="13" s="1"/>
  <c r="B247" i="13" s="1"/>
  <c r="B248" i="13" s="1"/>
  <c r="B249" i="13" s="1"/>
  <c r="B250" i="13" s="1"/>
  <c r="B251" i="13" s="1"/>
  <c r="B252" i="13" s="1"/>
  <c r="B253" i="13" s="1"/>
  <c r="B254" i="13" s="1"/>
  <c r="B255" i="13" s="1"/>
  <c r="B256" i="13" s="1"/>
  <c r="B257" i="13" s="1"/>
  <c r="B258" i="13" s="1"/>
  <c r="B259" i="13" s="1"/>
  <c r="B260" i="13" s="1"/>
  <c r="B261" i="13" s="1"/>
  <c r="B262" i="13" s="1"/>
  <c r="B263" i="13" s="1"/>
  <c r="B264" i="13" s="1"/>
  <c r="B265" i="13" s="1"/>
  <c r="B266" i="13" s="1"/>
  <c r="B267" i="13" s="1"/>
  <c r="B268" i="13" s="1"/>
  <c r="B269" i="13" s="1"/>
  <c r="B270" i="13" s="1"/>
  <c r="B271" i="13" s="1"/>
  <c r="B272" i="13" s="1"/>
  <c r="B273" i="13" s="1"/>
  <c r="B274" i="13" s="1"/>
  <c r="B275" i="13" s="1"/>
  <c r="B276" i="13" s="1"/>
  <c r="E10" i="13"/>
  <c r="E9" i="13" s="1"/>
  <c r="E12" i="13"/>
  <c r="E16" i="13"/>
  <c r="G16" i="13" s="1"/>
  <c r="E24" i="13"/>
  <c r="G24" i="13" s="1"/>
  <c r="E32" i="13"/>
  <c r="E31" i="13" s="1"/>
  <c r="E39" i="13"/>
  <c r="E42" i="13"/>
  <c r="G42" i="13" s="1"/>
  <c r="E43" i="13"/>
  <c r="G43" i="13" s="1"/>
  <c r="E45" i="13"/>
  <c r="E44" i="13" s="1"/>
  <c r="E48" i="13"/>
  <c r="E50" i="13"/>
  <c r="G50" i="13" s="1"/>
  <c r="E53" i="13"/>
  <c r="E55" i="13"/>
  <c r="G55" i="13" s="1"/>
  <c r="E60" i="13"/>
  <c r="G60" i="13" s="1"/>
  <c r="E63" i="13"/>
  <c r="G63" i="13" s="1"/>
  <c r="E67" i="13"/>
  <c r="E70" i="13"/>
  <c r="G70" i="13" s="1"/>
  <c r="E73" i="13"/>
  <c r="E75" i="13"/>
  <c r="G75" i="13" s="1"/>
  <c r="E77" i="13"/>
  <c r="E79" i="13"/>
  <c r="G79" i="13" s="1"/>
  <c r="E83" i="13"/>
  <c r="E87" i="13"/>
  <c r="E91" i="13"/>
  <c r="G91" i="13" s="1"/>
  <c r="E95" i="13"/>
  <c r="G95" i="13" s="1"/>
  <c r="E99" i="13"/>
  <c r="E103" i="13"/>
  <c r="G103" i="13" s="1"/>
  <c r="E107" i="13"/>
  <c r="G107" i="13" s="1"/>
  <c r="E111" i="13"/>
  <c r="G111" i="13" s="1"/>
  <c r="E115" i="13"/>
  <c r="G115" i="13" s="1"/>
  <c r="E119" i="13"/>
  <c r="G119" i="13" s="1"/>
  <c r="E123" i="13"/>
  <c r="G123" i="13" s="1"/>
  <c r="E127" i="13"/>
  <c r="G127" i="13" s="1"/>
  <c r="E131" i="13"/>
  <c r="G131" i="13" s="1"/>
  <c r="E135" i="13"/>
  <c r="G135" i="13" s="1"/>
  <c r="E139" i="13"/>
  <c r="G139" i="13" s="1"/>
  <c r="E143" i="13"/>
  <c r="E145" i="13"/>
  <c r="E147" i="13"/>
  <c r="G147" i="13" s="1"/>
  <c r="E154" i="13"/>
  <c r="E150" i="13" s="1"/>
  <c r="G150" i="13" s="1"/>
  <c r="E158" i="13"/>
  <c r="E162" i="13"/>
  <c r="E168" i="13"/>
  <c r="E170" i="13"/>
  <c r="E173" i="13"/>
  <c r="E178" i="13"/>
  <c r="G178" i="13" s="1"/>
  <c r="E183" i="13"/>
  <c r="E187" i="13"/>
  <c r="E189" i="13"/>
  <c r="E192" i="13"/>
  <c r="E194" i="13"/>
  <c r="G194" i="13" s="1"/>
  <c r="E198" i="13"/>
  <c r="E201" i="13"/>
  <c r="G201" i="13" s="1"/>
  <c r="E203" i="13"/>
  <c r="G203" i="13" s="1"/>
  <c r="E208" i="13"/>
  <c r="G208" i="13" s="1"/>
  <c r="E210" i="13"/>
  <c r="E213" i="13"/>
  <c r="E215" i="13"/>
  <c r="E220" i="13"/>
  <c r="E223" i="13"/>
  <c r="E227" i="13"/>
  <c r="E230" i="13"/>
  <c r="E232" i="13"/>
  <c r="E237" i="13"/>
  <c r="E239" i="13"/>
  <c r="E244" i="13"/>
  <c r="E246" i="13"/>
  <c r="E251" i="13"/>
  <c r="E253" i="13"/>
  <c r="E258" i="13"/>
  <c r="E265" i="13"/>
  <c r="G265" i="13" s="1"/>
  <c r="E276" i="13"/>
  <c r="E275" i="13" s="1"/>
  <c r="E278" i="13"/>
  <c r="E279" i="13"/>
  <c r="G279" i="13" s="1"/>
  <c r="E287" i="13"/>
  <c r="G287" i="13" s="1"/>
  <c r="E288" i="13"/>
  <c r="G288" i="13" s="1"/>
  <c r="E289" i="13"/>
  <c r="G289" i="13" s="1"/>
  <c r="E293" i="13"/>
  <c r="E296" i="13"/>
  <c r="E295" i="13" s="1"/>
  <c r="E292" i="13" s="1"/>
  <c r="E298" i="13"/>
  <c r="E297" i="13" s="1"/>
  <c r="E302" i="13"/>
  <c r="E306" i="13"/>
  <c r="E309" i="13"/>
  <c r="E312" i="13"/>
  <c r="B333" i="13"/>
  <c r="B334" i="13" s="1"/>
  <c r="B335" i="13" s="1"/>
  <c r="B336" i="13" s="1"/>
  <c r="B337" i="13" s="1"/>
  <c r="B338" i="13" s="1"/>
  <c r="B339" i="13" s="1"/>
  <c r="B340" i="13" s="1"/>
  <c r="B344" i="13" s="1"/>
  <c r="B345" i="13" s="1"/>
  <c r="B346" i="13" s="1"/>
  <c r="B347" i="13" s="1"/>
  <c r="B348" i="13" s="1"/>
  <c r="B349" i="13" s="1"/>
  <c r="B350" i="13" s="1"/>
  <c r="B351" i="13" s="1"/>
  <c r="E334" i="13"/>
  <c r="E333" i="13" s="1"/>
  <c r="E332" i="13" s="1"/>
  <c r="E347" i="13"/>
  <c r="E351" i="13"/>
  <c r="G351" i="13" s="1"/>
  <c r="E352" i="13"/>
  <c r="G352" i="13" s="1"/>
  <c r="E355" i="13"/>
  <c r="G355" i="13" s="1"/>
  <c r="E360" i="13"/>
  <c r="G360" i="13" s="1"/>
  <c r="E363" i="13"/>
  <c r="G363" i="13" s="1"/>
  <c r="E364" i="13"/>
  <c r="G364" i="13" s="1"/>
  <c r="E365" i="13"/>
  <c r="G365" i="13" s="1"/>
  <c r="E371" i="13"/>
  <c r="E378" i="13"/>
  <c r="E377" i="13" s="1"/>
  <c r="E376" i="13" s="1"/>
  <c r="R187" i="14" l="1"/>
  <c r="K187" i="14"/>
  <c r="S187" i="14" s="1"/>
  <c r="B1261" i="14"/>
  <c r="B1262" i="14" s="1"/>
  <c r="B1263" i="14" s="1"/>
  <c r="B1264" i="14" s="1"/>
  <c r="B1265" i="14" s="1"/>
  <c r="B1266" i="14" s="1"/>
  <c r="B1267" i="14" s="1"/>
  <c r="B1268" i="14" s="1"/>
  <c r="B1269" i="14" s="1"/>
  <c r="B1270" i="14" s="1"/>
  <c r="B1271" i="14" s="1"/>
  <c r="B1272" i="14" s="1"/>
  <c r="B1273" i="14" s="1"/>
  <c r="B1274" i="14" s="1"/>
  <c r="B1275" i="14" s="1"/>
  <c r="B1276" i="14" s="1"/>
  <c r="B1277" i="14" s="1"/>
  <c r="B1278" i="14" s="1"/>
  <c r="B1279" i="14" s="1"/>
  <c r="B1280" i="14" s="1"/>
  <c r="B1281" i="14" s="1"/>
  <c r="B1282" i="14" s="1"/>
  <c r="B1283" i="14" s="1"/>
  <c r="B1284" i="14" s="1"/>
  <c r="B1285" i="14" s="1"/>
  <c r="B1286" i="14" s="1"/>
  <c r="B1287" i="14" s="1"/>
  <c r="B1288" i="14" s="1"/>
  <c r="B1289" i="14" s="1"/>
  <c r="B1290" i="14" s="1"/>
  <c r="B1291" i="14" s="1"/>
  <c r="B1292" i="14" s="1"/>
  <c r="B1293" i="14" s="1"/>
  <c r="B1294" i="14" s="1"/>
  <c r="B1295" i="14" s="1"/>
  <c r="B1296" i="14" s="1"/>
  <c r="B1297" i="14" s="1"/>
  <c r="B1298" i="14" s="1"/>
  <c r="B1299" i="14" s="1"/>
  <c r="B1300" i="14" s="1"/>
  <c r="B1301" i="14" s="1"/>
  <c r="B1302" i="14" s="1"/>
  <c r="B1303" i="14" s="1"/>
  <c r="B1304" i="14" s="1"/>
  <c r="B1305" i="14" s="1"/>
  <c r="B1306" i="14" s="1"/>
  <c r="B1307" i="14" s="1"/>
  <c r="B1308" i="14" s="1"/>
  <c r="B1309" i="14" s="1"/>
  <c r="B1310" i="14" s="1"/>
  <c r="B1311" i="14" s="1"/>
  <c r="B1312" i="14" s="1"/>
  <c r="B1313" i="14" s="1"/>
  <c r="B1314" i="14" s="1"/>
  <c r="B1315" i="14" s="1"/>
  <c r="B1316" i="14" s="1"/>
  <c r="B1317" i="14" s="1"/>
  <c r="B1318" i="14" s="1"/>
  <c r="B1319" i="14" s="1"/>
  <c r="B1320" i="14" s="1"/>
  <c r="B1321" i="14" s="1"/>
  <c r="B1322" i="14" s="1"/>
  <c r="B1323" i="14" s="1"/>
  <c r="B1324" i="14" s="1"/>
  <c r="B1325" i="14" s="1"/>
  <c r="B1326" i="14" s="1"/>
  <c r="B1327" i="14" s="1"/>
  <c r="B1328" i="14" s="1"/>
  <c r="B1329" i="14" s="1"/>
  <c r="B1330" i="14" s="1"/>
  <c r="B1331" i="14" s="1"/>
  <c r="B1332" i="14" s="1"/>
  <c r="B1333" i="14" s="1"/>
  <c r="B1334" i="14" s="1"/>
  <c r="B1335" i="14" s="1"/>
  <c r="B1336" i="14" s="1"/>
  <c r="B1337" i="14" s="1"/>
  <c r="B1338" i="14" s="1"/>
  <c r="B1339" i="14" s="1"/>
  <c r="B1340" i="14" s="1"/>
  <c r="B1341" i="14" s="1"/>
  <c r="B1342" i="14" s="1"/>
  <c r="B1343" i="14" s="1"/>
  <c r="B1344" i="14" s="1"/>
  <c r="B1345" i="14" s="1"/>
  <c r="B1346" i="14" s="1"/>
  <c r="B1347" i="14" s="1"/>
  <c r="B1348" i="14" s="1"/>
  <c r="B1349" i="14" s="1"/>
  <c r="B1350" i="14" s="1"/>
  <c r="B1351" i="14" s="1"/>
  <c r="B1352" i="14" s="1"/>
  <c r="B1353" i="14" s="1"/>
  <c r="B1354" i="14" s="1"/>
  <c r="B1355" i="14" s="1"/>
  <c r="B1356" i="14" s="1"/>
  <c r="B1357" i="14" s="1"/>
  <c r="B1358" i="14" s="1"/>
  <c r="B1359" i="14" s="1"/>
  <c r="B1360" i="14" s="1"/>
  <c r="B1361" i="14" s="1"/>
  <c r="B1362" i="14" s="1"/>
  <c r="B1363" i="14" s="1"/>
  <c r="B1364" i="14" s="1"/>
  <c r="B1365" i="14" s="1"/>
  <c r="B1366" i="14" s="1"/>
  <c r="B1367" i="14" s="1"/>
  <c r="B1368" i="14" s="1"/>
  <c r="B1369" i="14" s="1"/>
  <c r="B1370" i="14" s="1"/>
  <c r="B1371" i="14" s="1"/>
  <c r="B1372" i="14" s="1"/>
  <c r="B1373" i="14" s="1"/>
  <c r="B1374" i="14" s="1"/>
  <c r="B1375" i="14" s="1"/>
  <c r="B1376" i="14" s="1"/>
  <c r="B1377" i="14" s="1"/>
  <c r="B1378" i="14" s="1"/>
  <c r="N1852" i="14"/>
  <c r="S1581" i="14"/>
  <c r="O1582" i="14"/>
  <c r="S1582" i="14" s="1"/>
  <c r="J184" i="14"/>
  <c r="K186" i="14"/>
  <c r="S186" i="14" s="1"/>
  <c r="R186" i="14"/>
  <c r="B43" i="15"/>
  <c r="N24" i="15"/>
  <c r="L49" i="15"/>
  <c r="L50" i="15" s="1"/>
  <c r="N32" i="15"/>
  <c r="L38" i="15"/>
  <c r="N38" i="15" s="1"/>
  <c r="N40" i="15"/>
  <c r="G341" i="13"/>
  <c r="G31" i="13"/>
  <c r="S614" i="14"/>
  <c r="R1853" i="14"/>
  <c r="O1853" i="14"/>
  <c r="S1853" i="14" s="1"/>
  <c r="Q724" i="14"/>
  <c r="K724" i="14"/>
  <c r="S724" i="14" s="1"/>
  <c r="Q738" i="14"/>
  <c r="K738" i="14"/>
  <c r="S738" i="14" s="1"/>
  <c r="B1866" i="14"/>
  <c r="B1867" i="14" s="1"/>
  <c r="B1868" i="14" s="1"/>
  <c r="B1869" i="14" s="1"/>
  <c r="B1870" i="14" s="1"/>
  <c r="B1871" i="14" s="1"/>
  <c r="B1872" i="14" s="1"/>
  <c r="B1873" i="14" s="1"/>
  <c r="B1874" i="14" s="1"/>
  <c r="B1875" i="14" s="1"/>
  <c r="B1876" i="14" s="1"/>
  <c r="B1877" i="14" s="1"/>
  <c r="B1878" i="14" s="1"/>
  <c r="B1879" i="14" s="1"/>
  <c r="B1880" i="14" s="1"/>
  <c r="B1881" i="14" s="1"/>
  <c r="B1882" i="14" s="1"/>
  <c r="B1883" i="14" s="1"/>
  <c r="B1884" i="14" s="1"/>
  <c r="B1885" i="14" s="1"/>
  <c r="B1886" i="14" s="1"/>
  <c r="B1887" i="14" s="1"/>
  <c r="B1888" i="14" s="1"/>
  <c r="B1889" i="14" s="1"/>
  <c r="B1890" i="14" s="1"/>
  <c r="B1891" i="14" s="1"/>
  <c r="B1892" i="14" s="1"/>
  <c r="B1893" i="14" s="1"/>
  <c r="B1894" i="14" s="1"/>
  <c r="B1895" i="14" s="1"/>
  <c r="B1896" i="14" s="1"/>
  <c r="B1897" i="14" s="1"/>
  <c r="B1898" i="14" s="1"/>
  <c r="B1899" i="14" s="1"/>
  <c r="B1900" i="14" s="1"/>
  <c r="B1901" i="14" s="1"/>
  <c r="B1902" i="14" s="1"/>
  <c r="B1903" i="14" s="1"/>
  <c r="B1904" i="14" s="1"/>
  <c r="G158" i="13"/>
  <c r="G183" i="13"/>
  <c r="G173" i="13"/>
  <c r="G170" i="13"/>
  <c r="G162" i="13"/>
  <c r="S1265" i="14"/>
  <c r="S1250" i="14"/>
  <c r="R1616" i="14"/>
  <c r="N1615" i="14"/>
  <c r="G9" i="13"/>
  <c r="G44" i="13"/>
  <c r="G168" i="13"/>
  <c r="G189" i="13"/>
  <c r="G220" i="13"/>
  <c r="G230" i="13"/>
  <c r="G347" i="13"/>
  <c r="B1620" i="14"/>
  <c r="S1617" i="14"/>
  <c r="S1274" i="14"/>
  <c r="S1856" i="14"/>
  <c r="S1851" i="14"/>
  <c r="S1850" i="14"/>
  <c r="S1849" i="14"/>
  <c r="S1847" i="14"/>
  <c r="S1845" i="14"/>
  <c r="S1844" i="14"/>
  <c r="S1842" i="14"/>
  <c r="S1841" i="14"/>
  <c r="S1839" i="14"/>
  <c r="R1615" i="14"/>
  <c r="N1606" i="14"/>
  <c r="Q1616" i="14"/>
  <c r="O1616" i="14"/>
  <c r="S1616" i="14" s="1"/>
  <c r="Q1615" i="14"/>
  <c r="O1615" i="14"/>
  <c r="S1615" i="14" s="1"/>
  <c r="S1888" i="14"/>
  <c r="S1887" i="14"/>
  <c r="S1885" i="14"/>
  <c r="S1884" i="14"/>
  <c r="S1881" i="14"/>
  <c r="S1879" i="14"/>
  <c r="S1876" i="14"/>
  <c r="S1873" i="14"/>
  <c r="S1872" i="14"/>
  <c r="S1871" i="14"/>
  <c r="S1870" i="14"/>
  <c r="S1869" i="14"/>
  <c r="S1868" i="14"/>
  <c r="S1867" i="14"/>
  <c r="S1862" i="14"/>
  <c r="S1858" i="14"/>
  <c r="S1857" i="14"/>
  <c r="S1836" i="14"/>
  <c r="S1835" i="14"/>
  <c r="S1833" i="14"/>
  <c r="S1830" i="14"/>
  <c r="S1829" i="14"/>
  <c r="S1827" i="14"/>
  <c r="S1824" i="14"/>
  <c r="S1823" i="14"/>
  <c r="S1822" i="14"/>
  <c r="S1820" i="14"/>
  <c r="S1818" i="14"/>
  <c r="S1817" i="14"/>
  <c r="S1815" i="14"/>
  <c r="S1814" i="14"/>
  <c r="S1811" i="14"/>
  <c r="S1810" i="14"/>
  <c r="S1808" i="14"/>
  <c r="S1807" i="14"/>
  <c r="S1802" i="14"/>
  <c r="S1800" i="14"/>
  <c r="S1797" i="14"/>
  <c r="S1796" i="14"/>
  <c r="S1795" i="14"/>
  <c r="S1794" i="14"/>
  <c r="S1793" i="14"/>
  <c r="S1792" i="14"/>
  <c r="S1790" i="14"/>
  <c r="S1789" i="14"/>
  <c r="S1786" i="14"/>
  <c r="S1785" i="14"/>
  <c r="S1784" i="14"/>
  <c r="S1783" i="14"/>
  <c r="S1782" i="14"/>
  <c r="S1781" i="14"/>
  <c r="S1779" i="14"/>
  <c r="S1778" i="14"/>
  <c r="S1754" i="14"/>
  <c r="S1751" i="14"/>
  <c r="S1748" i="14"/>
  <c r="S1747" i="14"/>
  <c r="S1746" i="14"/>
  <c r="S1745" i="14"/>
  <c r="S1744" i="14"/>
  <c r="S1742" i="14"/>
  <c r="S1741" i="14"/>
  <c r="S1597" i="14"/>
  <c r="S1594" i="14"/>
  <c r="S1577" i="14"/>
  <c r="S1564" i="14"/>
  <c r="S1563" i="14"/>
  <c r="S1557" i="14"/>
  <c r="S1555" i="14"/>
  <c r="S1553" i="14"/>
  <c r="S1548" i="14"/>
  <c r="S1546" i="14"/>
  <c r="S1543" i="14"/>
  <c r="S1537" i="14"/>
  <c r="S887" i="14"/>
  <c r="S820" i="14"/>
  <c r="K1878" i="14"/>
  <c r="S1878" i="14" s="1"/>
  <c r="O1636" i="14"/>
  <c r="S1636" i="14" s="1"/>
  <c r="K1701" i="14"/>
  <c r="S1701" i="14" s="1"/>
  <c r="K1717" i="14"/>
  <c r="S1717" i="14" s="1"/>
  <c r="S1573" i="14"/>
  <c r="K1426" i="14"/>
  <c r="S1426" i="14" s="1"/>
  <c r="K1435" i="14"/>
  <c r="S1435" i="14" s="1"/>
  <c r="S1904" i="14"/>
  <c r="S1903" i="14"/>
  <c r="S1902" i="14"/>
  <c r="S1901" i="14"/>
  <c r="S1900" i="14"/>
  <c r="S1899" i="14"/>
  <c r="S1898" i="14"/>
  <c r="S1897" i="14"/>
  <c r="S1895" i="14"/>
  <c r="S1894" i="14"/>
  <c r="S1891" i="14"/>
  <c r="S1890" i="14"/>
  <c r="S1889" i="14"/>
  <c r="S1776" i="14"/>
  <c r="S1771" i="14"/>
  <c r="S1770" i="14"/>
  <c r="S1768" i="14"/>
  <c r="S1764" i="14"/>
  <c r="S1762" i="14"/>
  <c r="S1761" i="14"/>
  <c r="S1760" i="14"/>
  <c r="S1759" i="14"/>
  <c r="S1758" i="14"/>
  <c r="S1633" i="14"/>
  <c r="O400" i="14"/>
  <c r="S400" i="14" s="1"/>
  <c r="S1391" i="14"/>
  <c r="S1039" i="14"/>
  <c r="S975" i="14"/>
  <c r="S964" i="14"/>
  <c r="S955" i="14"/>
  <c r="S924" i="14"/>
  <c r="S895" i="14"/>
  <c r="O1602" i="14"/>
  <c r="S1602" i="14" s="1"/>
  <c r="S1423" i="14"/>
  <c r="S1444" i="14"/>
  <c r="O1466" i="14"/>
  <c r="S1466" i="14" s="1"/>
  <c r="S1479" i="14"/>
  <c r="N1825" i="14"/>
  <c r="R1828" i="14"/>
  <c r="R1855" i="14"/>
  <c r="Q777" i="14"/>
  <c r="K777" i="14"/>
  <c r="S777" i="14" s="1"/>
  <c r="S1933" i="14"/>
  <c r="S1932" i="14"/>
  <c r="S1931" i="14"/>
  <c r="S1930" i="14"/>
  <c r="S1928" i="14"/>
  <c r="S1927" i="14"/>
  <c r="S1925" i="14"/>
  <c r="S1924" i="14"/>
  <c r="S1921" i="14"/>
  <c r="S1919" i="14"/>
  <c r="S1918" i="14"/>
  <c r="S1723" i="14"/>
  <c r="S1721" i="14"/>
  <c r="S1720" i="14"/>
  <c r="S1718" i="14"/>
  <c r="S1716" i="14"/>
  <c r="S1715" i="14"/>
  <c r="S1712" i="14"/>
  <c r="S1710" i="14"/>
  <c r="S1705" i="14"/>
  <c r="S1691" i="14"/>
  <c r="S1670" i="14"/>
  <c r="S1663" i="14"/>
  <c r="S1660" i="14"/>
  <c r="S1651" i="14"/>
  <c r="S1645" i="14"/>
  <c r="S1641" i="14"/>
  <c r="S1638" i="14"/>
  <c r="S1722" i="14"/>
  <c r="S1719" i="14"/>
  <c r="S1711" i="14"/>
  <c r="S1709" i="14"/>
  <c r="S1702" i="14"/>
  <c r="S1692" i="14"/>
  <c r="S1690" i="14"/>
  <c r="S1682" i="14"/>
  <c r="S1677" i="14"/>
  <c r="S1665" i="14"/>
  <c r="S1659" i="14"/>
  <c r="S1652" i="14"/>
  <c r="S1650" i="14"/>
  <c r="S1649" i="14"/>
  <c r="S1648" i="14"/>
  <c r="S1646" i="14"/>
  <c r="S1642" i="14"/>
  <c r="S1640" i="14"/>
  <c r="S1637" i="14"/>
  <c r="S1620" i="14"/>
  <c r="S1612" i="14"/>
  <c r="S1608" i="14"/>
  <c r="S1605" i="14"/>
  <c r="S1603" i="14"/>
  <c r="S1600" i="14"/>
  <c r="S1521" i="14"/>
  <c r="S1514" i="14"/>
  <c r="S1512" i="14"/>
  <c r="S1511" i="14"/>
  <c r="S1504" i="14"/>
  <c r="S1496" i="14"/>
  <c r="S1484" i="14"/>
  <c r="S1482" i="14"/>
  <c r="S1462" i="14"/>
  <c r="S1441" i="14"/>
  <c r="S1434" i="14"/>
  <c r="S1433" i="14"/>
  <c r="S1431" i="14"/>
  <c r="S1422" i="14"/>
  <c r="S1416" i="14"/>
  <c r="S1412" i="14"/>
  <c r="S1402" i="14"/>
  <c r="S1401" i="14"/>
  <c r="S1396" i="14"/>
  <c r="S1468" i="14"/>
  <c r="S816" i="14"/>
  <c r="S775" i="14"/>
  <c r="S771" i="14"/>
  <c r="S731" i="14"/>
  <c r="S1350" i="14"/>
  <c r="S1331" i="14"/>
  <c r="S1321" i="14"/>
  <c r="S1299" i="14"/>
  <c r="S1221" i="14"/>
  <c r="S1166" i="14"/>
  <c r="S1061" i="14"/>
  <c r="S201" i="14"/>
  <c r="K68" i="14"/>
  <c r="S68" i="14" s="1"/>
  <c r="N1749" i="14"/>
  <c r="R1750" i="14"/>
  <c r="N1756" i="14"/>
  <c r="R1769" i="14"/>
  <c r="N1774" i="14"/>
  <c r="R1775" i="14"/>
  <c r="N1813" i="14"/>
  <c r="R1825" i="14"/>
  <c r="J1740" i="14"/>
  <c r="J1739" i="14" s="1"/>
  <c r="J1738" i="14" s="1"/>
  <c r="R1743" i="14"/>
  <c r="J1752" i="14"/>
  <c r="R1752" i="14" s="1"/>
  <c r="R1753" i="14"/>
  <c r="J1765" i="14"/>
  <c r="R1766" i="14"/>
  <c r="J1777" i="14"/>
  <c r="R1780" i="14"/>
  <c r="J1788" i="14"/>
  <c r="R1791" i="14"/>
  <c r="J1799" i="14"/>
  <c r="R1801" i="14"/>
  <c r="J1813" i="14"/>
  <c r="J1812" i="14" s="1"/>
  <c r="R1816" i="14"/>
  <c r="J1831" i="14"/>
  <c r="R1831" i="14" s="1"/>
  <c r="R1832" i="14"/>
  <c r="J1840" i="14"/>
  <c r="R1843" i="14"/>
  <c r="R1619" i="14"/>
  <c r="J1916" i="14"/>
  <c r="S1523" i="14"/>
  <c r="S1510" i="14"/>
  <c r="S1500" i="14"/>
  <c r="S1489" i="14"/>
  <c r="S1485" i="14"/>
  <c r="S1477" i="14"/>
  <c r="S1469" i="14"/>
  <c r="S1457" i="14"/>
  <c r="S1439" i="14"/>
  <c r="S1408" i="14"/>
  <c r="S1397" i="14"/>
  <c r="R1406" i="14"/>
  <c r="S1508" i="14"/>
  <c r="S1498" i="14"/>
  <c r="S1488" i="14"/>
  <c r="S1480" i="14"/>
  <c r="S1445" i="14"/>
  <c r="S1417" i="14"/>
  <c r="S1409" i="14"/>
  <c r="S1398" i="14"/>
  <c r="O1470" i="14"/>
  <c r="S1470" i="14" s="1"/>
  <c r="S1599" i="14"/>
  <c r="S1596" i="14"/>
  <c r="S1591" i="14"/>
  <c r="S1590" i="14"/>
  <c r="S1578" i="14"/>
  <c r="S1572" i="14"/>
  <c r="S1570" i="14"/>
  <c r="S1569" i="14"/>
  <c r="S1562" i="14"/>
  <c r="S1561" i="14"/>
  <c r="S1560" i="14"/>
  <c r="S1552" i="14"/>
  <c r="S1551" i="14"/>
  <c r="S1550" i="14"/>
  <c r="S1549" i="14"/>
  <c r="S1542" i="14"/>
  <c r="S1541" i="14"/>
  <c r="S1539" i="14"/>
  <c r="S1538" i="14"/>
  <c r="S1536" i="14"/>
  <c r="S1614" i="14"/>
  <c r="S1507" i="14"/>
  <c r="S1497" i="14"/>
  <c r="S1487" i="14"/>
  <c r="S1483" i="14"/>
  <c r="S1478" i="14"/>
  <c r="S1460" i="14"/>
  <c r="S1450" i="14"/>
  <c r="S1440" i="14"/>
  <c r="S1427" i="14"/>
  <c r="S1399" i="14"/>
  <c r="S1143" i="14"/>
  <c r="S1085" i="14"/>
  <c r="S620" i="14"/>
  <c r="S619" i="14"/>
  <c r="S617" i="14"/>
  <c r="S926" i="14"/>
  <c r="S842" i="14"/>
  <c r="K1027" i="14"/>
  <c r="S1027" i="14" s="1"/>
  <c r="O1277" i="14"/>
  <c r="S1277" i="14" s="1"/>
  <c r="O402" i="14"/>
  <c r="S402" i="14" s="1"/>
  <c r="R1613" i="14"/>
  <c r="K1613" i="14"/>
  <c r="S1613" i="14" s="1"/>
  <c r="J1610" i="14"/>
  <c r="N1922" i="14"/>
  <c r="R1923" i="14"/>
  <c r="O1923" i="14"/>
  <c r="S1923" i="14" s="1"/>
  <c r="K1917" i="14"/>
  <c r="S1917" i="14" s="1"/>
  <c r="R1917" i="14"/>
  <c r="R1920" i="14"/>
  <c r="K1920" i="14"/>
  <c r="S1920" i="14" s="1"/>
  <c r="J1926" i="14"/>
  <c r="R1926" i="14" s="1"/>
  <c r="K1929" i="14"/>
  <c r="S1929" i="14" s="1"/>
  <c r="R1929" i="14"/>
  <c r="J1874" i="14"/>
  <c r="R1874" i="14" s="1"/>
  <c r="R1875" i="14"/>
  <c r="J1883" i="14"/>
  <c r="R1886" i="14"/>
  <c r="J1893" i="14"/>
  <c r="R1896" i="14"/>
  <c r="N1655" i="14"/>
  <c r="R1656" i="14"/>
  <c r="J1644" i="14"/>
  <c r="R1647" i="14"/>
  <c r="J1658" i="14"/>
  <c r="R1661" i="14"/>
  <c r="J1675" i="14"/>
  <c r="R1676" i="14"/>
  <c r="J1685" i="14"/>
  <c r="R1686" i="14"/>
  <c r="J1700" i="14"/>
  <c r="R1701" i="14"/>
  <c r="J1703" i="14"/>
  <c r="R1704" i="14"/>
  <c r="J1707" i="14"/>
  <c r="R1708" i="14"/>
  <c r="J1714" i="14"/>
  <c r="R1717" i="14"/>
  <c r="J1558" i="14"/>
  <c r="R1559" i="14"/>
  <c r="N1452" i="14"/>
  <c r="R1452" i="14" s="1"/>
  <c r="R1453" i="14"/>
  <c r="J1392" i="14"/>
  <c r="R1392" i="14" s="1"/>
  <c r="R1393" i="14"/>
  <c r="J1413" i="14"/>
  <c r="R1414" i="14"/>
  <c r="Q1743" i="14"/>
  <c r="K1743" i="14"/>
  <c r="S1743" i="14" s="1"/>
  <c r="M1749" i="14"/>
  <c r="O1750" i="14"/>
  <c r="S1750" i="14" s="1"/>
  <c r="I1753" i="14"/>
  <c r="K1755" i="14"/>
  <c r="S1755" i="14" s="1"/>
  <c r="Q1763" i="14"/>
  <c r="K1763" i="14"/>
  <c r="S1763" i="14" s="1"/>
  <c r="I1766" i="14"/>
  <c r="Q1766" i="14" s="1"/>
  <c r="K1767" i="14"/>
  <c r="S1767" i="14" s="1"/>
  <c r="Q1769" i="14"/>
  <c r="O1769" i="14"/>
  <c r="S1769" i="14" s="1"/>
  <c r="M1774" i="14"/>
  <c r="O1775" i="14"/>
  <c r="S1775" i="14" s="1"/>
  <c r="I1777" i="14"/>
  <c r="K1780" i="14"/>
  <c r="S1780" i="14" s="1"/>
  <c r="I1788" i="14"/>
  <c r="K1791" i="14"/>
  <c r="S1791" i="14" s="1"/>
  <c r="I1799" i="14"/>
  <c r="K1801" i="14"/>
  <c r="S1801" i="14" s="1"/>
  <c r="I1805" i="14"/>
  <c r="K1806" i="14"/>
  <c r="S1806" i="14" s="1"/>
  <c r="Q1809" i="14"/>
  <c r="K1809" i="14"/>
  <c r="S1809" i="14" s="1"/>
  <c r="Q1819" i="14"/>
  <c r="K1819" i="14"/>
  <c r="S1819" i="14" s="1"/>
  <c r="Q1821" i="14"/>
  <c r="K1821" i="14"/>
  <c r="S1821" i="14" s="1"/>
  <c r="Q1826" i="14"/>
  <c r="O1826" i="14"/>
  <c r="S1826" i="14" s="1"/>
  <c r="Q1828" i="14"/>
  <c r="O1828" i="14"/>
  <c r="S1828" i="14" s="1"/>
  <c r="I1832" i="14"/>
  <c r="K1834" i="14"/>
  <c r="S1834" i="14" s="1"/>
  <c r="Q1838" i="14"/>
  <c r="K1838" i="14"/>
  <c r="S1838" i="14" s="1"/>
  <c r="Q1846" i="14"/>
  <c r="K1846" i="14"/>
  <c r="S1846" i="14" s="1"/>
  <c r="Q1848" i="14"/>
  <c r="K1848" i="14"/>
  <c r="S1848" i="14" s="1"/>
  <c r="M1852" i="14"/>
  <c r="O1855" i="14"/>
  <c r="S1855" i="14" s="1"/>
  <c r="Q1861" i="14"/>
  <c r="K1861" i="14"/>
  <c r="S1861" i="14" s="1"/>
  <c r="Q1864" i="14"/>
  <c r="K1864" i="14"/>
  <c r="S1864" i="14" s="1"/>
  <c r="Q1865" i="14"/>
  <c r="K1865" i="14"/>
  <c r="S1865" i="14" s="1"/>
  <c r="Q1866" i="14"/>
  <c r="K1866" i="14"/>
  <c r="S1866" i="14" s="1"/>
  <c r="I1874" i="14"/>
  <c r="K1875" i="14"/>
  <c r="S1875" i="14" s="1"/>
  <c r="Q1880" i="14"/>
  <c r="K1880" i="14"/>
  <c r="S1880" i="14" s="1"/>
  <c r="I1883" i="14"/>
  <c r="K1886" i="14"/>
  <c r="S1886" i="14" s="1"/>
  <c r="Q1896" i="14"/>
  <c r="K1896" i="14"/>
  <c r="S1896" i="14" s="1"/>
  <c r="I1632" i="14"/>
  <c r="K1634" i="14"/>
  <c r="S1634" i="14" s="1"/>
  <c r="Q1639" i="14"/>
  <c r="O1639" i="14"/>
  <c r="S1639" i="14" s="1"/>
  <c r="Q1653" i="14"/>
  <c r="K1653" i="14"/>
  <c r="S1653" i="14" s="1"/>
  <c r="Q1654" i="14"/>
  <c r="K1654" i="14"/>
  <c r="S1654" i="14" s="1"/>
  <c r="M1656" i="14"/>
  <c r="Q1656" i="14" s="1"/>
  <c r="O1657" i="14"/>
  <c r="S1657" i="14" s="1"/>
  <c r="Q1666" i="14"/>
  <c r="K1666" i="14"/>
  <c r="S1666" i="14" s="1"/>
  <c r="Q1669" i="14"/>
  <c r="O1669" i="14"/>
  <c r="S1669" i="14" s="1"/>
  <c r="Q1672" i="14"/>
  <c r="M1671" i="14"/>
  <c r="O1671" i="14" s="1"/>
  <c r="S1671" i="14" s="1"/>
  <c r="O1672" i="14"/>
  <c r="S1672" i="14" s="1"/>
  <c r="Q1673" i="14"/>
  <c r="O1673" i="14"/>
  <c r="S1673" i="14" s="1"/>
  <c r="Q1681" i="14"/>
  <c r="O1681" i="14"/>
  <c r="S1681" i="14" s="1"/>
  <c r="Q1684" i="14"/>
  <c r="O1684" i="14"/>
  <c r="S1684" i="14" s="1"/>
  <c r="Q1694" i="14"/>
  <c r="K1694" i="14"/>
  <c r="S1694" i="14" s="1"/>
  <c r="Q1696" i="14"/>
  <c r="O1696" i="14"/>
  <c r="S1696" i="14" s="1"/>
  <c r="Q1698" i="14"/>
  <c r="O1698" i="14"/>
  <c r="S1698" i="14" s="1"/>
  <c r="Q1545" i="14"/>
  <c r="K1545" i="14"/>
  <c r="S1545" i="14" s="1"/>
  <c r="Q1554" i="14"/>
  <c r="K1554" i="14"/>
  <c r="S1554" i="14" s="1"/>
  <c r="Q1575" i="14"/>
  <c r="K1575" i="14"/>
  <c r="S1575" i="14" s="1"/>
  <c r="Q1576" i="14"/>
  <c r="K1576" i="14"/>
  <c r="S1576" i="14" s="1"/>
  <c r="Q1593" i="14"/>
  <c r="K1593" i="14"/>
  <c r="S1593" i="14" s="1"/>
  <c r="Q1595" i="14"/>
  <c r="K1595" i="14"/>
  <c r="S1595" i="14" s="1"/>
  <c r="M1429" i="14"/>
  <c r="O1430" i="14"/>
  <c r="S1430" i="14" s="1"/>
  <c r="M1446" i="14"/>
  <c r="O1447" i="14"/>
  <c r="S1447" i="14" s="1"/>
  <c r="Q1499" i="14"/>
  <c r="O1499" i="14"/>
  <c r="S1499" i="14" s="1"/>
  <c r="Q1505" i="14"/>
  <c r="O1505" i="14"/>
  <c r="S1505" i="14" s="1"/>
  <c r="Q1518" i="14"/>
  <c r="O1518" i="14"/>
  <c r="S1518" i="14" s="1"/>
  <c r="Q1520" i="14"/>
  <c r="O1520" i="14"/>
  <c r="S1520" i="14" s="1"/>
  <c r="Q1522" i="14"/>
  <c r="O1522" i="14"/>
  <c r="S1522" i="14" s="1"/>
  <c r="S1678" i="14"/>
  <c r="S1463" i="14"/>
  <c r="S1458" i="14"/>
  <c r="S1438" i="14"/>
  <c r="S1437" i="14"/>
  <c r="B352" i="13"/>
  <c r="B353" i="13" s="1"/>
  <c r="B354" i="13" s="1"/>
  <c r="B355" i="13" s="1"/>
  <c r="B356" i="13" s="1"/>
  <c r="B357" i="13" s="1"/>
  <c r="B358" i="13" s="1"/>
  <c r="B359" i="13" s="1"/>
  <c r="B360" i="13" s="1"/>
  <c r="B361" i="13" s="1"/>
  <c r="B362" i="13" s="1"/>
  <c r="B363" i="13" s="1"/>
  <c r="B364" i="13" s="1"/>
  <c r="B365" i="13" s="1"/>
  <c r="B366" i="13" s="1"/>
  <c r="B367" i="13" s="1"/>
  <c r="B368" i="13" s="1"/>
  <c r="B369" i="13" s="1"/>
  <c r="B370" i="13" s="1"/>
  <c r="B371" i="13" s="1"/>
  <c r="B372" i="13" s="1"/>
  <c r="B373" i="13" s="1"/>
  <c r="B374" i="13" s="1"/>
  <c r="B375" i="13" s="1"/>
  <c r="B376" i="13" s="1"/>
  <c r="B377" i="13" s="1"/>
  <c r="B378" i="13" s="1"/>
  <c r="B379" i="13" s="1"/>
  <c r="B380" i="13" s="1"/>
  <c r="F338" i="13"/>
  <c r="F332" i="13" s="1"/>
  <c r="G339" i="13"/>
  <c r="G227" i="13"/>
  <c r="G39" i="13"/>
  <c r="G232" i="13"/>
  <c r="G67" i="13"/>
  <c r="G83" i="13"/>
  <c r="G99" i="13"/>
  <c r="F191" i="13"/>
  <c r="G45" i="13"/>
  <c r="G48" i="13"/>
  <c r="G53" i="13"/>
  <c r="G73" i="13"/>
  <c r="G77" i="13"/>
  <c r="G143" i="13"/>
  <c r="G145" i="13"/>
  <c r="G187" i="13"/>
  <c r="G192" i="13"/>
  <c r="G198" i="13"/>
  <c r="G210" i="13"/>
  <c r="G213" i="13"/>
  <c r="G215" i="13"/>
  <c r="E219" i="13"/>
  <c r="G237" i="13"/>
  <c r="G239" i="13"/>
  <c r="G244" i="13"/>
  <c r="G246" i="13"/>
  <c r="G251" i="13"/>
  <c r="G253" i="13"/>
  <c r="G258" i="13"/>
  <c r="G275" i="13"/>
  <c r="E277" i="13"/>
  <c r="G293" i="13"/>
  <c r="G297" i="13"/>
  <c r="G312" i="13"/>
  <c r="G376" i="13"/>
  <c r="G12" i="13"/>
  <c r="E11" i="13"/>
  <c r="E86" i="13"/>
  <c r="G86" i="13" s="1"/>
  <c r="G87" i="13"/>
  <c r="E301" i="13"/>
  <c r="G301" i="13" s="1"/>
  <c r="G302" i="13"/>
  <c r="E305" i="13"/>
  <c r="G306" i="13"/>
  <c r="E308" i="13"/>
  <c r="G308" i="13" s="1"/>
  <c r="G309" i="13"/>
  <c r="L23" i="15"/>
  <c r="N23" i="15" s="1"/>
  <c r="J1804" i="14"/>
  <c r="J1863" i="14"/>
  <c r="J1877" i="14"/>
  <c r="R1877" i="14" s="1"/>
  <c r="B1682" i="14"/>
  <c r="B1683" i="14" s="1"/>
  <c r="B1684" i="14" s="1"/>
  <c r="B1685" i="14" s="1"/>
  <c r="B1686" i="14" s="1"/>
  <c r="B1687" i="14" s="1"/>
  <c r="B1688" i="14" s="1"/>
  <c r="B1689" i="14" s="1"/>
  <c r="B1690" i="14" s="1"/>
  <c r="B1691" i="14" s="1"/>
  <c r="B1692" i="14" s="1"/>
  <c r="B1693" i="14" s="1"/>
  <c r="B1694" i="14" s="1"/>
  <c r="B1695" i="14" s="1"/>
  <c r="B1696" i="14" s="1"/>
  <c r="B1697" i="14" s="1"/>
  <c r="B1698" i="14" s="1"/>
  <c r="B1699" i="14" s="1"/>
  <c r="B1700" i="14" s="1"/>
  <c r="B1701" i="14" s="1"/>
  <c r="B1702" i="14" s="1"/>
  <c r="B1703" i="14" s="1"/>
  <c r="B1704" i="14" s="1"/>
  <c r="B1705" i="14" s="1"/>
  <c r="B1706" i="14" s="1"/>
  <c r="B1707" i="14" s="1"/>
  <c r="B1708" i="14" s="1"/>
  <c r="B1709" i="14" s="1"/>
  <c r="B1710" i="14" s="1"/>
  <c r="B1711" i="14" s="1"/>
  <c r="B1712" i="14" s="1"/>
  <c r="B1713" i="14" s="1"/>
  <c r="B1714" i="14" s="1"/>
  <c r="B1715" i="14" s="1"/>
  <c r="B1716" i="14" s="1"/>
  <c r="B1717" i="14" s="1"/>
  <c r="B1718" i="14" s="1"/>
  <c r="B1719" i="14" s="1"/>
  <c r="B1720" i="14" s="1"/>
  <c r="B1721" i="14" s="1"/>
  <c r="B1722" i="14" s="1"/>
  <c r="B1723" i="14" s="1"/>
  <c r="B1724" i="14" s="1"/>
  <c r="O1419" i="14"/>
  <c r="S1419" i="14" s="1"/>
  <c r="N1565" i="14"/>
  <c r="K1686" i="14"/>
  <c r="S1686" i="14" s="1"/>
  <c r="S1023" i="14"/>
  <c r="O1420" i="14"/>
  <c r="S1420" i="14" s="1"/>
  <c r="K1547" i="14"/>
  <c r="S1547" i="14" s="1"/>
  <c r="K1607" i="14"/>
  <c r="S1607" i="14" s="1"/>
  <c r="K1667" i="14"/>
  <c r="S1667" i="14" s="1"/>
  <c r="K1687" i="14"/>
  <c r="S1687" i="14" s="1"/>
  <c r="O1481" i="14"/>
  <c r="S1481" i="14" s="1"/>
  <c r="O1501" i="14"/>
  <c r="S1501" i="14" s="1"/>
  <c r="R1435" i="14"/>
  <c r="K1708" i="14"/>
  <c r="S1708" i="14" s="1"/>
  <c r="S694" i="14"/>
  <c r="S914" i="14"/>
  <c r="O1502" i="14"/>
  <c r="S1502" i="14" s="1"/>
  <c r="K1689" i="14"/>
  <c r="S1689" i="14" s="1"/>
  <c r="S1323" i="14"/>
  <c r="O1503" i="14"/>
  <c r="S1503" i="14" s="1"/>
  <c r="O1619" i="14"/>
  <c r="S1619" i="14" s="1"/>
  <c r="N1680" i="14"/>
  <c r="S1065" i="14"/>
  <c r="K1611" i="14"/>
  <c r="S1611" i="14" s="1"/>
  <c r="R1535" i="14"/>
  <c r="S633" i="14"/>
  <c r="R1411" i="14"/>
  <c r="K1556" i="14"/>
  <c r="S1556" i="14" s="1"/>
  <c r="O1411" i="14"/>
  <c r="S1411" i="14" s="1"/>
  <c r="R1410" i="14"/>
  <c r="S1312" i="14"/>
  <c r="O936" i="14"/>
  <c r="S936" i="14" s="1"/>
  <c r="R1509" i="14"/>
  <c r="R1459" i="14"/>
  <c r="R1449" i="14"/>
  <c r="R1429" i="14"/>
  <c r="K1540" i="14"/>
  <c r="S1540" i="14" s="1"/>
  <c r="O1566" i="14"/>
  <c r="S1566" i="14" s="1"/>
  <c r="O1586" i="14"/>
  <c r="S1586" i="14" s="1"/>
  <c r="O496" i="14"/>
  <c r="S496" i="14" s="1"/>
  <c r="O894" i="14"/>
  <c r="S894" i="14" s="1"/>
  <c r="O1410" i="14"/>
  <c r="S1410" i="14" s="1"/>
  <c r="O1583" i="14"/>
  <c r="S1583" i="14" s="1"/>
  <c r="R1470" i="14"/>
  <c r="R1390" i="14"/>
  <c r="O1604" i="14"/>
  <c r="S1604" i="14" s="1"/>
  <c r="R1592" i="14"/>
  <c r="S388" i="14"/>
  <c r="S1370" i="14"/>
  <c r="S726" i="14"/>
  <c r="S747" i="14"/>
  <c r="S970" i="14"/>
  <c r="S990" i="14"/>
  <c r="S1010" i="14"/>
  <c r="S1055" i="14"/>
  <c r="S1334" i="14"/>
  <c r="S1354" i="14"/>
  <c r="R1201" i="14"/>
  <c r="O1454" i="14"/>
  <c r="S1454" i="14" s="1"/>
  <c r="O1587" i="14"/>
  <c r="S1587" i="14" s="1"/>
  <c r="R1571" i="14"/>
  <c r="S779" i="14"/>
  <c r="S535" i="14"/>
  <c r="K1574" i="14"/>
  <c r="S1574" i="14" s="1"/>
  <c r="S559" i="14"/>
  <c r="S702" i="14"/>
  <c r="O1490" i="14"/>
  <c r="S1490" i="14" s="1"/>
  <c r="S976" i="14"/>
  <c r="O1491" i="14"/>
  <c r="S1491" i="14" s="1"/>
  <c r="K1598" i="14"/>
  <c r="S1598" i="14" s="1"/>
  <c r="O1585" i="14"/>
  <c r="S1585" i="14" s="1"/>
  <c r="S418" i="14"/>
  <c r="S1372" i="14"/>
  <c r="S521" i="14"/>
  <c r="S639" i="14"/>
  <c r="S663" i="14"/>
  <c r="S1011" i="14"/>
  <c r="S1031" i="14"/>
  <c r="S1140" i="14"/>
  <c r="S1335" i="14"/>
  <c r="S1355" i="14"/>
  <c r="O1455" i="14"/>
  <c r="S1455" i="14" s="1"/>
  <c r="O1495" i="14"/>
  <c r="S1495" i="14" s="1"/>
  <c r="O1588" i="14"/>
  <c r="S1588" i="14" s="1"/>
  <c r="K1662" i="14"/>
  <c r="S1662" i="14" s="1"/>
  <c r="N1635" i="14"/>
  <c r="R1635" i="14" s="1"/>
  <c r="Q364" i="14"/>
  <c r="Q1371" i="14"/>
  <c r="S419" i="14"/>
  <c r="S890" i="14"/>
  <c r="S1224" i="14"/>
  <c r="S1271" i="14"/>
  <c r="S1336" i="14"/>
  <c r="K1679" i="14"/>
  <c r="S1679" i="14" s="1"/>
  <c r="S420" i="14"/>
  <c r="S1240" i="14"/>
  <c r="S1142" i="14"/>
  <c r="S1357" i="14"/>
  <c r="R1407" i="14"/>
  <c r="K1544" i="14"/>
  <c r="S1544" i="14" s="1"/>
  <c r="K1664" i="14"/>
  <c r="S1664" i="14" s="1"/>
  <c r="K1704" i="14"/>
  <c r="S1704" i="14" s="1"/>
  <c r="K1724" i="14"/>
  <c r="S1724" i="14" s="1"/>
  <c r="N1668" i="14"/>
  <c r="N1695" i="14"/>
  <c r="N1601" i="14"/>
  <c r="N1579" i="14"/>
  <c r="N1418" i="14"/>
  <c r="N1442" i="14"/>
  <c r="N1465" i="14"/>
  <c r="N1517" i="14"/>
  <c r="N1475" i="14"/>
  <c r="R1475" i="14" s="1"/>
  <c r="R595" i="14"/>
  <c r="S621" i="14"/>
  <c r="S593" i="14"/>
  <c r="S625" i="14"/>
  <c r="K1156" i="14"/>
  <c r="S1156" i="14" s="1"/>
  <c r="S1182" i="14"/>
  <c r="S1103" i="14"/>
  <c r="S1060" i="14"/>
  <c r="Q651" i="14"/>
  <c r="K902" i="14"/>
  <c r="S902" i="14" s="1"/>
  <c r="S938" i="14"/>
  <c r="S529" i="14"/>
  <c r="S599" i="14"/>
  <c r="S622" i="14"/>
  <c r="O1256" i="14"/>
  <c r="S1256" i="14" s="1"/>
  <c r="S759" i="14"/>
  <c r="S875" i="14"/>
  <c r="S898" i="14"/>
  <c r="S1212" i="14"/>
  <c r="K1516" i="14"/>
  <c r="S1516" i="14" s="1"/>
  <c r="K1515" i="14"/>
  <c r="S1515" i="14" s="1"/>
  <c r="S546" i="14"/>
  <c r="S1227" i="14"/>
  <c r="S1235" i="14"/>
  <c r="S1327" i="14"/>
  <c r="K1394" i="14"/>
  <c r="S1394" i="14" s="1"/>
  <c r="S417" i="14"/>
  <c r="K711" i="14"/>
  <c r="S711" i="14" s="1"/>
  <c r="S1064" i="14"/>
  <c r="S1214" i="14"/>
  <c r="K712" i="14"/>
  <c r="S712" i="14" s="1"/>
  <c r="S1040" i="14"/>
  <c r="S539" i="14"/>
  <c r="S985" i="14"/>
  <c r="S1114" i="14"/>
  <c r="S1154" i="14"/>
  <c r="S1238" i="14"/>
  <c r="S1329" i="14"/>
  <c r="R672" i="14"/>
  <c r="R598" i="14"/>
  <c r="S1231" i="14"/>
  <c r="S561" i="14"/>
  <c r="S1155" i="14"/>
  <c r="S1175" i="14"/>
  <c r="R1036" i="14"/>
  <c r="R416" i="14"/>
  <c r="S1127" i="14"/>
  <c r="S1021" i="14"/>
  <c r="S1130" i="14"/>
  <c r="S1211" i="14"/>
  <c r="K511" i="14"/>
  <c r="S511" i="14" s="1"/>
  <c r="S635" i="14"/>
  <c r="S703" i="14"/>
  <c r="S903" i="14"/>
  <c r="S947" i="14"/>
  <c r="S1116" i="14"/>
  <c r="K1400" i="14"/>
  <c r="S1400" i="14" s="1"/>
  <c r="S961" i="14"/>
  <c r="S1305" i="14"/>
  <c r="S1288" i="14"/>
  <c r="K839" i="14"/>
  <c r="S839" i="14" s="1"/>
  <c r="S993" i="14"/>
  <c r="R1165" i="14"/>
  <c r="S709" i="14"/>
  <c r="S1244" i="14"/>
  <c r="S994" i="14"/>
  <c r="K998" i="14"/>
  <c r="S998" i="14" s="1"/>
  <c r="S841" i="14"/>
  <c r="K999" i="14"/>
  <c r="S999" i="14" s="1"/>
  <c r="K1395" i="14"/>
  <c r="S1395" i="14" s="1"/>
  <c r="Q1272" i="14"/>
  <c r="S405" i="14"/>
  <c r="K523" i="14"/>
  <c r="S523" i="14" s="1"/>
  <c r="S789" i="14"/>
  <c r="S972" i="14"/>
  <c r="S1164" i="14"/>
  <c r="S733" i="14"/>
  <c r="S843" i="14"/>
  <c r="S1106" i="14"/>
  <c r="R1018" i="14"/>
  <c r="R571" i="14"/>
  <c r="K1406" i="14"/>
  <c r="K549" i="14"/>
  <c r="S549" i="14" s="1"/>
  <c r="S1160" i="14"/>
  <c r="S1161" i="14"/>
  <c r="S865" i="14"/>
  <c r="S995" i="14"/>
  <c r="S406" i="14"/>
  <c r="K524" i="14"/>
  <c r="S524" i="14" s="1"/>
  <c r="S916" i="14"/>
  <c r="S1032" i="14"/>
  <c r="S1141" i="14"/>
  <c r="S1225" i="14"/>
  <c r="S734" i="14"/>
  <c r="S844" i="14"/>
  <c r="S1107" i="14"/>
  <c r="S1187" i="14"/>
  <c r="K1084" i="14"/>
  <c r="S1084" i="14" s="1"/>
  <c r="O537" i="14"/>
  <c r="S537" i="14" s="1"/>
  <c r="K590" i="14"/>
  <c r="S590" i="14" s="1"/>
  <c r="S791" i="14"/>
  <c r="S1279" i="14"/>
  <c r="K1513" i="14"/>
  <c r="S1513" i="14" s="1"/>
  <c r="K1414" i="14"/>
  <c r="S1414" i="14" s="1"/>
  <c r="O434" i="14"/>
  <c r="S434" i="14" s="1"/>
  <c r="S951" i="14"/>
  <c r="S1066" i="14"/>
  <c r="S1150" i="14"/>
  <c r="S1170" i="14"/>
  <c r="S1190" i="14"/>
  <c r="S1258" i="14"/>
  <c r="S1324" i="14"/>
  <c r="S1344" i="14"/>
  <c r="R965" i="14"/>
  <c r="S410" i="14"/>
  <c r="K952" i="14"/>
  <c r="S952" i="14" s="1"/>
  <c r="S1012" i="14"/>
  <c r="S1121" i="14"/>
  <c r="S942" i="14"/>
  <c r="S1022" i="14"/>
  <c r="S1151" i="14"/>
  <c r="S1191" i="14"/>
  <c r="S1234" i="14"/>
  <c r="R1084" i="14"/>
  <c r="S380" i="14"/>
  <c r="O436" i="14"/>
  <c r="S436" i="14" s="1"/>
  <c r="S653" i="14"/>
  <c r="S676" i="14"/>
  <c r="S780" i="14"/>
  <c r="S825" i="14"/>
  <c r="S876" i="14"/>
  <c r="S943" i="14"/>
  <c r="S983" i="14"/>
  <c r="S1046" i="14"/>
  <c r="S1092" i="14"/>
  <c r="S1112" i="14"/>
  <c r="S1132" i="14"/>
  <c r="S1172" i="14"/>
  <c r="S1346" i="14"/>
  <c r="S582" i="14"/>
  <c r="S412" i="14"/>
  <c r="S560" i="14"/>
  <c r="O656" i="14"/>
  <c r="S656" i="14" s="1"/>
  <c r="S720" i="14"/>
  <c r="S802" i="14"/>
  <c r="S826" i="14"/>
  <c r="S900" i="14"/>
  <c r="S1113" i="14"/>
  <c r="S1193" i="14"/>
  <c r="K1404" i="14"/>
  <c r="S1404" i="14" s="1"/>
  <c r="O495" i="14"/>
  <c r="S495" i="14" s="1"/>
  <c r="K630" i="14"/>
  <c r="S630" i="14" s="1"/>
  <c r="S932" i="14"/>
  <c r="S1124" i="14"/>
  <c r="S516" i="14"/>
  <c r="S678" i="14"/>
  <c r="S721" i="14"/>
  <c r="S762" i="14"/>
  <c r="S782" i="14"/>
  <c r="S803" i="14"/>
  <c r="S1094" i="14"/>
  <c r="S572" i="14"/>
  <c r="S769" i="14"/>
  <c r="K831" i="14"/>
  <c r="S831" i="14" s="1"/>
  <c r="K1287" i="14"/>
  <c r="S1287" i="14" s="1"/>
  <c r="K1364" i="14"/>
  <c r="S1364" i="14" s="1"/>
  <c r="S562" i="14"/>
  <c r="S852" i="14"/>
  <c r="S923" i="14"/>
  <c r="S966" i="14"/>
  <c r="S986" i="14"/>
  <c r="S1095" i="14"/>
  <c r="S1115" i="14"/>
  <c r="S1349" i="14"/>
  <c r="R1102" i="14"/>
  <c r="R937" i="14"/>
  <c r="S408" i="14"/>
  <c r="S960" i="14"/>
  <c r="K644" i="14"/>
  <c r="S644" i="14" s="1"/>
  <c r="S574" i="14"/>
  <c r="S589" i="14"/>
  <c r="S636" i="14"/>
  <c r="S764" i="14"/>
  <c r="S967" i="14"/>
  <c r="S987" i="14"/>
  <c r="S1074" i="14"/>
  <c r="S1096" i="14"/>
  <c r="S1176" i="14"/>
  <c r="S1080" i="14"/>
  <c r="S1374" i="14"/>
  <c r="S866" i="14"/>
  <c r="S387" i="14"/>
  <c r="S666" i="14"/>
  <c r="S861" i="14"/>
  <c r="S1128" i="14"/>
  <c r="S1261" i="14"/>
  <c r="S1369" i="14"/>
  <c r="S637" i="14"/>
  <c r="S704" i="14"/>
  <c r="S806" i="14"/>
  <c r="S854" i="14"/>
  <c r="S948" i="14"/>
  <c r="S1053" i="14"/>
  <c r="S1075" i="14"/>
  <c r="S1177" i="14"/>
  <c r="S1373" i="14"/>
  <c r="R407" i="14"/>
  <c r="K545" i="14"/>
  <c r="S545" i="14" s="1"/>
  <c r="S667" i="14"/>
  <c r="K776" i="14"/>
  <c r="S776" i="14" s="1"/>
  <c r="S520" i="14"/>
  <c r="S615" i="14"/>
  <c r="S661" i="14"/>
  <c r="S705" i="14"/>
  <c r="S1054" i="14"/>
  <c r="S1352" i="14"/>
  <c r="K1436" i="14"/>
  <c r="S1436" i="14" s="1"/>
  <c r="K1461" i="14"/>
  <c r="S1461" i="14" s="1"/>
  <c r="O488" i="14"/>
  <c r="S488" i="14" s="1"/>
  <c r="K658" i="14"/>
  <c r="S658" i="14" s="1"/>
  <c r="S811" i="14"/>
  <c r="S832" i="14"/>
  <c r="S855" i="14"/>
  <c r="S1218" i="14"/>
  <c r="S1264" i="14"/>
  <c r="K634" i="14"/>
  <c r="S634" i="14" s="1"/>
  <c r="K1008" i="14"/>
  <c r="S1008" i="14" s="1"/>
  <c r="K1222" i="14"/>
  <c r="S1222" i="14" s="1"/>
  <c r="O655" i="14"/>
  <c r="S655" i="14" s="1"/>
  <c r="S812" i="14"/>
  <c r="S833" i="14"/>
  <c r="S882" i="14"/>
  <c r="S1136" i="14"/>
  <c r="S1196" i="14"/>
  <c r="K558" i="14"/>
  <c r="S558" i="14" s="1"/>
  <c r="S609" i="14"/>
  <c r="K1246" i="14"/>
  <c r="S1246" i="14" s="1"/>
  <c r="S968" i="14"/>
  <c r="S1028" i="14"/>
  <c r="S1197" i="14"/>
  <c r="R1156" i="14"/>
  <c r="S414" i="14"/>
  <c r="K611" i="14"/>
  <c r="S611" i="14" s="1"/>
  <c r="K752" i="14"/>
  <c r="S752" i="14" s="1"/>
  <c r="S815" i="14"/>
  <c r="K931" i="14"/>
  <c r="S931" i="14" s="1"/>
  <c r="S1200" i="14"/>
  <c r="S548" i="14"/>
  <c r="S618" i="14"/>
  <c r="S664" i="14"/>
  <c r="S749" i="14"/>
  <c r="S790" i="14"/>
  <c r="S814" i="14"/>
  <c r="S906" i="14"/>
  <c r="S1118" i="14"/>
  <c r="S1178" i="14"/>
  <c r="S1311" i="14"/>
  <c r="S1351" i="14"/>
  <c r="R608" i="14"/>
  <c r="K1403" i="14"/>
  <c r="S1403" i="14" s="1"/>
  <c r="K744" i="14"/>
  <c r="S744" i="14" s="1"/>
  <c r="K919" i="14"/>
  <c r="S919" i="14" s="1"/>
  <c r="S213" i="14"/>
  <c r="S290" i="14"/>
  <c r="K585" i="14"/>
  <c r="S585" i="14" s="1"/>
  <c r="S1043" i="14"/>
  <c r="S1302" i="14"/>
  <c r="N1252" i="14"/>
  <c r="N1236" i="14" s="1"/>
  <c r="S550" i="14"/>
  <c r="S690" i="14"/>
  <c r="S792" i="14"/>
  <c r="S863" i="14"/>
  <c r="S886" i="14"/>
  <c r="S1223" i="14"/>
  <c r="S1313" i="14"/>
  <c r="R1277" i="14"/>
  <c r="R1256" i="14"/>
  <c r="R565" i="14"/>
  <c r="K512" i="14"/>
  <c r="S512" i="14" s="1"/>
  <c r="S1342" i="14"/>
  <c r="S944" i="14"/>
  <c r="K940" i="14"/>
  <c r="S940" i="14" s="1"/>
  <c r="K686" i="14"/>
  <c r="S686" i="14" s="1"/>
  <c r="S681" i="14"/>
  <c r="K1325" i="14"/>
  <c r="S1325" i="14" s="1"/>
  <c r="S587" i="14"/>
  <c r="S640" i="14"/>
  <c r="S727" i="14"/>
  <c r="K870" i="14"/>
  <c r="S870" i="14" s="1"/>
  <c r="S1328" i="14"/>
  <c r="S551" i="14"/>
  <c r="S575" i="14"/>
  <c r="S793" i="14"/>
  <c r="S817" i="14"/>
  <c r="S1057" i="14"/>
  <c r="S1314" i="14"/>
  <c r="R586" i="14"/>
  <c r="S1001" i="14"/>
  <c r="S804" i="14"/>
  <c r="S684" i="14"/>
  <c r="S922" i="14"/>
  <c r="K1138" i="14"/>
  <c r="S1138" i="14" s="1"/>
  <c r="S313" i="14"/>
  <c r="S393" i="14"/>
  <c r="O473" i="14"/>
  <c r="S473" i="14" s="1"/>
  <c r="K534" i="14"/>
  <c r="S534" i="14" s="1"/>
  <c r="S563" i="14"/>
  <c r="K643" i="14"/>
  <c r="S643" i="14" s="1"/>
  <c r="S760" i="14"/>
  <c r="S1070" i="14"/>
  <c r="S576" i="14"/>
  <c r="S794" i="14"/>
  <c r="O867" i="14"/>
  <c r="S867" i="14" s="1"/>
  <c r="S1058" i="14"/>
  <c r="S1082" i="14"/>
  <c r="S1202" i="14"/>
  <c r="R807" i="14"/>
  <c r="K1407" i="14"/>
  <c r="S1407" i="14" s="1"/>
  <c r="S805" i="14"/>
  <c r="S1133" i="14"/>
  <c r="S1237" i="14"/>
  <c r="S745" i="14"/>
  <c r="S1025" i="14"/>
  <c r="S1134" i="14"/>
  <c r="S1215" i="14"/>
  <c r="K1007" i="14"/>
  <c r="S1007" i="14" s="1"/>
  <c r="S394" i="14"/>
  <c r="S564" i="14"/>
  <c r="K670" i="14"/>
  <c r="S670" i="14" s="1"/>
  <c r="S729" i="14"/>
  <c r="K796" i="14"/>
  <c r="S796" i="14" s="1"/>
  <c r="S1306" i="14"/>
  <c r="N1216" i="14"/>
  <c r="N1207" i="14" s="1"/>
  <c r="S577" i="14"/>
  <c r="S693" i="14"/>
  <c r="S819" i="14"/>
  <c r="S954" i="14"/>
  <c r="S1014" i="14"/>
  <c r="S1163" i="14"/>
  <c r="S1203" i="14"/>
  <c r="S1316" i="14"/>
  <c r="S1356" i="14"/>
  <c r="R1093" i="14"/>
  <c r="K1448" i="14"/>
  <c r="S1448" i="14" s="1"/>
  <c r="K920" i="14"/>
  <c r="S920" i="14" s="1"/>
  <c r="K1333" i="14"/>
  <c r="S1333" i="14" s="1"/>
  <c r="S680" i="14"/>
  <c r="S1004" i="14"/>
  <c r="S945" i="14"/>
  <c r="K612" i="14"/>
  <c r="S612" i="14" s="1"/>
  <c r="S237" i="14"/>
  <c r="R381" i="14"/>
  <c r="K671" i="14"/>
  <c r="S671" i="14" s="1"/>
  <c r="S1308" i="14"/>
  <c r="S533" i="14"/>
  <c r="S601" i="14"/>
  <c r="S714" i="14"/>
  <c r="S1204" i="14"/>
  <c r="S1317" i="14"/>
  <c r="S1337" i="14"/>
  <c r="S1377" i="14"/>
  <c r="K1389" i="14"/>
  <c r="S1389" i="14" s="1"/>
  <c r="K1449" i="14"/>
  <c r="S1449" i="14" s="1"/>
  <c r="K1459" i="14"/>
  <c r="S1459" i="14" s="1"/>
  <c r="K584" i="14"/>
  <c r="S584" i="14" s="1"/>
  <c r="K1201" i="14"/>
  <c r="S1201" i="14" s="1"/>
  <c r="S689" i="14"/>
  <c r="S646" i="14"/>
  <c r="K799" i="14"/>
  <c r="S799" i="14" s="1"/>
  <c r="K822" i="14"/>
  <c r="S822" i="14" s="1"/>
  <c r="S992" i="14"/>
  <c r="S1232" i="14"/>
  <c r="S556" i="14"/>
  <c r="S579" i="14"/>
  <c r="S715" i="14"/>
  <c r="S821" i="14"/>
  <c r="S845" i="14"/>
  <c r="S934" i="14"/>
  <c r="S956" i="14"/>
  <c r="S996" i="14"/>
  <c r="S1125" i="14"/>
  <c r="S1296" i="14"/>
  <c r="S1318" i="14"/>
  <c r="S1338" i="14"/>
  <c r="S1358" i="14"/>
  <c r="S1378" i="14"/>
  <c r="R581" i="14"/>
  <c r="K1390" i="14"/>
  <c r="S1390" i="14" s="1"/>
  <c r="S885" i="14"/>
  <c r="S1243" i="14"/>
  <c r="R607" i="14"/>
  <c r="O565" i="14"/>
  <c r="S565" i="14" s="1"/>
  <c r="S567" i="14"/>
  <c r="K592" i="14"/>
  <c r="S592" i="14" s="1"/>
  <c r="S647" i="14"/>
  <c r="K732" i="14"/>
  <c r="S732" i="14" s="1"/>
  <c r="K800" i="14"/>
  <c r="S800" i="14" s="1"/>
  <c r="K823" i="14"/>
  <c r="S823" i="14" s="1"/>
  <c r="S941" i="14"/>
  <c r="K1076" i="14"/>
  <c r="S1076" i="14" s="1"/>
  <c r="S1100" i="14"/>
  <c r="S1233" i="14"/>
  <c r="S1282" i="14"/>
  <c r="S557" i="14"/>
  <c r="S603" i="14"/>
  <c r="S650" i="14"/>
  <c r="S673" i="14"/>
  <c r="S696" i="14"/>
  <c r="S798" i="14"/>
  <c r="S846" i="14"/>
  <c r="S935" i="14"/>
  <c r="S977" i="14"/>
  <c r="S1017" i="14"/>
  <c r="S1086" i="14"/>
  <c r="S1146" i="14"/>
  <c r="S1275" i="14"/>
  <c r="S1297" i="14"/>
  <c r="S1319" i="14"/>
  <c r="S1339" i="14"/>
  <c r="S1359" i="14"/>
  <c r="R1027" i="14"/>
  <c r="S606" i="14"/>
  <c r="K897" i="14"/>
  <c r="S897" i="14" s="1"/>
  <c r="S1091" i="14"/>
  <c r="R688" i="14"/>
  <c r="K613" i="14"/>
  <c r="S613" i="14" s="1"/>
  <c r="K569" i="14"/>
  <c r="S569" i="14" s="1"/>
  <c r="S706" i="14"/>
  <c r="K853" i="14"/>
  <c r="S853" i="14" s="1"/>
  <c r="K877" i="14"/>
  <c r="S877" i="14" s="1"/>
  <c r="S1101" i="14"/>
  <c r="S1181" i="14"/>
  <c r="K1285" i="14"/>
  <c r="S1285" i="14" s="1"/>
  <c r="S514" i="14"/>
  <c r="S536" i="14"/>
  <c r="S697" i="14"/>
  <c r="S717" i="14"/>
  <c r="S758" i="14"/>
  <c r="S778" i="14"/>
  <c r="S847" i="14"/>
  <c r="S1087" i="14"/>
  <c r="S1276" i="14"/>
  <c r="S1298" i="14"/>
  <c r="S1320" i="14"/>
  <c r="R538" i="14"/>
  <c r="O493" i="14"/>
  <c r="S493" i="14" s="1"/>
  <c r="S1268" i="14"/>
  <c r="O427" i="14"/>
  <c r="S427" i="14" s="1"/>
  <c r="S544" i="14"/>
  <c r="K570" i="14"/>
  <c r="S570" i="14" s="1"/>
  <c r="S649" i="14"/>
  <c r="K679" i="14"/>
  <c r="S679" i="14" s="1"/>
  <c r="S707" i="14"/>
  <c r="K878" i="14"/>
  <c r="S878" i="14" s="1"/>
  <c r="S1362" i="14"/>
  <c r="S718" i="14"/>
  <c r="S874" i="14"/>
  <c r="S1088" i="14"/>
  <c r="S1148" i="14"/>
  <c r="R1376" i="14"/>
  <c r="R660" i="14"/>
  <c r="B1401" i="14"/>
  <c r="B1402" i="14" s="1"/>
  <c r="B1403" i="14" s="1"/>
  <c r="B1404" i="14" s="1"/>
  <c r="B1405" i="14" s="1"/>
  <c r="B1406" i="14" s="1"/>
  <c r="B1407" i="14" s="1"/>
  <c r="B1408" i="14" s="1"/>
  <c r="B1409" i="14" s="1"/>
  <c r="B1410" i="14" s="1"/>
  <c r="B1411" i="14" s="1"/>
  <c r="B1412" i="14" s="1"/>
  <c r="B1413" i="14" s="1"/>
  <c r="B1414" i="14" s="1"/>
  <c r="B1415" i="14" s="1"/>
  <c r="B1416" i="14" s="1"/>
  <c r="B1417" i="14" s="1"/>
  <c r="B1418" i="14" s="1"/>
  <c r="B1419" i="14" s="1"/>
  <c r="B1420" i="14" s="1"/>
  <c r="B1421" i="14" s="1"/>
  <c r="B1423" i="14" s="1"/>
  <c r="B1424" i="14" s="1"/>
  <c r="B1425" i="14" s="1"/>
  <c r="B1426" i="14" s="1"/>
  <c r="B1427" i="14" s="1"/>
  <c r="B1428" i="14" s="1"/>
  <c r="B1429" i="14" s="1"/>
  <c r="B1430" i="14" s="1"/>
  <c r="B1431" i="14" s="1"/>
  <c r="B1432" i="14" s="1"/>
  <c r="B1433" i="14" s="1"/>
  <c r="B1434" i="14" s="1"/>
  <c r="B1435" i="14" s="1"/>
  <c r="B1436" i="14" s="1"/>
  <c r="B1437" i="14" s="1"/>
  <c r="B1438" i="14" s="1"/>
  <c r="B1439" i="14" s="1"/>
  <c r="B1440" i="14" s="1"/>
  <c r="B1441" i="14" s="1"/>
  <c r="B1442" i="14" s="1"/>
  <c r="B1443" i="14" s="1"/>
  <c r="B1444" i="14" s="1"/>
  <c r="J1135" i="14"/>
  <c r="R1135" i="14" s="1"/>
  <c r="R1138" i="14"/>
  <c r="J698" i="14"/>
  <c r="R698" i="14" s="1"/>
  <c r="R701" i="14"/>
  <c r="K1262" i="14"/>
  <c r="S1262" i="14" s="1"/>
  <c r="S591" i="14"/>
  <c r="I1117" i="14"/>
  <c r="K1120" i="14"/>
  <c r="S1120" i="14" s="1"/>
  <c r="Q1073" i="14"/>
  <c r="K1073" i="14"/>
  <c r="S1073" i="14" s="1"/>
  <c r="Q1050" i="14"/>
  <c r="K1050" i="14"/>
  <c r="S1050" i="14" s="1"/>
  <c r="Q1003" i="14"/>
  <c r="K1003" i="14"/>
  <c r="S1003" i="14" s="1"/>
  <c r="Q723" i="14"/>
  <c r="K723" i="14"/>
  <c r="S723" i="14" s="1"/>
  <c r="Q700" i="14"/>
  <c r="K700" i="14"/>
  <c r="S700" i="14" s="1"/>
  <c r="Q675" i="14"/>
  <c r="K675" i="14"/>
  <c r="S675" i="14" s="1"/>
  <c r="Q626" i="14"/>
  <c r="O626" i="14"/>
  <c r="S626" i="14" s="1"/>
  <c r="Q602" i="14"/>
  <c r="K602" i="14"/>
  <c r="S602" i="14" s="1"/>
  <c r="Q527" i="14"/>
  <c r="K527" i="14"/>
  <c r="S527" i="14" s="1"/>
  <c r="R400" i="14"/>
  <c r="K856" i="14"/>
  <c r="S856" i="14" s="1"/>
  <c r="S530" i="14"/>
  <c r="O835" i="14"/>
  <c r="S835" i="14" s="1"/>
  <c r="O1257" i="14"/>
  <c r="S1257" i="14" s="1"/>
  <c r="O1278" i="14"/>
  <c r="S1278" i="14" s="1"/>
  <c r="Q484" i="14"/>
  <c r="O484" i="14"/>
  <c r="S484" i="14" s="1"/>
  <c r="Q391" i="14"/>
  <c r="O391" i="14"/>
  <c r="S391" i="14" s="1"/>
  <c r="I1210" i="14"/>
  <c r="K1210" i="14" s="1"/>
  <c r="S1210" i="14" s="1"/>
  <c r="K1213" i="14"/>
  <c r="S1213" i="14" s="1"/>
  <c r="Q1002" i="14"/>
  <c r="K1002" i="14"/>
  <c r="S1002" i="14" s="1"/>
  <c r="Q840" i="14"/>
  <c r="K840" i="14"/>
  <c r="S840" i="14" s="1"/>
  <c r="Q770" i="14"/>
  <c r="K770" i="14"/>
  <c r="S770" i="14" s="1"/>
  <c r="Q699" i="14"/>
  <c r="K699" i="14"/>
  <c r="S699" i="14" s="1"/>
  <c r="Q674" i="14"/>
  <c r="K674" i="14"/>
  <c r="S674" i="14" s="1"/>
  <c r="K879" i="14"/>
  <c r="S879" i="14" s="1"/>
  <c r="K980" i="14"/>
  <c r="S980" i="14" s="1"/>
  <c r="N1078" i="14"/>
  <c r="R1079" i="14"/>
  <c r="O1079" i="14"/>
  <c r="S1079" i="14" s="1"/>
  <c r="S531" i="14"/>
  <c r="S750" i="14"/>
  <c r="Q773" i="14"/>
  <c r="K773" i="14"/>
  <c r="S773" i="14" s="1"/>
  <c r="J1108" i="14"/>
  <c r="R1111" i="14"/>
  <c r="Q483" i="14"/>
  <c r="O483" i="14"/>
  <c r="S483" i="14" s="1"/>
  <c r="Q463" i="14"/>
  <c r="O463" i="14"/>
  <c r="S463" i="14" s="1"/>
  <c r="Q390" i="14"/>
  <c r="O390" i="14"/>
  <c r="S390" i="14" s="1"/>
  <c r="Q1047" i="14"/>
  <c r="O1047" i="14"/>
  <c r="S1047" i="14" s="1"/>
  <c r="Q908" i="14"/>
  <c r="K908" i="14"/>
  <c r="S908" i="14" s="1"/>
  <c r="Q624" i="14"/>
  <c r="O624" i="14"/>
  <c r="S624" i="14" s="1"/>
  <c r="Q600" i="14"/>
  <c r="K600" i="14"/>
  <c r="S600" i="14" s="1"/>
  <c r="I1707" i="14"/>
  <c r="Q1708" i="14"/>
  <c r="K222" i="14"/>
  <c r="S222" i="14" s="1"/>
  <c r="K526" i="14"/>
  <c r="S526" i="14" s="1"/>
  <c r="K911" i="14"/>
  <c r="S911" i="14" s="1"/>
  <c r="K981" i="14"/>
  <c r="S981" i="14" s="1"/>
  <c r="S532" i="14"/>
  <c r="S730" i="14"/>
  <c r="S751" i="14"/>
  <c r="S858" i="14"/>
  <c r="S1303" i="14"/>
  <c r="S1343" i="14"/>
  <c r="Q1052" i="14"/>
  <c r="K1052" i="14"/>
  <c r="S1052" i="14" s="1"/>
  <c r="Q982" i="14"/>
  <c r="K982" i="14"/>
  <c r="S982" i="14" s="1"/>
  <c r="Q889" i="14"/>
  <c r="K889" i="14"/>
  <c r="S889" i="14" s="1"/>
  <c r="Q466" i="14"/>
  <c r="O466" i="14"/>
  <c r="S466" i="14" s="1"/>
  <c r="Q1284" i="14"/>
  <c r="K1284" i="14"/>
  <c r="S1284" i="14" s="1"/>
  <c r="Q1167" i="14"/>
  <c r="K1167" i="14"/>
  <c r="S1167" i="14" s="1"/>
  <c r="Q888" i="14"/>
  <c r="K888" i="14"/>
  <c r="S888" i="14" s="1"/>
  <c r="Q701" i="14"/>
  <c r="K701" i="14"/>
  <c r="S701" i="14" s="1"/>
  <c r="Q553" i="14"/>
  <c r="K553" i="14"/>
  <c r="S553" i="14" s="1"/>
  <c r="Q1093" i="14"/>
  <c r="K1093" i="14"/>
  <c r="S1093" i="14" s="1"/>
  <c r="Q930" i="14"/>
  <c r="K930" i="14"/>
  <c r="S930" i="14" s="1"/>
  <c r="Q907" i="14"/>
  <c r="K907" i="14"/>
  <c r="S907" i="14" s="1"/>
  <c r="Q884" i="14"/>
  <c r="K884" i="14"/>
  <c r="S884" i="14" s="1"/>
  <c r="Q860" i="14"/>
  <c r="O860" i="14"/>
  <c r="S860" i="14" s="1"/>
  <c r="K912" i="14"/>
  <c r="S912" i="14" s="1"/>
  <c r="S645" i="14"/>
  <c r="S691" i="14"/>
  <c r="O1217" i="14"/>
  <c r="S1217" i="14" s="1"/>
  <c r="Q358" i="14"/>
  <c r="K358" i="14"/>
  <c r="S358" i="14" s="1"/>
  <c r="O1045" i="14"/>
  <c r="S1045" i="14" s="1"/>
  <c r="Q928" i="14"/>
  <c r="K928" i="14"/>
  <c r="S928" i="14" s="1"/>
  <c r="Q883" i="14"/>
  <c r="K883" i="14"/>
  <c r="S883" i="14" s="1"/>
  <c r="Q813" i="14"/>
  <c r="K813" i="14"/>
  <c r="S813" i="14" s="1"/>
  <c r="Q743" i="14"/>
  <c r="K743" i="14"/>
  <c r="S743" i="14" s="1"/>
  <c r="Q695" i="14"/>
  <c r="K695" i="14"/>
  <c r="S695" i="14" s="1"/>
  <c r="Q597" i="14"/>
  <c r="K597" i="14"/>
  <c r="S597" i="14" s="1"/>
  <c r="Q547" i="14"/>
  <c r="K547" i="14"/>
  <c r="S547" i="14" s="1"/>
  <c r="K651" i="14"/>
  <c r="S651" i="14" s="1"/>
  <c r="K1365" i="14"/>
  <c r="S1365" i="14" s="1"/>
  <c r="S692" i="14"/>
  <c r="S818" i="14"/>
  <c r="O862" i="14"/>
  <c r="S862" i="14" s="1"/>
  <c r="S1097" i="14"/>
  <c r="S1137" i="14"/>
  <c r="S1157" i="14"/>
  <c r="Q386" i="14"/>
  <c r="O386" i="14"/>
  <c r="S386" i="14" s="1"/>
  <c r="Q1366" i="14"/>
  <c r="K1366" i="14"/>
  <c r="S1366" i="14" s="1"/>
  <c r="M1300" i="14"/>
  <c r="O1301" i="14"/>
  <c r="S1301" i="14" s="1"/>
  <c r="Q1253" i="14"/>
  <c r="O1253" i="14"/>
  <c r="S1253" i="14" s="1"/>
  <c r="I971" i="14"/>
  <c r="K974" i="14"/>
  <c r="S974" i="14" s="1"/>
  <c r="Q927" i="14"/>
  <c r="K927" i="14"/>
  <c r="S927" i="14" s="1"/>
  <c r="Q905" i="14"/>
  <c r="K905" i="14"/>
  <c r="S905" i="14" s="1"/>
  <c r="Q765" i="14"/>
  <c r="K765" i="14"/>
  <c r="S765" i="14" s="1"/>
  <c r="Q742" i="14"/>
  <c r="K742" i="14"/>
  <c r="S742" i="14" s="1"/>
  <c r="Q596" i="14"/>
  <c r="K596" i="14"/>
  <c r="S596" i="14" s="1"/>
  <c r="Q519" i="14"/>
  <c r="K519" i="14"/>
  <c r="S519" i="14" s="1"/>
  <c r="S392" i="14"/>
  <c r="J552" i="14"/>
  <c r="R552" i="14" s="1"/>
  <c r="R555" i="14"/>
  <c r="K555" i="14"/>
  <c r="S555" i="14" s="1"/>
  <c r="K629" i="14"/>
  <c r="S629" i="14" s="1"/>
  <c r="K838" i="14"/>
  <c r="S838" i="14" s="1"/>
  <c r="S1098" i="14"/>
  <c r="S1158" i="14"/>
  <c r="S1263" i="14"/>
  <c r="R1192" i="14"/>
  <c r="Q1230" i="14"/>
  <c r="K1230" i="14"/>
  <c r="S1230" i="14" s="1"/>
  <c r="Q880" i="14"/>
  <c r="K880" i="14"/>
  <c r="S880" i="14" s="1"/>
  <c r="Q787" i="14"/>
  <c r="K787" i="14"/>
  <c r="S787" i="14" s="1"/>
  <c r="O459" i="14"/>
  <c r="S459" i="14" s="1"/>
  <c r="J540" i="14"/>
  <c r="R540" i="14" s="1"/>
  <c r="R543" i="14"/>
  <c r="K1368" i="14"/>
  <c r="S1368" i="14" s="1"/>
  <c r="S1077" i="14"/>
  <c r="S1220" i="14"/>
  <c r="I1015" i="14"/>
  <c r="K1018" i="14"/>
  <c r="S1018" i="14" s="1"/>
  <c r="M808" i="14"/>
  <c r="O808" i="14" s="1"/>
  <c r="S808" i="14" s="1"/>
  <c r="O809" i="14"/>
  <c r="S809" i="14" s="1"/>
  <c r="Q786" i="14"/>
  <c r="K786" i="14"/>
  <c r="S786" i="14" s="1"/>
  <c r="Q739" i="14"/>
  <c r="K739" i="14"/>
  <c r="S739" i="14" s="1"/>
  <c r="Q642" i="14"/>
  <c r="K642" i="14"/>
  <c r="S642" i="14" s="1"/>
  <c r="Q517" i="14"/>
  <c r="K517" i="14"/>
  <c r="S517" i="14" s="1"/>
  <c r="O460" i="14"/>
  <c r="S460" i="14" s="1"/>
  <c r="K767" i="14"/>
  <c r="S767" i="14" s="1"/>
  <c r="K795" i="14"/>
  <c r="S795" i="14" s="1"/>
  <c r="K1345" i="14"/>
  <c r="S1345" i="14" s="1"/>
  <c r="N859" i="14"/>
  <c r="S515" i="14"/>
  <c r="S1056" i="14"/>
  <c r="S1286" i="14"/>
  <c r="S1348" i="14"/>
  <c r="R1120" i="14"/>
  <c r="R864" i="14"/>
  <c r="O461" i="14"/>
  <c r="S461" i="14" s="1"/>
  <c r="K1041" i="14"/>
  <c r="S1041" i="14" s="1"/>
  <c r="S604" i="14"/>
  <c r="S716" i="14"/>
  <c r="S737" i="14"/>
  <c r="S973" i="14"/>
  <c r="S1013" i="14"/>
  <c r="S1242" i="14"/>
  <c r="S1266" i="14"/>
  <c r="S1309" i="14"/>
  <c r="Q677" i="14"/>
  <c r="K677" i="14"/>
  <c r="S677" i="14" s="1"/>
  <c r="O439" i="14"/>
  <c r="S439" i="14" s="1"/>
  <c r="O462" i="14"/>
  <c r="S462" i="14" s="1"/>
  <c r="K1042" i="14"/>
  <c r="S1042" i="14" s="1"/>
  <c r="K1185" i="14"/>
  <c r="S1185" i="14" s="1"/>
  <c r="K1371" i="14"/>
  <c r="S1371" i="14" s="1"/>
  <c r="S933" i="14"/>
  <c r="S1122" i="14"/>
  <c r="S1267" i="14"/>
  <c r="J1180" i="14"/>
  <c r="R1180" i="14" s="1"/>
  <c r="R1183" i="14"/>
  <c r="J988" i="14"/>
  <c r="R988" i="14" s="1"/>
  <c r="R991" i="14"/>
  <c r="K1186" i="14"/>
  <c r="S1186" i="14" s="1"/>
  <c r="S652" i="14"/>
  <c r="S893" i="14"/>
  <c r="S913" i="14"/>
  <c r="S1083" i="14"/>
  <c r="S1123" i="14"/>
  <c r="S1289" i="14"/>
  <c r="R1353" i="14"/>
  <c r="K1353" i="14"/>
  <c r="S1353" i="14" s="1"/>
  <c r="J1171" i="14"/>
  <c r="R1171" i="14" s="1"/>
  <c r="R1174" i="14"/>
  <c r="K772" i="14"/>
  <c r="S772" i="14" s="1"/>
  <c r="S632" i="14"/>
  <c r="S1016" i="14"/>
  <c r="S1245" i="14"/>
  <c r="J1304" i="14"/>
  <c r="R1304" i="14" s="1"/>
  <c r="R1315" i="14"/>
  <c r="R921" i="14"/>
  <c r="J918" i="14"/>
  <c r="K1129" i="14"/>
  <c r="S1129" i="14" s="1"/>
  <c r="K1281" i="14"/>
  <c r="S1281" i="14" s="1"/>
  <c r="S873" i="14"/>
  <c r="S957" i="14"/>
  <c r="S1037" i="14"/>
  <c r="S1145" i="14"/>
  <c r="J722" i="14"/>
  <c r="R722" i="14" s="1"/>
  <c r="R725" i="14"/>
  <c r="K746" i="14"/>
  <c r="S746" i="14" s="1"/>
  <c r="K1307" i="14"/>
  <c r="S1307" i="14" s="1"/>
  <c r="S958" i="14"/>
  <c r="S978" i="14"/>
  <c r="S1038" i="14"/>
  <c r="S1062" i="14"/>
  <c r="S1206" i="14"/>
  <c r="R1129" i="14"/>
  <c r="Q446" i="14"/>
  <c r="O446" i="14"/>
  <c r="S446" i="14" s="1"/>
  <c r="Q1168" i="14"/>
  <c r="K1168" i="14"/>
  <c r="S1168" i="14" s="1"/>
  <c r="Q554" i="14"/>
  <c r="K554" i="14"/>
  <c r="S554" i="14" s="1"/>
  <c r="J710" i="14"/>
  <c r="R710" i="14" s="1"/>
  <c r="R713" i="14"/>
  <c r="K1239" i="14"/>
  <c r="S1239" i="14" s="1"/>
  <c r="K1283" i="14"/>
  <c r="S1283" i="14" s="1"/>
  <c r="S917" i="14"/>
  <c r="S959" i="14"/>
  <c r="S1019" i="14"/>
  <c r="S1063" i="14"/>
  <c r="S1208" i="14"/>
  <c r="S1228" i="14"/>
  <c r="S1248" i="14"/>
  <c r="J971" i="14"/>
  <c r="R971" i="14" s="1"/>
  <c r="R974" i="14"/>
  <c r="K687" i="14"/>
  <c r="S687" i="14" s="1"/>
  <c r="N918" i="14"/>
  <c r="R936" i="14"/>
  <c r="S836" i="14"/>
  <c r="O937" i="14"/>
  <c r="S937" i="14" s="1"/>
  <c r="R1071" i="14"/>
  <c r="N891" i="14"/>
  <c r="R894" i="14"/>
  <c r="S573" i="14"/>
  <c r="S594" i="14"/>
  <c r="S755" i="14"/>
  <c r="S857" i="14"/>
  <c r="S1059" i="14"/>
  <c r="S1119" i="14"/>
  <c r="S1139" i="14"/>
  <c r="S1159" i="14"/>
  <c r="S1179" i="14"/>
  <c r="S1199" i="14"/>
  <c r="S1260" i="14"/>
  <c r="S1020" i="14"/>
  <c r="S1241" i="14"/>
  <c r="K245" i="14"/>
  <c r="S245" i="14" s="1"/>
  <c r="S348" i="14"/>
  <c r="O403" i="14"/>
  <c r="S403" i="14" s="1"/>
  <c r="K756" i="14"/>
  <c r="S756" i="14" s="1"/>
  <c r="K921" i="14"/>
  <c r="S921" i="14" s="1"/>
  <c r="K1105" i="14"/>
  <c r="S1105" i="14" s="1"/>
  <c r="K1270" i="14"/>
  <c r="S1270" i="14" s="1"/>
  <c r="S518" i="14"/>
  <c r="O538" i="14"/>
  <c r="S538" i="14" s="1"/>
  <c r="S578" i="14"/>
  <c r="S740" i="14"/>
  <c r="S963" i="14"/>
  <c r="S1104" i="14"/>
  <c r="S1184" i="14"/>
  <c r="S1326" i="14"/>
  <c r="S349" i="14"/>
  <c r="K757" i="14"/>
  <c r="S757" i="14" s="1"/>
  <c r="K901" i="14"/>
  <c r="S901" i="14" s="1"/>
  <c r="K962" i="14"/>
  <c r="S962" i="14" s="1"/>
  <c r="K1147" i="14"/>
  <c r="S1147" i="14" s="1"/>
  <c r="K1291" i="14"/>
  <c r="S1291" i="14" s="1"/>
  <c r="S761" i="14"/>
  <c r="S904" i="14"/>
  <c r="S984" i="14"/>
  <c r="S1205" i="14"/>
  <c r="S1347" i="14"/>
  <c r="S1367" i="14"/>
  <c r="I1293" i="14"/>
  <c r="K1295" i="14"/>
  <c r="S1295" i="14" s="1"/>
  <c r="S360" i="14"/>
  <c r="S314" i="14"/>
  <c r="K1272" i="14"/>
  <c r="S1272" i="14" s="1"/>
  <c r="K1292" i="14"/>
  <c r="S1292" i="14" s="1"/>
  <c r="S925" i="14"/>
  <c r="S1005" i="14"/>
  <c r="S1226" i="14"/>
  <c r="S315" i="14"/>
  <c r="K616" i="14"/>
  <c r="S616" i="14" s="1"/>
  <c r="K781" i="14"/>
  <c r="S781" i="14" s="1"/>
  <c r="K801" i="14"/>
  <c r="S801" i="14" s="1"/>
  <c r="N654" i="14"/>
  <c r="R655" i="14"/>
  <c r="S783" i="14"/>
  <c r="S946" i="14"/>
  <c r="S1026" i="14"/>
  <c r="S1247" i="14"/>
  <c r="Q1315" i="14"/>
  <c r="K1315" i="14"/>
  <c r="S1315" i="14" s="1"/>
  <c r="Q1035" i="14"/>
  <c r="K1035" i="14"/>
  <c r="S1035" i="14" s="1"/>
  <c r="J641" i="14"/>
  <c r="K965" i="14"/>
  <c r="S965" i="14" s="1"/>
  <c r="S1188" i="14"/>
  <c r="S1269" i="14"/>
  <c r="Q1174" i="14"/>
  <c r="K1174" i="14"/>
  <c r="S1174" i="14" s="1"/>
  <c r="S124" i="14"/>
  <c r="S185" i="14"/>
  <c r="J1236" i="14"/>
  <c r="J868" i="14"/>
  <c r="K638" i="14"/>
  <c r="S638" i="14" s="1"/>
  <c r="K719" i="14"/>
  <c r="S719" i="14" s="1"/>
  <c r="N1300" i="14"/>
  <c r="R1301" i="14"/>
  <c r="N623" i="14"/>
  <c r="S665" i="14"/>
  <c r="R631" i="14"/>
  <c r="K23" i="14"/>
  <c r="S23" i="14" s="1"/>
  <c r="S197" i="14"/>
  <c r="S161" i="14"/>
  <c r="J610" i="14"/>
  <c r="R613" i="14"/>
  <c r="K659" i="14"/>
  <c r="S659" i="14" s="1"/>
  <c r="K1111" i="14"/>
  <c r="S1111" i="14" s="1"/>
  <c r="S605" i="14"/>
  <c r="S1110" i="14"/>
  <c r="S1332" i="14"/>
  <c r="R1147" i="14"/>
  <c r="R835" i="14"/>
  <c r="I1375" i="14"/>
  <c r="K1376" i="14"/>
  <c r="S1376" i="14" s="1"/>
  <c r="Q753" i="14"/>
  <c r="K753" i="14"/>
  <c r="S753" i="14" s="1"/>
  <c r="M607" i="14"/>
  <c r="O608" i="14"/>
  <c r="S608" i="14" s="1"/>
  <c r="S198" i="14"/>
  <c r="O490" i="14"/>
  <c r="S490" i="14" s="1"/>
  <c r="J1219" i="14"/>
  <c r="R1219" i="14" s="1"/>
  <c r="K785" i="14"/>
  <c r="S785" i="14" s="1"/>
  <c r="K1009" i="14"/>
  <c r="S1009" i="14" s="1"/>
  <c r="N568" i="14"/>
  <c r="R568" i="14" s="1"/>
  <c r="R580" i="14"/>
  <c r="S627" i="14"/>
  <c r="S910" i="14"/>
  <c r="S1030" i="14"/>
  <c r="S1051" i="14"/>
  <c r="S1131" i="14"/>
  <c r="S1251" i="14"/>
  <c r="R1371" i="14"/>
  <c r="Q1034" i="14"/>
  <c r="K1034" i="14"/>
  <c r="S1034" i="14" s="1"/>
  <c r="Q1195" i="14"/>
  <c r="K1195" i="14"/>
  <c r="S1195" i="14" s="1"/>
  <c r="Q915" i="14"/>
  <c r="K915" i="14"/>
  <c r="S915" i="14" s="1"/>
  <c r="O431" i="14"/>
  <c r="S431" i="14" s="1"/>
  <c r="O471" i="14"/>
  <c r="S471" i="14" s="1"/>
  <c r="J1207" i="14"/>
  <c r="R1210" i="14"/>
  <c r="K541" i="14"/>
  <c r="S541" i="14" s="1"/>
  <c r="K827" i="14"/>
  <c r="S827" i="14" s="1"/>
  <c r="K848" i="14"/>
  <c r="S848" i="14" s="1"/>
  <c r="O566" i="14"/>
  <c r="S566" i="14" s="1"/>
  <c r="S830" i="14"/>
  <c r="S1072" i="14"/>
  <c r="S1152" i="14"/>
  <c r="S1273" i="14"/>
  <c r="R1278" i="14"/>
  <c r="R834" i="14"/>
  <c r="Q1194" i="14"/>
  <c r="K1194" i="14"/>
  <c r="S1194" i="14" s="1"/>
  <c r="S169" i="14"/>
  <c r="S335" i="14"/>
  <c r="O452" i="14"/>
  <c r="S452" i="14" s="1"/>
  <c r="K542" i="14"/>
  <c r="S542" i="14" s="1"/>
  <c r="K662" i="14"/>
  <c r="S662" i="14" s="1"/>
  <c r="K849" i="14"/>
  <c r="S849" i="14" s="1"/>
  <c r="K869" i="14"/>
  <c r="S869" i="14" s="1"/>
  <c r="K991" i="14"/>
  <c r="S991" i="14" s="1"/>
  <c r="K1198" i="14"/>
  <c r="S1198" i="14" s="1"/>
  <c r="K1341" i="14"/>
  <c r="S1341" i="14" s="1"/>
  <c r="K1361" i="14"/>
  <c r="S1361" i="14" s="1"/>
  <c r="N525" i="14"/>
  <c r="R537" i="14"/>
  <c r="S588" i="14"/>
  <c r="S851" i="14"/>
  <c r="S872" i="14"/>
  <c r="O892" i="14"/>
  <c r="S892" i="14" s="1"/>
  <c r="S1173" i="14"/>
  <c r="S1294" i="14"/>
  <c r="R566" i="14"/>
  <c r="N682" i="14"/>
  <c r="R683" i="14"/>
  <c r="R808" i="14"/>
  <c r="S648" i="14"/>
  <c r="S668" i="14"/>
  <c r="S708" i="14"/>
  <c r="S728" i="14"/>
  <c r="S748" i="14"/>
  <c r="S768" i="14"/>
  <c r="S788" i="14"/>
  <c r="S829" i="14"/>
  <c r="S949" i="14"/>
  <c r="S969" i="14"/>
  <c r="S989" i="14"/>
  <c r="S1029" i="14"/>
  <c r="S1069" i="14"/>
  <c r="S1089" i="14"/>
  <c r="S1109" i="14"/>
  <c r="S1149" i="14"/>
  <c r="S1169" i="14"/>
  <c r="S1209" i="14"/>
  <c r="S1229" i="14"/>
  <c r="S1249" i="14"/>
  <c r="S1290" i="14"/>
  <c r="S1310" i="14"/>
  <c r="S1330" i="14"/>
  <c r="J1425" i="14"/>
  <c r="N1044" i="14"/>
  <c r="J525" i="14"/>
  <c r="J784" i="14"/>
  <c r="R784" i="14" s="1"/>
  <c r="J810" i="14"/>
  <c r="R810" i="14" s="1"/>
  <c r="J979" i="14"/>
  <c r="R979" i="14" s="1"/>
  <c r="J997" i="14"/>
  <c r="R997" i="14" s="1"/>
  <c r="J1006" i="14"/>
  <c r="R1006" i="14" s="1"/>
  <c r="J1259" i="14"/>
  <c r="R1259" i="14" s="1"/>
  <c r="J1322" i="14"/>
  <c r="R1322" i="14" s="1"/>
  <c r="J1340" i="14"/>
  <c r="R1340" i="14" s="1"/>
  <c r="J1363" i="14"/>
  <c r="R1363" i="14" s="1"/>
  <c r="J763" i="14"/>
  <c r="R763" i="14" s="1"/>
  <c r="J950" i="14"/>
  <c r="R950" i="14" s="1"/>
  <c r="J1280" i="14"/>
  <c r="J837" i="14"/>
  <c r="J741" i="14"/>
  <c r="R741" i="14" s="1"/>
  <c r="J896" i="14"/>
  <c r="R896" i="14" s="1"/>
  <c r="J510" i="14"/>
  <c r="R510" i="14" s="1"/>
  <c r="B452" i="14"/>
  <c r="B453" i="14" s="1"/>
  <c r="B454" i="14" s="1"/>
  <c r="B455" i="14" s="1"/>
  <c r="B456" i="14" s="1"/>
  <c r="B457" i="14" s="1"/>
  <c r="B458" i="14" s="1"/>
  <c r="B459" i="14" s="1"/>
  <c r="B460" i="14" s="1"/>
  <c r="N399" i="14"/>
  <c r="R21" i="14"/>
  <c r="S214" i="14"/>
  <c r="S234" i="14"/>
  <c r="S263" i="14"/>
  <c r="S291" i="14"/>
  <c r="S259" i="14"/>
  <c r="R238" i="14"/>
  <c r="S231" i="14"/>
  <c r="R242" i="14"/>
  <c r="S261" i="14"/>
  <c r="S233" i="14"/>
  <c r="S262" i="14"/>
  <c r="S154" i="14"/>
  <c r="S155" i="14"/>
  <c r="K195" i="14"/>
  <c r="S127" i="14"/>
  <c r="S308" i="14"/>
  <c r="R346" i="14"/>
  <c r="O321" i="14"/>
  <c r="S321" i="14" s="1"/>
  <c r="S322" i="14"/>
  <c r="O325" i="14"/>
  <c r="S325" i="14" s="1"/>
  <c r="K383" i="14"/>
  <c r="S383" i="14" s="1"/>
  <c r="S326" i="14"/>
  <c r="S218" i="14"/>
  <c r="S283" i="14"/>
  <c r="S339" i="14"/>
  <c r="R257" i="14"/>
  <c r="S228" i="14"/>
  <c r="S256" i="14"/>
  <c r="S284" i="14"/>
  <c r="S274" i="14"/>
  <c r="S258" i="14"/>
  <c r="S286" i="14"/>
  <c r="R130" i="14"/>
  <c r="R129" i="14"/>
  <c r="S250" i="14"/>
  <c r="S331" i="14"/>
  <c r="S280" i="14"/>
  <c r="S332" i="14"/>
  <c r="O130" i="14"/>
  <c r="S130" i="14" s="1"/>
  <c r="S188" i="14"/>
  <c r="K382" i="14"/>
  <c r="S382" i="14" s="1"/>
  <c r="K409" i="14"/>
  <c r="S409" i="14" s="1"/>
  <c r="S146" i="14"/>
  <c r="S131" i="14"/>
  <c r="R240" i="14"/>
  <c r="S147" i="14"/>
  <c r="K411" i="14"/>
  <c r="S411" i="14" s="1"/>
  <c r="S134" i="14"/>
  <c r="S71" i="14"/>
  <c r="R289" i="14"/>
  <c r="K179" i="14"/>
  <c r="S179" i="14" s="1"/>
  <c r="R288" i="14"/>
  <c r="S364" i="14"/>
  <c r="S309" i="14"/>
  <c r="S100" i="14"/>
  <c r="S266" i="14"/>
  <c r="S224" i="14"/>
  <c r="S279" i="14"/>
  <c r="S366" i="14"/>
  <c r="K338" i="14"/>
  <c r="S338" i="14" s="1"/>
  <c r="S14" i="14"/>
  <c r="S35" i="14"/>
  <c r="R137" i="14"/>
  <c r="S216" i="14"/>
  <c r="S225" i="14"/>
  <c r="S248" i="14"/>
  <c r="S281" i="14"/>
  <c r="S342" i="14"/>
  <c r="S50" i="14"/>
  <c r="S160" i="14"/>
  <c r="K167" i="14"/>
  <c r="S167" i="14" s="1"/>
  <c r="R136" i="14"/>
  <c r="S217" i="14"/>
  <c r="S226" i="14"/>
  <c r="S249" i="14"/>
  <c r="S312" i="14"/>
  <c r="K196" i="14"/>
  <c r="S196" i="14" s="1"/>
  <c r="R239" i="14"/>
  <c r="O344" i="14"/>
  <c r="S344" i="14" s="1"/>
  <c r="S367" i="14"/>
  <c r="S74" i="14"/>
  <c r="S247" i="14"/>
  <c r="S345" i="14"/>
  <c r="K379" i="14"/>
  <c r="S379" i="14" s="1"/>
  <c r="K78" i="14"/>
  <c r="S78" i="14" s="1"/>
  <c r="S22" i="14"/>
  <c r="O53" i="14"/>
  <c r="S53" i="14" s="1"/>
  <c r="O193" i="14"/>
  <c r="S193" i="14" s="1"/>
  <c r="S354" i="14"/>
  <c r="K340" i="14"/>
  <c r="S340" i="14" s="1"/>
  <c r="S27" i="14"/>
  <c r="R18" i="14"/>
  <c r="S90" i="14"/>
  <c r="K126" i="14"/>
  <c r="S126" i="14" s="1"/>
  <c r="S180" i="14"/>
  <c r="S135" i="14"/>
  <c r="S227" i="14"/>
  <c r="S235" i="14"/>
  <c r="S264" i="14"/>
  <c r="R215" i="14"/>
  <c r="K341" i="14"/>
  <c r="S341" i="14" s="1"/>
  <c r="O330" i="14"/>
  <c r="S330" i="14" s="1"/>
  <c r="S311" i="14"/>
  <c r="S70" i="14"/>
  <c r="S47" i="14"/>
  <c r="S164" i="14"/>
  <c r="S165" i="14"/>
  <c r="S277" i="14"/>
  <c r="S352" i="14"/>
  <c r="K122" i="14"/>
  <c r="S122" i="14" s="1"/>
  <c r="S192" i="14"/>
  <c r="S156" i="14"/>
  <c r="K125" i="14"/>
  <c r="K270" i="14"/>
  <c r="Q974" i="14"/>
  <c r="S24" i="14"/>
  <c r="O61" i="14"/>
  <c r="S61" i="14" s="1"/>
  <c r="S265" i="14"/>
  <c r="S292" i="14"/>
  <c r="S318" i="14"/>
  <c r="O350" i="14"/>
  <c r="S350" i="14" s="1"/>
  <c r="S63" i="14"/>
  <c r="S230" i="14"/>
  <c r="S282" i="14"/>
  <c r="S293" i="14"/>
  <c r="S26" i="14"/>
  <c r="S64" i="14"/>
  <c r="S241" i="14"/>
  <c r="O268" i="14"/>
  <c r="S268" i="14" s="1"/>
  <c r="S320" i="14"/>
  <c r="S305" i="14"/>
  <c r="S334" i="14"/>
  <c r="S65" i="14"/>
  <c r="S94" i="14"/>
  <c r="S269" i="14"/>
  <c r="S306" i="14"/>
  <c r="S95" i="14"/>
  <c r="R200" i="14"/>
  <c r="S220" i="14"/>
  <c r="S243" i="14"/>
  <c r="R268" i="14"/>
  <c r="J359" i="14"/>
  <c r="R359" i="14" s="1"/>
  <c r="R307" i="14"/>
  <c r="N389" i="14"/>
  <c r="O199" i="14"/>
  <c r="S199" i="14" s="1"/>
  <c r="Q1436" i="14"/>
  <c r="K36" i="14"/>
  <c r="S36" i="14" s="1"/>
  <c r="S67" i="14"/>
  <c r="S189" i="14"/>
  <c r="S177" i="14"/>
  <c r="R199" i="14"/>
  <c r="S221" i="14"/>
  <c r="S244" i="14"/>
  <c r="S272" i="14"/>
  <c r="R245" i="14"/>
  <c r="K398" i="14"/>
  <c r="S398" i="14" s="1"/>
  <c r="O343" i="14"/>
  <c r="S343" i="14" s="1"/>
  <c r="S223" i="14"/>
  <c r="N333" i="14"/>
  <c r="R333" i="14" s="1"/>
  <c r="R343" i="14"/>
  <c r="S28" i="14"/>
  <c r="K105" i="14"/>
  <c r="S105" i="14" s="1"/>
  <c r="O285" i="14"/>
  <c r="S285" i="14" s="1"/>
  <c r="N423" i="14"/>
  <c r="R423" i="14" s="1"/>
  <c r="J66" i="14"/>
  <c r="R66" i="14" s="1"/>
  <c r="S29" i="14"/>
  <c r="O327" i="14"/>
  <c r="S327" i="14" s="1"/>
  <c r="K31" i="14"/>
  <c r="O52" i="14"/>
  <c r="S52" i="14" s="1"/>
  <c r="S128" i="14"/>
  <c r="O267" i="14"/>
  <c r="S267" i="14" s="1"/>
  <c r="R267" i="14"/>
  <c r="K362" i="14"/>
  <c r="S362" i="14" s="1"/>
  <c r="O328" i="14"/>
  <c r="S328" i="14" s="1"/>
  <c r="K363" i="14"/>
  <c r="S363" i="14" s="1"/>
  <c r="R347" i="14"/>
  <c r="S59" i="14"/>
  <c r="R32" i="14"/>
  <c r="R126" i="14"/>
  <c r="K384" i="14"/>
  <c r="S384" i="14" s="1"/>
  <c r="O60" i="14"/>
  <c r="S60" i="14" s="1"/>
  <c r="R195" i="14"/>
  <c r="K365" i="14"/>
  <c r="S365" i="14" s="1"/>
  <c r="O351" i="14"/>
  <c r="S351" i="14" s="1"/>
  <c r="R336" i="14"/>
  <c r="O191" i="14"/>
  <c r="S191" i="14" s="1"/>
  <c r="S168" i="14"/>
  <c r="K347" i="14"/>
  <c r="S347" i="14" s="1"/>
  <c r="R355" i="14"/>
  <c r="I1926" i="14"/>
  <c r="S31" i="14"/>
  <c r="O138" i="14"/>
  <c r="S138" i="14" s="1"/>
  <c r="S194" i="14"/>
  <c r="O253" i="14"/>
  <c r="S253" i="14" s="1"/>
  <c r="N458" i="14"/>
  <c r="R458" i="14" s="1"/>
  <c r="R141" i="14"/>
  <c r="O254" i="14"/>
  <c r="S254" i="14" s="1"/>
  <c r="R344" i="14"/>
  <c r="S12" i="14"/>
  <c r="S33" i="14"/>
  <c r="R68" i="14"/>
  <c r="K257" i="14"/>
  <c r="O255" i="14"/>
  <c r="S255" i="14" s="1"/>
  <c r="K310" i="14"/>
  <c r="S310" i="14" s="1"/>
  <c r="S13" i="14"/>
  <c r="S34" i="14"/>
  <c r="K89" i="14"/>
  <c r="S89" i="14" s="1"/>
  <c r="S142" i="14"/>
  <c r="S172" i="14"/>
  <c r="O317" i="14"/>
  <c r="S317" i="14" s="1"/>
  <c r="K141" i="14"/>
  <c r="S141" i="14" s="1"/>
  <c r="Q1801" i="14"/>
  <c r="S16" i="14"/>
  <c r="R25" i="14"/>
  <c r="S159" i="14"/>
  <c r="R132" i="14"/>
  <c r="S143" i="14"/>
  <c r="R232" i="14"/>
  <c r="R222" i="14"/>
  <c r="N324" i="14"/>
  <c r="R324" i="14" s="1"/>
  <c r="K104" i="14"/>
  <c r="S104" i="14" s="1"/>
  <c r="K17" i="14"/>
  <c r="S17" i="14" s="1"/>
  <c r="S15" i="14"/>
  <c r="R125" i="14"/>
  <c r="S174" i="14"/>
  <c r="K236" i="14"/>
  <c r="S236" i="14" s="1"/>
  <c r="O319" i="14"/>
  <c r="S319" i="14" s="1"/>
  <c r="K413" i="14"/>
  <c r="S413" i="14" s="1"/>
  <c r="K18" i="14"/>
  <c r="S18" i="14" s="1"/>
  <c r="O39" i="14"/>
  <c r="S39" i="14" s="1"/>
  <c r="S103" i="14"/>
  <c r="R271" i="14"/>
  <c r="O41" i="14"/>
  <c r="S41" i="14" s="1"/>
  <c r="O240" i="14"/>
  <c r="S240" i="14" s="1"/>
  <c r="R361" i="14"/>
  <c r="R351" i="14"/>
  <c r="K288" i="14"/>
  <c r="S288" i="14" s="1"/>
  <c r="S48" i="14"/>
  <c r="S45" i="14"/>
  <c r="S72" i="14"/>
  <c r="R260" i="14"/>
  <c r="K356" i="14"/>
  <c r="S356" i="14" s="1"/>
  <c r="K251" i="14"/>
  <c r="S49" i="14"/>
  <c r="S19" i="14"/>
  <c r="K337" i="14"/>
  <c r="S337" i="14" s="1"/>
  <c r="K357" i="14"/>
  <c r="S357" i="14" s="1"/>
  <c r="R350" i="14"/>
  <c r="J396" i="14"/>
  <c r="J395" i="14" s="1"/>
  <c r="J377" i="14" s="1"/>
  <c r="E11" i="15" s="1"/>
  <c r="N316" i="14"/>
  <c r="B284" i="14"/>
  <c r="B285" i="14" s="1"/>
  <c r="B286" i="14" s="1"/>
  <c r="B287" i="14" s="1"/>
  <c r="B288" i="14" s="1"/>
  <c r="B289" i="14" s="1"/>
  <c r="B290" i="14" s="1"/>
  <c r="B291" i="14" s="1"/>
  <c r="B292" i="14" s="1"/>
  <c r="B293" i="14" s="1"/>
  <c r="J118" i="14"/>
  <c r="R118" i="14" s="1"/>
  <c r="R119" i="14"/>
  <c r="S92" i="14"/>
  <c r="J10" i="14"/>
  <c r="R10" i="14" s="1"/>
  <c r="R11" i="14"/>
  <c r="I76" i="14"/>
  <c r="K76" i="14" s="1"/>
  <c r="S76" i="14" s="1"/>
  <c r="K77" i="14"/>
  <c r="S77" i="14" s="1"/>
  <c r="K119" i="14"/>
  <c r="S119" i="14" s="1"/>
  <c r="Q55" i="14"/>
  <c r="O55" i="14"/>
  <c r="S55" i="14" s="1"/>
  <c r="I132" i="14"/>
  <c r="K132" i="14" s="1"/>
  <c r="K133" i="14"/>
  <c r="S133" i="14" s="1"/>
  <c r="O162" i="14"/>
  <c r="S162" i="14" s="1"/>
  <c r="Q46" i="14"/>
  <c r="K46" i="14"/>
  <c r="S46" i="14" s="1"/>
  <c r="M98" i="14"/>
  <c r="O98" i="14" s="1"/>
  <c r="S98" i="14" s="1"/>
  <c r="O99" i="14"/>
  <c r="S99" i="14" s="1"/>
  <c r="K32" i="14"/>
  <c r="S32" i="14" s="1"/>
  <c r="R99" i="14"/>
  <c r="R89" i="14"/>
  <c r="K120" i="14"/>
  <c r="S120" i="14" s="1"/>
  <c r="O57" i="14"/>
  <c r="S57" i="14" s="1"/>
  <c r="R98" i="14"/>
  <c r="K260" i="14"/>
  <c r="S260" i="14" s="1"/>
  <c r="K69" i="14"/>
  <c r="S69" i="14" s="1"/>
  <c r="K96" i="14"/>
  <c r="S96" i="14" s="1"/>
  <c r="R191" i="14"/>
  <c r="K215" i="14"/>
  <c r="S215" i="14" s="1"/>
  <c r="K97" i="14"/>
  <c r="S97" i="14" s="1"/>
  <c r="K11" i="14"/>
  <c r="S11" i="14" s="1"/>
  <c r="K73" i="14"/>
  <c r="S73" i="14" s="1"/>
  <c r="O56" i="14"/>
  <c r="S56" i="14" s="1"/>
  <c r="K219" i="14"/>
  <c r="S219" i="14" s="1"/>
  <c r="K182" i="14"/>
  <c r="S182" i="14" s="1"/>
  <c r="K102" i="14"/>
  <c r="S102" i="14" s="1"/>
  <c r="K123" i="14"/>
  <c r="S123" i="14" s="1"/>
  <c r="N190" i="14"/>
  <c r="Q1791" i="14"/>
  <c r="O43" i="14"/>
  <c r="S43" i="14" s="1"/>
  <c r="R76" i="14"/>
  <c r="R46" i="14"/>
  <c r="K148" i="14"/>
  <c r="S148" i="14" s="1"/>
  <c r="K246" i="14"/>
  <c r="S246" i="14" s="1"/>
  <c r="K21" i="14"/>
  <c r="S21" i="14" s="1"/>
  <c r="K149" i="14"/>
  <c r="S149" i="14" s="1"/>
  <c r="R175" i="14"/>
  <c r="R145" i="14"/>
  <c r="N252" i="14"/>
  <c r="J163" i="14"/>
  <c r="R163" i="14" s="1"/>
  <c r="K170" i="14"/>
  <c r="S170" i="14" s="1"/>
  <c r="O176" i="14"/>
  <c r="S176" i="14" s="1"/>
  <c r="K171" i="14"/>
  <c r="S171" i="14" s="1"/>
  <c r="K289" i="14"/>
  <c r="S289" i="14" s="1"/>
  <c r="O158" i="14"/>
  <c r="S158" i="14" s="1"/>
  <c r="O151" i="14"/>
  <c r="S151" i="14" s="1"/>
  <c r="Q1834" i="14"/>
  <c r="K25" i="14"/>
  <c r="S25" i="14" s="1"/>
  <c r="K173" i="14"/>
  <c r="S173" i="14" s="1"/>
  <c r="O139" i="14"/>
  <c r="S139" i="14" s="1"/>
  <c r="R193" i="14"/>
  <c r="R133" i="14"/>
  <c r="R123" i="14"/>
  <c r="K271" i="14"/>
  <c r="S271" i="14" s="1"/>
  <c r="K93" i="14"/>
  <c r="S93" i="14" s="1"/>
  <c r="O200" i="14"/>
  <c r="S200" i="14" s="1"/>
  <c r="K212" i="14"/>
  <c r="S212" i="14" s="1"/>
  <c r="O152" i="14"/>
  <c r="S152" i="14" s="1"/>
  <c r="O62" i="14"/>
  <c r="S62" i="14" s="1"/>
  <c r="R196" i="14"/>
  <c r="R176" i="14"/>
  <c r="K273" i="14"/>
  <c r="S273" i="14" s="1"/>
  <c r="N275" i="14"/>
  <c r="J211" i="14"/>
  <c r="E9" i="15" s="1"/>
  <c r="N150" i="14"/>
  <c r="N121" i="14"/>
  <c r="J178" i="14"/>
  <c r="R178" i="14" s="1"/>
  <c r="J121" i="14"/>
  <c r="J101" i="14"/>
  <c r="R101" i="14" s="1"/>
  <c r="J88" i="14"/>
  <c r="R88" i="14" s="1"/>
  <c r="N51" i="14"/>
  <c r="N37" i="14"/>
  <c r="Q1213" i="14"/>
  <c r="I1757" i="14"/>
  <c r="I1877" i="14"/>
  <c r="Q152" i="14"/>
  <c r="Q1767" i="14"/>
  <c r="Q566" i="14"/>
  <c r="I1693" i="14"/>
  <c r="Q1780" i="14"/>
  <c r="Q1461" i="14"/>
  <c r="Q1923" i="14"/>
  <c r="I871" i="14"/>
  <c r="Q1704" i="14"/>
  <c r="Q1657" i="14"/>
  <c r="Q1634" i="14"/>
  <c r="Q1886" i="14"/>
  <c r="Q616" i="14"/>
  <c r="Q1687" i="14"/>
  <c r="M1825" i="14"/>
  <c r="Q254" i="14"/>
  <c r="Q1750" i="14"/>
  <c r="Q123" i="14"/>
  <c r="Q222" i="14"/>
  <c r="Q403" i="14"/>
  <c r="Q1878" i="14"/>
  <c r="Q937" i="14"/>
  <c r="Q1875" i="14"/>
  <c r="Q1855" i="14"/>
  <c r="I1916" i="14"/>
  <c r="Q1287" i="14"/>
  <c r="M1916" i="14"/>
  <c r="Q1922" i="14"/>
  <c r="M1756" i="14"/>
  <c r="M389" i="14"/>
  <c r="Q524" i="14"/>
  <c r="I1893" i="14"/>
  <c r="Q1775" i="14"/>
  <c r="Q1755" i="14"/>
  <c r="Q1917" i="14"/>
  <c r="I1740" i="14"/>
  <c r="I1676" i="14"/>
  <c r="M1584" i="14"/>
  <c r="I1843" i="14"/>
  <c r="Q1257" i="14"/>
  <c r="I1816" i="14"/>
  <c r="K1816" i="14" s="1"/>
  <c r="S1816" i="14" s="1"/>
  <c r="I1863" i="14"/>
  <c r="M1683" i="14"/>
  <c r="Q1295" i="14"/>
  <c r="Q1120" i="14"/>
  <c r="Q991" i="14"/>
  <c r="I1647" i="14"/>
  <c r="K1647" i="14" s="1"/>
  <c r="S1647" i="14" s="1"/>
  <c r="Q1806" i="14"/>
  <c r="I307" i="14"/>
  <c r="I1509" i="14"/>
  <c r="Q18" i="14"/>
  <c r="Q184" i="14"/>
  <c r="Q1447" i="14"/>
  <c r="Q1678" i="14"/>
  <c r="M278" i="14"/>
  <c r="M1601" i="14"/>
  <c r="Q120" i="14"/>
  <c r="Q273" i="14"/>
  <c r="Q965" i="14"/>
  <c r="I586" i="14"/>
  <c r="Q1301" i="14"/>
  <c r="Q809" i="14"/>
  <c r="I1610" i="14"/>
  <c r="I528" i="14"/>
  <c r="Q268" i="14"/>
  <c r="Q246" i="14"/>
  <c r="Q558" i="14"/>
  <c r="Q1430" i="14"/>
  <c r="I571" i="14"/>
  <c r="K571" i="14" s="1"/>
  <c r="S571" i="14" s="1"/>
  <c r="Q573" i="14"/>
  <c r="Q1636" i="14"/>
  <c r="M1635" i="14"/>
  <c r="Q873" i="14"/>
  <c r="Q1717" i="14"/>
  <c r="I1714" i="14"/>
  <c r="Q1701" i="14"/>
  <c r="I1700" i="14"/>
  <c r="Q1583" i="14"/>
  <c r="Q1686" i="14"/>
  <c r="Q1685" i="14"/>
  <c r="Q1581" i="14"/>
  <c r="M1580" i="14"/>
  <c r="Q1703" i="14"/>
  <c r="I725" i="14"/>
  <c r="Q728" i="14"/>
  <c r="Q1084" i="14"/>
  <c r="I1081" i="14"/>
  <c r="Q866" i="14"/>
  <c r="M864" i="14"/>
  <c r="Q716" i="14"/>
  <c r="I713" i="14"/>
  <c r="Q1444" i="14"/>
  <c r="M1443" i="14"/>
  <c r="I1535" i="14"/>
  <c r="I1661" i="14"/>
  <c r="K1661" i="14" s="1"/>
  <c r="S1661" i="14" s="1"/>
  <c r="I397" i="14"/>
  <c r="M1252" i="14"/>
  <c r="Q1256" i="14"/>
  <c r="I979" i="14"/>
  <c r="M581" i="14"/>
  <c r="Q582" i="14"/>
  <c r="Q1078" i="14"/>
  <c r="M276" i="14"/>
  <c r="M1453" i="14"/>
  <c r="M153" i="14"/>
  <c r="Q156" i="14"/>
  <c r="I416" i="14"/>
  <c r="K416" i="14" s="1"/>
  <c r="S416" i="14" s="1"/>
  <c r="Q417" i="14"/>
  <c r="Q1079" i="14"/>
  <c r="Q1018" i="14"/>
  <c r="I881" i="14"/>
  <c r="Q746" i="14"/>
  <c r="M1476" i="14"/>
  <c r="Q1479" i="14"/>
  <c r="M1695" i="14"/>
  <c r="M1044" i="14"/>
  <c r="I1102" i="14"/>
  <c r="I688" i="14"/>
  <c r="I631" i="14"/>
  <c r="I513" i="14"/>
  <c r="I1413" i="14"/>
  <c r="M190" i="14"/>
  <c r="I1144" i="14"/>
  <c r="I1393" i="14"/>
  <c r="M1565" i="14"/>
  <c r="I850" i="14"/>
  <c r="I660" i="14"/>
  <c r="K660" i="14" s="1"/>
  <c r="S660" i="14" s="1"/>
  <c r="I1153" i="14"/>
  <c r="I1071" i="14"/>
  <c r="I774" i="14"/>
  <c r="I543" i="14"/>
  <c r="Q133" i="14"/>
  <c r="I1236" i="14"/>
  <c r="I899" i="14"/>
  <c r="M834" i="14"/>
  <c r="I407" i="14"/>
  <c r="I1322" i="14"/>
  <c r="Q1325" i="14"/>
  <c r="Q1111" i="14"/>
  <c r="Q515" i="14"/>
  <c r="Q1573" i="14"/>
  <c r="I1571" i="14"/>
  <c r="K1571" i="14" s="1"/>
  <c r="S1571" i="14" s="1"/>
  <c r="M329" i="14"/>
  <c r="Q332" i="14"/>
  <c r="Q126" i="14"/>
  <c r="Q260" i="14"/>
  <c r="Q1376" i="14"/>
  <c r="I1165" i="14"/>
  <c r="K1165" i="14" s="1"/>
  <c r="S1165" i="14" s="1"/>
  <c r="I1126" i="14"/>
  <c r="Q1129" i="14"/>
  <c r="I766" i="14"/>
  <c r="Q193" i="14"/>
  <c r="Q235" i="14"/>
  <c r="I232" i="14"/>
  <c r="K232" i="14" s="1"/>
  <c r="S232" i="14" s="1"/>
  <c r="Q328" i="14"/>
  <c r="I1183" i="14"/>
  <c r="K1183" i="14" s="1"/>
  <c r="S1183" i="14" s="1"/>
  <c r="I797" i="14"/>
  <c r="Q691" i="14"/>
  <c r="Q530" i="14"/>
  <c r="I1456" i="14"/>
  <c r="Q1459" i="14"/>
  <c r="Q1582" i="14"/>
  <c r="M423" i="14"/>
  <c r="I672" i="14"/>
  <c r="K672" i="14" s="1"/>
  <c r="S672" i="14" s="1"/>
  <c r="I598" i="14"/>
  <c r="K598" i="14" s="1"/>
  <c r="S598" i="14" s="1"/>
  <c r="I346" i="14"/>
  <c r="K346" i="14" s="1"/>
  <c r="I1259" i="14"/>
  <c r="Q1104" i="14"/>
  <c r="I1024" i="14"/>
  <c r="Q1027" i="14"/>
  <c r="I929" i="14"/>
  <c r="I1432" i="14"/>
  <c r="Q1435" i="14"/>
  <c r="M399" i="14"/>
  <c r="Q402" i="14"/>
  <c r="I909" i="14"/>
  <c r="I610" i="14"/>
  <c r="Q613" i="14"/>
  <c r="M1486" i="14"/>
  <c r="Q684" i="14"/>
  <c r="Q764" i="14"/>
  <c r="I1592" i="14"/>
  <c r="K1592" i="14" s="1"/>
  <c r="S1592" i="14" s="1"/>
  <c r="Q894" i="14"/>
  <c r="M891" i="14"/>
  <c r="Q1138" i="14"/>
  <c r="I1135" i="14"/>
  <c r="I1036" i="14"/>
  <c r="Q1468" i="14"/>
  <c r="M1606" i="14"/>
  <c r="Q1619" i="14"/>
  <c r="I381" i="14"/>
  <c r="K381" i="14" s="1"/>
  <c r="S381" i="14" s="1"/>
  <c r="I1192" i="14"/>
  <c r="I1000" i="14"/>
  <c r="K1000" i="14" s="1"/>
  <c r="S1000" i="14" s="1"/>
  <c r="I754" i="14"/>
  <c r="M683" i="14"/>
  <c r="O683" i="14" s="1"/>
  <c r="S683" i="14" s="1"/>
  <c r="Q538" i="14"/>
  <c r="Q1602" i="14"/>
  <c r="I1559" i="14"/>
  <c r="K1559" i="14" s="1"/>
  <c r="S1559" i="14" s="1"/>
  <c r="Q1562" i="14"/>
  <c r="I140" i="14"/>
  <c r="Q141" i="14"/>
  <c r="I824" i="14"/>
  <c r="I736" i="14"/>
  <c r="Q737" i="14"/>
  <c r="Q1423" i="14"/>
  <c r="M1421" i="14"/>
  <c r="O1421" i="14" s="1"/>
  <c r="S1421" i="14" s="1"/>
  <c r="M458" i="14"/>
  <c r="I1006" i="14"/>
  <c r="I1304" i="14"/>
  <c r="I953" i="14"/>
  <c r="K953" i="14" s="1"/>
  <c r="S953" i="14" s="1"/>
  <c r="Q960" i="14"/>
  <c r="I641" i="14"/>
  <c r="Q644" i="14"/>
  <c r="I552" i="14"/>
  <c r="Q36" i="14"/>
  <c r="M316" i="14"/>
  <c r="Q1201" i="14"/>
  <c r="Q1420" i="14"/>
  <c r="I355" i="14"/>
  <c r="I1363" i="14"/>
  <c r="M252" i="14"/>
  <c r="M1517" i="14"/>
  <c r="Q196" i="14"/>
  <c r="Q656" i="14"/>
  <c r="Q608" i="14"/>
  <c r="Q1407" i="14"/>
  <c r="I361" i="14"/>
  <c r="K361" i="14" s="1"/>
  <c r="S361" i="14" s="1"/>
  <c r="I1171" i="14"/>
  <c r="I1340" i="14"/>
  <c r="I1090" i="14"/>
  <c r="M623" i="14"/>
  <c r="Q1410" i="14"/>
  <c r="M1406" i="14"/>
  <c r="Q1466" i="14"/>
  <c r="Q1390" i="14"/>
  <c r="Q1449" i="14"/>
  <c r="Q1426" i="14"/>
  <c r="Q1411" i="14"/>
  <c r="Q537" i="14"/>
  <c r="M525" i="14"/>
  <c r="M918" i="14"/>
  <c r="Q936" i="14"/>
  <c r="M552" i="14"/>
  <c r="O552" i="14" s="1"/>
  <c r="Q565" i="14"/>
  <c r="M1259" i="14"/>
  <c r="O1259" i="14" s="1"/>
  <c r="Q1277" i="14"/>
  <c r="M1207" i="14"/>
  <c r="Q1216" i="14"/>
  <c r="M654" i="14"/>
  <c r="I1219" i="14"/>
  <c r="I698" i="14"/>
  <c r="Q1217" i="14"/>
  <c r="Q1045" i="14"/>
  <c r="Q1278" i="14"/>
  <c r="Q350" i="14"/>
  <c r="M346" i="14"/>
  <c r="O346" i="14" s="1"/>
  <c r="M257" i="14"/>
  <c r="O257" i="14" s="1"/>
  <c r="Q267" i="14"/>
  <c r="M333" i="14"/>
  <c r="Q343" i="14"/>
  <c r="Q280" i="14"/>
  <c r="Q351" i="14"/>
  <c r="Q344" i="14"/>
  <c r="I336" i="14"/>
  <c r="K336" i="14" s="1"/>
  <c r="S336" i="14" s="1"/>
  <c r="M157" i="14"/>
  <c r="Q271" i="14"/>
  <c r="Q245" i="14"/>
  <c r="I242" i="14"/>
  <c r="K242" i="14" s="1"/>
  <c r="S242" i="14" s="1"/>
  <c r="I287" i="14"/>
  <c r="K287" i="14" s="1"/>
  <c r="S287" i="14" s="1"/>
  <c r="Q288" i="14"/>
  <c r="M239" i="14"/>
  <c r="O239" i="14" s="1"/>
  <c r="S239" i="14" s="1"/>
  <c r="Q289" i="14"/>
  <c r="Q69" i="14"/>
  <c r="M175" i="14"/>
  <c r="O175" i="14" s="1"/>
  <c r="S175" i="14" s="1"/>
  <c r="Q11" i="14"/>
  <c r="Q215" i="14"/>
  <c r="M137" i="14"/>
  <c r="I91" i="14"/>
  <c r="M54" i="14"/>
  <c r="Q200" i="14"/>
  <c r="I166" i="14"/>
  <c r="K166" i="14" s="1"/>
  <c r="S166" i="14" s="1"/>
  <c r="I181" i="14"/>
  <c r="M129" i="14"/>
  <c r="O129" i="14" s="1"/>
  <c r="S129" i="14" s="1"/>
  <c r="Q179" i="14"/>
  <c r="I145" i="14"/>
  <c r="M195" i="14"/>
  <c r="O195" i="14" s="1"/>
  <c r="Q199" i="14"/>
  <c r="Q119" i="14"/>
  <c r="I118" i="14"/>
  <c r="I20" i="14"/>
  <c r="Q92" i="14"/>
  <c r="I101" i="14"/>
  <c r="Q99" i="14"/>
  <c r="Q53" i="14"/>
  <c r="Q97" i="14"/>
  <c r="I44" i="14"/>
  <c r="K44" i="14" s="1"/>
  <c r="M42" i="14"/>
  <c r="Q77" i="14"/>
  <c r="Q105" i="14"/>
  <c r="Q89" i="14"/>
  <c r="M58" i="14"/>
  <c r="Q59" i="14"/>
  <c r="I30" i="14"/>
  <c r="K30" i="14" s="1"/>
  <c r="Q23" i="14"/>
  <c r="Q68" i="14"/>
  <c r="I66" i="14"/>
  <c r="Q25" i="14"/>
  <c r="M40" i="14"/>
  <c r="G223" i="13"/>
  <c r="E311" i="13"/>
  <c r="G311" i="13" s="1"/>
  <c r="E229" i="13"/>
  <c r="G371" i="13"/>
  <c r="G10" i="13"/>
  <c r="G377" i="13"/>
  <c r="G32" i="13"/>
  <c r="G295" i="13"/>
  <c r="G378" i="13"/>
  <c r="G276" i="13"/>
  <c r="G296" i="13"/>
  <c r="G333" i="13"/>
  <c r="G154" i="13"/>
  <c r="G334" i="13"/>
  <c r="E264" i="13"/>
  <c r="G264" i="13" s="1"/>
  <c r="G278" i="13"/>
  <c r="G298" i="13"/>
  <c r="E191" i="13"/>
  <c r="F250" i="13"/>
  <c r="F207" i="13"/>
  <c r="F212" i="13"/>
  <c r="F236" i="13"/>
  <c r="F243" i="13"/>
  <c r="F292" i="13"/>
  <c r="G292" i="13" s="1"/>
  <c r="F90" i="13"/>
  <c r="F229" i="13"/>
  <c r="E243" i="13"/>
  <c r="F219" i="13"/>
  <c r="F23" i="13"/>
  <c r="F286" i="13"/>
  <c r="F277" i="13"/>
  <c r="F257" i="13" s="1"/>
  <c r="F256" i="13" s="1"/>
  <c r="F349" i="13"/>
  <c r="F346" i="13" s="1"/>
  <c r="F345" i="13" s="1"/>
  <c r="F47" i="13"/>
  <c r="E286" i="13"/>
  <c r="E207" i="13"/>
  <c r="G207" i="13" s="1"/>
  <c r="E212" i="13"/>
  <c r="F8" i="13"/>
  <c r="F7" i="13" s="1"/>
  <c r="M38" i="14"/>
  <c r="O38" i="14" s="1"/>
  <c r="S38" i="14" s="1"/>
  <c r="B277" i="13"/>
  <c r="B278" i="13" s="1"/>
  <c r="B279" i="13" s="1"/>
  <c r="B280" i="13" s="1"/>
  <c r="B281" i="13" s="1"/>
  <c r="B282" i="13" s="1"/>
  <c r="B283" i="13" s="1"/>
  <c r="B284" i="13" s="1"/>
  <c r="B285" i="13" s="1"/>
  <c r="B286" i="13" s="1"/>
  <c r="B287" i="13" s="1"/>
  <c r="B288" i="13" s="1"/>
  <c r="B289" i="13" s="1"/>
  <c r="B290" i="13" s="1"/>
  <c r="B291" i="13" s="1"/>
  <c r="B292" i="13" s="1"/>
  <c r="B293" i="13" s="1"/>
  <c r="B294" i="13" s="1"/>
  <c r="B295" i="13" s="1"/>
  <c r="B296" i="13" s="1"/>
  <c r="B297" i="13" s="1"/>
  <c r="B298" i="13" s="1"/>
  <c r="B299" i="13" s="1"/>
  <c r="B300" i="13" s="1"/>
  <c r="B301" i="13" s="1"/>
  <c r="B302" i="13" s="1"/>
  <c r="B303" i="13" s="1"/>
  <c r="B304" i="13" s="1"/>
  <c r="B305" i="13" s="1"/>
  <c r="B306" i="13" s="1"/>
  <c r="B307" i="13" s="1"/>
  <c r="B308" i="13" s="1"/>
  <c r="B309" i="13" s="1"/>
  <c r="B310" i="13" s="1"/>
  <c r="B311" i="13" s="1"/>
  <c r="B312" i="13" s="1"/>
  <c r="E155" i="13"/>
  <c r="E200" i="13"/>
  <c r="G200" i="13" s="1"/>
  <c r="E250" i="13"/>
  <c r="G250" i="13" s="1"/>
  <c r="E47" i="13"/>
  <c r="E349" i="13"/>
  <c r="E90" i="13"/>
  <c r="G90" i="13" s="1"/>
  <c r="E236" i="13"/>
  <c r="G236" i="13" s="1"/>
  <c r="E41" i="13"/>
  <c r="J183" i="14" l="1"/>
  <c r="K184" i="14"/>
  <c r="S184" i="14" s="1"/>
  <c r="R184" i="14"/>
  <c r="B313" i="13"/>
  <c r="B314" i="13" s="1"/>
  <c r="K1219" i="14"/>
  <c r="S1219" i="14" s="1"/>
  <c r="G155" i="13"/>
  <c r="G286" i="13"/>
  <c r="G338" i="13"/>
  <c r="G332" i="13"/>
  <c r="J1643" i="14"/>
  <c r="J1631" i="14" s="1"/>
  <c r="R1852" i="14"/>
  <c r="N1840" i="14"/>
  <c r="K1916" i="14"/>
  <c r="O1756" i="14"/>
  <c r="K1893" i="14"/>
  <c r="S1893" i="14" s="1"/>
  <c r="O1565" i="14"/>
  <c r="S1565" i="14" s="1"/>
  <c r="O1606" i="14"/>
  <c r="R1765" i="14"/>
  <c r="J1756" i="14"/>
  <c r="R1756" i="14" s="1"/>
  <c r="J1837" i="14"/>
  <c r="O1749" i="14"/>
  <c r="S1749" i="14" s="1"/>
  <c r="Q1749" i="14"/>
  <c r="M1740" i="14"/>
  <c r="Q1740" i="14" s="1"/>
  <c r="K1832" i="14"/>
  <c r="S1832" i="14" s="1"/>
  <c r="I1831" i="14"/>
  <c r="Q1832" i="14"/>
  <c r="R1749" i="14"/>
  <c r="N1740" i="14"/>
  <c r="R1774" i="14"/>
  <c r="N1773" i="14"/>
  <c r="R1813" i="14"/>
  <c r="N1812" i="14"/>
  <c r="R1777" i="14"/>
  <c r="J1773" i="14"/>
  <c r="R1788" i="14"/>
  <c r="J1787" i="14"/>
  <c r="R1787" i="14" s="1"/>
  <c r="R1799" i="14"/>
  <c r="J1798" i="14"/>
  <c r="R1798" i="14" s="1"/>
  <c r="J1915" i="14"/>
  <c r="J1914" i="14" s="1"/>
  <c r="E17" i="15" s="1"/>
  <c r="J1405" i="14"/>
  <c r="J1388" i="14" s="1"/>
  <c r="E13" i="15" s="1"/>
  <c r="O1635" i="14"/>
  <c r="S1635" i="14" s="1"/>
  <c r="K1714" i="14"/>
  <c r="S1714" i="14" s="1"/>
  <c r="O1695" i="14"/>
  <c r="S1695" i="14" s="1"/>
  <c r="K1413" i="14"/>
  <c r="R1685" i="14"/>
  <c r="K1685" i="14"/>
  <c r="S1685" i="14" s="1"/>
  <c r="J1674" i="14"/>
  <c r="R1700" i="14"/>
  <c r="J1688" i="14"/>
  <c r="R1703" i="14"/>
  <c r="K1703" i="14"/>
  <c r="S1703" i="14" s="1"/>
  <c r="K1753" i="14"/>
  <c r="S1753" i="14" s="1"/>
  <c r="I1752" i="14"/>
  <c r="Q1753" i="14"/>
  <c r="O1774" i="14"/>
  <c r="S1774" i="14" s="1"/>
  <c r="M1773" i="14"/>
  <c r="Q1774" i="14"/>
  <c r="K1777" i="14"/>
  <c r="S1777" i="14" s="1"/>
  <c r="Q1777" i="14"/>
  <c r="I1773" i="14"/>
  <c r="K1788" i="14"/>
  <c r="S1788" i="14" s="1"/>
  <c r="I1787" i="14"/>
  <c r="Q1788" i="14"/>
  <c r="K1799" i="14"/>
  <c r="S1799" i="14" s="1"/>
  <c r="I1798" i="14"/>
  <c r="Q1799" i="14"/>
  <c r="K1805" i="14"/>
  <c r="S1805" i="14" s="1"/>
  <c r="Q1805" i="14"/>
  <c r="I1804" i="14"/>
  <c r="O1852" i="14"/>
  <c r="S1852" i="14" s="1"/>
  <c r="Q1852" i="14"/>
  <c r="M1840" i="14"/>
  <c r="M1837" i="14" s="1"/>
  <c r="K1883" i="14"/>
  <c r="S1883" i="14" s="1"/>
  <c r="I1882" i="14"/>
  <c r="Q1883" i="14"/>
  <c r="O1429" i="14"/>
  <c r="S1429" i="14" s="1"/>
  <c r="Q1429" i="14"/>
  <c r="M1428" i="14"/>
  <c r="O1446" i="14"/>
  <c r="S1446" i="14" s="1"/>
  <c r="Q1446" i="14"/>
  <c r="O1922" i="14"/>
  <c r="S1922" i="14" s="1"/>
  <c r="R1922" i="14"/>
  <c r="N1916" i="14"/>
  <c r="O1916" i="14" s="1"/>
  <c r="R1883" i="14"/>
  <c r="J1882" i="14"/>
  <c r="R1882" i="14" s="1"/>
  <c r="R1893" i="14"/>
  <c r="J1892" i="14"/>
  <c r="R1892" i="14" s="1"/>
  <c r="R1655" i="14"/>
  <c r="N1644" i="14"/>
  <c r="R1707" i="14"/>
  <c r="J1706" i="14"/>
  <c r="R1706" i="14" s="1"/>
  <c r="R1714" i="14"/>
  <c r="J1713" i="14"/>
  <c r="K1766" i="14"/>
  <c r="S1766" i="14" s="1"/>
  <c r="I1765" i="14"/>
  <c r="I1756" i="14" s="1"/>
  <c r="K1874" i="14"/>
  <c r="S1874" i="14" s="1"/>
  <c r="Q1874" i="14"/>
  <c r="K1632" i="14"/>
  <c r="S1632" i="14" s="1"/>
  <c r="Q1632" i="14"/>
  <c r="O1656" i="14"/>
  <c r="S1656" i="14" s="1"/>
  <c r="M1655" i="14"/>
  <c r="R1610" i="14"/>
  <c r="J1606" i="14"/>
  <c r="J1803" i="14"/>
  <c r="R1804" i="14"/>
  <c r="J1860" i="14"/>
  <c r="R1860" i="14" s="1"/>
  <c r="R1863" i="14"/>
  <c r="N1675" i="14"/>
  <c r="R1680" i="14"/>
  <c r="N1658" i="14"/>
  <c r="R1658" i="14" s="1"/>
  <c r="R1668" i="14"/>
  <c r="N1688" i="14"/>
  <c r="R1695" i="14"/>
  <c r="Q1926" i="14"/>
  <c r="K1926" i="14"/>
  <c r="S1926" i="14" s="1"/>
  <c r="Q1757" i="14"/>
  <c r="K1757" i="14"/>
  <c r="S1757" i="14" s="1"/>
  <c r="Q1877" i="14"/>
  <c r="K1877" i="14"/>
  <c r="S1877" i="14" s="1"/>
  <c r="M1813" i="14"/>
  <c r="O1825" i="14"/>
  <c r="S1825" i="14" s="1"/>
  <c r="I1739" i="14"/>
  <c r="K1740" i="14"/>
  <c r="Q1843" i="14"/>
  <c r="K1843" i="14"/>
  <c r="S1843" i="14" s="1"/>
  <c r="Q1863" i="14"/>
  <c r="K1863" i="14"/>
  <c r="S1863" i="14" s="1"/>
  <c r="Q1683" i="14"/>
  <c r="O1683" i="14"/>
  <c r="S1683" i="14" s="1"/>
  <c r="G243" i="13"/>
  <c r="G305" i="13"/>
  <c r="E304" i="13"/>
  <c r="G304" i="13" s="1"/>
  <c r="G191" i="13"/>
  <c r="G219" i="13"/>
  <c r="G11" i="13"/>
  <c r="E8" i="13"/>
  <c r="N1456" i="14"/>
  <c r="R1465" i="14"/>
  <c r="N1558" i="14"/>
  <c r="R1558" i="14" s="1"/>
  <c r="R1565" i="14"/>
  <c r="N1432" i="14"/>
  <c r="R1442" i="14"/>
  <c r="N1413" i="14"/>
  <c r="R1413" i="14" s="1"/>
  <c r="R1418" i="14"/>
  <c r="Q1517" i="14"/>
  <c r="O1517" i="14"/>
  <c r="S1517" i="14" s="1"/>
  <c r="N1568" i="14"/>
  <c r="R1579" i="14"/>
  <c r="Q1453" i="14"/>
  <c r="O1453" i="14"/>
  <c r="S1453" i="14" s="1"/>
  <c r="N1589" i="14"/>
  <c r="R1589" i="14" s="1"/>
  <c r="R1601" i="14"/>
  <c r="Q1406" i="14"/>
  <c r="O1406" i="14"/>
  <c r="S1406" i="14" s="1"/>
  <c r="Q1486" i="14"/>
  <c r="O1486" i="14"/>
  <c r="S1486" i="14" s="1"/>
  <c r="Q1580" i="14"/>
  <c r="O1580" i="14"/>
  <c r="S1580" i="14" s="1"/>
  <c r="Q1693" i="14"/>
  <c r="K1693" i="14"/>
  <c r="S1693" i="14" s="1"/>
  <c r="Q1676" i="14"/>
  <c r="K1676" i="14"/>
  <c r="S1676" i="14" s="1"/>
  <c r="B1445" i="14"/>
  <c r="B1446" i="14" s="1"/>
  <c r="B1447" i="14" s="1"/>
  <c r="B1448" i="14" s="1"/>
  <c r="B1449" i="14" s="1"/>
  <c r="B1450" i="14" s="1"/>
  <c r="B1451" i="14" s="1"/>
  <c r="B1452" i="14" s="1"/>
  <c r="B1453" i="14" s="1"/>
  <c r="B1454" i="14" s="1"/>
  <c r="B1455" i="14" s="1"/>
  <c r="B1456" i="14" s="1"/>
  <c r="B1457" i="14" s="1"/>
  <c r="B1458" i="14" s="1"/>
  <c r="B1459" i="14" s="1"/>
  <c r="B1460" i="14" s="1"/>
  <c r="B1461" i="14" s="1"/>
  <c r="B1462" i="14" s="1"/>
  <c r="B1463" i="14" s="1"/>
  <c r="B1464" i="14" s="1"/>
  <c r="B1465" i="14" s="1"/>
  <c r="Q1584" i="14"/>
  <c r="O1584" i="14"/>
  <c r="S1584" i="14" s="1"/>
  <c r="Q1700" i="14"/>
  <c r="K1700" i="14"/>
  <c r="S1700" i="14" s="1"/>
  <c r="I1534" i="14"/>
  <c r="K1535" i="14"/>
  <c r="S1535" i="14" s="1"/>
  <c r="I1706" i="14"/>
  <c r="K1707" i="14"/>
  <c r="S1707" i="14" s="1"/>
  <c r="Q1610" i="14"/>
  <c r="K1610" i="14"/>
  <c r="S1610" i="14" s="1"/>
  <c r="Q1476" i="14"/>
  <c r="O1476" i="14"/>
  <c r="S1476" i="14" s="1"/>
  <c r="Q1443" i="14"/>
  <c r="O1443" i="14"/>
  <c r="S1443" i="14" s="1"/>
  <c r="Q1601" i="14"/>
  <c r="O1601" i="14"/>
  <c r="S1601" i="14" s="1"/>
  <c r="N1506" i="14"/>
  <c r="R1506" i="14" s="1"/>
  <c r="R1517" i="14"/>
  <c r="N1474" i="14"/>
  <c r="R1252" i="14"/>
  <c r="O525" i="14"/>
  <c r="O891" i="14"/>
  <c r="S891" i="14" s="1"/>
  <c r="R525" i="14"/>
  <c r="I1506" i="14"/>
  <c r="K1509" i="14"/>
  <c r="S1509" i="14" s="1"/>
  <c r="O1216" i="14"/>
  <c r="S1216" i="14" s="1"/>
  <c r="Q1707" i="14"/>
  <c r="K552" i="14"/>
  <c r="S552" i="14" s="1"/>
  <c r="O1207" i="14"/>
  <c r="K1236" i="14"/>
  <c r="K610" i="14"/>
  <c r="J1067" i="14"/>
  <c r="J1049" i="14" s="1"/>
  <c r="O654" i="14"/>
  <c r="S654" i="14" s="1"/>
  <c r="I1425" i="14"/>
  <c r="K1425" i="14" s="1"/>
  <c r="K1432" i="14"/>
  <c r="J9" i="14"/>
  <c r="R9" i="14" s="1"/>
  <c r="R1216" i="14"/>
  <c r="I1392" i="14"/>
  <c r="K1393" i="14"/>
  <c r="S1393" i="14" s="1"/>
  <c r="I1451" i="14"/>
  <c r="K1451" i="14" s="1"/>
  <c r="K1456" i="14"/>
  <c r="Q824" i="14"/>
  <c r="K824" i="14"/>
  <c r="S824" i="14" s="1"/>
  <c r="I540" i="14"/>
  <c r="K543" i="14"/>
  <c r="S543" i="14" s="1"/>
  <c r="Q607" i="14"/>
  <c r="O607" i="14"/>
  <c r="S607" i="14" s="1"/>
  <c r="Q1024" i="14"/>
  <c r="K1024" i="14"/>
  <c r="S1024" i="14" s="1"/>
  <c r="I1360" i="14"/>
  <c r="K1363" i="14"/>
  <c r="S1363" i="14" s="1"/>
  <c r="K1259" i="14"/>
  <c r="S1259" i="14" s="1"/>
  <c r="Q774" i="14"/>
  <c r="K774" i="14"/>
  <c r="S774" i="14" s="1"/>
  <c r="Q881" i="14"/>
  <c r="K881" i="14"/>
  <c r="S881" i="14" s="1"/>
  <c r="I710" i="14"/>
  <c r="K713" i="14"/>
  <c r="S713" i="14" s="1"/>
  <c r="Q1071" i="14"/>
  <c r="K1071" i="14"/>
  <c r="S1071" i="14" s="1"/>
  <c r="Q736" i="14"/>
  <c r="K736" i="14"/>
  <c r="S736" i="14" s="1"/>
  <c r="Q1015" i="14"/>
  <c r="K1015" i="14"/>
  <c r="S1015" i="14" s="1"/>
  <c r="Q1153" i="14"/>
  <c r="K1153" i="14"/>
  <c r="S1153" i="14" s="1"/>
  <c r="Q864" i="14"/>
  <c r="O864" i="14"/>
  <c r="S864" i="14" s="1"/>
  <c r="Q698" i="14"/>
  <c r="K698" i="14"/>
  <c r="S698" i="14" s="1"/>
  <c r="Q1375" i="14"/>
  <c r="K1375" i="14"/>
  <c r="S1375" i="14" s="1"/>
  <c r="N1068" i="14"/>
  <c r="N1067" i="14" s="1"/>
  <c r="R1078" i="14"/>
  <c r="O1078" i="14"/>
  <c r="S1078" i="14" s="1"/>
  <c r="M595" i="14"/>
  <c r="O595" i="14" s="1"/>
  <c r="Q423" i="14"/>
  <c r="O423" i="14"/>
  <c r="S423" i="14" s="1"/>
  <c r="Q850" i="14"/>
  <c r="K850" i="14"/>
  <c r="S850" i="14" s="1"/>
  <c r="Q1081" i="14"/>
  <c r="K1081" i="14"/>
  <c r="S1081" i="14" s="1"/>
  <c r="M385" i="14"/>
  <c r="Q385" i="14" s="1"/>
  <c r="O389" i="14"/>
  <c r="S389" i="14" s="1"/>
  <c r="N610" i="14"/>
  <c r="R610" i="14" s="1"/>
  <c r="R623" i="14"/>
  <c r="R918" i="14"/>
  <c r="N837" i="14"/>
  <c r="R859" i="14"/>
  <c r="K1108" i="14"/>
  <c r="S1108" i="14" s="1"/>
  <c r="R1108" i="14"/>
  <c r="Q1126" i="14"/>
  <c r="K1126" i="14"/>
  <c r="S1126" i="14" s="1"/>
  <c r="N1280" i="14"/>
  <c r="R1280" i="14" s="1"/>
  <c r="R1300" i="14"/>
  <c r="Q1293" i="14"/>
  <c r="K1293" i="14"/>
  <c r="S1293" i="14" s="1"/>
  <c r="K641" i="14"/>
  <c r="Q1144" i="14"/>
  <c r="K1144" i="14"/>
  <c r="S1144" i="14" s="1"/>
  <c r="I722" i="14"/>
  <c r="K725" i="14"/>
  <c r="S725" i="14" s="1"/>
  <c r="N396" i="14"/>
  <c r="R399" i="14"/>
  <c r="J522" i="14"/>
  <c r="J509" i="14" s="1"/>
  <c r="Q971" i="14"/>
  <c r="K971" i="14"/>
  <c r="S971" i="14" s="1"/>
  <c r="Q623" i="14"/>
  <c r="O623" i="14"/>
  <c r="S623" i="14" s="1"/>
  <c r="Q754" i="14"/>
  <c r="K754" i="14"/>
  <c r="S754" i="14" s="1"/>
  <c r="B461" i="14"/>
  <c r="B462" i="14" s="1"/>
  <c r="B463" i="14" s="1"/>
  <c r="B464" i="14" s="1"/>
  <c r="B465" i="14" s="1"/>
  <c r="B466" i="14" s="1"/>
  <c r="B467" i="14" s="1"/>
  <c r="B468" i="14" s="1"/>
  <c r="B469" i="14" s="1"/>
  <c r="B470" i="14" s="1"/>
  <c r="B471" i="14" s="1"/>
  <c r="B472" i="14" s="1"/>
  <c r="B473" i="14" s="1"/>
  <c r="B475" i="14" s="1"/>
  <c r="B476" i="14" s="1"/>
  <c r="B477" i="14" s="1"/>
  <c r="B479" i="14" s="1"/>
  <c r="B480" i="14" s="1"/>
  <c r="B481" i="14" s="1"/>
  <c r="Q1090" i="14"/>
  <c r="K1090" i="14"/>
  <c r="S1090" i="14" s="1"/>
  <c r="I1189" i="14"/>
  <c r="K1192" i="14"/>
  <c r="S1192" i="14" s="1"/>
  <c r="I510" i="14"/>
  <c r="K510" i="14" s="1"/>
  <c r="S510" i="14" s="1"/>
  <c r="K513" i="14"/>
  <c r="S513" i="14" s="1"/>
  <c r="J1360" i="14"/>
  <c r="R1360" i="14" s="1"/>
  <c r="N669" i="14"/>
  <c r="R669" i="14" s="1"/>
  <c r="R682" i="14"/>
  <c r="Q909" i="14"/>
  <c r="K909" i="14"/>
  <c r="S909" i="14" s="1"/>
  <c r="Q979" i="14"/>
  <c r="K979" i="14"/>
  <c r="S979" i="14" s="1"/>
  <c r="R1236" i="14"/>
  <c r="K988" i="14"/>
  <c r="S988" i="14" s="1"/>
  <c r="N641" i="14"/>
  <c r="R641" i="14" s="1"/>
  <c r="R654" i="14"/>
  <c r="Q1171" i="14"/>
  <c r="K1171" i="14"/>
  <c r="S1171" i="14" s="1"/>
  <c r="M580" i="14"/>
  <c r="O581" i="14"/>
  <c r="S581" i="14" s="1"/>
  <c r="M807" i="14"/>
  <c r="Q458" i="14"/>
  <c r="O458" i="14"/>
  <c r="S458" i="14" s="1"/>
  <c r="I1280" i="14"/>
  <c r="K1280" i="14" s="1"/>
  <c r="Q1044" i="14"/>
  <c r="O1044" i="14"/>
  <c r="S1044" i="14" s="1"/>
  <c r="Q1252" i="14"/>
  <c r="O1252" i="14"/>
  <c r="S1252" i="14" s="1"/>
  <c r="R1207" i="14"/>
  <c r="Q1210" i="14"/>
  <c r="Q1322" i="14"/>
  <c r="K1322" i="14"/>
  <c r="S1322" i="14" s="1"/>
  <c r="Q871" i="14"/>
  <c r="K871" i="14"/>
  <c r="S871" i="14" s="1"/>
  <c r="I1207" i="14"/>
  <c r="K1207" i="14" s="1"/>
  <c r="Q808" i="14"/>
  <c r="O1300" i="14"/>
  <c r="S1300" i="14" s="1"/>
  <c r="Q1304" i="14"/>
  <c r="K1304" i="14"/>
  <c r="S1304" i="14" s="1"/>
  <c r="Q528" i="14"/>
  <c r="K528" i="14"/>
  <c r="S528" i="14" s="1"/>
  <c r="Q1340" i="14"/>
  <c r="K1340" i="14"/>
  <c r="S1340" i="14" s="1"/>
  <c r="Q797" i="14"/>
  <c r="K797" i="14"/>
  <c r="S797" i="14" s="1"/>
  <c r="Q631" i="14"/>
  <c r="K631" i="14"/>
  <c r="S631" i="14" s="1"/>
  <c r="N1033" i="14"/>
  <c r="R1044" i="14"/>
  <c r="Q688" i="14"/>
  <c r="K688" i="14"/>
  <c r="S688" i="14" s="1"/>
  <c r="Q1006" i="14"/>
  <c r="K1006" i="14"/>
  <c r="S1006" i="14" s="1"/>
  <c r="Q399" i="14"/>
  <c r="O399" i="14"/>
  <c r="S399" i="14" s="1"/>
  <c r="Q1102" i="14"/>
  <c r="K1102" i="14"/>
  <c r="S1102" i="14" s="1"/>
  <c r="O918" i="14"/>
  <c r="M1280" i="14"/>
  <c r="M810" i="14"/>
  <c r="O810" i="14" s="1"/>
  <c r="O834" i="14"/>
  <c r="S834" i="14" s="1"/>
  <c r="Q1300" i="14"/>
  <c r="Q1036" i="14"/>
  <c r="K1036" i="14"/>
  <c r="S1036" i="14" s="1"/>
  <c r="Q929" i="14"/>
  <c r="K929" i="14"/>
  <c r="S929" i="14" s="1"/>
  <c r="Q766" i="14"/>
  <c r="K766" i="14"/>
  <c r="S766" i="14" s="1"/>
  <c r="Q899" i="14"/>
  <c r="K899" i="14"/>
  <c r="S899" i="14" s="1"/>
  <c r="I583" i="14"/>
  <c r="K586" i="14"/>
  <c r="S586" i="14" s="1"/>
  <c r="N385" i="14"/>
  <c r="R389" i="14"/>
  <c r="Q1135" i="14"/>
  <c r="K1135" i="14"/>
  <c r="S1135" i="14" s="1"/>
  <c r="N868" i="14"/>
  <c r="R868" i="14" s="1"/>
  <c r="R891" i="14"/>
  <c r="Q1117" i="14"/>
  <c r="K1117" i="14"/>
  <c r="S1117" i="14" s="1"/>
  <c r="J735" i="14"/>
  <c r="J939" i="14"/>
  <c r="N323" i="14"/>
  <c r="R323" i="14" s="1"/>
  <c r="S195" i="14"/>
  <c r="S346" i="14"/>
  <c r="Q543" i="14"/>
  <c r="S257" i="14"/>
  <c r="K10" i="14"/>
  <c r="S10" i="14" s="1"/>
  <c r="J303" i="14"/>
  <c r="E10" i="15" s="1"/>
  <c r="I1915" i="14"/>
  <c r="Q407" i="14"/>
  <c r="K407" i="14"/>
  <c r="S407" i="14" s="1"/>
  <c r="Q278" i="14"/>
  <c r="O278" i="14"/>
  <c r="S278" i="14" s="1"/>
  <c r="Q76" i="14"/>
  <c r="Q397" i="14"/>
  <c r="K397" i="14"/>
  <c r="S397" i="14" s="1"/>
  <c r="Q252" i="14"/>
  <c r="O252" i="14"/>
  <c r="S252" i="14" s="1"/>
  <c r="Q355" i="14"/>
  <c r="K355" i="14"/>
  <c r="S355" i="14" s="1"/>
  <c r="Q276" i="14"/>
  <c r="O276" i="14"/>
  <c r="S276" i="14" s="1"/>
  <c r="N304" i="14"/>
  <c r="R304" i="14" s="1"/>
  <c r="R316" i="14"/>
  <c r="Q329" i="14"/>
  <c r="O329" i="14"/>
  <c r="S329" i="14" s="1"/>
  <c r="Q307" i="14"/>
  <c r="K307" i="14"/>
  <c r="S307" i="14" s="1"/>
  <c r="O333" i="14"/>
  <c r="N422" i="14"/>
  <c r="N251" i="14"/>
  <c r="R251" i="14" s="1"/>
  <c r="R252" i="14"/>
  <c r="M304" i="14"/>
  <c r="O316" i="14"/>
  <c r="S316" i="14" s="1"/>
  <c r="N270" i="14"/>
  <c r="R270" i="14" s="1"/>
  <c r="R275" i="14"/>
  <c r="Q40" i="14"/>
  <c r="O40" i="14"/>
  <c r="S40" i="14" s="1"/>
  <c r="Q101" i="14"/>
  <c r="K101" i="14"/>
  <c r="S101" i="14" s="1"/>
  <c r="Q66" i="14"/>
  <c r="K66" i="14"/>
  <c r="S66" i="14" s="1"/>
  <c r="Q20" i="14"/>
  <c r="K20" i="14"/>
  <c r="S20" i="14" s="1"/>
  <c r="Q118" i="14"/>
  <c r="K118" i="14"/>
  <c r="S118" i="14" s="1"/>
  <c r="Q140" i="14"/>
  <c r="K140" i="14"/>
  <c r="S140" i="14" s="1"/>
  <c r="I685" i="14"/>
  <c r="I121" i="14"/>
  <c r="K121" i="14" s="1"/>
  <c r="I75" i="14"/>
  <c r="N144" i="14"/>
  <c r="R144" i="14" s="1"/>
  <c r="R150" i="14"/>
  <c r="Q181" i="14"/>
  <c r="K181" i="14"/>
  <c r="S181" i="14" s="1"/>
  <c r="Q157" i="14"/>
  <c r="O157" i="14"/>
  <c r="S157" i="14" s="1"/>
  <c r="Q153" i="14"/>
  <c r="O153" i="14"/>
  <c r="S153" i="14" s="1"/>
  <c r="Q42" i="14"/>
  <c r="O42" i="14"/>
  <c r="S42" i="14" s="1"/>
  <c r="Q190" i="14"/>
  <c r="O190" i="14"/>
  <c r="S190" i="14" s="1"/>
  <c r="Q54" i="14"/>
  <c r="O54" i="14"/>
  <c r="S54" i="14" s="1"/>
  <c r="Q145" i="14"/>
  <c r="K145" i="14"/>
  <c r="S145" i="14" s="1"/>
  <c r="Q58" i="14"/>
  <c r="O58" i="14"/>
  <c r="S58" i="14" s="1"/>
  <c r="N30" i="14"/>
  <c r="R30" i="14" s="1"/>
  <c r="R37" i="14"/>
  <c r="N44" i="14"/>
  <c r="R44" i="14" s="1"/>
  <c r="R51" i="14"/>
  <c r="Q98" i="14"/>
  <c r="Q91" i="14"/>
  <c r="K91" i="14"/>
  <c r="S91" i="14" s="1"/>
  <c r="M88" i="14"/>
  <c r="O88" i="14" s="1"/>
  <c r="M136" i="14"/>
  <c r="Q136" i="14" s="1"/>
  <c r="O137" i="14"/>
  <c r="S137" i="14" s="1"/>
  <c r="R121" i="14"/>
  <c r="N183" i="14"/>
  <c r="R190" i="14"/>
  <c r="J87" i="14"/>
  <c r="I525" i="14"/>
  <c r="I868" i="14"/>
  <c r="K868" i="14" s="1"/>
  <c r="I628" i="14"/>
  <c r="Q389" i="14"/>
  <c r="Q1825" i="14"/>
  <c r="I1688" i="14"/>
  <c r="M1452" i="14"/>
  <c r="M1506" i="14"/>
  <c r="I1675" i="14"/>
  <c r="I404" i="14"/>
  <c r="M1680" i="14"/>
  <c r="O1680" i="14" s="1"/>
  <c r="S1680" i="14" s="1"/>
  <c r="I1033" i="14"/>
  <c r="I1840" i="14"/>
  <c r="I304" i="14"/>
  <c r="K304" i="14" s="1"/>
  <c r="I1644" i="14"/>
  <c r="Q1647" i="14"/>
  <c r="Q725" i="14"/>
  <c r="I1892" i="14"/>
  <c r="Q1893" i="14"/>
  <c r="M1915" i="14"/>
  <c r="Q1916" i="14"/>
  <c r="I1606" i="14"/>
  <c r="Q834" i="14"/>
  <c r="M1579" i="14"/>
  <c r="I1860" i="14"/>
  <c r="Q1363" i="14"/>
  <c r="Q586" i="14"/>
  <c r="I353" i="14"/>
  <c r="I1813" i="14"/>
  <c r="K1813" i="14" s="1"/>
  <c r="Q1816" i="14"/>
  <c r="M183" i="14"/>
  <c r="Q581" i="14"/>
  <c r="Q316" i="14"/>
  <c r="M1589" i="14"/>
  <c r="Q1509" i="14"/>
  <c r="I1068" i="14"/>
  <c r="I810" i="14"/>
  <c r="Q1535" i="14"/>
  <c r="M1033" i="14"/>
  <c r="M275" i="14"/>
  <c r="M1465" i="14"/>
  <c r="M1236" i="14"/>
  <c r="I657" i="14"/>
  <c r="Q660" i="14"/>
  <c r="M1442" i="14"/>
  <c r="O1442" i="14" s="1"/>
  <c r="S1442" i="14" s="1"/>
  <c r="Q1714" i="14"/>
  <c r="I1713" i="14"/>
  <c r="M396" i="14"/>
  <c r="I763" i="14"/>
  <c r="Q713" i="14"/>
  <c r="I896" i="14"/>
  <c r="Q513" i="14"/>
  <c r="M1668" i="14"/>
  <c r="O1668" i="14" s="1"/>
  <c r="S1668" i="14" s="1"/>
  <c r="Q1671" i="14"/>
  <c r="I837" i="14"/>
  <c r="K837" i="14" s="1"/>
  <c r="Q1695" i="14"/>
  <c r="M1688" i="14"/>
  <c r="I415" i="14"/>
  <c r="Q416" i="14"/>
  <c r="M1558" i="14"/>
  <c r="Q1565" i="14"/>
  <c r="I918" i="14"/>
  <c r="Q1635" i="14"/>
  <c r="M859" i="14"/>
  <c r="Q1393" i="14"/>
  <c r="Q571" i="14"/>
  <c r="I568" i="14"/>
  <c r="Q1661" i="14"/>
  <c r="I1658" i="14"/>
  <c r="K1658" i="14" s="1"/>
  <c r="I1099" i="14"/>
  <c r="Q1183" i="14"/>
  <c r="I1180" i="14"/>
  <c r="I950" i="14"/>
  <c r="K950" i="14" s="1"/>
  <c r="S950" i="14" s="1"/>
  <c r="Q953" i="14"/>
  <c r="M868" i="14"/>
  <c r="Q891" i="14"/>
  <c r="M422" i="14"/>
  <c r="I784" i="14"/>
  <c r="K784" i="14" s="1"/>
  <c r="M682" i="14"/>
  <c r="O682" i="14" s="1"/>
  <c r="S682" i="14" s="1"/>
  <c r="Q683" i="14"/>
  <c r="I378" i="14"/>
  <c r="K378" i="14" s="1"/>
  <c r="Q381" i="14"/>
  <c r="I1568" i="14"/>
  <c r="K1568" i="14" s="1"/>
  <c r="Q1571" i="14"/>
  <c r="I595" i="14"/>
  <c r="Q598" i="14"/>
  <c r="Q672" i="14"/>
  <c r="I669" i="14"/>
  <c r="K669" i="14" s="1"/>
  <c r="I359" i="14"/>
  <c r="Q361" i="14"/>
  <c r="M324" i="14"/>
  <c r="Q1165" i="14"/>
  <c r="I1162" i="14"/>
  <c r="M610" i="14"/>
  <c r="Q137" i="14"/>
  <c r="I1589" i="14"/>
  <c r="K1589" i="14" s="1"/>
  <c r="Q1592" i="14"/>
  <c r="M1418" i="14"/>
  <c r="O1418" i="14" s="1"/>
  <c r="S1418" i="14" s="1"/>
  <c r="Q1421" i="14"/>
  <c r="Q1259" i="14"/>
  <c r="I229" i="14"/>
  <c r="Q232" i="14"/>
  <c r="I1558" i="14"/>
  <c r="K1558" i="14" s="1"/>
  <c r="Q1559" i="14"/>
  <c r="M1475" i="14"/>
  <c r="O1475" i="14" s="1"/>
  <c r="S1475" i="14" s="1"/>
  <c r="Q552" i="14"/>
  <c r="Q1192" i="14"/>
  <c r="I741" i="14"/>
  <c r="K741" i="14" s="1"/>
  <c r="S741" i="14" s="1"/>
  <c r="I997" i="14"/>
  <c r="K997" i="14" s="1"/>
  <c r="S997" i="14" s="1"/>
  <c r="Q1000" i="14"/>
  <c r="Q1219" i="14"/>
  <c r="M641" i="14"/>
  <c r="Q654" i="14"/>
  <c r="M1067" i="14"/>
  <c r="I333" i="14"/>
  <c r="Q336" i="14"/>
  <c r="M150" i="14"/>
  <c r="M251" i="14"/>
  <c r="Q257" i="14"/>
  <c r="Q346" i="14"/>
  <c r="I144" i="14"/>
  <c r="K144" i="14" s="1"/>
  <c r="M125" i="14"/>
  <c r="Q129" i="14"/>
  <c r="I163" i="14"/>
  <c r="K163" i="14" s="1"/>
  <c r="Q166" i="14"/>
  <c r="Q175" i="14"/>
  <c r="M163" i="14"/>
  <c r="O163" i="14" s="1"/>
  <c r="I178" i="14"/>
  <c r="K178" i="14" s="1"/>
  <c r="S178" i="14" s="1"/>
  <c r="I88" i="14"/>
  <c r="M238" i="14"/>
  <c r="O238" i="14" s="1"/>
  <c r="Q239" i="14"/>
  <c r="Q287" i="14"/>
  <c r="I238" i="14"/>
  <c r="K238" i="14" s="1"/>
  <c r="Q242" i="14"/>
  <c r="I9" i="14"/>
  <c r="M51" i="14"/>
  <c r="Q195" i="14"/>
  <c r="E257" i="13"/>
  <c r="G257" i="13" s="1"/>
  <c r="E346" i="13"/>
  <c r="G349" i="13"/>
  <c r="E23" i="13"/>
  <c r="G23" i="13" s="1"/>
  <c r="G41" i="13"/>
  <c r="G47" i="13"/>
  <c r="G229" i="13"/>
  <c r="G277" i="13"/>
  <c r="G212" i="13"/>
  <c r="F22" i="13"/>
  <c r="F255" i="13"/>
  <c r="F344" i="13"/>
  <c r="E256" i="13"/>
  <c r="Q38" i="14"/>
  <c r="M37" i="14"/>
  <c r="O37" i="14" s="1"/>
  <c r="S37" i="14" s="1"/>
  <c r="I1772" i="14" l="1"/>
  <c r="R183" i="14"/>
  <c r="K183" i="14"/>
  <c r="J117" i="14"/>
  <c r="E8" i="15" s="1"/>
  <c r="N1837" i="14"/>
  <c r="R1840" i="14"/>
  <c r="Q1773" i="14"/>
  <c r="M1772" i="14"/>
  <c r="Q1772" i="14" s="1"/>
  <c r="O1558" i="14"/>
  <c r="S1558" i="14" s="1"/>
  <c r="F380" i="13"/>
  <c r="F387" i="13" s="1"/>
  <c r="I4" i="15" s="1"/>
  <c r="O1840" i="14"/>
  <c r="K1713" i="14"/>
  <c r="S1713" i="14" s="1"/>
  <c r="O1773" i="14"/>
  <c r="K1773" i="14"/>
  <c r="J1772" i="14"/>
  <c r="S1916" i="14"/>
  <c r="K1688" i="14"/>
  <c r="M1739" i="14"/>
  <c r="O1740" i="14"/>
  <c r="S1740" i="14" s="1"/>
  <c r="Q1831" i="14"/>
  <c r="K1831" i="14"/>
  <c r="S1831" i="14" s="1"/>
  <c r="R1740" i="14"/>
  <c r="N1739" i="14"/>
  <c r="R1773" i="14"/>
  <c r="N1772" i="14"/>
  <c r="R1812" i="14"/>
  <c r="N1803" i="14"/>
  <c r="R1803" i="14" s="1"/>
  <c r="R1688" i="14"/>
  <c r="S1207" i="14"/>
  <c r="O1688" i="14"/>
  <c r="Q1752" i="14"/>
  <c r="K1752" i="14"/>
  <c r="S1752" i="14" s="1"/>
  <c r="Q1787" i="14"/>
  <c r="K1787" i="14"/>
  <c r="S1787" i="14" s="1"/>
  <c r="Q1798" i="14"/>
  <c r="K1798" i="14"/>
  <c r="S1798" i="14" s="1"/>
  <c r="Q1804" i="14"/>
  <c r="K1804" i="14"/>
  <c r="S1804" i="14" s="1"/>
  <c r="Q1882" i="14"/>
  <c r="K1882" i="14"/>
  <c r="S1882" i="14" s="1"/>
  <c r="Q1428" i="14"/>
  <c r="O1428" i="14"/>
  <c r="S1428" i="14" s="1"/>
  <c r="R1644" i="14"/>
  <c r="N1643" i="14"/>
  <c r="R1713" i="14"/>
  <c r="J1630" i="14"/>
  <c r="E15" i="15" s="1"/>
  <c r="O1655" i="14"/>
  <c r="S1655" i="14" s="1"/>
  <c r="M1644" i="14"/>
  <c r="Q1655" i="14"/>
  <c r="R1916" i="14"/>
  <c r="N1915" i="14"/>
  <c r="O1915" i="14" s="1"/>
  <c r="K1765" i="14"/>
  <c r="S1765" i="14" s="1"/>
  <c r="Q1765" i="14"/>
  <c r="R1675" i="14"/>
  <c r="N1674" i="14"/>
  <c r="R1674" i="14" s="1"/>
  <c r="O1813" i="14"/>
  <c r="S1813" i="14" s="1"/>
  <c r="M1812" i="14"/>
  <c r="K1739" i="14"/>
  <c r="I1738" i="14"/>
  <c r="K1738" i="14" s="1"/>
  <c r="R1606" i="14"/>
  <c r="J1533" i="14"/>
  <c r="E14" i="15" s="1"/>
  <c r="I1914" i="14"/>
  <c r="K1915" i="14"/>
  <c r="Q1756" i="14"/>
  <c r="K1756" i="14"/>
  <c r="S1756" i="14" s="1"/>
  <c r="R87" i="14"/>
  <c r="E7" i="15"/>
  <c r="M7" i="15" s="1"/>
  <c r="I1837" i="14"/>
  <c r="K1840" i="14"/>
  <c r="Q1892" i="14"/>
  <c r="K1892" i="14"/>
  <c r="S1892" i="14" s="1"/>
  <c r="Q1860" i="14"/>
  <c r="K1860" i="14"/>
  <c r="S1860" i="14" s="1"/>
  <c r="E7" i="13"/>
  <c r="G8" i="13"/>
  <c r="O1589" i="14"/>
  <c r="S1589" i="14" s="1"/>
  <c r="Q1452" i="14"/>
  <c r="O1452" i="14"/>
  <c r="S1452" i="14" s="1"/>
  <c r="M1568" i="14"/>
  <c r="O1579" i="14"/>
  <c r="S1579" i="14" s="1"/>
  <c r="Q1706" i="14"/>
  <c r="K1706" i="14"/>
  <c r="S1706" i="14" s="1"/>
  <c r="R1474" i="14"/>
  <c r="Q1606" i="14"/>
  <c r="K1606" i="14"/>
  <c r="S1606" i="14" s="1"/>
  <c r="Q1534" i="14"/>
  <c r="K1534" i="14"/>
  <c r="S1534" i="14" s="1"/>
  <c r="R1432" i="14"/>
  <c r="N1425" i="14"/>
  <c r="R1425" i="14" s="1"/>
  <c r="Q1465" i="14"/>
  <c r="O1465" i="14"/>
  <c r="S1465" i="14" s="1"/>
  <c r="I1674" i="14"/>
  <c r="K1674" i="14" s="1"/>
  <c r="K1675" i="14"/>
  <c r="N1533" i="14"/>
  <c r="R1568" i="14"/>
  <c r="B1466" i="14"/>
  <c r="B1467" i="14" s="1"/>
  <c r="B1468" i="14" s="1"/>
  <c r="B1469" i="14" s="1"/>
  <c r="B1470" i="14" s="1"/>
  <c r="B1471" i="14" s="1"/>
  <c r="B1472" i="14" s="1"/>
  <c r="B1473" i="14" s="1"/>
  <c r="B1474" i="14" s="1"/>
  <c r="B1475" i="14" s="1"/>
  <c r="B1476" i="14" s="1"/>
  <c r="B1477" i="14" s="1"/>
  <c r="B1478" i="14" s="1"/>
  <c r="B1479" i="14" s="1"/>
  <c r="B1480" i="14" s="1"/>
  <c r="B1481" i="14" s="1"/>
  <c r="B1482" i="14" s="1"/>
  <c r="B1483" i="14" s="1"/>
  <c r="B1484" i="14" s="1"/>
  <c r="B1485" i="14" s="1"/>
  <c r="B1486" i="14" s="1"/>
  <c r="B1487" i="14" s="1"/>
  <c r="B1488" i="14" s="1"/>
  <c r="B1489" i="14" s="1"/>
  <c r="K1644" i="14"/>
  <c r="Q1506" i="14"/>
  <c r="O1506" i="14"/>
  <c r="N1451" i="14"/>
  <c r="R1456" i="14"/>
  <c r="S163" i="14"/>
  <c r="Q1207" i="14"/>
  <c r="O1280" i="14"/>
  <c r="S1280" i="14" s="1"/>
  <c r="J8" i="14"/>
  <c r="E6" i="15" s="1"/>
  <c r="Q304" i="14"/>
  <c r="K1360" i="14"/>
  <c r="S1360" i="14" s="1"/>
  <c r="Q1392" i="14"/>
  <c r="K1392" i="14"/>
  <c r="S1392" i="14" s="1"/>
  <c r="Q510" i="14"/>
  <c r="I1405" i="14"/>
  <c r="O868" i="14"/>
  <c r="S868" i="14" s="1"/>
  <c r="Q1360" i="14"/>
  <c r="I1474" i="14"/>
  <c r="K1474" i="14" s="1"/>
  <c r="K1506" i="14"/>
  <c r="R1067" i="14"/>
  <c r="N1049" i="14"/>
  <c r="R1049" i="14" s="1"/>
  <c r="B484" i="14"/>
  <c r="B485" i="14" s="1"/>
  <c r="B486" i="14" s="1"/>
  <c r="B487" i="14" s="1"/>
  <c r="B488" i="14" s="1"/>
  <c r="B489" i="14" s="1"/>
  <c r="B482" i="14"/>
  <c r="Q722" i="14"/>
  <c r="K722" i="14"/>
  <c r="S722" i="14" s="1"/>
  <c r="Q641" i="14"/>
  <c r="O641" i="14"/>
  <c r="S641" i="14" s="1"/>
  <c r="M939" i="14"/>
  <c r="O1033" i="14"/>
  <c r="Q896" i="14"/>
  <c r="K896" i="14"/>
  <c r="S896" i="14" s="1"/>
  <c r="Q685" i="14"/>
  <c r="K685" i="14"/>
  <c r="S685" i="14" s="1"/>
  <c r="Q628" i="14"/>
  <c r="K628" i="14"/>
  <c r="S628" i="14" s="1"/>
  <c r="N378" i="14"/>
  <c r="R378" i="14" s="1"/>
  <c r="R385" i="14"/>
  <c r="Q763" i="14"/>
  <c r="K763" i="14"/>
  <c r="S763" i="14" s="1"/>
  <c r="Q525" i="14"/>
  <c r="K525" i="14"/>
  <c r="S525" i="14" s="1"/>
  <c r="Q610" i="14"/>
  <c r="O610" i="14"/>
  <c r="S610" i="14" s="1"/>
  <c r="Q810" i="14"/>
  <c r="K810" i="14"/>
  <c r="S810" i="14" s="1"/>
  <c r="N421" i="14"/>
  <c r="R422" i="14"/>
  <c r="N522" i="14"/>
  <c r="K568" i="14"/>
  <c r="Q595" i="14"/>
  <c r="K595" i="14"/>
  <c r="S595" i="14" s="1"/>
  <c r="O396" i="14"/>
  <c r="R837" i="14"/>
  <c r="N735" i="14"/>
  <c r="R735" i="14" s="1"/>
  <c r="Q918" i="14"/>
  <c r="K918" i="14"/>
  <c r="S918" i="14" s="1"/>
  <c r="Q1280" i="14"/>
  <c r="N939" i="14"/>
  <c r="R939" i="14" s="1"/>
  <c r="R1033" i="14"/>
  <c r="Q1189" i="14"/>
  <c r="K1189" i="14"/>
  <c r="S1189" i="14" s="1"/>
  <c r="Q1099" i="14"/>
  <c r="K1099" i="14"/>
  <c r="S1099" i="14" s="1"/>
  <c r="M568" i="14"/>
  <c r="O568" i="14" s="1"/>
  <c r="O580" i="14"/>
  <c r="S580" i="14" s="1"/>
  <c r="Q807" i="14"/>
  <c r="O807" i="14"/>
  <c r="S807" i="14" s="1"/>
  <c r="Q1180" i="14"/>
  <c r="K1180" i="14"/>
  <c r="S1180" i="14" s="1"/>
  <c r="Q1162" i="14"/>
  <c r="K1162" i="14"/>
  <c r="S1162" i="14" s="1"/>
  <c r="M784" i="14"/>
  <c r="O784" i="14" s="1"/>
  <c r="S784" i="14" s="1"/>
  <c r="Q710" i="14"/>
  <c r="K710" i="14"/>
  <c r="S710" i="14" s="1"/>
  <c r="Q1068" i="14"/>
  <c r="K1068" i="14"/>
  <c r="R1068" i="14"/>
  <c r="O1068" i="14"/>
  <c r="S1068" i="14" s="1"/>
  <c r="Q580" i="14"/>
  <c r="Q583" i="14"/>
  <c r="K583" i="14"/>
  <c r="S583" i="14" s="1"/>
  <c r="Q859" i="14"/>
  <c r="O859" i="14"/>
  <c r="S859" i="14" s="1"/>
  <c r="Q657" i="14"/>
  <c r="K657" i="14"/>
  <c r="S657" i="14" s="1"/>
  <c r="O422" i="14"/>
  <c r="S422" i="14" s="1"/>
  <c r="Q540" i="14"/>
  <c r="K540" i="14"/>
  <c r="S540" i="14" s="1"/>
  <c r="O1067" i="14"/>
  <c r="Q1236" i="14"/>
  <c r="O1236" i="14"/>
  <c r="S1236" i="14" s="1"/>
  <c r="N395" i="14"/>
  <c r="R395" i="14" s="1"/>
  <c r="R396" i="14"/>
  <c r="M378" i="14"/>
  <c r="O385" i="14"/>
  <c r="S385" i="14" s="1"/>
  <c r="K1033" i="14"/>
  <c r="J508" i="14"/>
  <c r="E12" i="15" s="1"/>
  <c r="Q1579" i="14"/>
  <c r="N211" i="14"/>
  <c r="M1474" i="14"/>
  <c r="Q415" i="14"/>
  <c r="K415" i="14"/>
  <c r="S415" i="14" s="1"/>
  <c r="Q275" i="14"/>
  <c r="O275" i="14"/>
  <c r="S275" i="14" s="1"/>
  <c r="Q404" i="14"/>
  <c r="K404" i="14"/>
  <c r="S404" i="14" s="1"/>
  <c r="O304" i="14"/>
  <c r="S304" i="14" s="1"/>
  <c r="S238" i="14"/>
  <c r="Q353" i="14"/>
  <c r="K353" i="14"/>
  <c r="S353" i="14" s="1"/>
  <c r="N303" i="14"/>
  <c r="Q359" i="14"/>
  <c r="K359" i="14"/>
  <c r="S359" i="14" s="1"/>
  <c r="Q333" i="14"/>
  <c r="K333" i="14"/>
  <c r="S333" i="14" s="1"/>
  <c r="M323" i="14"/>
  <c r="O324" i="14"/>
  <c r="S324" i="14" s="1"/>
  <c r="M87" i="14"/>
  <c r="O87" i="14" s="1"/>
  <c r="Q251" i="14"/>
  <c r="O251" i="14"/>
  <c r="S251" i="14" s="1"/>
  <c r="M144" i="14"/>
  <c r="O144" i="14" s="1"/>
  <c r="S144" i="14" s="1"/>
  <c r="O150" i="14"/>
  <c r="S150" i="14" s="1"/>
  <c r="M44" i="14"/>
  <c r="O44" i="14" s="1"/>
  <c r="S44" i="14" s="1"/>
  <c r="O51" i="14"/>
  <c r="S51" i="14" s="1"/>
  <c r="Q75" i="14"/>
  <c r="K75" i="14"/>
  <c r="N117" i="14"/>
  <c r="Q229" i="14"/>
  <c r="K229" i="14"/>
  <c r="S229" i="14" s="1"/>
  <c r="N8" i="14"/>
  <c r="Q868" i="14"/>
  <c r="Q9" i="14"/>
  <c r="K9" i="14"/>
  <c r="S9" i="14" s="1"/>
  <c r="M132" i="14"/>
  <c r="O136" i="14"/>
  <c r="S136" i="14" s="1"/>
  <c r="I87" i="14"/>
  <c r="K87" i="14" s="1"/>
  <c r="K88" i="14"/>
  <c r="S88" i="14" s="1"/>
  <c r="Q183" i="14"/>
  <c r="O183" i="14"/>
  <c r="Q1475" i="14"/>
  <c r="Q125" i="14"/>
  <c r="O125" i="14"/>
  <c r="S125" i="14" s="1"/>
  <c r="M1456" i="14"/>
  <c r="O1456" i="14" s="1"/>
  <c r="S1456" i="14" s="1"/>
  <c r="Q150" i="14"/>
  <c r="Q1033" i="14"/>
  <c r="M270" i="14"/>
  <c r="Q324" i="14"/>
  <c r="I1643" i="14"/>
  <c r="Q1680" i="14"/>
  <c r="M1675" i="14"/>
  <c r="O1675" i="14" s="1"/>
  <c r="Q1840" i="14"/>
  <c r="I396" i="14"/>
  <c r="M1914" i="14"/>
  <c r="Q1915" i="14"/>
  <c r="I1812" i="14"/>
  <c r="K1812" i="14" s="1"/>
  <c r="Q1813" i="14"/>
  <c r="M395" i="14"/>
  <c r="M837" i="14"/>
  <c r="Q1668" i="14"/>
  <c r="M1658" i="14"/>
  <c r="O1658" i="14" s="1"/>
  <c r="S1658" i="14" s="1"/>
  <c r="Q1713" i="14"/>
  <c r="Q1558" i="14"/>
  <c r="Q1688" i="14"/>
  <c r="M1432" i="14"/>
  <c r="O1432" i="14" s="1"/>
  <c r="S1432" i="14" s="1"/>
  <c r="Q1442" i="14"/>
  <c r="I211" i="14"/>
  <c r="M1413" i="14"/>
  <c r="Q1418" i="14"/>
  <c r="I1533" i="14"/>
  <c r="I1067" i="14"/>
  <c r="Q88" i="14"/>
  <c r="Q1589" i="14"/>
  <c r="Q997" i="14"/>
  <c r="Q741" i="14"/>
  <c r="I735" i="14"/>
  <c r="K735" i="14" s="1"/>
  <c r="Q682" i="14"/>
  <c r="M669" i="14"/>
  <c r="O669" i="14" s="1"/>
  <c r="S669" i="14" s="1"/>
  <c r="Q422" i="14"/>
  <c r="M421" i="14"/>
  <c r="Q950" i="14"/>
  <c r="I939" i="14"/>
  <c r="I522" i="14"/>
  <c r="M1049" i="14"/>
  <c r="I323" i="14"/>
  <c r="I8" i="14"/>
  <c r="D6" i="15" s="1"/>
  <c r="Q163" i="14"/>
  <c r="Q238" i="14"/>
  <c r="Q178" i="14"/>
  <c r="I117" i="14"/>
  <c r="Q51" i="14"/>
  <c r="E255" i="13"/>
  <c r="G256" i="13"/>
  <c r="E345" i="13"/>
  <c r="G346" i="13"/>
  <c r="E22" i="13"/>
  <c r="G22" i="13" s="1"/>
  <c r="F314" i="13"/>
  <c r="F386" i="13" s="1"/>
  <c r="Q37" i="14"/>
  <c r="M30" i="14"/>
  <c r="S183" i="14" l="1"/>
  <c r="K117" i="14"/>
  <c r="S1773" i="14"/>
  <c r="R1837" i="14"/>
  <c r="O1837" i="14"/>
  <c r="S1688" i="14"/>
  <c r="S1840" i="14"/>
  <c r="F6" i="15"/>
  <c r="K1772" i="14"/>
  <c r="J1737" i="14"/>
  <c r="E16" i="15" s="1"/>
  <c r="E5" i="15" s="1"/>
  <c r="Q1739" i="14"/>
  <c r="O1739" i="14"/>
  <c r="S1739" i="14" s="1"/>
  <c r="M1738" i="14"/>
  <c r="S1915" i="14"/>
  <c r="S1675" i="14"/>
  <c r="O1772" i="14"/>
  <c r="R1772" i="14"/>
  <c r="R1739" i="14"/>
  <c r="N1738" i="14"/>
  <c r="N1631" i="14"/>
  <c r="R1643" i="14"/>
  <c r="S1506" i="14"/>
  <c r="K1533" i="14"/>
  <c r="O1644" i="14"/>
  <c r="S1644" i="14" s="1"/>
  <c r="Q1644" i="14"/>
  <c r="O1812" i="14"/>
  <c r="S1812" i="14" s="1"/>
  <c r="M1803" i="14"/>
  <c r="O1803" i="14" s="1"/>
  <c r="K1837" i="14"/>
  <c r="Q1837" i="14"/>
  <c r="O1568" i="14"/>
  <c r="S1568" i="14" s="1"/>
  <c r="M1533" i="14"/>
  <c r="R1915" i="14"/>
  <c r="N1914" i="14"/>
  <c r="O1914" i="14" s="1"/>
  <c r="K1914" i="14"/>
  <c r="D17" i="15"/>
  <c r="F17" i="15" s="1"/>
  <c r="R1533" i="14"/>
  <c r="I14" i="15"/>
  <c r="M14" i="15" s="1"/>
  <c r="R211" i="14"/>
  <c r="I9" i="15"/>
  <c r="M9" i="15" s="1"/>
  <c r="R303" i="14"/>
  <c r="I10" i="15"/>
  <c r="M10" i="15" s="1"/>
  <c r="R117" i="14"/>
  <c r="I8" i="15"/>
  <c r="M8" i="15" s="1"/>
  <c r="R8" i="14"/>
  <c r="I6" i="15"/>
  <c r="M6" i="15" s="1"/>
  <c r="G7" i="13"/>
  <c r="E314" i="13"/>
  <c r="F388" i="13"/>
  <c r="E4" i="15"/>
  <c r="B1490" i="14"/>
  <c r="B1491" i="14" s="1"/>
  <c r="B1492" i="14" s="1"/>
  <c r="B1493" i="14" s="1"/>
  <c r="B1494" i="14" s="1"/>
  <c r="B1495" i="14" s="1"/>
  <c r="B1496" i="14" s="1"/>
  <c r="B1497" i="14" s="1"/>
  <c r="B1498" i="14" s="1"/>
  <c r="B1499" i="14" s="1"/>
  <c r="B1500" i="14" s="1"/>
  <c r="B1501" i="14" s="1"/>
  <c r="B1502" i="14" s="1"/>
  <c r="B1503" i="14" s="1"/>
  <c r="B1504" i="14" s="1"/>
  <c r="B1505" i="14" s="1"/>
  <c r="B1506" i="14" s="1"/>
  <c r="B1507" i="14" s="1"/>
  <c r="B1508" i="14" s="1"/>
  <c r="B1509" i="14" s="1"/>
  <c r="B1510" i="14" s="1"/>
  <c r="B1511" i="14" s="1"/>
  <c r="B1512" i="14" s="1"/>
  <c r="B1513" i="14" s="1"/>
  <c r="B1514" i="14" s="1"/>
  <c r="B1515" i="14" s="1"/>
  <c r="B1516" i="14" s="1"/>
  <c r="B1517" i="14" s="1"/>
  <c r="B1518" i="14" s="1"/>
  <c r="B1519" i="14" s="1"/>
  <c r="B1520" i="14" s="1"/>
  <c r="B1521" i="14" s="1"/>
  <c r="B1522" i="14" s="1"/>
  <c r="B1523" i="14" s="1"/>
  <c r="N1405" i="14"/>
  <c r="R1451" i="14"/>
  <c r="Q1413" i="14"/>
  <c r="O1413" i="14"/>
  <c r="S1413" i="14" s="1"/>
  <c r="Q1568" i="14"/>
  <c r="I1631" i="14"/>
  <c r="K1643" i="14"/>
  <c r="Q1474" i="14"/>
  <c r="O1474" i="14"/>
  <c r="S1474" i="14" s="1"/>
  <c r="O378" i="14"/>
  <c r="S378" i="14" s="1"/>
  <c r="Q144" i="14"/>
  <c r="I1388" i="14"/>
  <c r="K1405" i="14"/>
  <c r="O1049" i="14"/>
  <c r="Q378" i="14"/>
  <c r="O421" i="14"/>
  <c r="S421" i="14" s="1"/>
  <c r="Q568" i="14"/>
  <c r="S1033" i="14"/>
  <c r="O939" i="14"/>
  <c r="N509" i="14"/>
  <c r="R522" i="14"/>
  <c r="N377" i="14"/>
  <c r="R421" i="14"/>
  <c r="O395" i="14"/>
  <c r="S568" i="14"/>
  <c r="Q784" i="14"/>
  <c r="B490" i="14"/>
  <c r="B491" i="14" s="1"/>
  <c r="B492" i="14" s="1"/>
  <c r="B493" i="14" s="1"/>
  <c r="B494" i="14" s="1"/>
  <c r="B495" i="14" s="1"/>
  <c r="B496" i="14" s="1"/>
  <c r="B497" i="14" s="1"/>
  <c r="B498" i="14" s="1"/>
  <c r="I509" i="14"/>
  <c r="K509" i="14" s="1"/>
  <c r="K522" i="14"/>
  <c r="Q939" i="14"/>
  <c r="K939" i="14"/>
  <c r="Q837" i="14"/>
  <c r="O837" i="14"/>
  <c r="S837" i="14" s="1"/>
  <c r="I1049" i="14"/>
  <c r="K1049" i="14" s="1"/>
  <c r="K1067" i="14"/>
  <c r="S1067" i="14" s="1"/>
  <c r="Q44" i="14"/>
  <c r="S87" i="14"/>
  <c r="Q396" i="14"/>
  <c r="K396" i="14"/>
  <c r="S396" i="14" s="1"/>
  <c r="M303" i="14"/>
  <c r="O323" i="14"/>
  <c r="H7" i="15"/>
  <c r="J7" i="15" s="1"/>
  <c r="M211" i="14"/>
  <c r="O211" i="14" s="1"/>
  <c r="O270" i="14"/>
  <c r="S270" i="14" s="1"/>
  <c r="I303" i="14"/>
  <c r="D10" i="15" s="1"/>
  <c r="F10" i="15" s="1"/>
  <c r="K323" i="14"/>
  <c r="Q132" i="14"/>
  <c r="O132" i="14"/>
  <c r="S132" i="14" s="1"/>
  <c r="Q87" i="14"/>
  <c r="Q270" i="14"/>
  <c r="D7" i="15"/>
  <c r="F7" i="15" s="1"/>
  <c r="D9" i="15"/>
  <c r="F9" i="15" s="1"/>
  <c r="K211" i="14"/>
  <c r="K8" i="14"/>
  <c r="S75" i="14"/>
  <c r="Q30" i="14"/>
  <c r="O30" i="14"/>
  <c r="S30" i="14" s="1"/>
  <c r="M121" i="14"/>
  <c r="Q1456" i="14"/>
  <c r="M1451" i="14"/>
  <c r="Q1067" i="14"/>
  <c r="I395" i="14"/>
  <c r="M1674" i="14"/>
  <c r="Q1675" i="14"/>
  <c r="Q1914" i="14"/>
  <c r="H17" i="15"/>
  <c r="M735" i="14"/>
  <c r="I1803" i="14"/>
  <c r="K1803" i="14" s="1"/>
  <c r="Q1812" i="14"/>
  <c r="Q1432" i="14"/>
  <c r="M1425" i="14"/>
  <c r="O1425" i="14" s="1"/>
  <c r="S1425" i="14" s="1"/>
  <c r="Q1658" i="14"/>
  <c r="M1643" i="14"/>
  <c r="O1643" i="14" s="1"/>
  <c r="Q669" i="14"/>
  <c r="M522" i="14"/>
  <c r="O522" i="14" s="1"/>
  <c r="D14" i="15"/>
  <c r="F14" i="15" s="1"/>
  <c r="Q421" i="14"/>
  <c r="M377" i="14"/>
  <c r="Q323" i="14"/>
  <c r="D8" i="15"/>
  <c r="F8" i="15" s="1"/>
  <c r="E344" i="13"/>
  <c r="G345" i="13"/>
  <c r="G255" i="13"/>
  <c r="M8" i="14"/>
  <c r="S1837" i="14" l="1"/>
  <c r="S1772" i="14"/>
  <c r="O377" i="14"/>
  <c r="M1737" i="14"/>
  <c r="H16" i="15" s="1"/>
  <c r="Q1738" i="14"/>
  <c r="S1914" i="14"/>
  <c r="S1049" i="14"/>
  <c r="S1803" i="14"/>
  <c r="R1738" i="14"/>
  <c r="O1738" i="14"/>
  <c r="S1738" i="14" s="1"/>
  <c r="N1737" i="14"/>
  <c r="H14" i="15"/>
  <c r="O1533" i="14"/>
  <c r="S1533" i="14" s="1"/>
  <c r="Q1533" i="14"/>
  <c r="R1631" i="14"/>
  <c r="N1630" i="14"/>
  <c r="N7" i="15"/>
  <c r="S1643" i="14"/>
  <c r="R1914" i="14"/>
  <c r="I17" i="15"/>
  <c r="E18" i="15"/>
  <c r="R377" i="14"/>
  <c r="I11" i="15"/>
  <c r="Q1674" i="14"/>
  <c r="O1674" i="14"/>
  <c r="S1674" i="14" s="1"/>
  <c r="L17" i="15"/>
  <c r="E386" i="13"/>
  <c r="G314" i="13"/>
  <c r="M4" i="15"/>
  <c r="Q1451" i="14"/>
  <c r="O1451" i="14"/>
  <c r="S1451" i="14" s="1"/>
  <c r="I1630" i="14"/>
  <c r="K1631" i="14"/>
  <c r="R1405" i="14"/>
  <c r="N1388" i="14"/>
  <c r="L7" i="15"/>
  <c r="K1388" i="14"/>
  <c r="D13" i="15"/>
  <c r="F13" i="15" s="1"/>
  <c r="S939" i="14"/>
  <c r="Q1049" i="14"/>
  <c r="Q735" i="14"/>
  <c r="O735" i="14"/>
  <c r="S735" i="14" s="1"/>
  <c r="I508" i="14"/>
  <c r="K508" i="14" s="1"/>
  <c r="Q211" i="14"/>
  <c r="R509" i="14"/>
  <c r="N508" i="14"/>
  <c r="S522" i="14"/>
  <c r="Q303" i="14"/>
  <c r="K303" i="14"/>
  <c r="S211" i="14"/>
  <c r="I377" i="14"/>
  <c r="K395" i="14"/>
  <c r="S395" i="14" s="1"/>
  <c r="S323" i="14"/>
  <c r="O303" i="14"/>
  <c r="H10" i="15"/>
  <c r="Q8" i="14"/>
  <c r="O8" i="14"/>
  <c r="S8" i="14" s="1"/>
  <c r="Q121" i="14"/>
  <c r="O121" i="14"/>
  <c r="S121" i="14" s="1"/>
  <c r="M117" i="14"/>
  <c r="H8" i="15" s="1"/>
  <c r="Q395" i="14"/>
  <c r="I1737" i="14"/>
  <c r="K1737" i="14" s="1"/>
  <c r="Q1803" i="14"/>
  <c r="Q1643" i="14"/>
  <c r="M1631" i="14"/>
  <c r="O1631" i="14" s="1"/>
  <c r="Q1425" i="14"/>
  <c r="M1405" i="14"/>
  <c r="O1405" i="14" s="1"/>
  <c r="S1405" i="14" s="1"/>
  <c r="Q522" i="14"/>
  <c r="M509" i="14"/>
  <c r="O509" i="14" s="1"/>
  <c r="S509" i="14" s="1"/>
  <c r="G344" i="13"/>
  <c r="E380" i="13"/>
  <c r="H11" i="15"/>
  <c r="H6" i="15"/>
  <c r="H9" i="15"/>
  <c r="M17" i="15" l="1"/>
  <c r="J17" i="15"/>
  <c r="N17" i="15" s="1"/>
  <c r="S1631" i="14"/>
  <c r="R1737" i="14"/>
  <c r="O1737" i="14"/>
  <c r="S1737" i="14" s="1"/>
  <c r="I16" i="15"/>
  <c r="J11" i="15"/>
  <c r="J14" i="15"/>
  <c r="N14" i="15" s="1"/>
  <c r="L14" i="15"/>
  <c r="I15" i="15"/>
  <c r="M15" i="15" s="1"/>
  <c r="R1630" i="14"/>
  <c r="M11" i="15"/>
  <c r="R1388" i="14"/>
  <c r="I13" i="15"/>
  <c r="M13" i="15" s="1"/>
  <c r="R508" i="14"/>
  <c r="I12" i="15"/>
  <c r="L10" i="15"/>
  <c r="J10" i="15"/>
  <c r="N10" i="15" s="1"/>
  <c r="L8" i="15"/>
  <c r="J8" i="15"/>
  <c r="N8" i="15" s="1"/>
  <c r="L6" i="15"/>
  <c r="J6" i="15"/>
  <c r="N6" i="15" s="1"/>
  <c r="L9" i="15"/>
  <c r="J9" i="15"/>
  <c r="N9" i="15" s="1"/>
  <c r="G386" i="13"/>
  <c r="D4" i="15"/>
  <c r="F4" i="15" s="1"/>
  <c r="K1630" i="14"/>
  <c r="D15" i="15"/>
  <c r="F15" i="15" s="1"/>
  <c r="S303" i="14"/>
  <c r="D12" i="15"/>
  <c r="F12" i="15" s="1"/>
  <c r="D11" i="15"/>
  <c r="K377" i="14"/>
  <c r="S377" i="14" s="1"/>
  <c r="Q377" i="14"/>
  <c r="Q117" i="14"/>
  <c r="O117" i="14"/>
  <c r="S117" i="14" s="1"/>
  <c r="Q1737" i="14"/>
  <c r="D16" i="15"/>
  <c r="Q1405" i="14"/>
  <c r="M1388" i="14"/>
  <c r="Q1631" i="14"/>
  <c r="M1630" i="14"/>
  <c r="O1630" i="14" s="1"/>
  <c r="M508" i="14"/>
  <c r="O508" i="14" s="1"/>
  <c r="S508" i="14" s="1"/>
  <c r="Q509" i="14"/>
  <c r="E387" i="13"/>
  <c r="G380" i="13"/>
  <c r="S1630" i="14" l="1"/>
  <c r="J16" i="15"/>
  <c r="M16" i="15"/>
  <c r="M12" i="15"/>
  <c r="I5" i="15"/>
  <c r="L11" i="15"/>
  <c r="F11" i="15"/>
  <c r="N11" i="15" s="1"/>
  <c r="L16" i="15"/>
  <c r="F16" i="15"/>
  <c r="Q1388" i="14"/>
  <c r="O1388" i="14"/>
  <c r="S1388" i="14" s="1"/>
  <c r="H13" i="15"/>
  <c r="D5" i="15"/>
  <c r="Q1630" i="14"/>
  <c r="H15" i="15"/>
  <c r="Q508" i="14"/>
  <c r="H12" i="15"/>
  <c r="H4" i="15"/>
  <c r="G387" i="13"/>
  <c r="E388" i="13"/>
  <c r="G388" i="13" s="1"/>
  <c r="N16" i="15" l="1"/>
  <c r="M5" i="15"/>
  <c r="M20" i="15" s="1"/>
  <c r="M43" i="15" s="1"/>
  <c r="I19" i="15"/>
  <c r="L13" i="15"/>
  <c r="J13" i="15"/>
  <c r="N13" i="15" s="1"/>
  <c r="D18" i="15"/>
  <c r="F18" i="15" s="1"/>
  <c r="F5" i="15"/>
  <c r="L15" i="15"/>
  <c r="J15" i="15"/>
  <c r="N15" i="15" s="1"/>
  <c r="L12" i="15"/>
  <c r="J12" i="15"/>
  <c r="N12" i="15" s="1"/>
  <c r="L4" i="15"/>
  <c r="J4" i="15"/>
  <c r="N4" i="15" s="1"/>
  <c r="H5" i="15"/>
  <c r="J5" i="15" s="1"/>
  <c r="N5" i="15" l="1"/>
  <c r="N20" i="15" s="1"/>
  <c r="H19" i="15"/>
  <c r="J19" i="15" s="1"/>
  <c r="L5" i="15"/>
  <c r="L20" i="15" l="1"/>
  <c r="L43" i="15" s="1"/>
  <c r="N43" i="15" s="1"/>
</calcChain>
</file>

<file path=xl/sharedStrings.xml><?xml version="1.0" encoding="utf-8"?>
<sst xmlns="http://schemas.openxmlformats.org/spreadsheetml/2006/main" count="3067" uniqueCount="757">
  <si>
    <t>Základná škola, Na dolinách 27, Trenčín</t>
  </si>
  <si>
    <t>Základná umelecká škola Karola Pádivého, Nám. SNP 2, Trenčín</t>
  </si>
  <si>
    <t>KC Kubra</t>
  </si>
  <si>
    <t>Kapitálové transfery</t>
  </si>
  <si>
    <t>Základná škola, Kubranská 80, Trenčín</t>
  </si>
  <si>
    <t>Základná škola, Veľkomoravská 12, Trenčín</t>
  </si>
  <si>
    <t>Základná škola, Hodžova 37, Trenčín</t>
  </si>
  <si>
    <t>Základná škola, Ul. L. Novomeského 11, Trenčín</t>
  </si>
  <si>
    <t>Materská škola, Šafárikova 11, Trenčín</t>
  </si>
  <si>
    <t>DHZ Záblatie</t>
  </si>
  <si>
    <t>DHZ Opatová</t>
  </si>
  <si>
    <t>Mestské hospodárstvo a správa lesov, m.r.o, Trenčín</t>
  </si>
  <si>
    <t>Základná škola, Východná 9, Trenčín</t>
  </si>
  <si>
    <t>Dotácie na mládež</t>
  </si>
  <si>
    <t>Príspevok obyvateľovi mesta na sociálnu službu</t>
  </si>
  <si>
    <t>PROGRAM   2: PROPAGÁCIA A CESTOVNÝ RUCH</t>
  </si>
  <si>
    <t>PROGRAM   3: INTERNÉ SLUŽBY MESTA</t>
  </si>
  <si>
    <t>PROGRAM   4: SLUŽBY OBČANOM</t>
  </si>
  <si>
    <t>PROGRAM   5: Bezpečnosť</t>
  </si>
  <si>
    <t>PROGRAM   6: DOPRAVA</t>
  </si>
  <si>
    <t>PROGRAM   7: Vzdelávanie</t>
  </si>
  <si>
    <t>PROGRAM   9: KULTÚRA</t>
  </si>
  <si>
    <t>PROGRAM  10: ŽIVOTNÉ PROSTREDIE</t>
  </si>
  <si>
    <t>PROGRAM  11: SOCIÁLNE SLUŽBY</t>
  </si>
  <si>
    <t>PROGRAM  12: ROZVOJ MESTA</t>
  </si>
  <si>
    <t>Program   1: MANAŽMENT a PLÁNOVANIE</t>
  </si>
  <si>
    <t>Program   2: PROPAGÁCIA A CESTOVNÝ RUCH</t>
  </si>
  <si>
    <t>Program   3: INTERNÉ SLUŽBY MESTA</t>
  </si>
  <si>
    <t>Program   4: SLUŽBY OBČANOM</t>
  </si>
  <si>
    <t>Program   6: DOPRAVA</t>
  </si>
  <si>
    <t>Program   9: KULTÚRA</t>
  </si>
  <si>
    <t>Program  10: ŽIVOTNÉ PROSTREDIE</t>
  </si>
  <si>
    <t>Program  11: SOCIÁLNE SLUŽBY</t>
  </si>
  <si>
    <t>Program  12: ROZVOJ MESTA</t>
  </si>
  <si>
    <t>Prebytok bežného rozpočtu</t>
  </si>
  <si>
    <t>P r í j m y</t>
  </si>
  <si>
    <t>Výsledok hospodárenia</t>
  </si>
  <si>
    <t>PROGRAM   1: MANAŽMENT a PLÁNOVANIE</t>
  </si>
  <si>
    <t>Mesto Trenčín</t>
  </si>
  <si>
    <t>Bežné príjmy</t>
  </si>
  <si>
    <t>Kapitálové príjmy spolu</t>
  </si>
  <si>
    <t>PRÍJMY Spolu</t>
  </si>
  <si>
    <t>Miestne médiá</t>
  </si>
  <si>
    <t>Fontány</t>
  </si>
  <si>
    <t>Verejné toalety</t>
  </si>
  <si>
    <t>Správa a údržba pozem.komunikácií</t>
  </si>
  <si>
    <t>Stredisko Soblahov</t>
  </si>
  <si>
    <t>Krytá plaváreň</t>
  </si>
  <si>
    <t>Stredisko Brezina</t>
  </si>
  <si>
    <t>CVČ Trenčín</t>
  </si>
  <si>
    <t>09603</t>
  </si>
  <si>
    <t>0980</t>
  </si>
  <si>
    <t>Terénna opatr. služba SSMT</t>
  </si>
  <si>
    <t>1070</t>
  </si>
  <si>
    <t>JDSP</t>
  </si>
  <si>
    <t>Za porušenie predpisov</t>
  </si>
  <si>
    <t>Nocľaháreň</t>
  </si>
  <si>
    <t>Podporná činnosť</t>
  </si>
  <si>
    <t>Nákup budov, objektov alebo ich častí</t>
  </si>
  <si>
    <t>Zariadenie pre seniorov</t>
  </si>
  <si>
    <t>Životné prostredie</t>
  </si>
  <si>
    <t>MŠ Opatovská</t>
  </si>
  <si>
    <t>1090</t>
  </si>
  <si>
    <t>Príspevky neštátnym subjektom</t>
  </si>
  <si>
    <t>Karanténna stanica</t>
  </si>
  <si>
    <t>MŠ Považská</t>
  </si>
  <si>
    <t>MŠ Švermova</t>
  </si>
  <si>
    <t>MŠ Kubranská</t>
  </si>
  <si>
    <t>MŠ Medňanského</t>
  </si>
  <si>
    <t>MŠ 28.októbra</t>
  </si>
  <si>
    <t>Za školy a školské zariadenia</t>
  </si>
  <si>
    <t>Za stravné</t>
  </si>
  <si>
    <t>Detské jasle</t>
  </si>
  <si>
    <t>Manažment SSMT</t>
  </si>
  <si>
    <t>0111</t>
  </si>
  <si>
    <t>0820</t>
  </si>
  <si>
    <t>1040</t>
  </si>
  <si>
    <t>1012</t>
  </si>
  <si>
    <t>1020</t>
  </si>
  <si>
    <t>Implementácia projektov EU</t>
  </si>
  <si>
    <t>09602</t>
  </si>
  <si>
    <t>71 44</t>
  </si>
  <si>
    <t>Školské zariadenia mesta Trenčína, m.r.o.</t>
  </si>
  <si>
    <t>71 42</t>
  </si>
  <si>
    <t>MŠ Šmidkeho</t>
  </si>
  <si>
    <t>71 39</t>
  </si>
  <si>
    <t>71 53</t>
  </si>
  <si>
    <t>78 72</t>
  </si>
  <si>
    <t>ŠJ Šafárikova</t>
  </si>
  <si>
    <t>71 38</t>
  </si>
  <si>
    <t>71 37</t>
  </si>
  <si>
    <t>71 51</t>
  </si>
  <si>
    <t>MŠ Pri Parku</t>
  </si>
  <si>
    <t>71 40</t>
  </si>
  <si>
    <t>71 47</t>
  </si>
  <si>
    <t>71 41</t>
  </si>
  <si>
    <t>MŠ  Soblahovská</t>
  </si>
  <si>
    <t>71 49</t>
  </si>
  <si>
    <t>71 46</t>
  </si>
  <si>
    <t>71 45</t>
  </si>
  <si>
    <t>MŠ Stromová</t>
  </si>
  <si>
    <t>71 57</t>
  </si>
  <si>
    <t>71 58</t>
  </si>
  <si>
    <t>MŠ Na dolinách</t>
  </si>
  <si>
    <t>Sociálne služby mesta Trenčín, m.r.o.</t>
  </si>
  <si>
    <t>Prepravná služba</t>
  </si>
  <si>
    <t>09211</t>
  </si>
  <si>
    <t>F I N A N Č N É   O P E R Á C I E</t>
  </si>
  <si>
    <t xml:space="preserve"> </t>
  </si>
  <si>
    <t>príjem</t>
  </si>
  <si>
    <t>podpoložka</t>
  </si>
  <si>
    <t>Bežné príjmy spolu</t>
  </si>
  <si>
    <t>PP</t>
  </si>
  <si>
    <t>P/P</t>
  </si>
  <si>
    <t>FK</t>
  </si>
  <si>
    <t>EK</t>
  </si>
  <si>
    <t>ukazovateľ</t>
  </si>
  <si>
    <t>09121</t>
  </si>
  <si>
    <t>Politika vzdelávania</t>
  </si>
  <si>
    <t>Tovary a služby</t>
  </si>
  <si>
    <t>Služby</t>
  </si>
  <si>
    <t>Školský úrad</t>
  </si>
  <si>
    <t>Poistné a príspevok do poisťovní</t>
  </si>
  <si>
    <t>Materiál</t>
  </si>
  <si>
    <t>Nájomné za nájom</t>
  </si>
  <si>
    <t>Cestovné náhrady</t>
  </si>
  <si>
    <t>Odmeňovanie učiteľov</t>
  </si>
  <si>
    <t>Bežné transfery</t>
  </si>
  <si>
    <t>Transfery jednotlivcom a neziskovým právnickým osobám</t>
  </si>
  <si>
    <t>Dopravné</t>
  </si>
  <si>
    <t>Rutinná a štandardná údržba</t>
  </si>
  <si>
    <t>Energie, voda a komunikácie</t>
  </si>
  <si>
    <t>Mestský informačný systém</t>
  </si>
  <si>
    <t>Strategické plánovanie mesta</t>
  </si>
  <si>
    <t>Podpora kultúrnych stredísk</t>
  </si>
  <si>
    <t>0510</t>
  </si>
  <si>
    <t>Zvoz a odvoz odpadu</t>
  </si>
  <si>
    <t>Odpadové hospodárstvo</t>
  </si>
  <si>
    <t>Nebytové priestory</t>
  </si>
  <si>
    <t>Hospodárska správa a evidencia majetku mesta</t>
  </si>
  <si>
    <t>Právne služby</t>
  </si>
  <si>
    <t>0840</t>
  </si>
  <si>
    <t>Cintorínske a pohrebné služby</t>
  </si>
  <si>
    <t>0320</t>
  </si>
  <si>
    <t>Ochrana pred požiarmi</t>
  </si>
  <si>
    <t>Hnuteľný majetok</t>
  </si>
  <si>
    <t>Preventívna ochrana zamestnancov</t>
  </si>
  <si>
    <t>0310</t>
  </si>
  <si>
    <t>Zabezpečovanie verejného poriadku</t>
  </si>
  <si>
    <t>Činnosť a prevádzka mestského úradu</t>
  </si>
  <si>
    <t>0660</t>
  </si>
  <si>
    <t>Správa bytového fondu</t>
  </si>
  <si>
    <t>Bývanie</t>
  </si>
  <si>
    <t>0220</t>
  </si>
  <si>
    <t>Civilná ochrana</t>
  </si>
  <si>
    <t>0950</t>
  </si>
  <si>
    <t>Voľnočasové vzdelávanie</t>
  </si>
  <si>
    <t>09601</t>
  </si>
  <si>
    <t>Školské jedálne</t>
  </si>
  <si>
    <t>Nedaňové príjmy</t>
  </si>
  <si>
    <t>Kapitálové príjmy</t>
  </si>
  <si>
    <t>Z predaja pozemkov</t>
  </si>
  <si>
    <t>Z vkladov</t>
  </si>
  <si>
    <t>Úroky z domácich úverov, pôžičiek a vkladov</t>
  </si>
  <si>
    <t>Z náhrad z poistného plnenia</t>
  </si>
  <si>
    <t>Iné nedaňové príjmy</t>
  </si>
  <si>
    <t>Klientske centrum</t>
  </si>
  <si>
    <t>Organizácia kultúrnych podujatí</t>
  </si>
  <si>
    <t>Rodinné prídavky</t>
  </si>
  <si>
    <t>Obnova rodinných pomerov</t>
  </si>
  <si>
    <t>Prepravná služba SSMT</t>
  </si>
  <si>
    <t>Obstarávanie kapitálových aktív</t>
  </si>
  <si>
    <t>Nákup dopravných prostriedkov všetkých druhov</t>
  </si>
  <si>
    <t>Podpora seniorov</t>
  </si>
  <si>
    <t>Zabezpečovanie volieb</t>
  </si>
  <si>
    <t>0810</t>
  </si>
  <si>
    <t>Organizácia občianskych obradov</t>
  </si>
  <si>
    <t>Základné školy</t>
  </si>
  <si>
    <t>Realizácia stavieb a ich technického zhodnotenia</t>
  </si>
  <si>
    <t>0133</t>
  </si>
  <si>
    <t>Činnosť matriky</t>
  </si>
  <si>
    <t>0610</t>
  </si>
  <si>
    <t>Štátny fond rozvoja bývania</t>
  </si>
  <si>
    <t>09111</t>
  </si>
  <si>
    <t>Materské školy</t>
  </si>
  <si>
    <t>Zasadnutia orgánov mesta</t>
  </si>
  <si>
    <t>Manažment mesta</t>
  </si>
  <si>
    <t>Prevádzka a údržba budov</t>
  </si>
  <si>
    <t>0620</t>
  </si>
  <si>
    <t>Verejná zeleň</t>
  </si>
  <si>
    <t>Pochovanie občana</t>
  </si>
  <si>
    <t>Prezentácia mesta</t>
  </si>
  <si>
    <t>MŠ Niva</t>
  </si>
  <si>
    <t>Športová Hala</t>
  </si>
  <si>
    <t>Športová infraštruktúra</t>
  </si>
  <si>
    <t>Futbalový štadión</t>
  </si>
  <si>
    <t>Zimný štadión</t>
  </si>
  <si>
    <t>Plavárne</t>
  </si>
  <si>
    <t>0443</t>
  </si>
  <si>
    <t>Územné plánovanie mesta</t>
  </si>
  <si>
    <t>Výkon funkcie primátora</t>
  </si>
  <si>
    <t>0640</t>
  </si>
  <si>
    <t>Verejné osvetlenie</t>
  </si>
  <si>
    <t>Pozemky</t>
  </si>
  <si>
    <t>0170</t>
  </si>
  <si>
    <t>Nákup pozemkov a nehmotných aktív</t>
  </si>
  <si>
    <t>Administratívne a iné poplatky a platby</t>
  </si>
  <si>
    <t>Ostatné poplatky</t>
  </si>
  <si>
    <t>Granty</t>
  </si>
  <si>
    <t>Granty a transfery</t>
  </si>
  <si>
    <t>Tuzemské bežné granty a transfery</t>
  </si>
  <si>
    <t>Prípravná a projektová dokumentácia</t>
  </si>
  <si>
    <t>Prevádzka mestských trhovísk</t>
  </si>
  <si>
    <t>Ostatné kapitálové výdavky</t>
  </si>
  <si>
    <t>0830</t>
  </si>
  <si>
    <t>Nákup strojov, prístrojov, zariadení, techniky a náradia</t>
  </si>
  <si>
    <t>0451</t>
  </si>
  <si>
    <t>Z dobropisov</t>
  </si>
  <si>
    <t>Z vratiek</t>
  </si>
  <si>
    <t>Z refundácie</t>
  </si>
  <si>
    <t>Zo štátneho rozpočtu okrem transferu na úhradu nákladov preneseného výkonu štátnej správy</t>
  </si>
  <si>
    <t>Zo štátneho rozpočtu na úhradu nákladov preneseného výkonu štátnej správy</t>
  </si>
  <si>
    <t>Výstavba a rekonštrukcia pozemných kom.</t>
  </si>
  <si>
    <t>MŠ Legionárska</t>
  </si>
  <si>
    <t>Podpora športových podujatí</t>
  </si>
  <si>
    <t>Podpora kultúrnych podujatí a činností</t>
  </si>
  <si>
    <t>ZOS SSMT</t>
  </si>
  <si>
    <t>Kamerový systém mesta</t>
  </si>
  <si>
    <t>0422</t>
  </si>
  <si>
    <t>Výkon funkcie zástupcu primátora</t>
  </si>
  <si>
    <t>Výkon funkcie prednostu</t>
  </si>
  <si>
    <t>KC Aktivity</t>
  </si>
  <si>
    <t>Príjmy z podnikania a z vlastníctva majetku</t>
  </si>
  <si>
    <t>Z prenajatých budov, priestorov a objektov</t>
  </si>
  <si>
    <t>Z prenajatých strojov, prístrojov, zariadení, techniky a náradia</t>
  </si>
  <si>
    <t>Za predaj výrobkov, tovarov a služieb</t>
  </si>
  <si>
    <t>Zneškodňovanie odpadu</t>
  </si>
  <si>
    <t>0560</t>
  </si>
  <si>
    <t>Ochrana prostredie pre život</t>
  </si>
  <si>
    <t>0473</t>
  </si>
  <si>
    <t>Cestovný ruch</t>
  </si>
  <si>
    <t>0112</t>
  </si>
  <si>
    <t>Daň. a rozp.agenda mesta a účtov.</t>
  </si>
  <si>
    <t>Autodoprava</t>
  </si>
  <si>
    <t>Mobilná ľadová plocha</t>
  </si>
  <si>
    <t>Výnos dane z príjmov poukázaný územnej samospráve</t>
  </si>
  <si>
    <t>Daňové príjmy</t>
  </si>
  <si>
    <t>Dane z príjmov a kapitálového majetku</t>
  </si>
  <si>
    <t>Z pozemkov</t>
  </si>
  <si>
    <t>Dane z majetku</t>
  </si>
  <si>
    <t>Zo stavieb</t>
  </si>
  <si>
    <t>Z bytov a nebytových priestorov v bytovom dome</t>
  </si>
  <si>
    <t>Dane za tovary a služby</t>
  </si>
  <si>
    <t>Z prenajatých pozemkov</t>
  </si>
  <si>
    <t>Vzdelávanie zamestnancov</t>
  </si>
  <si>
    <t>Stavebný úrad</t>
  </si>
  <si>
    <t>Vojnové hroby</t>
  </si>
  <si>
    <t>Tuzemské kapitálové granty a transfery</t>
  </si>
  <si>
    <t>Zo štátneho rozpočtu</t>
  </si>
  <si>
    <t>Členstvo v samosp. org. a združ.</t>
  </si>
  <si>
    <t>Grantový program</t>
  </si>
  <si>
    <t>Správa a údržba pozemných komunikácií a parkovísk</t>
  </si>
  <si>
    <t>Detské ihriská a oddychové zóny</t>
  </si>
  <si>
    <t>Mestské divadlo Trenčín o.z. - činnosť</t>
  </si>
  <si>
    <t>Nízkoprahové denné centrum</t>
  </si>
  <si>
    <t>Krízová intervencia</t>
  </si>
  <si>
    <t>ESF projekt</t>
  </si>
  <si>
    <t>Skatepark</t>
  </si>
  <si>
    <t>Transfery nefinančným subjektom</t>
  </si>
  <si>
    <t>Polopodzemné kontajnery</t>
  </si>
  <si>
    <t>ŠJ HEES súkromné stravovacie zariadenie</t>
  </si>
  <si>
    <t>Zahraničné granty</t>
  </si>
  <si>
    <t>Statická doprava ul. Veľkomoravská</t>
  </si>
  <si>
    <t>Zo štátneho účelového fondu</t>
  </si>
  <si>
    <t>Enviromentálny fond</t>
  </si>
  <si>
    <t>Evidencia obyvateľstva</t>
  </si>
  <si>
    <t>Matrika</t>
  </si>
  <si>
    <t>Školstvo - prenesené kompetencie</t>
  </si>
  <si>
    <t>Základná škola, Bezručova 66, Trenčín</t>
  </si>
  <si>
    <t>FPP pre neverejných PoSS</t>
  </si>
  <si>
    <t>Základná škola, Dlhé Hony 1, Trenčín</t>
  </si>
  <si>
    <t>Podpora opatrovateliek</t>
  </si>
  <si>
    <t>Rozšírenie kamerového systému</t>
  </si>
  <si>
    <t>JUŽANIA - RC Južanček o.z. - dotácia na sociálnu pomoc pre občanov mesta</t>
  </si>
  <si>
    <t>SŠKD pri SZŠ pre žiakov s autizmom</t>
  </si>
  <si>
    <t>ŠJ pri SZŠ pre žiakov s autizmom</t>
  </si>
  <si>
    <t>Záchytné parkoviská Biskupice</t>
  </si>
  <si>
    <t>Záchytné parkovisko Pred Poľom</t>
  </si>
  <si>
    <t>Ul.Jilemnického a Jesenského - prepojenie pre peších</t>
  </si>
  <si>
    <t>Priechod pre chodcov Ul.Dolné Pažite (podsvietený,nadsvietený)</t>
  </si>
  <si>
    <t>Revitalizácia vnútrobloku Bazovského, Šafárikova, Liptovská</t>
  </si>
  <si>
    <t>Príjmy spolu</t>
  </si>
  <si>
    <t>Daň za psa</t>
  </si>
  <si>
    <t>Daň za ubytovanie</t>
  </si>
  <si>
    <t>Daň za užívanie verejného priestranstva</t>
  </si>
  <si>
    <t>Poplatok za komunálne odpady a drobné stavebné odpady</t>
  </si>
  <si>
    <t>Daň z nehnuteľností, z toho:</t>
  </si>
  <si>
    <t>Z parkovného</t>
  </si>
  <si>
    <t>Z činnosti Kultúrno - informačného centra</t>
  </si>
  <si>
    <t>Iné príjmy</t>
  </si>
  <si>
    <t>Ekonomická klasif.</t>
  </si>
  <si>
    <t>Správa Školských zariadení mesta Trenčín m.r.o.</t>
  </si>
  <si>
    <t>Za stravné v materskej škole</t>
  </si>
  <si>
    <t>Za stravné v detských jasliach</t>
  </si>
  <si>
    <t>Za stravné zamestnanci</t>
  </si>
  <si>
    <t>Za predaj výrobkov, tovarov a služieb - ubytovanie</t>
  </si>
  <si>
    <t xml:space="preserve">Nocľaháreň  </t>
  </si>
  <si>
    <t>Za predaj výrobkov, tovarov a služieb - odborné činnosti</t>
  </si>
  <si>
    <t>Za predaj výrobkov, tovarov a služieb - stravovanie</t>
  </si>
  <si>
    <t>Zariadenie opatrovateľske služby - 24 hod starostlivosť</t>
  </si>
  <si>
    <t>Za predaj výrobkov, tovarov a služieb - staroba</t>
  </si>
  <si>
    <t>Rozvoz stravy</t>
  </si>
  <si>
    <t xml:space="preserve">Opatrovateľská služba  </t>
  </si>
  <si>
    <t>Dotácia na sociálne zabezpečenie</t>
  </si>
  <si>
    <t>Dotácia v oblasti bývania (ŠFRB)</t>
  </si>
  <si>
    <t>Dotácia z Dobrovoľnej požiarnej ochrany</t>
  </si>
  <si>
    <t>Súťaže zo ŠR</t>
  </si>
  <si>
    <t>Strava pre deti v hmotnej núdzi ( vr.obedov zadarmo)</t>
  </si>
  <si>
    <t>Územnoplánovacie podklady a dokumentácie, zmeny a doplnky ÚPN</t>
  </si>
  <si>
    <t>Členské do OOCR</t>
  </si>
  <si>
    <t xml:space="preserve">Nákup objektov   </t>
  </si>
  <si>
    <t>Nákup pozemkov</t>
  </si>
  <si>
    <t>Softvér</t>
  </si>
  <si>
    <t>Hardvér</t>
  </si>
  <si>
    <t>Maják na auto</t>
  </si>
  <si>
    <t>Osobné motorové vozidlo</t>
  </si>
  <si>
    <t>Kolomaž o.z. - Sám na javisku</t>
  </si>
  <si>
    <t>Pohoda Festival s.r.o. - Festival Pohoda</t>
  </si>
  <si>
    <t>Stredisko Soblahov a Brezina</t>
  </si>
  <si>
    <t>Poradensko - bytové problémy</t>
  </si>
  <si>
    <t>Dotácie</t>
  </si>
  <si>
    <t>Zabezpečenie činnosti KIC</t>
  </si>
  <si>
    <t>Gratový program</t>
  </si>
  <si>
    <t>Príjmy</t>
  </si>
  <si>
    <t>Výdavky</t>
  </si>
  <si>
    <t>453: Nevyčerpané dotácie z predchádzajúcich rokov</t>
  </si>
  <si>
    <t>513: Prijatie dlhodobého úveru</t>
  </si>
  <si>
    <t>821: Splácanie istiny z dlhodobých bankových úverov</t>
  </si>
  <si>
    <t>821: ŠFRB - splácanie istiny</t>
  </si>
  <si>
    <t>Tovary a služby (INFO)</t>
  </si>
  <si>
    <t>Cyklotrasy</t>
  </si>
  <si>
    <t>Horyzonty o.z. - Horyzonty</t>
  </si>
  <si>
    <t>LampART - Filmsquare</t>
  </si>
  <si>
    <t>OZ Trenčiansky ÚTULOK - dotácia na prevádzku a činnosť</t>
  </si>
  <si>
    <t>Rodina a deti</t>
  </si>
  <si>
    <t>Denné centrum Sihoť</t>
  </si>
  <si>
    <t>Autobusová doprava</t>
  </si>
  <si>
    <t xml:space="preserve">Príspevok pri osamostatnení </t>
  </si>
  <si>
    <t xml:space="preserve">Dotácie na šport </t>
  </si>
  <si>
    <t>ŠJ pri Piaristickom gymnáziu J.Braneckého</t>
  </si>
  <si>
    <t>ŠJ pri ZŠ s MŠ sv. Andreja - Svorada a Benedikta</t>
  </si>
  <si>
    <t>ŠJ pri SZŠ FUTURUM</t>
  </si>
  <si>
    <t>ŠJ pri S Gymnáziu FUTURUM</t>
  </si>
  <si>
    <t>CVČ pri ZŠ a MŠ sv. Andreja - Svorada a Benedikta</t>
  </si>
  <si>
    <t>ŠKD pri ZŠ a MŠ sv. Andreja - Svorada a Benedikta</t>
  </si>
  <si>
    <t>SŠKD FUTURUM pri SZŠ Futurum</t>
  </si>
  <si>
    <t>SZUŠ Gagarinova 7</t>
  </si>
  <si>
    <t>SZUŠ ul. Novomeského 11</t>
  </si>
  <si>
    <t>SZUŠ Stromová 1</t>
  </si>
  <si>
    <t>SZUŠ, Mládežnícka 1</t>
  </si>
  <si>
    <t>Hospic milosrdných sestier - dotácia na činnosť</t>
  </si>
  <si>
    <t>Centrum pre rodinu o.z. - dotácia na činnosť</t>
  </si>
  <si>
    <t>Správa a údržba pozemných komunikácií</t>
  </si>
  <si>
    <t>Statická doprava</t>
  </si>
  <si>
    <t>Letné kúpalisko</t>
  </si>
  <si>
    <t>Za odborné činnosti</t>
  </si>
  <si>
    <t>Vianočné osvetlenie</t>
  </si>
  <si>
    <t>Príprava rozpočtov</t>
  </si>
  <si>
    <t>Projektové dokumentácie pre projekty EÚ</t>
  </si>
  <si>
    <t>Nový cintorín</t>
  </si>
  <si>
    <t>Nová preložka Chynoranská trať</t>
  </si>
  <si>
    <t>Nový priechod pre chodcov M.Bela</t>
  </si>
  <si>
    <t>Európske hlavné mesto kultúry 2026</t>
  </si>
  <si>
    <t>Normotvorná činnosť mesta</t>
  </si>
  <si>
    <t>Komunikácia s verej.inštitúciami v mene mesta</t>
  </si>
  <si>
    <t>Kontrola činnosti samosprávy</t>
  </si>
  <si>
    <t>Most Orechové</t>
  </si>
  <si>
    <t>PROGRAM   8: ŠPORT A ODDYCH</t>
  </si>
  <si>
    <t>Program   8: ŠPORT A ODDYCH</t>
  </si>
  <si>
    <t>Program   7: VZDELÁVANIE</t>
  </si>
  <si>
    <t>Program   5: BEZPEČNOSŤ</t>
  </si>
  <si>
    <t>Priemyselná práčka</t>
  </si>
  <si>
    <t>Sociálny šatník</t>
  </si>
  <si>
    <t>Z činnosti CKKP Hviezda</t>
  </si>
  <si>
    <t>0721</t>
  </si>
  <si>
    <t>Verejné osvetlenie - rekonštrukcia</t>
  </si>
  <si>
    <t>Chodník + ostrovček na Kamenci (Vinohrady)</t>
  </si>
  <si>
    <t>Križovatka pod Juhom s napojením na nový most</t>
  </si>
  <si>
    <t>Priechod pre chodcov - Legionárska CSS</t>
  </si>
  <si>
    <t>Priechod pre chodcov - Zimný štadión CSS</t>
  </si>
  <si>
    <t>Priechod pre chodcov - Zlatovská CSS</t>
  </si>
  <si>
    <t>Saratovská - Partizánska - prepojenie</t>
  </si>
  <si>
    <t>Ul. 28. októbra</t>
  </si>
  <si>
    <t>Podchod pri hoteli Elizabeth</t>
  </si>
  <si>
    <t>Z prenájmov - Hviezda</t>
  </si>
  <si>
    <t>Kreatívny inštitút Trenčín, n.o. - dotácia na kapitálové výdavky</t>
  </si>
  <si>
    <t>Detašované pracoviská Denného centra Sihoť</t>
  </si>
  <si>
    <t>Rekonštrukcia nájomného bytu</t>
  </si>
  <si>
    <t>Rekonštrukcia predného výťahu</t>
  </si>
  <si>
    <t>Splácanie úrokov a ostatné platby súvisiace s úverom</t>
  </si>
  <si>
    <t>Z termínovaných vkladov</t>
  </si>
  <si>
    <t>Župný dom - posudky a výskumy</t>
  </si>
  <si>
    <t>Priechod pri Merkury markete</t>
  </si>
  <si>
    <t>Trenčiansky luh - revitalizácia Rekreačno - vzdelávacej zóny</t>
  </si>
  <si>
    <t xml:space="preserve">Park Zlatovce   </t>
  </si>
  <si>
    <t>Schodok kapitálového rozpočtu</t>
  </si>
  <si>
    <t>Schodok rozpočtu spolu</t>
  </si>
  <si>
    <t>Stravovanie žiakov</t>
  </si>
  <si>
    <t>Projekt Mobilities</t>
  </si>
  <si>
    <t>Traktorová kosačka</t>
  </si>
  <si>
    <t>Dotácie na výnimočné akcie (projekty)</t>
  </si>
  <si>
    <t>Dotácie na šport (činnosť)</t>
  </si>
  <si>
    <t>Inštitút participácie</t>
  </si>
  <si>
    <t>454: Prevod z rezervného fondu  - Most Orechové</t>
  </si>
  <si>
    <t>Poplatok za rozvoj</t>
  </si>
  <si>
    <t>Z predaja bytov</t>
  </si>
  <si>
    <t>Interiéry Zelený most - ulica (Fiesta)</t>
  </si>
  <si>
    <t>Komunitné centrum Dlhé Hony</t>
  </si>
  <si>
    <t>Komunitné centrum Dlhé Hony - vybavenie</t>
  </si>
  <si>
    <t>Pontóny na Váhu</t>
  </si>
  <si>
    <t>Regenerácia vnútrobloku Opávia na Beckovskej ulici v Trenčíne</t>
  </si>
  <si>
    <t>Revitalizácia Hviezdoslavovej ulice</t>
  </si>
  <si>
    <t>Revitaliácia ulice 1.mája</t>
  </si>
  <si>
    <t>Zelený most  - ulica (Fiesta)</t>
  </si>
  <si>
    <t>Nákup pozemkov pre Opatovský cintorín</t>
  </si>
  <si>
    <t>Autobusové prístrešky Hanzlíkovská</t>
  </si>
  <si>
    <t xml:space="preserve">MŠ Novomeského </t>
  </si>
  <si>
    <t>Revitalizácia vnútrobloku sídlisko Kvetná</t>
  </si>
  <si>
    <t>Vnútroblok Nábrežná a Študentská</t>
  </si>
  <si>
    <t>Revitalizácia ulice 1.mája</t>
  </si>
  <si>
    <t>Zelený most - ulica (Fiesta)</t>
  </si>
  <si>
    <t>Kolomaž o.z. - Klub Lúč</t>
  </si>
  <si>
    <t>Klub priateľov vážnej hudby - Hudba pod hradom - jar, jeseň</t>
  </si>
  <si>
    <t xml:space="preserve">Komunitné centrum Dlhé Hony </t>
  </si>
  <si>
    <t>Revitalizácia ihriska a areálu KC Aktivity</t>
  </si>
  <si>
    <t>Kreatívny inštitút Trenčín n.o. - príspevok na správu a programové aktivity</t>
  </si>
  <si>
    <t>Materské centrum Srdiečko - dotácia na prevádzku</t>
  </si>
  <si>
    <t>Finančné prostriedky z Finančného mechanizmu EHP a Nórskeho finančného mechanizmu</t>
  </si>
  <si>
    <t>Projekt Making City</t>
  </si>
  <si>
    <t>Obnova bočného vstupu na cintorín</t>
  </si>
  <si>
    <t>Cyklotrasa Trenčín - Trenčianska Turná</t>
  </si>
  <si>
    <t>Nozdrkovce - cesta a chodníky</t>
  </si>
  <si>
    <t>Riešenie križovatky ul. Partizánska pri židovskom cintoríne</t>
  </si>
  <si>
    <t>Slnečné námestie</t>
  </si>
  <si>
    <t>Ihrisko a objekt zázemia v Parku Gen. M.R.Štefánika</t>
  </si>
  <si>
    <t xml:space="preserve">Regenerácia vnútrobloku OPAVIA na Beckovskej ulici </t>
  </si>
  <si>
    <t>Z prenajatých budov, priestorov a objektov -  pódia a mobiliáru</t>
  </si>
  <si>
    <t>Z prenajatých strojov, prístrojov, zariadení, techniky a náradia - Hviezda</t>
  </si>
  <si>
    <t>MŠ Novomeského</t>
  </si>
  <si>
    <t>Prepravné</t>
  </si>
  <si>
    <t>Za predaj výrobkov, tovarov a služieb - pranie šatstva</t>
  </si>
  <si>
    <t>Terénna sociálna práca a komunitné práce</t>
  </si>
  <si>
    <t>821: Environfond - splácanie istiny</t>
  </si>
  <si>
    <t>Správa ŠZMT m.r.o.</t>
  </si>
  <si>
    <t>Zariadenie OS - Celoročný pobyt</t>
  </si>
  <si>
    <t>Monitorovanie a signalizácia potreby pomoci - dať pod ZOS</t>
  </si>
  <si>
    <t>KKC Hviezda</t>
  </si>
  <si>
    <t>ŠJ pri S MŠ Štvorlístok, Orechovská 14</t>
  </si>
  <si>
    <t>ŠJ pri S MŠ Motýlik</t>
  </si>
  <si>
    <t>ŠJ pri C MŠ Bl.Tarzícia</t>
  </si>
  <si>
    <t>ŠJ pri C MŠ sv. Andreja - Svorada a Benedikta</t>
  </si>
  <si>
    <t>Služby z príspevku z EF</t>
  </si>
  <si>
    <t>Školstvo - prenesené kompetencie - materské školy</t>
  </si>
  <si>
    <t>Mestské hospodárstvo a správa lesov, m.r.o.</t>
  </si>
  <si>
    <t>R O Z P O Č E T    2026</t>
  </si>
  <si>
    <t>KIT n.o.</t>
  </si>
  <si>
    <t>Kreatívny inštitút n.o. - dotácia na Inštitút participácie</t>
  </si>
  <si>
    <t>Obnova Mariánskeho námestia Trenčín</t>
  </si>
  <si>
    <t>Park v prírode alúvia Orechovského potoka</t>
  </si>
  <si>
    <t>Záchytné parkovisko Biskupice</t>
  </si>
  <si>
    <t>Projektové dokumentácie</t>
  </si>
  <si>
    <t xml:space="preserve">KS Istebník   </t>
  </si>
  <si>
    <t>Drobné zásahy v Opatovej</t>
  </si>
  <si>
    <t>Verejné osvetlenie - rekonštrukcia 1. etapa</t>
  </si>
  <si>
    <t>Verejné osvetlenie - rekonštrukcia 2. etapa</t>
  </si>
  <si>
    <t>M.Bela - autobusové prístrešky</t>
  </si>
  <si>
    <t>M.Bela - osadenie prístrešku</t>
  </si>
  <si>
    <t>Bezbariérové prepojenie od bytového domu 2711/12 smerom ku schodom a k ihrisku (Juh)</t>
  </si>
  <si>
    <t>Zabezpečenie križovatky pri zásobovaní Billa - Južanka</t>
  </si>
  <si>
    <t>Cyklotrasa pod Juhom</t>
  </si>
  <si>
    <t>Chodník Opatovská ul. k materskej škole</t>
  </si>
  <si>
    <t>Chodník a komunikácia Legionárska - podchod na Noviny</t>
  </si>
  <si>
    <t>MČ Západ - komunikácie, chodníky, parkoviská, prechody pre chodcov</t>
  </si>
  <si>
    <t>MK J.Halašu - rekonštrukcia</t>
  </si>
  <si>
    <t>Nový chodník z ul. Gen. Svobodu na ul. Halalovka pri BD 2839</t>
  </si>
  <si>
    <t>MŠ  Osvienčimská</t>
  </si>
  <si>
    <t>Trenčiansky Futbalový Klub Opatová o.z. - dotácia na činnosť</t>
  </si>
  <si>
    <t>Detské ihrisko Žilinská ulica - herné prvky</t>
  </si>
  <si>
    <t>Detské ihrisko Kubrica - herné prvky</t>
  </si>
  <si>
    <t>Detské ihrisko K výstavisku - herné prvky</t>
  </si>
  <si>
    <t>Grandvíno s.r.o. - Festival "Víno pod hradom "</t>
  </si>
  <si>
    <t xml:space="preserve">GRAPE AGENCY s.r.o. - Grape Festival </t>
  </si>
  <si>
    <t>LampART o.z. - činnosť</t>
  </si>
  <si>
    <t>SHUFFLEBEAR s.r.o. - Záhradkár</t>
  </si>
  <si>
    <t>Prístrešok na prekrytie pódia v Kubrej</t>
  </si>
  <si>
    <t>Obnova a oprava kultúrnej pamiatky  - Vojenský cintorín</t>
  </si>
  <si>
    <t>Ipčko, občianske združenie - dotácia na prevádzku</t>
  </si>
  <si>
    <t>514: Prijatie úveru z Environmentálneho fondu na rekonštrukciu verejného osvetlenia 1. etapa</t>
  </si>
  <si>
    <t>514: Prijatie úveru z Environmentálneho fondu na rekonštrukciu verejného osvetlenia 2. etapa</t>
  </si>
  <si>
    <t>Personalizácia služieb mesta Trenčín a podpora omnikanálového modelu komunikácie</t>
  </si>
  <si>
    <t>Projekt Inovácie verejných služieb SMART City</t>
  </si>
  <si>
    <t>Župný dom - interiérové a exteriérové vybavenie a zariadenie</t>
  </si>
  <si>
    <t>Integrovaná doprava Žilinského a Trenčianskeho kraja s.r.o. - dotácia na prípravu a koordináciu prevádzkovania integrovaného dopravného systému</t>
  </si>
  <si>
    <t>Chodník Západná</t>
  </si>
  <si>
    <t>ŠJ pri S MŠ M.Turkovej 22 - Slimáčikovo</t>
  </si>
  <si>
    <t>Súkromná výdajná ŠJ, Záhumenská 7A</t>
  </si>
  <si>
    <t>Nákup umeleckých diel a zbierok</t>
  </si>
  <si>
    <t xml:space="preserve">Členské príspevky </t>
  </si>
  <si>
    <t>CVČ pri Piaristickom gymnáziu J.Braneckého "M-centrum"</t>
  </si>
  <si>
    <t>Súkromná výdajná ŠJ, Halalovka 61B</t>
  </si>
  <si>
    <t>Mzdy, platy, služobné príjmy a oov</t>
  </si>
  <si>
    <t>Mzdy, platby, služobné príjmy a oov</t>
  </si>
  <si>
    <t>Refundácia mzdových nákladov na činnosť Technického sekretariátu Kooperačnej rady Udržateľného mestského rozvoja Trenčín</t>
  </si>
  <si>
    <t>Podpora elektromobility v krajskom meste Trenčíne</t>
  </si>
  <si>
    <t>Rekonštrukcia ul. Braneckého a chodníka Nám. Sv. Anny okolo kostola</t>
  </si>
  <si>
    <t>ZFC 1939 Trenčín - dotácia na činnosť</t>
  </si>
  <si>
    <t>m</t>
  </si>
  <si>
    <t>Doplatok straty za predchádzajúci rok</t>
  </si>
  <si>
    <t>Prestavba križovatky a vybudovanie prestupného bodu Pred poľom</t>
  </si>
  <si>
    <t>Prepojenie Železničnej stanice Zlatovce s Muškátovou ulicou</t>
  </si>
  <si>
    <t xml:space="preserve">Služby </t>
  </si>
  <si>
    <t xml:space="preserve">Materiál </t>
  </si>
  <si>
    <t xml:space="preserve">Tovary a služby </t>
  </si>
  <si>
    <t>Mestské opevnenie na Ul. Farská</t>
  </si>
  <si>
    <t>Krytá plaváreň - rekonštrukcia plaveckého bazénu a technológie</t>
  </si>
  <si>
    <t>Krytá plaváreň - zníženie energetickej náročnosti</t>
  </si>
  <si>
    <t>Sondy</t>
  </si>
  <si>
    <t>Budova MHSL m.r.o. - strecha</t>
  </si>
  <si>
    <t>Interiéry Zelený most Fiesta</t>
  </si>
  <si>
    <t>Súkromná VŠJ SMŠ Staničná 1985/9B</t>
  </si>
  <si>
    <t>Rolba na úpravu ľadu</t>
  </si>
  <si>
    <t>Rekonštrukcia strechy trhoviska</t>
  </si>
  <si>
    <t>Zametacie vozidlo</t>
  </si>
  <si>
    <t>Skladový kontajner</t>
  </si>
  <si>
    <t>Rozdelenie pre mestské časti</t>
  </si>
  <si>
    <t>Rozšírenie jedálne na ZŠ Dlhé Hony v Trenčíne - technológia kuchyne</t>
  </si>
  <si>
    <t>513: Prijatie dlhodobého úveru - ČSOB a.s. 2025</t>
  </si>
  <si>
    <t>Župný dom - interiérové a exteriérové vybavenia a zariadenie</t>
  </si>
  <si>
    <t>Podpora rozvoja udržateľnej mobility v mestskej funkčnej oblasti Trenčín</t>
  </si>
  <si>
    <t>Rozšírenie jedálne na ZŠ Dlhé Hony v Trenčíne</t>
  </si>
  <si>
    <t>Vianočné stánky</t>
  </si>
  <si>
    <t xml:space="preserve">Nájomné </t>
  </si>
  <si>
    <t>Poplatok za rozvoj z roku 2025 - rozdelenie pre mestské časti</t>
  </si>
  <si>
    <t xml:space="preserve">Mestská veža    </t>
  </si>
  <si>
    <t>Rekonštrukcia okien na budove MsÚ Hviezdoslavova</t>
  </si>
  <si>
    <t xml:space="preserve">Urnové steny - cintorín Juh </t>
  </si>
  <si>
    <t>Dom smútku Juh - rekonštrukcia balkóna a prístupov</t>
  </si>
  <si>
    <t>Verejné osvetlenie ul.Zelnica</t>
  </si>
  <si>
    <t>Projekt elektromobility v krajskom meste Trenčín</t>
  </si>
  <si>
    <t>Označníky, vitríny - zastávky MHD</t>
  </si>
  <si>
    <t>Rozšírenie schodov z hrádze do Zátoky pokoja a k atletickému ihrisku</t>
  </si>
  <si>
    <t xml:space="preserve">Rekonštrukcia elektroinštalácie </t>
  </si>
  <si>
    <t>Hudobné nástroje</t>
  </si>
  <si>
    <t>Rekonštrukcia elektroinštalácie a slaboprúdových rozvodov</t>
  </si>
  <si>
    <t>Osobný automobil pre zásobovanie materských škôl</t>
  </si>
  <si>
    <t>Kúpalisko - výmena bazénovej fólie v oddychovom bazéne</t>
  </si>
  <si>
    <t>Kúpalisko - herný stôl</t>
  </si>
  <si>
    <t>Rekonštrukcia plaveckého bazénu a technológie</t>
  </si>
  <si>
    <t>Zníženie energetickej náročnosti</t>
  </si>
  <si>
    <t>Interiéry Zelený most (Fiesta)</t>
  </si>
  <si>
    <t>Revitalizácia tržnice Dlhé Hony</t>
  </si>
  <si>
    <t>Rekonštrukcia CSS na križovatke ulíc Električná a Legionárska</t>
  </si>
  <si>
    <t>Skladový kontajner s inštaláciou</t>
  </si>
  <si>
    <t>Cyclorama záves - pódium do Veľkej sály, inštalácia</t>
  </si>
  <si>
    <t>Rekonštrukcia práčovne a mandlovne</t>
  </si>
  <si>
    <t>Rekonštrukcia izby na bezbariérovú izolačnú izbu</t>
  </si>
  <si>
    <t>Výmena elektroinštalácie 9 poschodí</t>
  </si>
  <si>
    <t>Klimatizácia 5. poschodie , slnečná strana</t>
  </si>
  <si>
    <t xml:space="preserve">Mestské divadlo Trenčín o.z. - Letné divadelné večery </t>
  </si>
  <si>
    <t>Urbanistické, dopravné, overovacie štúdie a konzultačné činnosti</t>
  </si>
  <si>
    <t>2 osobné motorové vozidlá</t>
  </si>
  <si>
    <t xml:space="preserve">454: Prevod z rezervného fondu </t>
  </si>
  <si>
    <t xml:space="preserve">R E Z E R V N Ý  F O N D </t>
  </si>
  <si>
    <t>Predoklad rezervného fondu k 1.1.2026</t>
  </si>
  <si>
    <t>Tvorba rezervného fondu z hospodárskeho výsledku 2025 (schválenie v rámci Záverečného účtu mesta Trenčín za rok 2025)</t>
  </si>
  <si>
    <t>Schválené použitie v roku 2026</t>
  </si>
  <si>
    <t>Predpokladaný stav rezervného fondu k 31.12.2026</t>
  </si>
  <si>
    <t>Riešenie komunikácie a parkovania na ul. Novomeského pri materskej škole</t>
  </si>
  <si>
    <t>Rekonštrukcia verejného priestranstva pred Zimným štadiónom</t>
  </si>
  <si>
    <t>Vodozádržné opatrenia Brezina</t>
  </si>
  <si>
    <t>Plynová prípojka</t>
  </si>
  <si>
    <t>Západ - suma na prerozdelenie pre mestskú časť</t>
  </si>
  <si>
    <t>Rekonštrukcia povrchov - prepojenie Kúty - Dolný Šianec</t>
  </si>
  <si>
    <t xml:space="preserve">Vyvýšený priechod pri ZŠ Dlhé Hony </t>
  </si>
  <si>
    <t>Ostrovček pod Juhom</t>
  </si>
  <si>
    <t>Nový priechod pre chodcov na ul. Inovecká</t>
  </si>
  <si>
    <t>Rekonštrukcia povrchu prepojovacej MK Dlhé Hony - Beckovská</t>
  </si>
  <si>
    <t>Vnútroblok na ul. 28.októbra</t>
  </si>
  <si>
    <t>Vyvýšený priechod v križovatke ulíc Zemana - Narcisova</t>
  </si>
  <si>
    <t>Chodník pri križovatke Javorinská - Nové Prúdy</t>
  </si>
  <si>
    <t>Vyvýšený priechod a zúženie ul. Krátka v križovatke Soblahovská - Krátka</t>
  </si>
  <si>
    <t>Ul. Piaristická</t>
  </si>
  <si>
    <t>Rekonštrukcia časti chodníka Soblahovská</t>
  </si>
  <si>
    <t>Oporný múr Cintorínska ul. - 3.etapa</t>
  </si>
  <si>
    <t>Bežný rozpočet 2026</t>
  </si>
  <si>
    <t>Kapitálový rozpočet 2026</t>
  </si>
  <si>
    <t xml:space="preserve">Statická doprava ul. Bavlnárska </t>
  </si>
  <si>
    <t>Rozpočet 2026 spolu</t>
  </si>
  <si>
    <t>V ý d a v k y</t>
  </si>
  <si>
    <t>Zastávky MHD na ul. Jesenského, preriešenie križovatky Dolný Šianec a Jesenského</t>
  </si>
  <si>
    <t>Úprava križovatky Opatová pri kostole</t>
  </si>
  <si>
    <t>Parkovisko Žilinská</t>
  </si>
  <si>
    <t>Rekonštrukcia chodníkov</t>
  </si>
  <si>
    <t>Nadstavba</t>
  </si>
  <si>
    <t>Rekonštrukcia oplotenia</t>
  </si>
  <si>
    <t>Výmena okien a dverí</t>
  </si>
  <si>
    <t>Rekonštrukcia šatní v športovej hale</t>
  </si>
  <si>
    <t>Rekonštrukcia chodníkov vnútroblok Halalovka</t>
  </si>
  <si>
    <t>Environmentálna učebňa v altánku na školskom dvore</t>
  </si>
  <si>
    <t>Rekonštrukcia sociálnych zariadení</t>
  </si>
  <si>
    <t>Výmena okien</t>
  </si>
  <si>
    <t>Výmena okien nad vstupom CVČ</t>
  </si>
  <si>
    <t>Konvektomat</t>
  </si>
  <si>
    <t>Ihrisko Halalovka veľké</t>
  </si>
  <si>
    <t>Ihrisko Halalovka malé</t>
  </si>
  <si>
    <t>Rekonštrukcia KS Juh</t>
  </si>
  <si>
    <t>KS Zlatovce - materiál</t>
  </si>
  <si>
    <t>FŠ Záblatie - osvetlenie</t>
  </si>
  <si>
    <t>FŠ Záblatie - komunikácia, parkovisko</t>
  </si>
  <si>
    <t>Zvuková a svetelná technika KC Zlatovce</t>
  </si>
  <si>
    <t>Cintorín Zlatovce - oplotenie</t>
  </si>
  <si>
    <t>MK Sigôtky</t>
  </si>
  <si>
    <t>Klimatizácia kancelárií na ul. Hviezdoslavova</t>
  </si>
  <si>
    <t>Rekonštrukcia podchodu ul. Hasičská</t>
  </si>
  <si>
    <t>Príspevok na ubytovanie odídencov z Ukrajiny</t>
  </si>
  <si>
    <t>Rekonštrukcia panelovej cesty v Kubrici</t>
  </si>
  <si>
    <t>Revitalizácia Námestia sv.Anny</t>
  </si>
  <si>
    <t>Dvere - Dom smútku Juh</t>
  </si>
  <si>
    <t>Chodník Bavlnárska</t>
  </si>
  <si>
    <t>Chodník Javorová</t>
  </si>
  <si>
    <t>Chodník Záhradná</t>
  </si>
  <si>
    <t>MK Orechovská</t>
  </si>
  <si>
    <t>Parkovisko Kamenec</t>
  </si>
  <si>
    <t>Lávka do alúvia</t>
  </si>
  <si>
    <t>Revitalizácia nám. Sv.Anny</t>
  </si>
  <si>
    <t>Slovenský zväz ľadového hokeja - pokrytie prevádzkových nákladov zimného štadióna</t>
  </si>
  <si>
    <t xml:space="preserve">Fond na podporu športu- dotácia na Modernizáciu hokejových mantinelov, striedačiek a zázemia na Zimnom štadióne </t>
  </si>
  <si>
    <t>Verejné WC - rekonštrukcia interiéru</t>
  </si>
  <si>
    <t>Autobusová stanica - nika, prístrešky, označníky</t>
  </si>
  <si>
    <t>Modernizácia hokejových mantinelov, striedačiek a zázemia na Zimnom štadióne</t>
  </si>
  <si>
    <t>Oporný múr Cintorínska ul. - 2.etapa</t>
  </si>
  <si>
    <t>Rekonštrukcia interiéru</t>
  </si>
  <si>
    <t>ROTARY KLUB Trenčín - dotácia na činnosť a prevádzku</t>
  </si>
  <si>
    <t>Zníženie energetickej náročnosti budovy Detských jaslí na ulici 28.októbra</t>
  </si>
  <si>
    <t>Dopravné značenie</t>
  </si>
  <si>
    <t>MK Veterná</t>
  </si>
  <si>
    <t>Rekonštrukcia komunikácie Šmidkého 18-22</t>
  </si>
  <si>
    <t>Výmena tartanu</t>
  </si>
  <si>
    <t>Multifunkčná panvica</t>
  </si>
  <si>
    <t>Zelený most - ulica (Fiesta) - sanácia pilierov</t>
  </si>
  <si>
    <t>Nové prepojenie koniec Južná ulica a Halalovka</t>
  </si>
  <si>
    <t>Župný dom - kultúrny hotspot</t>
  </si>
  <si>
    <t>Rekonštrukcia strechy a oplotenia</t>
  </si>
  <si>
    <t>Zimný štadión - Šikmá schodisková plošina LOGIC</t>
  </si>
  <si>
    <t>Hospic milosrdných sestier - dotácia na rekonštrukciu výťahu v objekte Hospicu</t>
  </si>
  <si>
    <t>Centrum pre rodinu o.z. - dotácia na dokončenie rekonštrukcie Meštiackeho domu</t>
  </si>
  <si>
    <t>AK Slávia Trenčín o.z. - dotácia na činnosť</t>
  </si>
  <si>
    <t>PINKBAY Trenčín o.z. - dotácia na činnosť</t>
  </si>
  <si>
    <t>Vegetačná strecha</t>
  </si>
  <si>
    <t>Automatizácia systému fungovania retenčných nádrží na ul. Hviezdoslova</t>
  </si>
  <si>
    <t>AS Trenčín a.s. - dotácia na činnosť</t>
  </si>
  <si>
    <t>Basketbalový klub Trenčín - dotácia na činnosť</t>
  </si>
  <si>
    <t>Florbalový klub AS Trenčín - dotácia na činnosť</t>
  </si>
  <si>
    <t>HK Dukla Trenčín n.o. - dotácia na činnosť</t>
  </si>
  <si>
    <t>Športový klub 1.FBC Trenčín, o.z. - dotácia na činnosť</t>
  </si>
  <si>
    <t>CPR Trenčín - Cantate et Laudate 2026 - m.č. JUH</t>
  </si>
  <si>
    <t>CPR Trenčín - Cantate et Laudate 2026 - m.č. STRED</t>
  </si>
  <si>
    <t>Dogma divadlo - činnosť Dogma Divadla v roku 2026</t>
  </si>
  <si>
    <t>LampART - Letné kino na Juhu</t>
  </si>
  <si>
    <t>Mestské divadlo Trenčín o.z. - Divadlo pre všetky deti na Juhu - školy a škôlky ako javisko</t>
  </si>
  <si>
    <t>"Občania pre Trenčín" - Kultúrne leto na Zámostí 2026</t>
  </si>
  <si>
    <t>Rímskokatolícka cirkev Farnosť Trenčín - Juh - EHMK aj počas Dňa farnosti 2026 na sídlisku Juh</t>
  </si>
  <si>
    <t>TRENČANIA PRE TRENČÍN - Kultúrne leto na SEVERE</t>
  </si>
  <si>
    <t>Oplotenie cintorína Kubrica</t>
  </si>
  <si>
    <t>Revitalizácia parku Gen.M.R.Štefánika</t>
  </si>
  <si>
    <t>Grant na podporu biodiverzity</t>
  </si>
  <si>
    <t>Grant na MC Donalds Cup v minifutbale</t>
  </si>
  <si>
    <t>MŠ Legionárska - projekt Dajme spolu gól</t>
  </si>
  <si>
    <t>MŠ Pri parku - projekt Dajme spolu gól</t>
  </si>
  <si>
    <t>Projekt Dajme spolu gól</t>
  </si>
  <si>
    <t>Krajské kolo Šaliansky Maťko</t>
  </si>
  <si>
    <t>Rýchle energetické opatrenia</t>
  </si>
  <si>
    <t>Rekonštrukcia výťahu na vežu</t>
  </si>
  <si>
    <t>Zriadenie elektrických prípojok pre LED tabule</t>
  </si>
  <si>
    <t>Nové parkovacie miesta</t>
  </si>
  <si>
    <t>Rekonštrukcia mosta ul. Gen. Svobodu</t>
  </si>
  <si>
    <t>Nevyčerpaná dotácia z roku 2025</t>
  </si>
  <si>
    <t>ZŠ Na dolinách - búranie</t>
  </si>
  <si>
    <t>Didaktická sada na environmentálnu výchovu</t>
  </si>
  <si>
    <t xml:space="preserve">Rekonštrukcie </t>
  </si>
  <si>
    <t>Interaktívne dotykové monitory</t>
  </si>
  <si>
    <t>Súkromná výdajná ŠJ, Záhumenská 7A - doplatok za rok 2025</t>
  </si>
  <si>
    <t>Výdajná školská jedáleň pri MŠ Na dolinách</t>
  </si>
  <si>
    <t>Sporák</t>
  </si>
  <si>
    <t>Krájač zeleniny</t>
  </si>
  <si>
    <t>Elektrická rozvodňa</t>
  </si>
  <si>
    <t>KS Juh - materiál</t>
  </si>
  <si>
    <t>KS Juh - služby</t>
  </si>
  <si>
    <t>Podujatie o biodiverzite</t>
  </si>
  <si>
    <t>Rekonštrukcia WC a skladu</t>
  </si>
  <si>
    <t>Sanácia vlhkosti domu smútku v Zlatovciach</t>
  </si>
  <si>
    <t>Pódium na Mierovom námestí - rolety, plachty</t>
  </si>
  <si>
    <t>Interiér bunky F2 (mestská bunka)</t>
  </si>
  <si>
    <t>Rekonštrukcia studňového hospodárstva</t>
  </si>
  <si>
    <t>Križovatka Záblatie - napojenie na cestu I/61</t>
  </si>
  <si>
    <t>Komorný orchester mesta Trenčín - dotácia na činnosť</t>
  </si>
  <si>
    <t>ZŠ Na dolinách - havarijný stav elektroinštalácie ZŠ Blok B</t>
  </si>
  <si>
    <t>Projektové dokumentácie na rekonštrukcie</t>
  </si>
  <si>
    <t>Z predaja kapitálových aktív</t>
  </si>
  <si>
    <t>Špeciálne prídavné zariadenie pre traktor</t>
  </si>
  <si>
    <t>814: Účasť na majetku</t>
  </si>
  <si>
    <t>EU Japan Fest - Japonská grantová schéma</t>
  </si>
  <si>
    <r>
      <t>Grant z Nadácie Solgl</t>
    </r>
    <r>
      <rPr>
        <sz val="9"/>
        <rFont val="Aptos Narrow"/>
        <family val="2"/>
      </rPr>
      <t>Ø</t>
    </r>
    <r>
      <rPr>
        <sz val="9"/>
        <rFont val="Arial"/>
        <family val="2"/>
        <charset val="238"/>
      </rPr>
      <t>tt na festival Ženy v umení</t>
    </r>
  </si>
  <si>
    <t>Projekt StartUP (Horizon Europe)</t>
  </si>
  <si>
    <t xml:space="preserve">Granty  </t>
  </si>
  <si>
    <t>Kultúra SiTY</t>
  </si>
  <si>
    <r>
      <t>TREB</t>
    </r>
    <r>
      <rPr>
        <sz val="9"/>
        <rFont val="Aptos Narrow"/>
        <family val="2"/>
      </rPr>
      <t>Ø</t>
    </r>
    <r>
      <rPr>
        <sz val="9"/>
        <rFont val="Arial"/>
        <family val="2"/>
        <charset val="238"/>
      </rPr>
      <t xml:space="preserve"> MORE KULTÚRY</t>
    </r>
  </si>
  <si>
    <r>
      <t>TREB</t>
    </r>
    <r>
      <rPr>
        <b/>
        <sz val="9"/>
        <rFont val="Aptos Narrow"/>
        <family val="2"/>
      </rPr>
      <t>Ø</t>
    </r>
    <r>
      <rPr>
        <b/>
        <sz val="8.1"/>
        <rFont val="Arial"/>
        <family val="2"/>
        <charset val="238"/>
      </rPr>
      <t xml:space="preserve"> MORE KULTÚRY</t>
    </r>
  </si>
  <si>
    <t>Projekt Zlín a Trenčín v dialógu: kultúrny a kreatívny most 2026+</t>
  </si>
  <si>
    <t>Dividendy</t>
  </si>
  <si>
    <t>Webová stránka pre online nákup vstupov na letnú plaváreň</t>
  </si>
  <si>
    <t>MK Súťažná</t>
  </si>
  <si>
    <t>Prístrešok na cintoríne v Záblatí</t>
  </si>
  <si>
    <t>FŠ Záblatie - doplnenie závlahy</t>
  </si>
  <si>
    <t>Rekonštrukcia plochy</t>
  </si>
  <si>
    <t>Referendum 2026</t>
  </si>
  <si>
    <t>Modernizácia herných prvkov na detskom ihrisku v Opatovej</t>
  </si>
  <si>
    <t>Nový základ pod vianočný stromček</t>
  </si>
  <si>
    <t>Rekonštrukcia podlahy v nocľahárni</t>
  </si>
  <si>
    <t>Montáž a doprava fit strojov v Zátoke pokoja</t>
  </si>
  <si>
    <t>Priechod pre chodcov a jeho osvetlenie na ul. Inovecká</t>
  </si>
  <si>
    <t>Návrh na zmenu Programového rozpočtu mesta Trenčín na rok 2026</t>
  </si>
  <si>
    <t>Rozpočet 2026</t>
  </si>
  <si>
    <t>Zmena +/-</t>
  </si>
  <si>
    <t>Rozpočet 2026 po zmene</t>
  </si>
  <si>
    <t>Rozpočet na rok 2026</t>
  </si>
  <si>
    <t>Rozpočet na rok 2026 po zmene</t>
  </si>
  <si>
    <t>Bežný rozpočet na rok 2026</t>
  </si>
  <si>
    <t>Bežný rozpočet na rok 2026 po zmene</t>
  </si>
  <si>
    <t>Kapitálový rozpočet na rok 2026</t>
  </si>
  <si>
    <t>Kapitálový rozpočet na rok 2026 po zmene</t>
  </si>
  <si>
    <t>Bežný rozpočet 2026 - po zmene</t>
  </si>
  <si>
    <t>Kapitálový rozpočet 2026 - po zmene</t>
  </si>
  <si>
    <t>Rozpočet 2026 spolu po zmene</t>
  </si>
  <si>
    <t>Kontajner - produkčná knižnica pre verejnosť</t>
  </si>
  <si>
    <t>Z prenajatých strojov, prístrojov, zariadení</t>
  </si>
  <si>
    <t>453: SSMT m.r.o. - Nevyčerpané prostriedky z predchádzajúcich rokov</t>
  </si>
  <si>
    <t>Motorová trojkolka (cyklorikša)</t>
  </si>
  <si>
    <t>Klimatizácia ZOS</t>
  </si>
  <si>
    <t>Za predaj výrobkov, tovarov a služieb - zo zdravotných poisťovní</t>
  </si>
  <si>
    <t>453: Nevyčerpané finančné prostriedky z roku 2025 - komunálny odpad</t>
  </si>
  <si>
    <t>453: Nevyčerpané finančné prostriedky z roku 2025 - podnikanie KIS</t>
  </si>
  <si>
    <t>453: Nevyčerpané finančné prostriedky z roku 2025 - poplatok za rozvoj</t>
  </si>
  <si>
    <t>453: ZŠ Veľkomoravská - Nevyčerpané prostriedky z predchádzajúcich rokov</t>
  </si>
  <si>
    <t>453: ZŠ Kubranská - Nevyčerpané prostriedky z predchádzajúcich rokov</t>
  </si>
  <si>
    <t>453: ZŠ Na dolinách - Nevyčerpané prostriedky z predchádzajúcich rokov</t>
  </si>
  <si>
    <t>Výdajný terminál na stravu žiakov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</si>
</sst>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€&quot;_-;\-* #,##0\ &quot;€&quot;_-;_-* &quot;-&quot;\ &quot;€&quot;_-;_-@_-"/>
    <numFmt numFmtId="41" formatCode="_-* #,##0_-;\-* #,##0_-;_-* &quot;-&quot;_-;_-@_-"/>
    <numFmt numFmtId="43" formatCode="_-* #,##0.00_-;\-* #,##0.00_-;_-* &quot;-&quot;??_-;_-@_-"/>
    <numFmt numFmtId="164" formatCode="#,##0.00\ [$EUR]"/>
    <numFmt numFmtId="165" formatCode="#,##0.00\ [$EUR];[Red]#,##0.00\ [$EUR]"/>
  </numFmts>
  <fonts count="61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i/>
      <sz val="9"/>
      <name val="Arial"/>
      <family val="2"/>
      <charset val="238"/>
    </font>
    <font>
      <b/>
      <sz val="22"/>
      <color indexed="18"/>
      <name val="Arial"/>
      <family val="2"/>
      <charset val="238"/>
    </font>
    <font>
      <b/>
      <i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20"/>
      <name val="Arial"/>
      <family val="2"/>
      <charset val="238"/>
    </font>
    <font>
      <sz val="6"/>
      <name val="Arial"/>
      <family val="2"/>
      <charset val="238"/>
    </font>
    <font>
      <b/>
      <i/>
      <sz val="12"/>
      <color indexed="9"/>
      <name val="Arial"/>
      <family val="2"/>
      <charset val="238"/>
    </font>
    <font>
      <b/>
      <i/>
      <sz val="11"/>
      <color indexed="9"/>
      <name val="Arial"/>
      <family val="2"/>
      <charset val="238"/>
    </font>
    <font>
      <i/>
      <sz val="11"/>
      <name val="Arial"/>
      <family val="2"/>
      <charset val="238"/>
    </font>
    <font>
      <b/>
      <sz val="14"/>
      <color indexed="9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sz val="9"/>
      <name val="Aptos Narrow"/>
      <family val="2"/>
    </font>
    <font>
      <b/>
      <sz val="9"/>
      <name val="Aptos Narrow"/>
      <family val="2"/>
    </font>
    <font>
      <b/>
      <sz val="8.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 tint="0.2499465926084170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3"/>
      <name val="Cambria"/>
      <family val="2"/>
      <scheme val="major"/>
    </font>
    <font>
      <b/>
      <sz val="24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28"/>
      <color theme="4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25"/>
      <color rgb="FFFF0000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i/>
      <sz val="12"/>
      <color theme="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22"/>
      <color theme="3" tint="-0.249977111117893"/>
      <name val="Arial"/>
      <family val="2"/>
      <charset val="238"/>
    </font>
    <font>
      <sz val="12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4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4" tint="0.79998168889431442"/>
        <bgColor indexed="64"/>
      </patternFill>
    </fill>
  </fills>
  <borders count="9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hair">
        <color theme="3" tint="0.39991454817346722"/>
      </bottom>
      <diagonal/>
    </border>
    <border>
      <left style="thin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hair">
        <color theme="3" tint="0.39991454817346722"/>
      </bottom>
      <diagonal/>
    </border>
    <border>
      <left style="hair">
        <color theme="3" tint="0.39991454817346722"/>
      </left>
      <right style="thin">
        <color theme="3" tint="0.39991454817346722"/>
      </right>
      <top style="hair">
        <color theme="3" tint="0.39991454817346722"/>
      </top>
      <bottom style="hair">
        <color theme="3" tint="0.39991454817346722"/>
      </bottom>
      <diagonal/>
    </border>
    <border>
      <left style="hair">
        <color theme="3" tint="0.39991454817346722"/>
      </left>
      <right/>
      <top style="hair">
        <color theme="3" tint="0.39991454817346722"/>
      </top>
      <bottom style="hair">
        <color theme="3" tint="0.39991454817346722"/>
      </bottom>
      <diagonal/>
    </border>
    <border>
      <left style="thin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thin">
        <color theme="3" tint="0.39991454817346722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thin">
        <color theme="3" tint="0.39991454817346722"/>
      </bottom>
      <diagonal/>
    </border>
    <border>
      <left style="hair">
        <color theme="3" tint="0.39991454817346722"/>
      </left>
      <right style="thin">
        <color theme="3" tint="0.39991454817346722"/>
      </right>
      <top style="hair">
        <color theme="3" tint="0.39991454817346722"/>
      </top>
      <bottom style="thin">
        <color theme="3" tint="0.39991454817346722"/>
      </bottom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88402966399123"/>
      </top>
      <bottom style="hair">
        <color theme="3" tint="0.39988402966399123"/>
      </bottom>
      <diagonal/>
    </border>
    <border>
      <left style="thin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  <border>
      <left style="hair">
        <color theme="3" tint="0.39994506668294322"/>
      </left>
      <right style="thin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  <border>
      <left style="thin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thin">
        <color theme="3" tint="0.39994506668294322"/>
      </bottom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thin">
        <color theme="3" tint="0.39994506668294322"/>
      </bottom>
      <diagonal/>
    </border>
    <border>
      <left style="hair">
        <color theme="3" tint="0.39994506668294322"/>
      </left>
      <right style="thin">
        <color theme="3" tint="0.39994506668294322"/>
      </right>
      <top style="hair">
        <color theme="3" tint="0.39994506668294322"/>
      </top>
      <bottom style="thin">
        <color theme="3" tint="0.39994506668294322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91454817346722"/>
      </top>
      <bottom/>
      <diagonal/>
    </border>
    <border>
      <left style="hair">
        <color theme="3" tint="0.39991454817346722"/>
      </left>
      <right style="thin">
        <color theme="3" tint="0.39991454817346722"/>
      </right>
      <top style="hair">
        <color theme="3" tint="0.39991454817346722"/>
      </top>
      <bottom/>
      <diagonal/>
    </border>
    <border>
      <left style="hair">
        <color theme="3" tint="0.39991454817346722"/>
      </left>
      <right style="thin">
        <color theme="3" tint="0.39991454817346722"/>
      </right>
      <top style="hair">
        <color theme="3" tint="0.39991454817346722"/>
      </top>
      <bottom style="thin">
        <color theme="3" tint="0.39988402966399123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88402966399123"/>
      </top>
      <bottom style="thin">
        <color theme="3" tint="0.39988402966399123"/>
      </bottom>
      <diagonal/>
    </border>
    <border>
      <left style="hair">
        <color theme="3" tint="0.39991454817346722"/>
      </left>
      <right style="thin">
        <color theme="3" tint="0.39991454817346722"/>
      </right>
      <top style="hair">
        <color theme="3" tint="0.39988402966399123"/>
      </top>
      <bottom style="thin">
        <color theme="3" tint="0.39988402966399123"/>
      </bottom>
      <diagonal/>
    </border>
    <border>
      <left style="hair">
        <color theme="3" tint="0.39991454817346722"/>
      </left>
      <right style="hair">
        <color theme="3" tint="0.39988402966399123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91454817346722"/>
      </left>
      <right style="hair">
        <color theme="3" tint="0.39988402966399123"/>
      </right>
      <top style="hair">
        <color theme="3" tint="0.39988402966399123"/>
      </top>
      <bottom/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88402966399123"/>
      </top>
      <bottom/>
      <diagonal/>
    </border>
    <border>
      <left style="hair">
        <color theme="3" tint="0.39991454817346722"/>
      </left>
      <right style="hair">
        <color theme="3" tint="0.39988402966399123"/>
      </right>
      <top style="hair">
        <color theme="3" tint="0.39988402966399123"/>
      </top>
      <bottom style="thin">
        <color theme="3" tint="0.39988402966399123"/>
      </bottom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88402966399123"/>
      </top>
      <bottom style="thin">
        <color theme="3" tint="0.39988402966399123"/>
      </bottom>
      <diagonal/>
    </border>
    <border>
      <left style="thin">
        <color theme="3" tint="0.39991454817346722"/>
      </left>
      <right style="hair">
        <color theme="3" tint="0.39991454817346722"/>
      </right>
      <top style="hair">
        <color theme="3" tint="0.39988402966399123"/>
      </top>
      <bottom style="thin">
        <color theme="3" tint="0.39988402966399123"/>
      </bottom>
      <diagonal/>
    </border>
    <border>
      <left style="thin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thin">
        <color theme="3" tint="0.39988402966399123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thin">
        <color theme="3" tint="0.39988402966399123"/>
      </bottom>
      <diagonal/>
    </border>
    <border>
      <left style="hair">
        <color theme="3" tint="0.39991454817346722"/>
      </left>
      <right style="hair">
        <color theme="3" tint="0.39991454817346722"/>
      </right>
      <top style="thin">
        <color theme="3" tint="0.39994506668294322"/>
      </top>
      <bottom/>
      <diagonal/>
    </border>
    <border>
      <left style="hair">
        <color theme="3" tint="0.39991454817346722"/>
      </left>
      <right style="hair">
        <color theme="3" tint="0.39991454817346722"/>
      </right>
      <top style="medium">
        <color theme="3" tint="0.39988402966399123"/>
      </top>
      <bottom style="medium">
        <color theme="3" tint="0.39988402966399123"/>
      </bottom>
      <diagonal/>
    </border>
    <border>
      <left style="hair">
        <color theme="3" tint="0.39991454817346722"/>
      </left>
      <right style="hair">
        <color theme="3" tint="0.39991454817346722"/>
      </right>
      <top/>
      <bottom style="hair">
        <color theme="3" tint="0.39991454817346722"/>
      </bottom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91454817346722"/>
      </top>
      <bottom style="hair">
        <color theme="3" tint="0.39988402966399123"/>
      </bottom>
      <diagonal/>
    </border>
    <border>
      <left style="hair">
        <color theme="3" tint="0.39988402966399123"/>
      </left>
      <right style="hair">
        <color theme="3" tint="0.39988402966399123"/>
      </right>
      <top style="medium">
        <color theme="3" tint="0.39985351115451523"/>
      </top>
      <bottom style="medium">
        <color theme="3" tint="0.39985351115451523"/>
      </bottom>
      <diagonal/>
    </border>
    <border>
      <left style="hair">
        <color theme="3" tint="0.39988402966399123"/>
      </left>
      <right style="hair">
        <color theme="3" tint="0.39988402966399123"/>
      </right>
      <top/>
      <bottom style="hair">
        <color theme="3" tint="0.39988402966399123"/>
      </bottom>
      <diagonal/>
    </border>
    <border>
      <left style="hair">
        <color theme="3" tint="0.39988402966399123"/>
      </left>
      <right style="hair">
        <color theme="3" tint="0.39988402966399123"/>
      </right>
      <top style="medium">
        <color theme="3" tint="0.39988402966399123"/>
      </top>
      <bottom style="medium">
        <color theme="3" tint="0.39988402966399123"/>
      </bottom>
      <diagonal/>
    </border>
    <border>
      <left style="hair">
        <color theme="3" tint="0.39988402966399123"/>
      </left>
      <right style="hair">
        <color theme="3" tint="0.39988402966399123"/>
      </right>
      <top/>
      <bottom/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88402966399123"/>
      </top>
      <bottom style="thin">
        <color theme="3" tint="0.39991454817346722"/>
      </bottom>
      <diagonal/>
    </border>
    <border>
      <left style="thin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hair">
        <color theme="3" tint="0.39988402966399123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88402966399123"/>
      </top>
      <bottom style="medium">
        <color theme="3" tint="0.39988402966399123"/>
      </bottom>
      <diagonal/>
    </border>
    <border>
      <left style="thin">
        <color theme="3" tint="0.39991454817346722"/>
      </left>
      <right style="hair">
        <color theme="3" tint="0.39991454817346722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94506668294322"/>
      </left>
      <right/>
      <top style="hair">
        <color theme="3" tint="0.39994506668294322"/>
      </top>
      <bottom style="hair">
        <color theme="3" tint="0.39994506668294322"/>
      </bottom>
      <diagonal/>
    </border>
    <border>
      <left/>
      <right/>
      <top style="hair">
        <color theme="3" tint="0.39994506668294322"/>
      </top>
      <bottom style="hair">
        <color theme="3" tint="0.39994506668294322"/>
      </bottom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4506668294322"/>
      </top>
      <bottom/>
      <diagonal/>
    </border>
    <border>
      <left/>
      <right style="hair">
        <color theme="3" tint="0.39988402966399123"/>
      </right>
      <top/>
      <bottom/>
      <diagonal/>
    </border>
    <border>
      <left/>
      <right style="hair">
        <color theme="3" tint="0.39988402966399123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91454817346722"/>
      </left>
      <right/>
      <top/>
      <bottom style="hair">
        <color theme="3" tint="0.39991454817346722"/>
      </bottom>
      <diagonal/>
    </border>
    <border>
      <left style="medium">
        <color theme="3" tint="0.59999389629810485"/>
      </left>
      <right/>
      <top style="medium">
        <color theme="3" tint="0.59999389629810485"/>
      </top>
      <bottom/>
      <diagonal/>
    </border>
    <border>
      <left/>
      <right/>
      <top style="medium">
        <color theme="3" tint="0.59999389629810485"/>
      </top>
      <bottom/>
      <diagonal/>
    </border>
    <border>
      <left/>
      <right style="medium">
        <color theme="3" tint="0.59999389629810485"/>
      </right>
      <top style="medium">
        <color theme="3" tint="0.59999389629810485"/>
      </top>
      <bottom/>
      <diagonal/>
    </border>
    <border>
      <left style="medium">
        <color theme="3" tint="0.59999389629810485"/>
      </left>
      <right style="hair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  <border>
      <left style="hair">
        <color theme="3" tint="0.39994506668294322"/>
      </left>
      <right style="medium">
        <color theme="3" tint="0.59999389629810485"/>
      </right>
      <top style="hair">
        <color theme="3" tint="0.39994506668294322"/>
      </top>
      <bottom style="hair">
        <color theme="3" tint="0.39994506668294322"/>
      </bottom>
      <diagonal/>
    </border>
    <border>
      <left style="medium">
        <color theme="3" tint="0.59999389629810485"/>
      </left>
      <right style="hair">
        <color theme="3" tint="0.39994506668294322"/>
      </right>
      <top style="hair">
        <color theme="3" tint="0.39994506668294322"/>
      </top>
      <bottom style="medium">
        <color theme="3" tint="0.59999389629810485"/>
      </bottom>
      <diagonal/>
    </border>
    <border>
      <left style="hair">
        <color theme="3" tint="0.39994506668294322"/>
      </left>
      <right/>
      <top style="hair">
        <color theme="3" tint="0.39994506668294322"/>
      </top>
      <bottom style="medium">
        <color theme="3" tint="0.59999389629810485"/>
      </bottom>
      <diagonal/>
    </border>
    <border>
      <left/>
      <right/>
      <top style="hair">
        <color theme="3" tint="0.39994506668294322"/>
      </top>
      <bottom style="medium">
        <color theme="3" tint="0.59999389629810485"/>
      </bottom>
      <diagonal/>
    </border>
    <border>
      <left style="hair">
        <color theme="3" tint="0.39994506668294322"/>
      </left>
      <right style="medium">
        <color theme="3" tint="0.59999389629810485"/>
      </right>
      <top style="hair">
        <color theme="3" tint="0.39994506668294322"/>
      </top>
      <bottom style="medium">
        <color theme="3" tint="0.59999389629810485"/>
      </bottom>
      <diagonal/>
    </border>
    <border>
      <left/>
      <right style="medium">
        <color theme="3" tint="0.59999389629810485"/>
      </right>
      <top style="hair">
        <color theme="3" tint="0.39994506668294322"/>
      </top>
      <bottom style="hair">
        <color theme="3" tint="0.39994506668294322"/>
      </bottom>
      <diagonal/>
    </border>
    <border>
      <left/>
      <right style="medium">
        <color theme="3" tint="0.59999389629810485"/>
      </right>
      <top style="hair">
        <color theme="3" tint="0.39994506668294322"/>
      </top>
      <bottom style="medium">
        <color theme="3" tint="0.59999389629810485"/>
      </bottom>
      <diagonal/>
    </border>
    <border>
      <left/>
      <right/>
      <top style="hair">
        <color theme="3" tint="0.39991454817346722"/>
      </top>
      <bottom/>
      <diagonal/>
    </border>
    <border>
      <left style="thin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thin">
        <color theme="3" tint="0.39991454817346722"/>
      </bottom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thin">
        <color theme="3" tint="0.39991454817346722"/>
      </bottom>
      <diagonal/>
    </border>
    <border>
      <left style="hair">
        <color theme="3" tint="0.39994506668294322"/>
      </left>
      <right style="thin">
        <color theme="3" tint="0.39994506668294322"/>
      </right>
      <top style="hair">
        <color theme="3" tint="0.39994506668294322"/>
      </top>
      <bottom style="thin">
        <color theme="3" tint="0.39991454817346722"/>
      </bottom>
      <diagonal/>
    </border>
    <border>
      <left style="hair">
        <color theme="3" tint="0.39988402966399123"/>
      </left>
      <right style="thin">
        <color theme="3" tint="0.39988402966399123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88402966399123"/>
      </left>
      <right style="thin">
        <color theme="3" tint="0.39988402966399123"/>
      </right>
      <top style="hair">
        <color theme="3" tint="0.39988402966399123"/>
      </top>
      <bottom/>
      <diagonal/>
    </border>
    <border>
      <left style="hair">
        <color theme="3" tint="0.39988402966399123"/>
      </left>
      <right style="thin">
        <color theme="3" tint="0.39988402966399123"/>
      </right>
      <top style="hair">
        <color theme="3" tint="0.39988402966399123"/>
      </top>
      <bottom style="thin">
        <color theme="3" tint="0.39988402966399123"/>
      </bottom>
      <diagonal/>
    </border>
    <border>
      <left/>
      <right/>
      <top style="hair">
        <color theme="3" tint="0.39994506668294322"/>
      </top>
      <bottom style="hair">
        <color theme="3" tint="0.39991454817346722"/>
      </bottom>
      <diagonal/>
    </border>
    <border>
      <left/>
      <right style="hair">
        <color theme="3" tint="0.39994506668294322"/>
      </right>
      <top style="hair">
        <color theme="3" tint="0.39994506668294322"/>
      </top>
      <bottom style="hair">
        <color theme="3" tint="0.39991454817346722"/>
      </bottom>
      <diagonal/>
    </border>
    <border>
      <left/>
      <right/>
      <top style="hair">
        <color theme="3" tint="0.39991454817346722"/>
      </top>
      <bottom style="hair">
        <color theme="3" tint="0.39991454817346722"/>
      </bottom>
      <diagonal/>
    </border>
    <border>
      <left/>
      <right style="hair">
        <color theme="3" tint="0.39994506668294322"/>
      </right>
      <top style="hair">
        <color theme="3" tint="0.39991454817346722"/>
      </top>
      <bottom style="hair">
        <color theme="3" tint="0.39991454817346722"/>
      </bottom>
      <diagonal/>
    </border>
    <border>
      <left/>
      <right/>
      <top style="hair">
        <color theme="3" tint="0.39991454817346722"/>
      </top>
      <bottom style="hair">
        <color theme="3" tint="0.39994506668294322"/>
      </bottom>
      <diagonal/>
    </border>
    <border>
      <left/>
      <right style="hair">
        <color theme="3" tint="0.39994506668294322"/>
      </right>
      <top style="hair">
        <color theme="3" tint="0.39991454817346722"/>
      </top>
      <bottom style="hair">
        <color theme="3" tint="0.39994506668294322"/>
      </bottom>
      <diagonal/>
    </border>
    <border>
      <left style="thin">
        <color theme="3" tint="0.39991454817346722"/>
      </left>
      <right style="hair">
        <color theme="3" tint="0.39994506668294322"/>
      </right>
      <top style="thin">
        <color theme="3" tint="0.39994506668294322"/>
      </top>
      <bottom style="hair">
        <color theme="3" tint="0.39994506668294322"/>
      </bottom>
      <diagonal/>
    </border>
    <border>
      <left style="hair">
        <color theme="3" tint="0.39994506668294322"/>
      </left>
      <right style="hair">
        <color theme="3" tint="0.39994506668294322"/>
      </right>
      <top style="thin">
        <color theme="3" tint="0.39994506668294322"/>
      </top>
      <bottom style="hair">
        <color theme="3" tint="0.39994506668294322"/>
      </bottom>
      <diagonal/>
    </border>
    <border>
      <left style="thin">
        <color theme="3" tint="0.39991454817346722"/>
      </left>
      <right style="hair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  <border>
      <left style="thin">
        <color theme="3" tint="0.39991454817346722"/>
      </left>
      <right style="hair">
        <color theme="3" tint="0.39994506668294322"/>
      </right>
      <top style="hair">
        <color theme="3" tint="0.39994506668294322"/>
      </top>
      <bottom style="hair">
        <color theme="3" tint="0.39991454817346722"/>
      </bottom>
      <diagonal/>
    </border>
    <border>
      <left style="thin">
        <color theme="3" tint="0.39991454817346722"/>
      </left>
      <right style="hair">
        <color theme="3" tint="0.39994506668294322"/>
      </right>
      <top style="hair">
        <color theme="3" tint="0.39991454817346722"/>
      </top>
      <bottom style="hair">
        <color theme="3" tint="0.39991454817346722"/>
      </bottom>
      <diagonal/>
    </border>
    <border>
      <left style="thin">
        <color theme="3" tint="0.39991454817346722"/>
      </left>
      <right style="hair">
        <color theme="3" tint="0.39991454817346722"/>
      </right>
      <top style="thin">
        <color theme="3" tint="0.39994506668294322"/>
      </top>
      <bottom style="hair">
        <color theme="3" tint="0.39991454817346722"/>
      </bottom>
      <diagonal/>
    </border>
    <border>
      <left style="hair">
        <color theme="3" tint="0.39991454817346722"/>
      </left>
      <right style="hair">
        <color theme="3" tint="0.39991454817346722"/>
      </right>
      <top style="thin">
        <color theme="3" tint="0.39994506668294322"/>
      </top>
      <bottom style="hair">
        <color theme="3" tint="0.39991454817346722"/>
      </bottom>
      <diagonal/>
    </border>
    <border>
      <left style="hair">
        <color theme="3" tint="0.39991454817346722"/>
      </left>
      <right style="thin">
        <color theme="3" tint="0.39991454817346722"/>
      </right>
      <top style="thin">
        <color theme="3" tint="0.39994506668294322"/>
      </top>
      <bottom style="hair">
        <color theme="3" tint="0.39991454817346722"/>
      </bottom>
      <diagonal/>
    </border>
    <border>
      <left/>
      <right style="hair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  <border>
      <left style="hair">
        <color theme="3" tint="0.39994506668294322"/>
      </left>
      <right/>
      <top/>
      <bottom style="hair">
        <color theme="3" tint="0.39994506668294322"/>
      </bottom>
      <diagonal/>
    </border>
    <border>
      <left/>
      <right/>
      <top/>
      <bottom style="hair">
        <color theme="3" tint="0.39994506668294322"/>
      </bottom>
      <diagonal/>
    </border>
    <border>
      <left/>
      <right style="hair">
        <color theme="3" tint="0.39994506668294322"/>
      </right>
      <top/>
      <bottom style="hair">
        <color theme="3" tint="0.39994506668294322"/>
      </bottom>
      <diagonal/>
    </border>
    <border>
      <left/>
      <right style="hair">
        <color theme="3" tint="0.39994506668294322"/>
      </right>
      <top/>
      <bottom style="thin">
        <color theme="3" tint="0.39994506668294322"/>
      </bottom>
      <diagonal/>
    </border>
    <border>
      <left style="hair">
        <color theme="3" tint="0.39994506668294322"/>
      </left>
      <right style="hair">
        <color theme="3" tint="0.39994506668294322"/>
      </right>
      <top/>
      <bottom style="thin">
        <color theme="3" tint="0.39994506668294322"/>
      </bottom>
      <diagonal/>
    </border>
    <border>
      <left style="hair">
        <color theme="3" tint="0.39994506668294322"/>
      </left>
      <right/>
      <top/>
      <bottom style="thin">
        <color theme="3" tint="0.39994506668294322"/>
      </bottom>
      <diagonal/>
    </border>
    <border>
      <left style="hair">
        <color theme="3" tint="0.39994506668294322"/>
      </left>
      <right/>
      <top style="hair">
        <color theme="3" tint="0.39994506668294322"/>
      </top>
      <bottom/>
      <diagonal/>
    </border>
    <border>
      <left/>
      <right/>
      <top style="hair">
        <color theme="3" tint="0.39994506668294322"/>
      </top>
      <bottom/>
      <diagonal/>
    </border>
    <border>
      <left style="hair">
        <color theme="3" tint="0.39991454817346722"/>
      </left>
      <right style="hair">
        <color theme="3" tint="0.39991454817346722"/>
      </right>
      <top/>
      <bottom/>
      <diagonal/>
    </border>
    <border>
      <left/>
      <right style="hair">
        <color theme="3" tint="0.39994506668294322"/>
      </right>
      <top style="hair">
        <color theme="3" tint="0.39994506668294322"/>
      </top>
      <bottom/>
      <diagonal/>
    </border>
    <border>
      <left/>
      <right style="hair">
        <color theme="3" tint="0.39994506668294322"/>
      </right>
      <top/>
      <bottom/>
      <diagonal/>
    </border>
    <border>
      <left style="thin">
        <color theme="3" tint="0.39994506668294322"/>
      </left>
      <right/>
      <top/>
      <bottom style="hair">
        <color theme="3" tint="0.39994506668294322"/>
      </bottom>
      <diagonal/>
    </border>
  </borders>
  <cellStyleXfs count="65">
    <xf numFmtId="0" fontId="0" fillId="0" borderId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2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4" fillId="25" borderId="0" applyNumberFormat="0" applyBorder="0" applyAlignment="0" applyProtection="0"/>
    <xf numFmtId="0" fontId="3" fillId="0" borderId="0"/>
    <xf numFmtId="0" fontId="35" fillId="26" borderId="1" applyNumberFormat="0" applyAlignment="0" applyProtection="0"/>
    <xf numFmtId="42" fontId="33" fillId="0" borderId="0" applyFont="0" applyFill="0" applyBorder="0" applyAlignment="0" applyProtection="0"/>
    <xf numFmtId="165" fontId="33" fillId="0" borderId="0" applyFont="0" applyFill="0" applyBorder="0" applyProtection="0">
      <alignment horizontal="right" vertical="center"/>
    </xf>
    <xf numFmtId="165" fontId="33" fillId="0" borderId="0" applyFont="0" applyFill="0" applyBorder="0" applyProtection="0">
      <alignment horizontal="right" vertical="center"/>
    </xf>
    <xf numFmtId="165" fontId="33" fillId="0" borderId="0" applyFont="0" applyFill="0" applyBorder="0" applyProtection="0">
      <alignment horizontal="right" vertical="center"/>
    </xf>
    <xf numFmtId="165" fontId="33" fillId="0" borderId="0" applyFont="0" applyFill="0" applyBorder="0" applyProtection="0">
      <alignment horizontal="right" vertical="center"/>
    </xf>
    <xf numFmtId="0" fontId="36" fillId="0" borderId="0" applyNumberFormat="0" applyFill="0" applyAlignment="0" applyProtection="0"/>
    <xf numFmtId="164" fontId="37" fillId="27" borderId="0" applyProtection="0">
      <alignment horizontal="right"/>
    </xf>
    <xf numFmtId="0" fontId="38" fillId="0" borderId="0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28" borderId="0" applyNumberFormat="0" applyBorder="0" applyAlignment="0" applyProtection="0"/>
    <xf numFmtId="0" fontId="3" fillId="0" borderId="0"/>
    <xf numFmtId="0" fontId="31" fillId="0" borderId="0"/>
    <xf numFmtId="0" fontId="2" fillId="0" borderId="0"/>
    <xf numFmtId="0" fontId="33" fillId="0" borderId="0">
      <alignment vertical="center" wrapText="1"/>
    </xf>
    <xf numFmtId="0" fontId="31" fillId="0" borderId="0"/>
    <xf numFmtId="0" fontId="2" fillId="0" borderId="0"/>
    <xf numFmtId="9" fontId="33" fillId="0" borderId="0" applyFont="0" applyFill="0" applyBorder="0" applyAlignment="0" applyProtection="0"/>
    <xf numFmtId="0" fontId="33" fillId="29" borderId="2" applyNumberFormat="0" applyFont="0" applyAlignment="0" applyProtection="0"/>
    <xf numFmtId="0" fontId="42" fillId="0" borderId="3" applyNumberFormat="0" applyFill="0" applyAlignment="0" applyProtection="0"/>
    <xf numFmtId="0" fontId="43" fillId="0" borderId="4" applyNumberFormat="0" applyFill="0" applyAlignment="0" applyProtection="0"/>
    <xf numFmtId="0" fontId="44" fillId="0" borderId="0" applyNumberFormat="0" applyFill="0" applyBorder="0" applyAlignment="0" applyProtection="0"/>
    <xf numFmtId="0" fontId="45" fillId="30" borderId="5" applyNumberFormat="0" applyAlignment="0" applyProtection="0"/>
    <xf numFmtId="0" fontId="46" fillId="31" borderId="5" applyNumberFormat="0" applyAlignment="0" applyProtection="0"/>
    <xf numFmtId="0" fontId="47" fillId="31" borderId="6" applyNumberFormat="0" applyAlignment="0" applyProtection="0"/>
    <xf numFmtId="0" fontId="48" fillId="0" borderId="0" applyNumberFormat="0" applyFill="0" applyBorder="0" applyAlignment="0" applyProtection="0"/>
    <xf numFmtId="0" fontId="49" fillId="32" borderId="0" applyNumberFormat="0" applyBorder="0" applyAlignment="0" applyProtection="0"/>
    <xf numFmtId="0" fontId="50" fillId="33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</cellStyleXfs>
  <cellXfs count="476">
    <xf numFmtId="0" fontId="0" fillId="0" borderId="0" xfId="0"/>
    <xf numFmtId="0" fontId="4" fillId="0" borderId="7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3" fontId="51" fillId="0" borderId="0" xfId="0" applyNumberFormat="1" applyFont="1"/>
    <xf numFmtId="0" fontId="1" fillId="0" borderId="8" xfId="0" applyFont="1" applyBorder="1" applyAlignment="1">
      <alignment horizontal="center" vertical="center"/>
    </xf>
    <xf numFmtId="3" fontId="8" fillId="2" borderId="7" xfId="0" applyNumberFormat="1" applyFont="1" applyFill="1" applyBorder="1" applyAlignment="1">
      <alignment vertical="center"/>
    </xf>
    <xf numFmtId="3" fontId="8" fillId="2" borderId="9" xfId="0" applyNumberFormat="1" applyFont="1" applyFill="1" applyBorder="1" applyAlignment="1">
      <alignment vertical="center"/>
    </xf>
    <xf numFmtId="0" fontId="10" fillId="3" borderId="7" xfId="0" applyFont="1" applyFill="1" applyBorder="1"/>
    <xf numFmtId="3" fontId="10" fillId="3" borderId="7" xfId="0" applyNumberFormat="1" applyFont="1" applyFill="1" applyBorder="1"/>
    <xf numFmtId="3" fontId="10" fillId="3" borderId="9" xfId="0" applyNumberFormat="1" applyFont="1" applyFill="1" applyBorder="1" applyAlignment="1">
      <alignment horizontal="right"/>
    </xf>
    <xf numFmtId="0" fontId="13" fillId="0" borderId="7" xfId="0" applyFont="1" applyBorder="1"/>
    <xf numFmtId="49" fontId="13" fillId="0" borderId="7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3" fontId="13" fillId="0" borderId="7" xfId="0" applyNumberFormat="1" applyFont="1" applyBorder="1"/>
    <xf numFmtId="3" fontId="7" fillId="0" borderId="7" xfId="0" applyNumberFormat="1" applyFont="1" applyBorder="1"/>
    <xf numFmtId="3" fontId="13" fillId="0" borderId="9" xfId="0" applyNumberFormat="1" applyFont="1" applyBorder="1"/>
    <xf numFmtId="0" fontId="14" fillId="0" borderId="7" xfId="0" applyFont="1" applyBorder="1"/>
    <xf numFmtId="49" fontId="14" fillId="0" borderId="7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3" fontId="14" fillId="0" borderId="7" xfId="0" applyNumberFormat="1" applyFont="1" applyBorder="1"/>
    <xf numFmtId="3" fontId="14" fillId="0" borderId="9" xfId="0" applyNumberFormat="1" applyFont="1" applyBorder="1"/>
    <xf numFmtId="0" fontId="15" fillId="0" borderId="7" xfId="0" applyFont="1" applyBorder="1"/>
    <xf numFmtId="0" fontId="4" fillId="0" borderId="7" xfId="0" applyFont="1" applyBorder="1" applyAlignment="1">
      <alignment horizontal="center"/>
    </xf>
    <xf numFmtId="3" fontId="4" fillId="0" borderId="7" xfId="0" applyNumberFormat="1" applyFont="1" applyBorder="1"/>
    <xf numFmtId="3" fontId="15" fillId="0" borderId="7" xfId="0" applyNumberFormat="1" applyFont="1" applyBorder="1"/>
    <xf numFmtId="3" fontId="4" fillId="0" borderId="9" xfId="0" applyNumberFormat="1" applyFont="1" applyBorder="1"/>
    <xf numFmtId="0" fontId="12" fillId="39" borderId="7" xfId="0" applyFont="1" applyFill="1" applyBorder="1"/>
    <xf numFmtId="3" fontId="12" fillId="39" borderId="7" xfId="0" applyNumberFormat="1" applyFont="1" applyFill="1" applyBorder="1"/>
    <xf numFmtId="3" fontId="7" fillId="39" borderId="7" xfId="0" applyNumberFormat="1" applyFont="1" applyFill="1" applyBorder="1"/>
    <xf numFmtId="3" fontId="12" fillId="39" borderId="9" xfId="0" applyNumberFormat="1" applyFont="1" applyFill="1" applyBorder="1"/>
    <xf numFmtId="3" fontId="14" fillId="40" borderId="7" xfId="0" applyNumberFormat="1" applyFont="1" applyFill="1" applyBorder="1"/>
    <xf numFmtId="0" fontId="16" fillId="0" borderId="0" xfId="0" applyFont="1"/>
    <xf numFmtId="3" fontId="10" fillId="3" borderId="9" xfId="0" applyNumberFormat="1" applyFont="1" applyFill="1" applyBorder="1"/>
    <xf numFmtId="0" fontId="15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3" fontId="4" fillId="0" borderId="7" xfId="0" applyNumberFormat="1" applyFont="1" applyBorder="1" applyAlignment="1">
      <alignment vertical="center"/>
    </xf>
    <xf numFmtId="3" fontId="15" fillId="0" borderId="7" xfId="0" applyNumberFormat="1" applyFont="1" applyBorder="1" applyAlignment="1">
      <alignment vertical="center"/>
    </xf>
    <xf numFmtId="3" fontId="4" fillId="0" borderId="9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7" xfId="0" applyFont="1" applyBorder="1" applyAlignment="1">
      <alignment wrapText="1"/>
    </xf>
    <xf numFmtId="0" fontId="10" fillId="3" borderId="10" xfId="0" applyFont="1" applyFill="1" applyBorder="1"/>
    <xf numFmtId="0" fontId="1" fillId="0" borderId="11" xfId="0" applyFont="1" applyBorder="1" applyAlignment="1">
      <alignment horizontal="center" vertical="center"/>
    </xf>
    <xf numFmtId="0" fontId="10" fillId="3" borderId="12" xfId="0" applyFont="1" applyFill="1" applyBorder="1"/>
    <xf numFmtId="3" fontId="10" fillId="3" borderId="12" xfId="0" applyNumberFormat="1" applyFont="1" applyFill="1" applyBorder="1"/>
    <xf numFmtId="3" fontId="10" fillId="3" borderId="13" xfId="0" applyNumberFormat="1" applyFont="1" applyFill="1" applyBorder="1"/>
    <xf numFmtId="0" fontId="17" fillId="0" borderId="0" xfId="0" applyFont="1"/>
    <xf numFmtId="3" fontId="15" fillId="0" borderId="9" xfId="0" applyNumberFormat="1" applyFont="1" applyBorder="1"/>
    <xf numFmtId="0" fontId="15" fillId="0" borderId="12" xfId="0" applyFont="1" applyBorder="1"/>
    <xf numFmtId="0" fontId="15" fillId="0" borderId="12" xfId="0" applyFont="1" applyBorder="1" applyAlignment="1">
      <alignment horizontal="center"/>
    </xf>
    <xf numFmtId="0" fontId="4" fillId="0" borderId="12" xfId="0" applyFont="1" applyBorder="1"/>
    <xf numFmtId="3" fontId="4" fillId="0" borderId="12" xfId="0" applyNumberFormat="1" applyFont="1" applyBorder="1"/>
    <xf numFmtId="3" fontId="15" fillId="0" borderId="12" xfId="0" applyNumberFormat="1" applyFont="1" applyBorder="1"/>
    <xf numFmtId="3" fontId="15" fillId="0" borderId="13" xfId="0" applyNumberFormat="1" applyFont="1" applyBorder="1"/>
    <xf numFmtId="0" fontId="14" fillId="0" borderId="7" xfId="0" applyFont="1" applyBorder="1" applyAlignment="1">
      <alignment vertical="center"/>
    </xf>
    <xf numFmtId="49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3" fontId="14" fillId="0" borderId="7" xfId="0" applyNumberFormat="1" applyFont="1" applyBorder="1" applyAlignment="1">
      <alignment vertical="center"/>
    </xf>
    <xf numFmtId="3" fontId="14" fillId="0" borderId="9" xfId="0" applyNumberFormat="1" applyFont="1" applyBorder="1" applyAlignment="1">
      <alignment vertical="center"/>
    </xf>
    <xf numFmtId="0" fontId="14" fillId="0" borderId="14" xfId="0" applyFont="1" applyBorder="1" applyAlignment="1">
      <alignment vertical="center" wrapText="1"/>
    </xf>
    <xf numFmtId="0" fontId="14" fillId="0" borderId="7" xfId="0" applyFont="1" applyBorder="1" applyAlignment="1">
      <alignment wrapText="1"/>
    </xf>
    <xf numFmtId="0" fontId="4" fillId="0" borderId="7" xfId="0" applyFont="1" applyBorder="1" applyAlignment="1">
      <alignment vertical="center"/>
    </xf>
    <xf numFmtId="0" fontId="4" fillId="0" borderId="0" xfId="0" applyFont="1"/>
    <xf numFmtId="0" fontId="4" fillId="0" borderId="12" xfId="0" applyFont="1" applyBorder="1" applyAlignment="1">
      <alignment horizontal="center"/>
    </xf>
    <xf numFmtId="3" fontId="4" fillId="0" borderId="13" xfId="0" applyNumberFormat="1" applyFont="1" applyBorder="1"/>
    <xf numFmtId="0" fontId="1" fillId="0" borderId="15" xfId="0" applyFont="1" applyBorder="1" applyAlignment="1">
      <alignment horizontal="center" vertical="center"/>
    </xf>
    <xf numFmtId="3" fontId="8" fillId="2" borderId="16" xfId="0" applyNumberFormat="1" applyFont="1" applyFill="1" applyBorder="1" applyAlignment="1">
      <alignment vertical="center"/>
    </xf>
    <xf numFmtId="3" fontId="8" fillId="2" borderId="17" xfId="0" applyNumberFormat="1" applyFont="1" applyFill="1" applyBorder="1" applyAlignment="1">
      <alignment vertical="center"/>
    </xf>
    <xf numFmtId="3" fontId="10" fillId="3" borderId="16" xfId="0" applyNumberFormat="1" applyFont="1" applyFill="1" applyBorder="1"/>
    <xf numFmtId="3" fontId="11" fillId="3" borderId="16" xfId="0" applyNumberFormat="1" applyFont="1" applyFill="1" applyBorder="1"/>
    <xf numFmtId="3" fontId="10" fillId="3" borderId="17" xfId="0" applyNumberFormat="1" applyFont="1" applyFill="1" applyBorder="1"/>
    <xf numFmtId="0" fontId="13" fillId="0" borderId="16" xfId="0" applyFont="1" applyBorder="1"/>
    <xf numFmtId="49" fontId="13" fillId="0" borderId="16" xfId="0" applyNumberFormat="1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3" fontId="13" fillId="0" borderId="16" xfId="0" applyNumberFormat="1" applyFont="1" applyBorder="1"/>
    <xf numFmtId="3" fontId="7" fillId="0" borderId="16" xfId="0" applyNumberFormat="1" applyFont="1" applyBorder="1"/>
    <xf numFmtId="3" fontId="13" fillId="0" borderId="17" xfId="0" applyNumberFormat="1" applyFont="1" applyBorder="1"/>
    <xf numFmtId="0" fontId="14" fillId="0" borderId="16" xfId="0" applyFont="1" applyBorder="1"/>
    <xf numFmtId="49" fontId="14" fillId="0" borderId="16" xfId="0" applyNumberFormat="1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3" fontId="14" fillId="0" borderId="16" xfId="0" applyNumberFormat="1" applyFont="1" applyBorder="1"/>
    <xf numFmtId="3" fontId="1" fillId="0" borderId="16" xfId="0" applyNumberFormat="1" applyFont="1" applyBorder="1"/>
    <xf numFmtId="3" fontId="14" fillId="0" borderId="17" xfId="0" applyNumberFormat="1" applyFont="1" applyBorder="1"/>
    <xf numFmtId="0" fontId="12" fillId="41" borderId="16" xfId="0" applyFont="1" applyFill="1" applyBorder="1"/>
    <xf numFmtId="0" fontId="12" fillId="41" borderId="16" xfId="0" applyFont="1" applyFill="1" applyBorder="1" applyAlignment="1">
      <alignment horizontal="center"/>
    </xf>
    <xf numFmtId="3" fontId="12" fillId="41" borderId="16" xfId="0" applyNumberFormat="1" applyFont="1" applyFill="1" applyBorder="1"/>
    <xf numFmtId="3" fontId="12" fillId="41" borderId="17" xfId="0" applyNumberFormat="1" applyFont="1" applyFill="1" applyBorder="1"/>
    <xf numFmtId="0" fontId="4" fillId="0" borderId="16" xfId="0" applyFont="1" applyBorder="1"/>
    <xf numFmtId="49" fontId="4" fillId="0" borderId="16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3" fontId="4" fillId="0" borderId="16" xfId="0" applyNumberFormat="1" applyFont="1" applyBorder="1"/>
    <xf numFmtId="3" fontId="4" fillId="0" borderId="17" xfId="0" applyNumberFormat="1" applyFont="1" applyBorder="1"/>
    <xf numFmtId="0" fontId="12" fillId="5" borderId="16" xfId="0" applyFont="1" applyFill="1" applyBorder="1"/>
    <xf numFmtId="0" fontId="12" fillId="5" borderId="16" xfId="0" applyFont="1" applyFill="1" applyBorder="1" applyAlignment="1">
      <alignment horizontal="center"/>
    </xf>
    <xf numFmtId="3" fontId="12" fillId="5" borderId="16" xfId="0" applyNumberFormat="1" applyFont="1" applyFill="1" applyBorder="1"/>
    <xf numFmtId="3" fontId="12" fillId="5" borderId="17" xfId="0" applyNumberFormat="1" applyFont="1" applyFill="1" applyBorder="1"/>
    <xf numFmtId="0" fontId="1" fillId="0" borderId="18" xfId="0" applyFont="1" applyBorder="1" applyAlignment="1">
      <alignment horizontal="center" vertical="center"/>
    </xf>
    <xf numFmtId="0" fontId="14" fillId="0" borderId="19" xfId="0" applyFont="1" applyBorder="1"/>
    <xf numFmtId="49" fontId="14" fillId="0" borderId="19" xfId="0" applyNumberFormat="1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3" fontId="14" fillId="0" borderId="19" xfId="0" applyNumberFormat="1" applyFont="1" applyBorder="1"/>
    <xf numFmtId="3" fontId="14" fillId="0" borderId="20" xfId="0" applyNumberFormat="1" applyFont="1" applyBorder="1"/>
    <xf numFmtId="0" fontId="15" fillId="0" borderId="16" xfId="0" applyFont="1" applyBorder="1"/>
    <xf numFmtId="3" fontId="1" fillId="0" borderId="7" xfId="0" applyNumberFormat="1" applyFont="1" applyBorder="1"/>
    <xf numFmtId="0" fontId="12" fillId="5" borderId="7" xfId="0" applyFont="1" applyFill="1" applyBorder="1"/>
    <xf numFmtId="0" fontId="12" fillId="5" borderId="7" xfId="0" applyFont="1" applyFill="1" applyBorder="1" applyAlignment="1">
      <alignment horizontal="center"/>
    </xf>
    <xf numFmtId="3" fontId="12" fillId="5" borderId="7" xfId="0" applyNumberFormat="1" applyFont="1" applyFill="1" applyBorder="1"/>
    <xf numFmtId="3" fontId="7" fillId="5" borderId="7" xfId="0" applyNumberFormat="1" applyFont="1" applyFill="1" applyBorder="1"/>
    <xf numFmtId="3" fontId="12" fillId="5" borderId="9" xfId="0" applyNumberFormat="1" applyFont="1" applyFill="1" applyBorder="1"/>
    <xf numFmtId="49" fontId="4" fillId="0" borderId="7" xfId="0" applyNumberFormat="1" applyFont="1" applyBorder="1" applyAlignment="1">
      <alignment horizontal="center"/>
    </xf>
    <xf numFmtId="0" fontId="14" fillId="42" borderId="7" xfId="0" applyFont="1" applyFill="1" applyBorder="1"/>
    <xf numFmtId="49" fontId="14" fillId="42" borderId="7" xfId="0" applyNumberFormat="1" applyFont="1" applyFill="1" applyBorder="1" applyAlignment="1">
      <alignment horizontal="center"/>
    </xf>
    <xf numFmtId="0" fontId="14" fillId="42" borderId="7" xfId="0" applyFont="1" applyFill="1" applyBorder="1" applyAlignment="1">
      <alignment horizontal="center"/>
    </xf>
    <xf numFmtId="3" fontId="14" fillId="42" borderId="7" xfId="0" applyNumberFormat="1" applyFont="1" applyFill="1" applyBorder="1"/>
    <xf numFmtId="3" fontId="14" fillId="42" borderId="9" xfId="0" applyNumberFormat="1" applyFont="1" applyFill="1" applyBorder="1"/>
    <xf numFmtId="0" fontId="13" fillId="6" borderId="7" xfId="0" applyFont="1" applyFill="1" applyBorder="1"/>
    <xf numFmtId="0" fontId="13" fillId="6" borderId="7" xfId="0" applyFont="1" applyFill="1" applyBorder="1" applyAlignment="1">
      <alignment horizontal="center"/>
    </xf>
    <xf numFmtId="3" fontId="13" fillId="6" borderId="7" xfId="0" applyNumberFormat="1" applyFont="1" applyFill="1" applyBorder="1"/>
    <xf numFmtId="3" fontId="7" fillId="6" borderId="7" xfId="0" applyNumberFormat="1" applyFont="1" applyFill="1" applyBorder="1"/>
    <xf numFmtId="3" fontId="13" fillId="6" borderId="9" xfId="0" applyNumberFormat="1" applyFont="1" applyFill="1" applyBorder="1"/>
    <xf numFmtId="0" fontId="13" fillId="43" borderId="7" xfId="0" applyFont="1" applyFill="1" applyBorder="1"/>
    <xf numFmtId="49" fontId="13" fillId="43" borderId="7" xfId="0" applyNumberFormat="1" applyFont="1" applyFill="1" applyBorder="1" applyAlignment="1">
      <alignment horizontal="center"/>
    </xf>
    <xf numFmtId="0" fontId="13" fillId="43" borderId="7" xfId="0" applyFont="1" applyFill="1" applyBorder="1" applyAlignment="1">
      <alignment horizontal="center"/>
    </xf>
    <xf numFmtId="3" fontId="13" fillId="43" borderId="7" xfId="0" applyNumberFormat="1" applyFont="1" applyFill="1" applyBorder="1"/>
    <xf numFmtId="3" fontId="7" fillId="43" borderId="7" xfId="0" applyNumberFormat="1" applyFont="1" applyFill="1" applyBorder="1"/>
    <xf numFmtId="3" fontId="13" fillId="43" borderId="9" xfId="0" applyNumberFormat="1" applyFont="1" applyFill="1" applyBorder="1"/>
    <xf numFmtId="0" fontId="14" fillId="0" borderId="0" xfId="0" applyFont="1"/>
    <xf numFmtId="0" fontId="14" fillId="0" borderId="21" xfId="0" applyFont="1" applyBorder="1"/>
    <xf numFmtId="3" fontId="14" fillId="0" borderId="21" xfId="0" applyNumberFormat="1" applyFont="1" applyBorder="1"/>
    <xf numFmtId="3" fontId="13" fillId="0" borderId="21" xfId="0" applyNumberFormat="1" applyFont="1" applyBorder="1"/>
    <xf numFmtId="3" fontId="13" fillId="0" borderId="22" xfId="0" applyNumberFormat="1" applyFont="1" applyBorder="1"/>
    <xf numFmtId="3" fontId="4" fillId="0" borderId="23" xfId="0" applyNumberFormat="1" applyFont="1" applyBorder="1"/>
    <xf numFmtId="0" fontId="15" fillId="0" borderId="7" xfId="0" applyFont="1" applyBorder="1" applyAlignment="1">
      <alignment horizontal="center"/>
    </xf>
    <xf numFmtId="0" fontId="14" fillId="40" borderId="7" xfId="0" applyFont="1" applyFill="1" applyBorder="1" applyAlignment="1">
      <alignment horizontal="center"/>
    </xf>
    <xf numFmtId="0" fontId="14" fillId="40" borderId="7" xfId="0" applyFont="1" applyFill="1" applyBorder="1"/>
    <xf numFmtId="3" fontId="14" fillId="40" borderId="9" xfId="0" applyNumberFormat="1" applyFont="1" applyFill="1" applyBorder="1"/>
    <xf numFmtId="3" fontId="4" fillId="0" borderId="24" xfId="0" applyNumberFormat="1" applyFont="1" applyBorder="1"/>
    <xf numFmtId="3" fontId="10" fillId="3" borderId="24" xfId="0" applyNumberFormat="1" applyFont="1" applyFill="1" applyBorder="1"/>
    <xf numFmtId="3" fontId="10" fillId="3" borderId="25" xfId="0" applyNumberFormat="1" applyFont="1" applyFill="1" applyBorder="1"/>
    <xf numFmtId="3" fontId="10" fillId="3" borderId="26" xfId="0" applyNumberFormat="1" applyFont="1" applyFill="1" applyBorder="1"/>
    <xf numFmtId="0" fontId="13" fillId="0" borderId="27" xfId="0" applyFont="1" applyBorder="1"/>
    <xf numFmtId="0" fontId="13" fillId="0" borderId="14" xfId="0" applyFont="1" applyBorder="1"/>
    <xf numFmtId="49" fontId="13" fillId="0" borderId="14" xfId="0" applyNumberFormat="1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4" fillId="0" borderId="27" xfId="0" applyFont="1" applyBorder="1"/>
    <xf numFmtId="0" fontId="14" fillId="0" borderId="14" xfId="0" applyFont="1" applyBorder="1"/>
    <xf numFmtId="0" fontId="14" fillId="0" borderId="14" xfId="0" applyFont="1" applyBorder="1" applyAlignment="1">
      <alignment horizontal="center"/>
    </xf>
    <xf numFmtId="3" fontId="14" fillId="0" borderId="14" xfId="0" applyNumberFormat="1" applyFont="1" applyBorder="1"/>
    <xf numFmtId="0" fontId="4" fillId="0" borderId="14" xfId="0" applyFont="1" applyBorder="1"/>
    <xf numFmtId="0" fontId="13" fillId="0" borderId="28" xfId="0" applyFont="1" applyBorder="1"/>
    <xf numFmtId="0" fontId="13" fillId="0" borderId="29" xfId="0" applyFont="1" applyBorder="1"/>
    <xf numFmtId="49" fontId="13" fillId="0" borderId="29" xfId="0" applyNumberFormat="1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4" fillId="0" borderId="29" xfId="0" applyFont="1" applyBorder="1"/>
    <xf numFmtId="3" fontId="4" fillId="0" borderId="29" xfId="0" applyNumberFormat="1" applyFont="1" applyBorder="1"/>
    <xf numFmtId="0" fontId="2" fillId="0" borderId="27" xfId="0" applyFont="1" applyBorder="1"/>
    <xf numFmtId="0" fontId="2" fillId="0" borderId="14" xfId="0" applyFont="1" applyBorder="1"/>
    <xf numFmtId="0" fontId="13" fillId="0" borderId="30" xfId="0" applyFont="1" applyBorder="1"/>
    <xf numFmtId="0" fontId="13" fillId="0" borderId="31" xfId="0" applyFont="1" applyBorder="1"/>
    <xf numFmtId="49" fontId="13" fillId="0" borderId="31" xfId="0" applyNumberFormat="1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4" fillId="0" borderId="31" xfId="0" applyFont="1" applyBorder="1"/>
    <xf numFmtId="0" fontId="4" fillId="0" borderId="24" xfId="0" applyFont="1" applyBorder="1"/>
    <xf numFmtId="0" fontId="1" fillId="0" borderId="3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/>
    </xf>
    <xf numFmtId="0" fontId="15" fillId="0" borderId="0" xfId="0" applyFont="1"/>
    <xf numFmtId="0" fontId="13" fillId="0" borderId="21" xfId="0" applyFont="1" applyBorder="1"/>
    <xf numFmtId="49" fontId="13" fillId="0" borderId="21" xfId="0" applyNumberFormat="1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0" fontId="13" fillId="0" borderId="34" xfId="0" applyFont="1" applyBorder="1"/>
    <xf numFmtId="49" fontId="13" fillId="0" borderId="34" xfId="0" applyNumberFormat="1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3" fontId="13" fillId="0" borderId="34" xfId="0" applyNumberFormat="1" applyFont="1" applyBorder="1"/>
    <xf numFmtId="3" fontId="13" fillId="0" borderId="23" xfId="0" applyNumberFormat="1" applyFont="1" applyBorder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9" fillId="44" borderId="35" xfId="0" applyFont="1" applyFill="1" applyBorder="1"/>
    <xf numFmtId="3" fontId="19" fillId="44" borderId="35" xfId="0" applyNumberFormat="1" applyFont="1" applyFill="1" applyBorder="1"/>
    <xf numFmtId="0" fontId="12" fillId="45" borderId="36" xfId="0" applyFont="1" applyFill="1" applyBorder="1" applyAlignment="1">
      <alignment vertical="center"/>
    </xf>
    <xf numFmtId="3" fontId="12" fillId="45" borderId="36" xfId="0" applyNumberFormat="1" applyFont="1" applyFill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17" fillId="46" borderId="37" xfId="0" applyFont="1" applyFill="1" applyBorder="1"/>
    <xf numFmtId="3" fontId="17" fillId="46" borderId="37" xfId="0" applyNumberFormat="1" applyFont="1" applyFill="1" applyBorder="1"/>
    <xf numFmtId="0" fontId="17" fillId="46" borderId="7" xfId="0" applyFont="1" applyFill="1" applyBorder="1"/>
    <xf numFmtId="3" fontId="17" fillId="46" borderId="7" xfId="0" applyNumberFormat="1" applyFont="1" applyFill="1" applyBorder="1"/>
    <xf numFmtId="0" fontId="14" fillId="0" borderId="38" xfId="0" applyFont="1" applyBorder="1"/>
    <xf numFmtId="0" fontId="14" fillId="0" borderId="29" xfId="0" applyFont="1" applyBorder="1"/>
    <xf numFmtId="3" fontId="14" fillId="0" borderId="29" xfId="0" applyNumberFormat="1" applyFont="1" applyBorder="1"/>
    <xf numFmtId="0" fontId="19" fillId="44" borderId="29" xfId="0" applyFont="1" applyFill="1" applyBorder="1"/>
    <xf numFmtId="3" fontId="19" fillId="44" borderId="29" xfId="0" applyNumberFormat="1" applyFont="1" applyFill="1" applyBorder="1"/>
    <xf numFmtId="0" fontId="12" fillId="45" borderId="39" xfId="0" applyFont="1" applyFill="1" applyBorder="1"/>
    <xf numFmtId="3" fontId="12" fillId="45" borderId="39" xfId="0" applyNumberFormat="1" applyFont="1" applyFill="1" applyBorder="1"/>
    <xf numFmtId="0" fontId="17" fillId="46" borderId="40" xfId="0" applyFont="1" applyFill="1" applyBorder="1"/>
    <xf numFmtId="3" fontId="17" fillId="46" borderId="40" xfId="0" applyNumberFormat="1" applyFont="1" applyFill="1" applyBorder="1"/>
    <xf numFmtId="0" fontId="17" fillId="46" borderId="14" xfId="0" applyFont="1" applyFill="1" applyBorder="1"/>
    <xf numFmtId="3" fontId="17" fillId="46" borderId="14" xfId="0" applyNumberFormat="1" applyFont="1" applyFill="1" applyBorder="1"/>
    <xf numFmtId="3" fontId="14" fillId="40" borderId="14" xfId="0" applyNumberFormat="1" applyFont="1" applyFill="1" applyBorder="1"/>
    <xf numFmtId="0" fontId="14" fillId="0" borderId="14" xfId="0" applyFont="1" applyBorder="1" applyAlignment="1">
      <alignment vertical="center"/>
    </xf>
    <xf numFmtId="0" fontId="17" fillId="46" borderId="14" xfId="0" applyFont="1" applyFill="1" applyBorder="1" applyAlignment="1">
      <alignment wrapText="1"/>
    </xf>
    <xf numFmtId="3" fontId="17" fillId="46" borderId="14" xfId="0" applyNumberFormat="1" applyFont="1" applyFill="1" applyBorder="1" applyAlignment="1">
      <alignment vertical="center"/>
    </xf>
    <xf numFmtId="0" fontId="12" fillId="45" borderId="41" xfId="0" applyFont="1" applyFill="1" applyBorder="1"/>
    <xf numFmtId="3" fontId="12" fillId="45" borderId="41" xfId="0" applyNumberFormat="1" applyFont="1" applyFill="1" applyBorder="1"/>
    <xf numFmtId="0" fontId="14" fillId="0" borderId="42" xfId="0" applyFont="1" applyBorder="1"/>
    <xf numFmtId="3" fontId="14" fillId="0" borderId="42" xfId="0" applyNumberFormat="1" applyFont="1" applyBorder="1"/>
    <xf numFmtId="0" fontId="14" fillId="47" borderId="14" xfId="0" applyFont="1" applyFill="1" applyBorder="1"/>
    <xf numFmtId="3" fontId="14" fillId="47" borderId="14" xfId="0" applyNumberFormat="1" applyFont="1" applyFill="1" applyBorder="1"/>
    <xf numFmtId="0" fontId="14" fillId="47" borderId="14" xfId="0" applyFont="1" applyFill="1" applyBorder="1" applyAlignment="1">
      <alignment vertical="center"/>
    </xf>
    <xf numFmtId="0" fontId="14" fillId="47" borderId="14" xfId="0" applyFont="1" applyFill="1" applyBorder="1" applyAlignment="1">
      <alignment vertical="center" wrapText="1"/>
    </xf>
    <xf numFmtId="3" fontId="14" fillId="47" borderId="14" xfId="0" applyNumberFormat="1" applyFont="1" applyFill="1" applyBorder="1" applyAlignment="1">
      <alignment vertical="center"/>
    </xf>
    <xf numFmtId="0" fontId="15" fillId="0" borderId="14" xfId="0" applyFont="1" applyBorder="1"/>
    <xf numFmtId="3" fontId="14" fillId="40" borderId="14" xfId="0" applyNumberFormat="1" applyFont="1" applyFill="1" applyBorder="1" applyAlignment="1">
      <alignment vertical="center"/>
    </xf>
    <xf numFmtId="0" fontId="15" fillId="0" borderId="29" xfId="0" applyFont="1" applyBorder="1" applyAlignment="1">
      <alignment vertical="center"/>
    </xf>
    <xf numFmtId="0" fontId="14" fillId="47" borderId="40" xfId="0" applyFont="1" applyFill="1" applyBorder="1" applyAlignment="1">
      <alignment vertical="center"/>
    </xf>
    <xf numFmtId="0" fontId="14" fillId="47" borderId="40" xfId="0" applyFont="1" applyFill="1" applyBorder="1" applyAlignment="1">
      <alignment vertical="center" wrapText="1"/>
    </xf>
    <xf numFmtId="3" fontId="14" fillId="47" borderId="40" xfId="0" applyNumberFormat="1" applyFont="1" applyFill="1" applyBorder="1" applyAlignment="1">
      <alignment vertical="center"/>
    </xf>
    <xf numFmtId="0" fontId="14" fillId="0" borderId="29" xfId="0" applyFont="1" applyBorder="1" applyAlignment="1">
      <alignment vertical="center"/>
    </xf>
    <xf numFmtId="3" fontId="14" fillId="0" borderId="29" xfId="0" applyNumberFormat="1" applyFont="1" applyBorder="1" applyAlignment="1">
      <alignment vertical="center"/>
    </xf>
    <xf numFmtId="0" fontId="12" fillId="45" borderId="41" xfId="0" applyFont="1" applyFill="1" applyBorder="1" applyAlignment="1">
      <alignment vertical="center"/>
    </xf>
    <xf numFmtId="3" fontId="12" fillId="45" borderId="41" xfId="0" applyNumberFormat="1" applyFont="1" applyFill="1" applyBorder="1" applyAlignment="1">
      <alignment vertical="center"/>
    </xf>
    <xf numFmtId="0" fontId="22" fillId="2" borderId="43" xfId="0" applyFont="1" applyFill="1" applyBorder="1" applyAlignment="1">
      <alignment vertical="center"/>
    </xf>
    <xf numFmtId="3" fontId="23" fillId="2" borderId="43" xfId="0" applyNumberFormat="1" applyFont="1" applyFill="1" applyBorder="1" applyAlignment="1">
      <alignment vertical="center"/>
    </xf>
    <xf numFmtId="0" fontId="1" fillId="0" borderId="44" xfId="0" applyFont="1" applyBorder="1" applyAlignment="1">
      <alignment horizontal="center"/>
    </xf>
    <xf numFmtId="0" fontId="19" fillId="44" borderId="45" xfId="0" applyFont="1" applyFill="1" applyBorder="1"/>
    <xf numFmtId="3" fontId="19" fillId="44" borderId="45" xfId="0" applyNumberFormat="1" applyFont="1" applyFill="1" applyBorder="1"/>
    <xf numFmtId="0" fontId="1" fillId="0" borderId="46" xfId="0" applyFont="1" applyBorder="1" applyAlignment="1">
      <alignment horizontal="center"/>
    </xf>
    <xf numFmtId="0" fontId="12" fillId="45" borderId="36" xfId="0" applyFont="1" applyFill="1" applyBorder="1"/>
    <xf numFmtId="3" fontId="12" fillId="45" borderId="36" xfId="0" applyNumberFormat="1" applyFont="1" applyFill="1" applyBorder="1"/>
    <xf numFmtId="0" fontId="19" fillId="44" borderId="21" xfId="0" applyFont="1" applyFill="1" applyBorder="1"/>
    <xf numFmtId="3" fontId="19" fillId="44" borderId="21" xfId="0" applyNumberFormat="1" applyFont="1" applyFill="1" applyBorder="1"/>
    <xf numFmtId="0" fontId="14" fillId="47" borderId="7" xfId="0" applyFont="1" applyFill="1" applyBorder="1"/>
    <xf numFmtId="3" fontId="14" fillId="47" borderId="7" xfId="0" applyNumberFormat="1" applyFont="1" applyFill="1" applyBorder="1"/>
    <xf numFmtId="0" fontId="15" fillId="0" borderId="37" xfId="0" applyFont="1" applyBorder="1"/>
    <xf numFmtId="0" fontId="14" fillId="0" borderId="37" xfId="0" applyFont="1" applyBorder="1" applyAlignment="1">
      <alignment vertical="center" wrapText="1"/>
    </xf>
    <xf numFmtId="3" fontId="14" fillId="0" borderId="37" xfId="0" applyNumberFormat="1" applyFont="1" applyBorder="1" applyAlignment="1">
      <alignment vertical="center"/>
    </xf>
    <xf numFmtId="0" fontId="22" fillId="2" borderId="12" xfId="0" applyFont="1" applyFill="1" applyBorder="1" applyAlignment="1">
      <alignment vertical="center"/>
    </xf>
    <xf numFmtId="3" fontId="22" fillId="2" borderId="12" xfId="0" applyNumberFormat="1" applyFont="1" applyFill="1" applyBorder="1" applyAlignment="1">
      <alignment vertical="center"/>
    </xf>
    <xf numFmtId="0" fontId="52" fillId="0" borderId="8" xfId="0" applyFont="1" applyBorder="1" applyAlignment="1">
      <alignment horizontal="center" vertical="center"/>
    </xf>
    <xf numFmtId="0" fontId="22" fillId="48" borderId="7" xfId="0" applyFont="1" applyFill="1" applyBorder="1" applyAlignment="1">
      <alignment vertical="center"/>
    </xf>
    <xf numFmtId="3" fontId="22" fillId="48" borderId="7" xfId="0" applyNumberFormat="1" applyFont="1" applyFill="1" applyBorder="1" applyAlignment="1">
      <alignment vertical="center"/>
    </xf>
    <xf numFmtId="0" fontId="52" fillId="0" borderId="11" xfId="0" applyFont="1" applyBorder="1" applyAlignment="1">
      <alignment horizontal="center"/>
    </xf>
    <xf numFmtId="0" fontId="53" fillId="49" borderId="12" xfId="0" applyFont="1" applyFill="1" applyBorder="1"/>
    <xf numFmtId="3" fontId="53" fillId="49" borderId="12" xfId="0" applyNumberFormat="1" applyFont="1" applyFill="1" applyBorder="1"/>
    <xf numFmtId="3" fontId="18" fillId="0" borderId="0" xfId="0" applyNumberFormat="1" applyFont="1"/>
    <xf numFmtId="3" fontId="18" fillId="0" borderId="0" xfId="0" applyNumberFormat="1" applyFont="1" applyAlignment="1">
      <alignment vertical="center"/>
    </xf>
    <xf numFmtId="3" fontId="2" fillId="0" borderId="15" xfId="0" applyNumberFormat="1" applyFont="1" applyBorder="1"/>
    <xf numFmtId="3" fontId="2" fillId="0" borderId="16" xfId="0" applyNumberFormat="1" applyFont="1" applyBorder="1"/>
    <xf numFmtId="3" fontId="1" fillId="0" borderId="15" xfId="0" applyNumberFormat="1" applyFont="1" applyBorder="1" applyAlignment="1">
      <alignment horizontal="center"/>
    </xf>
    <xf numFmtId="3" fontId="12" fillId="50" borderId="16" xfId="0" applyNumberFormat="1" applyFont="1" applyFill="1" applyBorder="1"/>
    <xf numFmtId="3" fontId="12" fillId="51" borderId="16" xfId="0" applyNumberFormat="1" applyFont="1" applyFill="1" applyBorder="1"/>
    <xf numFmtId="3" fontId="12" fillId="0" borderId="16" xfId="0" applyNumberFormat="1" applyFont="1" applyBorder="1"/>
    <xf numFmtId="3" fontId="24" fillId="0" borderId="16" xfId="0" applyNumberFormat="1" applyFont="1" applyBorder="1"/>
    <xf numFmtId="3" fontId="16" fillId="0" borderId="16" xfId="0" applyNumberFormat="1" applyFont="1" applyBorder="1"/>
    <xf numFmtId="3" fontId="1" fillId="0" borderId="15" xfId="0" applyNumberFormat="1" applyFont="1" applyBorder="1" applyAlignment="1">
      <alignment horizontal="center" vertical="center"/>
    </xf>
    <xf numFmtId="3" fontId="12" fillId="50" borderId="16" xfId="0" applyNumberFormat="1" applyFont="1" applyFill="1" applyBorder="1" applyAlignment="1">
      <alignment vertical="center"/>
    </xf>
    <xf numFmtId="3" fontId="12" fillId="51" borderId="16" xfId="0" applyNumberFormat="1" applyFont="1" applyFill="1" applyBorder="1" applyAlignment="1">
      <alignment vertical="center"/>
    </xf>
    <xf numFmtId="3" fontId="12" fillId="0" borderId="16" xfId="0" applyNumberFormat="1" applyFont="1" applyBorder="1" applyAlignment="1">
      <alignment vertical="center"/>
    </xf>
    <xf numFmtId="3" fontId="1" fillId="0" borderId="18" xfId="0" applyNumberFormat="1" applyFont="1" applyBorder="1" applyAlignment="1">
      <alignment horizontal="center" vertical="center"/>
    </xf>
    <xf numFmtId="3" fontId="12" fillId="50" borderId="19" xfId="0" applyNumberFormat="1" applyFont="1" applyFill="1" applyBorder="1" applyAlignment="1">
      <alignment vertical="center"/>
    </xf>
    <xf numFmtId="3" fontId="12" fillId="0" borderId="19" xfId="0" applyNumberFormat="1" applyFont="1" applyBorder="1" applyAlignment="1">
      <alignment vertical="center"/>
    </xf>
    <xf numFmtId="3" fontId="12" fillId="51" borderId="19" xfId="0" applyNumberFormat="1" applyFont="1" applyFill="1" applyBorder="1" applyAlignment="1">
      <alignment vertical="center"/>
    </xf>
    <xf numFmtId="3" fontId="18" fillId="0" borderId="16" xfId="0" applyNumberFormat="1" applyFont="1" applyBorder="1"/>
    <xf numFmtId="3" fontId="4" fillId="4" borderId="47" xfId="0" applyNumberFormat="1" applyFont="1" applyFill="1" applyBorder="1"/>
    <xf numFmtId="3" fontId="4" fillId="4" borderId="48" xfId="0" applyNumberFormat="1" applyFont="1" applyFill="1" applyBorder="1"/>
    <xf numFmtId="3" fontId="18" fillId="0" borderId="49" xfId="0" applyNumberFormat="1" applyFont="1" applyBorder="1" applyAlignment="1">
      <alignment vertical="center"/>
    </xf>
    <xf numFmtId="3" fontId="12" fillId="52" borderId="49" xfId="0" applyNumberFormat="1" applyFont="1" applyFill="1" applyBorder="1" applyAlignment="1">
      <alignment vertical="center"/>
    </xf>
    <xf numFmtId="3" fontId="2" fillId="40" borderId="0" xfId="0" applyNumberFormat="1" applyFont="1" applyFill="1"/>
    <xf numFmtId="3" fontId="11" fillId="0" borderId="7" xfId="0" applyNumberFormat="1" applyFont="1" applyBorder="1"/>
    <xf numFmtId="0" fontId="14" fillId="0" borderId="50" xfId="0" applyFont="1" applyBorder="1"/>
    <xf numFmtId="0" fontId="14" fillId="0" borderId="42" xfId="0" applyFont="1" applyBorder="1" applyAlignment="1">
      <alignment wrapText="1"/>
    </xf>
    <xf numFmtId="3" fontId="12" fillId="40" borderId="16" xfId="0" applyNumberFormat="1" applyFont="1" applyFill="1" applyBorder="1"/>
    <xf numFmtId="3" fontId="12" fillId="53" borderId="16" xfId="0" applyNumberFormat="1" applyFont="1" applyFill="1" applyBorder="1"/>
    <xf numFmtId="49" fontId="14" fillId="0" borderId="27" xfId="0" applyNumberFormat="1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5" fillId="0" borderId="27" xfId="0" applyFont="1" applyBorder="1"/>
    <xf numFmtId="0" fontId="14" fillId="0" borderId="51" xfId="0" applyFont="1" applyBorder="1" applyAlignment="1">
      <alignment vertical="center" wrapText="1"/>
    </xf>
    <xf numFmtId="0" fontId="54" fillId="0" borderId="0" xfId="0" applyFont="1"/>
    <xf numFmtId="3" fontId="4" fillId="40" borderId="7" xfId="0" applyNumberFormat="1" applyFont="1" applyFill="1" applyBorder="1"/>
    <xf numFmtId="3" fontId="13" fillId="40" borderId="14" xfId="0" applyNumberFormat="1" applyFont="1" applyFill="1" applyBorder="1"/>
    <xf numFmtId="0" fontId="14" fillId="0" borderId="34" xfId="0" applyFont="1" applyBorder="1"/>
    <xf numFmtId="49" fontId="14" fillId="0" borderId="34" xfId="0" applyNumberFormat="1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3" fontId="14" fillId="0" borderId="34" xfId="0" applyNumberFormat="1" applyFont="1" applyBorder="1"/>
    <xf numFmtId="3" fontId="14" fillId="0" borderId="23" xfId="0" applyNumberFormat="1" applyFont="1" applyBorder="1"/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horizontal="justify" vertical="center"/>
    </xf>
    <xf numFmtId="0" fontId="10" fillId="3" borderId="52" xfId="0" applyFont="1" applyFill="1" applyBorder="1"/>
    <xf numFmtId="3" fontId="10" fillId="3" borderId="37" xfId="0" applyNumberFormat="1" applyFont="1" applyFill="1" applyBorder="1"/>
    <xf numFmtId="3" fontId="13" fillId="0" borderId="14" xfId="0" applyNumberFormat="1" applyFont="1" applyBorder="1"/>
    <xf numFmtId="3" fontId="4" fillId="0" borderId="31" xfId="0" applyNumberFormat="1" applyFont="1" applyBorder="1"/>
    <xf numFmtId="3" fontId="12" fillId="44" borderId="53" xfId="0" applyNumberFormat="1" applyFont="1" applyFill="1" applyBorder="1" applyAlignment="1">
      <alignment vertical="center"/>
    </xf>
    <xf numFmtId="3" fontId="12" fillId="44" borderId="54" xfId="0" applyNumberFormat="1" applyFont="1" applyFill="1" applyBorder="1" applyAlignment="1">
      <alignment vertical="center"/>
    </xf>
    <xf numFmtId="3" fontId="12" fillId="44" borderId="55" xfId="0" applyNumberFormat="1" applyFont="1" applyFill="1" applyBorder="1" applyAlignment="1">
      <alignment vertical="center"/>
    </xf>
    <xf numFmtId="3" fontId="1" fillId="0" borderId="56" xfId="0" applyNumberFormat="1" applyFont="1" applyBorder="1" applyAlignment="1">
      <alignment horizontal="center"/>
    </xf>
    <xf numFmtId="3" fontId="12" fillId="0" borderId="57" xfId="0" applyNumberFormat="1" applyFont="1" applyBorder="1"/>
    <xf numFmtId="3" fontId="1" fillId="0" borderId="56" xfId="0" applyNumberFormat="1" applyFont="1" applyBorder="1" applyAlignment="1">
      <alignment horizontal="center" vertical="center"/>
    </xf>
    <xf numFmtId="3" fontId="4" fillId="4" borderId="47" xfId="0" applyNumberFormat="1" applyFont="1" applyFill="1" applyBorder="1" applyAlignment="1">
      <alignment vertical="center" wrapText="1"/>
    </xf>
    <xf numFmtId="3" fontId="4" fillId="4" borderId="48" xfId="0" applyNumberFormat="1" applyFont="1" applyFill="1" applyBorder="1" applyAlignment="1">
      <alignment vertical="center"/>
    </xf>
    <xf numFmtId="3" fontId="12" fillId="0" borderId="57" xfId="0" applyNumberFormat="1" applyFont="1" applyBorder="1" applyAlignment="1">
      <alignment vertical="center"/>
    </xf>
    <xf numFmtId="3" fontId="1" fillId="0" borderId="58" xfId="0" applyNumberFormat="1" applyFont="1" applyBorder="1" applyAlignment="1">
      <alignment horizontal="center"/>
    </xf>
    <xf numFmtId="3" fontId="4" fillId="4" borderId="59" xfId="0" applyNumberFormat="1" applyFont="1" applyFill="1" applyBorder="1"/>
    <xf numFmtId="3" fontId="4" fillId="4" borderId="60" xfId="0" applyNumberFormat="1" applyFont="1" applyFill="1" applyBorder="1"/>
    <xf numFmtId="3" fontId="12" fillId="0" borderId="61" xfId="0" applyNumberFormat="1" applyFont="1" applyBorder="1"/>
    <xf numFmtId="3" fontId="12" fillId="0" borderId="62" xfId="0" applyNumberFormat="1" applyFont="1" applyBorder="1"/>
    <xf numFmtId="3" fontId="12" fillId="0" borderId="62" xfId="0" applyNumberFormat="1" applyFont="1" applyBorder="1" applyAlignment="1">
      <alignment vertical="center"/>
    </xf>
    <xf numFmtId="3" fontId="12" fillId="0" borderId="63" xfId="0" applyNumberFormat="1" applyFont="1" applyBorder="1"/>
    <xf numFmtId="3" fontId="12" fillId="0" borderId="48" xfId="0" applyNumberFormat="1" applyFont="1" applyBorder="1"/>
    <xf numFmtId="3" fontId="12" fillId="0" borderId="48" xfId="0" applyNumberFormat="1" applyFont="1" applyBorder="1" applyAlignment="1">
      <alignment vertical="center"/>
    </xf>
    <xf numFmtId="3" fontId="12" fillId="0" borderId="60" xfId="0" applyNumberFormat="1" applyFont="1" applyBorder="1"/>
    <xf numFmtId="0" fontId="15" fillId="0" borderId="64" xfId="0" applyFont="1" applyBorder="1"/>
    <xf numFmtId="0" fontId="4" fillId="0" borderId="64" xfId="0" applyFont="1" applyBorder="1" applyAlignment="1">
      <alignment horizontal="center"/>
    </xf>
    <xf numFmtId="3" fontId="7" fillId="50" borderId="16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vertical="center"/>
    </xf>
    <xf numFmtId="3" fontId="10" fillId="0" borderId="7" xfId="0" applyNumberFormat="1" applyFont="1" applyBorder="1"/>
    <xf numFmtId="3" fontId="12" fillId="0" borderId="7" xfId="0" applyNumberFormat="1" applyFont="1" applyBorder="1"/>
    <xf numFmtId="3" fontId="4" fillId="0" borderId="64" xfId="0" applyNumberFormat="1" applyFont="1" applyBorder="1"/>
    <xf numFmtId="3" fontId="4" fillId="0" borderId="14" xfId="0" applyNumberFormat="1" applyFont="1" applyBorder="1"/>
    <xf numFmtId="3" fontId="10" fillId="0" borderId="37" xfId="0" applyNumberFormat="1" applyFont="1" applyBorder="1"/>
    <xf numFmtId="3" fontId="10" fillId="0" borderId="12" xfId="0" applyNumberFormat="1" applyFont="1" applyBorder="1"/>
    <xf numFmtId="3" fontId="55" fillId="0" borderId="7" xfId="0" applyNumberFormat="1" applyFont="1" applyBorder="1"/>
    <xf numFmtId="3" fontId="8" fillId="0" borderId="16" xfId="0" applyNumberFormat="1" applyFont="1" applyBorder="1" applyAlignment="1">
      <alignment vertical="center"/>
    </xf>
    <xf numFmtId="3" fontId="10" fillId="0" borderId="16" xfId="0" applyNumberFormat="1" applyFont="1" applyBorder="1"/>
    <xf numFmtId="3" fontId="56" fillId="0" borderId="7" xfId="0" applyNumberFormat="1" applyFont="1" applyBorder="1"/>
    <xf numFmtId="3" fontId="10" fillId="0" borderId="24" xfId="0" applyNumberFormat="1" applyFont="1" applyBorder="1"/>
    <xf numFmtId="3" fontId="57" fillId="0" borderId="7" xfId="0" applyNumberFormat="1" applyFont="1" applyBorder="1"/>
    <xf numFmtId="3" fontId="10" fillId="0" borderId="25" xfId="0" applyNumberFormat="1" applyFont="1" applyBorder="1"/>
    <xf numFmtId="3" fontId="9" fillId="0" borderId="7" xfId="0" applyNumberFormat="1" applyFont="1" applyBorder="1" applyAlignment="1">
      <alignment vertical="center"/>
    </xf>
    <xf numFmtId="3" fontId="11" fillId="0" borderId="16" xfId="0" applyNumberFormat="1" applyFont="1" applyBorder="1"/>
    <xf numFmtId="3" fontId="9" fillId="0" borderId="16" xfId="0" applyNumberFormat="1" applyFont="1" applyBorder="1" applyAlignment="1">
      <alignment vertical="center"/>
    </xf>
    <xf numFmtId="0" fontId="1" fillId="0" borderId="65" xfId="0" applyFont="1" applyBorder="1" applyAlignment="1">
      <alignment horizontal="center" vertical="center"/>
    </xf>
    <xf numFmtId="0" fontId="15" fillId="0" borderId="66" xfId="0" applyFont="1" applyBorder="1"/>
    <xf numFmtId="0" fontId="4" fillId="0" borderId="66" xfId="0" applyFont="1" applyBorder="1"/>
    <xf numFmtId="0" fontId="4" fillId="0" borderId="66" xfId="0" applyFont="1" applyBorder="1" applyAlignment="1">
      <alignment horizontal="center"/>
    </xf>
    <xf numFmtId="3" fontId="4" fillId="0" borderId="66" xfId="0" applyNumberFormat="1" applyFont="1" applyBorder="1"/>
    <xf numFmtId="3" fontId="4" fillId="0" borderId="67" xfId="0" applyNumberFormat="1" applyFont="1" applyBorder="1"/>
    <xf numFmtId="0" fontId="4" fillId="0" borderId="64" xfId="0" applyFont="1" applyBorder="1"/>
    <xf numFmtId="0" fontId="15" fillId="0" borderId="34" xfId="0" applyFont="1" applyBorder="1"/>
    <xf numFmtId="0" fontId="4" fillId="0" borderId="34" xfId="0" applyFont="1" applyBorder="1" applyAlignment="1">
      <alignment horizontal="center"/>
    </xf>
    <xf numFmtId="3" fontId="4" fillId="0" borderId="34" xfId="0" applyNumberFormat="1" applyFont="1" applyBorder="1"/>
    <xf numFmtId="3" fontId="14" fillId="0" borderId="68" xfId="0" applyNumberFormat="1" applyFont="1" applyBorder="1"/>
    <xf numFmtId="3" fontId="4" fillId="0" borderId="69" xfId="0" applyNumberFormat="1" applyFont="1" applyBorder="1"/>
    <xf numFmtId="3" fontId="13" fillId="0" borderId="68" xfId="0" applyNumberFormat="1" applyFont="1" applyBorder="1"/>
    <xf numFmtId="3" fontId="14" fillId="0" borderId="70" xfId="0" applyNumberFormat="1" applyFont="1" applyBorder="1"/>
    <xf numFmtId="0" fontId="13" fillId="0" borderId="28" xfId="0" applyFont="1" applyBorder="1" applyAlignment="1">
      <alignment vertical="center"/>
    </xf>
    <xf numFmtId="0" fontId="13" fillId="0" borderId="29" xfId="0" applyFont="1" applyBorder="1" applyAlignment="1">
      <alignment vertical="center"/>
    </xf>
    <xf numFmtId="49" fontId="13" fillId="0" borderId="29" xfId="0" applyNumberFormat="1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vertical="center" wrapText="1"/>
    </xf>
    <xf numFmtId="3" fontId="4" fillId="0" borderId="29" xfId="0" applyNumberFormat="1" applyFont="1" applyBorder="1" applyAlignment="1">
      <alignment vertical="center"/>
    </xf>
    <xf numFmtId="3" fontId="4" fillId="0" borderId="69" xfId="0" applyNumberFormat="1" applyFont="1" applyBorder="1" applyAlignment="1">
      <alignment vertical="center"/>
    </xf>
    <xf numFmtId="0" fontId="10" fillId="3" borderId="25" xfId="0" applyFont="1" applyFill="1" applyBorder="1"/>
    <xf numFmtId="0" fontId="10" fillId="3" borderId="24" xfId="0" applyFont="1" applyFill="1" applyBorder="1"/>
    <xf numFmtId="0" fontId="10" fillId="54" borderId="7" xfId="0" applyFont="1" applyFill="1" applyBorder="1"/>
    <xf numFmtId="0" fontId="10" fillId="3" borderId="16" xfId="0" applyFont="1" applyFill="1" applyBorder="1"/>
    <xf numFmtId="0" fontId="4" fillId="0" borderId="0" xfId="0" applyFont="1" applyAlignment="1">
      <alignment horizontal="justify" vertical="center" wrapText="1"/>
    </xf>
    <xf numFmtId="0" fontId="14" fillId="42" borderId="7" xfId="0" applyFont="1" applyFill="1" applyBorder="1" applyAlignment="1">
      <alignment wrapText="1"/>
    </xf>
    <xf numFmtId="0" fontId="4" fillId="0" borderId="34" xfId="0" applyFont="1" applyBorder="1" applyAlignment="1">
      <alignment wrapText="1"/>
    </xf>
    <xf numFmtId="3" fontId="4" fillId="4" borderId="71" xfId="0" applyNumberFormat="1" applyFont="1" applyFill="1" applyBorder="1"/>
    <xf numFmtId="3" fontId="4" fillId="4" borderId="72" xfId="0" applyNumberFormat="1" applyFont="1" applyFill="1" applyBorder="1"/>
    <xf numFmtId="3" fontId="4" fillId="0" borderId="73" xfId="0" applyNumberFormat="1" applyFont="1" applyBorder="1"/>
    <xf numFmtId="3" fontId="2" fillId="0" borderId="74" xfId="0" applyNumberFormat="1" applyFont="1" applyBorder="1"/>
    <xf numFmtId="3" fontId="4" fillId="0" borderId="75" xfId="0" applyNumberFormat="1" applyFont="1" applyBorder="1"/>
    <xf numFmtId="3" fontId="2" fillId="0" borderId="76" xfId="0" applyNumberFormat="1" applyFont="1" applyBorder="1"/>
    <xf numFmtId="0" fontId="14" fillId="0" borderId="29" xfId="0" applyFont="1" applyBorder="1" applyAlignment="1">
      <alignment vertical="center" wrapText="1"/>
    </xf>
    <xf numFmtId="0" fontId="14" fillId="47" borderId="29" xfId="0" applyFont="1" applyFill="1" applyBorder="1" applyAlignment="1">
      <alignment vertical="center"/>
    </xf>
    <xf numFmtId="0" fontId="14" fillId="47" borderId="29" xfId="0" applyFont="1" applyFill="1" applyBorder="1"/>
    <xf numFmtId="0" fontId="15" fillId="0" borderId="14" xfId="0" applyFont="1" applyBorder="1" applyAlignment="1">
      <alignment vertical="center"/>
    </xf>
    <xf numFmtId="0" fontId="15" fillId="0" borderId="42" xfId="0" applyFont="1" applyBorder="1" applyAlignment="1">
      <alignment vertical="center"/>
    </xf>
    <xf numFmtId="3" fontId="14" fillId="0" borderId="42" xfId="0" applyNumberFormat="1" applyFont="1" applyBorder="1" applyAlignment="1">
      <alignment vertical="center"/>
    </xf>
    <xf numFmtId="3" fontId="14" fillId="0" borderId="14" xfId="0" applyNumberFormat="1" applyFont="1" applyBorder="1" applyAlignment="1">
      <alignment vertical="center"/>
    </xf>
    <xf numFmtId="0" fontId="14" fillId="0" borderId="42" xfId="0" applyFont="1" applyBorder="1" applyAlignment="1">
      <alignment vertical="center" wrapText="1"/>
    </xf>
    <xf numFmtId="3" fontId="14" fillId="47" borderId="29" xfId="0" applyNumberFormat="1" applyFont="1" applyFill="1" applyBorder="1" applyAlignment="1">
      <alignment vertical="center"/>
    </xf>
    <xf numFmtId="3" fontId="4" fillId="43" borderId="7" xfId="0" applyNumberFormat="1" applyFont="1" applyFill="1" applyBorder="1"/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3" fontId="13" fillId="0" borderId="7" xfId="0" applyNumberFormat="1" applyFont="1" applyBorder="1" applyAlignment="1">
      <alignment vertical="center"/>
    </xf>
    <xf numFmtId="3" fontId="13" fillId="0" borderId="9" xfId="0" applyNumberFormat="1" applyFont="1" applyBorder="1" applyAlignment="1">
      <alignment vertical="center"/>
    </xf>
    <xf numFmtId="0" fontId="15" fillId="0" borderId="51" xfId="0" applyFont="1" applyBorder="1"/>
    <xf numFmtId="3" fontId="12" fillId="44" borderId="93" xfId="0" applyNumberFormat="1" applyFont="1" applyFill="1" applyBorder="1" applyAlignment="1">
      <alignment vertical="center"/>
    </xf>
    <xf numFmtId="3" fontId="12" fillId="53" borderId="48" xfId="0" applyNumberFormat="1" applyFont="1" applyFill="1" applyBorder="1"/>
    <xf numFmtId="3" fontId="4" fillId="4" borderId="95" xfId="0" applyNumberFormat="1" applyFont="1" applyFill="1" applyBorder="1"/>
    <xf numFmtId="3" fontId="2" fillId="0" borderId="96" xfId="0" applyNumberFormat="1" applyFont="1" applyBorder="1"/>
    <xf numFmtId="3" fontId="2" fillId="0" borderId="88" xfId="0" applyNumberFormat="1" applyFont="1" applyBorder="1"/>
    <xf numFmtId="3" fontId="59" fillId="0" borderId="0" xfId="0" applyNumberFormat="1" applyFont="1"/>
    <xf numFmtId="3" fontId="59" fillId="0" borderId="0" xfId="0" applyNumberFormat="1" applyFont="1" applyAlignment="1">
      <alignment vertical="center"/>
    </xf>
    <xf numFmtId="3" fontId="60" fillId="0" borderId="0" xfId="0" applyNumberFormat="1" applyFont="1"/>
    <xf numFmtId="0" fontId="13" fillId="0" borderId="7" xfId="0" applyFont="1" applyBorder="1" applyAlignment="1">
      <alignment vertical="center"/>
    </xf>
    <xf numFmtId="49" fontId="13" fillId="0" borderId="7" xfId="0" applyNumberFormat="1" applyFont="1" applyBorder="1" applyAlignment="1">
      <alignment horizontal="center" vertical="center"/>
    </xf>
    <xf numFmtId="0" fontId="58" fillId="0" borderId="0" xfId="0" applyFont="1" applyAlignment="1">
      <alignment horizontal="center" wrapText="1"/>
    </xf>
    <xf numFmtId="49" fontId="21" fillId="55" borderId="16" xfId="0" applyNumberFormat="1" applyFont="1" applyFill="1" applyBorder="1" applyAlignment="1">
      <alignment horizontal="center" vertical="center" wrapText="1"/>
    </xf>
    <xf numFmtId="49" fontId="21" fillId="55" borderId="19" xfId="0" applyNumberFormat="1" applyFont="1" applyFill="1" applyBorder="1" applyAlignment="1">
      <alignment horizontal="center" vertical="center" wrapText="1"/>
    </xf>
    <xf numFmtId="49" fontId="20" fillId="55" borderId="82" xfId="0" applyNumberFormat="1" applyFont="1" applyFill="1" applyBorder="1" applyAlignment="1">
      <alignment horizontal="center" vertical="center"/>
    </xf>
    <xf numFmtId="49" fontId="20" fillId="55" borderId="83" xfId="0" applyNumberFormat="1" applyFont="1" applyFill="1" applyBorder="1" applyAlignment="1">
      <alignment horizontal="center" vertical="center"/>
    </xf>
    <xf numFmtId="49" fontId="20" fillId="55" borderId="8" xfId="0" applyNumberFormat="1" applyFont="1" applyFill="1" applyBorder="1" applyAlignment="1">
      <alignment horizontal="center" vertical="center"/>
    </xf>
    <xf numFmtId="49" fontId="20" fillId="55" borderId="7" xfId="0" applyNumberFormat="1" applyFont="1" applyFill="1" applyBorder="1" applyAlignment="1">
      <alignment horizontal="center" vertical="center"/>
    </xf>
    <xf numFmtId="3" fontId="13" fillId="43" borderId="78" xfId="0" applyNumberFormat="1" applyFont="1" applyFill="1" applyBorder="1" applyAlignment="1">
      <alignment horizontal="center" vertical="center" wrapText="1"/>
    </xf>
    <xf numFmtId="3" fontId="13" fillId="43" borderId="16" xfId="0" applyNumberFormat="1" applyFont="1" applyFill="1" applyBorder="1" applyAlignment="1">
      <alignment horizontal="center" vertical="center" wrapText="1"/>
    </xf>
    <xf numFmtId="3" fontId="13" fillId="43" borderId="19" xfId="0" applyNumberFormat="1" applyFont="1" applyFill="1" applyBorder="1" applyAlignment="1">
      <alignment horizontal="center" vertical="center" wrapText="1"/>
    </xf>
    <xf numFmtId="3" fontId="27" fillId="0" borderId="0" xfId="0" applyNumberFormat="1" applyFont="1" applyAlignment="1">
      <alignment horizontal="center" vertical="center" wrapText="1"/>
    </xf>
    <xf numFmtId="49" fontId="21" fillId="55" borderId="7" xfId="0" applyNumberFormat="1" applyFont="1" applyFill="1" applyBorder="1" applyAlignment="1">
      <alignment horizontal="center" vertical="center"/>
    </xf>
    <xf numFmtId="49" fontId="21" fillId="55" borderId="21" xfId="0" applyNumberFormat="1" applyFont="1" applyFill="1" applyBorder="1" applyAlignment="1">
      <alignment horizontal="center" vertical="center"/>
    </xf>
    <xf numFmtId="0" fontId="7" fillId="55" borderId="16" xfId="0" applyFont="1" applyFill="1" applyBorder="1" applyAlignment="1">
      <alignment horizontal="center" vertical="center"/>
    </xf>
    <xf numFmtId="0" fontId="7" fillId="55" borderId="19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49" fontId="20" fillId="55" borderId="77" xfId="0" applyNumberFormat="1" applyFont="1" applyFill="1" applyBorder="1" applyAlignment="1">
      <alignment horizontal="center" vertical="center"/>
    </xf>
    <xf numFmtId="49" fontId="20" fillId="55" borderId="78" xfId="0" applyNumberFormat="1" applyFont="1" applyFill="1" applyBorder="1" applyAlignment="1">
      <alignment horizontal="center" vertical="center"/>
    </xf>
    <xf numFmtId="49" fontId="20" fillId="55" borderId="79" xfId="0" applyNumberFormat="1" applyFont="1" applyFill="1" applyBorder="1" applyAlignment="1">
      <alignment horizontal="center" vertical="center"/>
    </xf>
    <xf numFmtId="49" fontId="20" fillId="55" borderId="16" xfId="0" applyNumberFormat="1" applyFont="1" applyFill="1" applyBorder="1" applyAlignment="1">
      <alignment horizontal="center" vertical="center"/>
    </xf>
    <xf numFmtId="0" fontId="1" fillId="0" borderId="80" xfId="0" applyFont="1" applyBorder="1" applyAlignment="1">
      <alignment horizontal="center"/>
    </xf>
    <xf numFmtId="0" fontId="1" fillId="0" borderId="81" xfId="0" applyFont="1" applyBorder="1" applyAlignment="1">
      <alignment horizontal="center"/>
    </xf>
    <xf numFmtId="0" fontId="7" fillId="55" borderId="7" xfId="0" applyFont="1" applyFill="1" applyBorder="1" applyAlignment="1">
      <alignment horizontal="center" vertical="center"/>
    </xf>
    <xf numFmtId="0" fontId="7" fillId="55" borderId="21" xfId="0" applyFont="1" applyFill="1" applyBorder="1" applyAlignment="1">
      <alignment horizontal="center" vertical="center"/>
    </xf>
    <xf numFmtId="0" fontId="52" fillId="0" borderId="8" xfId="0" applyFont="1" applyBorder="1" applyAlignment="1">
      <alignment horizontal="center"/>
    </xf>
    <xf numFmtId="0" fontId="10" fillId="3" borderId="7" xfId="0" applyFont="1" applyFill="1" applyBorder="1"/>
    <xf numFmtId="0" fontId="2" fillId="0" borderId="7" xfId="0" applyFont="1" applyBorder="1"/>
    <xf numFmtId="0" fontId="1" fillId="55" borderId="7" xfId="0" applyFont="1" applyFill="1" applyBorder="1" applyAlignment="1">
      <alignment horizontal="center" vertical="center" textRotation="180" wrapText="1"/>
    </xf>
    <xf numFmtId="0" fontId="1" fillId="55" borderId="7" xfId="0" applyFont="1" applyFill="1" applyBorder="1" applyAlignment="1">
      <alignment horizontal="center" vertical="center" wrapText="1"/>
    </xf>
    <xf numFmtId="0" fontId="1" fillId="55" borderId="7" xfId="0" applyFont="1" applyFill="1" applyBorder="1" applyAlignment="1">
      <alignment horizontal="center" vertical="center"/>
    </xf>
    <xf numFmtId="0" fontId="10" fillId="3" borderId="37" xfId="0" applyFont="1" applyFill="1" applyBorder="1"/>
    <xf numFmtId="0" fontId="2" fillId="0" borderId="37" xfId="0" applyFont="1" applyBorder="1"/>
    <xf numFmtId="0" fontId="10" fillId="3" borderId="12" xfId="0" applyFont="1" applyFill="1" applyBorder="1"/>
    <xf numFmtId="0" fontId="2" fillId="0" borderId="12" xfId="0" applyFont="1" applyBorder="1"/>
    <xf numFmtId="0" fontId="5" fillId="0" borderId="0" xfId="0" applyFont="1"/>
    <xf numFmtId="0" fontId="2" fillId="0" borderId="0" xfId="0" applyFont="1"/>
    <xf numFmtId="49" fontId="6" fillId="55" borderId="82" xfId="0" applyNumberFormat="1" applyFont="1" applyFill="1" applyBorder="1" applyAlignment="1">
      <alignment horizontal="center"/>
    </xf>
    <xf numFmtId="49" fontId="6" fillId="55" borderId="83" xfId="0" applyNumberFormat="1" applyFont="1" applyFill="1" applyBorder="1" applyAlignment="1">
      <alignment horizontal="center"/>
    </xf>
    <xf numFmtId="3" fontId="7" fillId="55" borderId="84" xfId="0" applyNumberFormat="1" applyFont="1" applyFill="1" applyBorder="1" applyAlignment="1">
      <alignment horizontal="center" vertical="center" wrapText="1"/>
    </xf>
    <xf numFmtId="3" fontId="7" fillId="55" borderId="9" xfId="0" applyNumberFormat="1" applyFont="1" applyFill="1" applyBorder="1" applyAlignment="1">
      <alignment horizontal="center" vertical="center" wrapText="1"/>
    </xf>
    <xf numFmtId="3" fontId="7" fillId="43" borderId="7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5" fillId="2" borderId="7" xfId="0" applyFont="1" applyFill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2" fillId="39" borderId="7" xfId="0" applyFont="1" applyFill="1" applyBorder="1"/>
    <xf numFmtId="0" fontId="2" fillId="39" borderId="7" xfId="0" applyFont="1" applyFill="1" applyBorder="1"/>
    <xf numFmtId="0" fontId="18" fillId="39" borderId="7" xfId="0" applyFont="1" applyFill="1" applyBorder="1"/>
    <xf numFmtId="0" fontId="10" fillId="3" borderId="16" xfId="0" applyFont="1" applyFill="1" applyBorder="1"/>
    <xf numFmtId="0" fontId="2" fillId="0" borderId="16" xfId="0" applyFont="1" applyBorder="1"/>
    <xf numFmtId="0" fontId="8" fillId="2" borderId="16" xfId="0" applyFont="1" applyFill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5" fillId="0" borderId="89" xfId="0" applyFont="1" applyBorder="1"/>
    <xf numFmtId="0" fontId="2" fillId="0" borderId="90" xfId="0" applyFont="1" applyBorder="1"/>
    <xf numFmtId="0" fontId="2" fillId="0" borderId="91" xfId="0" applyFont="1" applyBorder="1"/>
    <xf numFmtId="0" fontId="10" fillId="54" borderId="7" xfId="0" applyFont="1" applyFill="1" applyBorder="1"/>
    <xf numFmtId="0" fontId="2" fillId="54" borderId="7" xfId="0" applyFont="1" applyFill="1" applyBorder="1"/>
    <xf numFmtId="0" fontId="10" fillId="3" borderId="24" xfId="0" applyFont="1" applyFill="1" applyBorder="1"/>
    <xf numFmtId="0" fontId="2" fillId="0" borderId="24" xfId="0" applyFont="1" applyBorder="1"/>
    <xf numFmtId="3" fontId="7" fillId="43" borderId="21" xfId="0" applyNumberFormat="1" applyFont="1" applyFill="1" applyBorder="1" applyAlignment="1">
      <alignment horizontal="center" vertical="center" wrapText="1"/>
    </xf>
    <xf numFmtId="3" fontId="7" fillId="43" borderId="94" xfId="0" applyNumberFormat="1" applyFont="1" applyFill="1" applyBorder="1" applyAlignment="1">
      <alignment horizontal="center" vertical="center" wrapText="1"/>
    </xf>
    <xf numFmtId="3" fontId="7" fillId="43" borderId="37" xfId="0" applyNumberFormat="1" applyFont="1" applyFill="1" applyBorder="1" applyAlignment="1">
      <alignment horizontal="center" vertical="center" wrapText="1"/>
    </xf>
    <xf numFmtId="0" fontId="10" fillId="54" borderId="47" xfId="0" applyFont="1" applyFill="1" applyBorder="1"/>
    <xf numFmtId="0" fontId="2" fillId="0" borderId="48" xfId="0" applyFont="1" applyBorder="1"/>
    <xf numFmtId="0" fontId="2" fillId="0" borderId="85" xfId="0" applyFont="1" applyBorder="1"/>
    <xf numFmtId="0" fontId="10" fillId="54" borderId="86" xfId="0" applyFont="1" applyFill="1" applyBorder="1"/>
    <xf numFmtId="0" fontId="2" fillId="54" borderId="87" xfId="0" applyFont="1" applyFill="1" applyBorder="1"/>
    <xf numFmtId="0" fontId="2" fillId="54" borderId="88" xfId="0" applyFont="1" applyFill="1" applyBorder="1"/>
    <xf numFmtId="0" fontId="10" fillId="3" borderId="25" xfId="0" applyFont="1" applyFill="1" applyBorder="1"/>
    <xf numFmtId="0" fontId="2" fillId="0" borderId="25" xfId="0" applyFont="1" applyBorder="1"/>
    <xf numFmtId="3" fontId="4" fillId="4" borderId="47" xfId="0" applyNumberFormat="1" applyFont="1" applyFill="1" applyBorder="1"/>
    <xf numFmtId="3" fontId="4" fillId="4" borderId="48" xfId="0" applyNumberFormat="1" applyFont="1" applyFill="1" applyBorder="1"/>
    <xf numFmtId="3" fontId="12" fillId="50" borderId="15" xfId="0" applyNumberFormat="1" applyFont="1" applyFill="1" applyBorder="1" applyAlignment="1">
      <alignment horizontal="center" vertical="center"/>
    </xf>
    <xf numFmtId="3" fontId="12" fillId="50" borderId="16" xfId="0" applyNumberFormat="1" applyFont="1" applyFill="1" applyBorder="1" applyAlignment="1">
      <alignment horizontal="center" vertical="center"/>
    </xf>
    <xf numFmtId="3" fontId="12" fillId="44" borderId="92" xfId="0" applyNumberFormat="1" applyFont="1" applyFill="1" applyBorder="1" applyAlignment="1">
      <alignment vertical="center"/>
    </xf>
    <xf numFmtId="3" fontId="12" fillId="44" borderId="93" xfId="0" applyNumberFormat="1" applyFont="1" applyFill="1" applyBorder="1" applyAlignment="1">
      <alignment vertical="center"/>
    </xf>
    <xf numFmtId="3" fontId="12" fillId="53" borderId="47" xfId="0" applyNumberFormat="1" applyFont="1" applyFill="1" applyBorder="1"/>
    <xf numFmtId="3" fontId="12" fillId="53" borderId="48" xfId="0" applyNumberFormat="1" applyFont="1" applyFill="1" applyBorder="1"/>
    <xf numFmtId="3" fontId="10" fillId="44" borderId="97" xfId="0" applyNumberFormat="1" applyFont="1" applyFill="1" applyBorder="1" applyAlignment="1">
      <alignment horizontal="center"/>
    </xf>
    <xf numFmtId="3" fontId="10" fillId="44" borderId="87" xfId="0" applyNumberFormat="1" applyFont="1" applyFill="1" applyBorder="1" applyAlignment="1">
      <alignment horizontal="center"/>
    </xf>
  </cellXfs>
  <cellStyles count="65">
    <cellStyle name="20 % - zvýraznenie1 2" xfId="1" xr:uid="{D0DE41B0-1901-4EF8-9332-1026D9FBA2CD}"/>
    <cellStyle name="20 % - zvýraznenie2 2" xfId="2" xr:uid="{4C806177-CA26-4199-AEBC-C21124B73D4A}"/>
    <cellStyle name="20 % - zvýraznenie3 2" xfId="3" xr:uid="{8E621299-208D-439A-81A0-21219E772839}"/>
    <cellStyle name="20 % - zvýraznenie4 2" xfId="4" xr:uid="{B6BB82A3-129C-49D1-9067-5A897D3AD8A3}"/>
    <cellStyle name="20 % - zvýraznenie5 2" xfId="5" xr:uid="{1B9CF71C-96E2-4586-B1F1-C00EEECA2917}"/>
    <cellStyle name="20 % - zvýraznenie6 2" xfId="6" xr:uid="{3A1815AB-F61F-4D99-8F6A-D5F086F6EEB6}"/>
    <cellStyle name="40 % - zvýraznenie1 2" xfId="7" xr:uid="{85F8043C-4660-41C3-9D75-90DF2D8EDD8E}"/>
    <cellStyle name="40 % - zvýraznenie2 2" xfId="8" xr:uid="{6E566F09-FB8A-46B5-842D-FBB353E86575}"/>
    <cellStyle name="40 % - zvýraznenie3 2" xfId="9" xr:uid="{CB98F48A-4000-4AFE-953D-FD9BBA7DECA9}"/>
    <cellStyle name="40 % - zvýraznenie4 2" xfId="10" xr:uid="{E94DEB20-88ED-4E1B-B449-FA519DED2D54}"/>
    <cellStyle name="40 % - zvýraznenie5 2" xfId="11" xr:uid="{1F9C66F6-1E25-45E9-BA94-527FCB4512A1}"/>
    <cellStyle name="40 % - zvýraznenie6 2" xfId="12" xr:uid="{A4A1E1AB-BE39-4019-B3A1-65FD8E71E23E}"/>
    <cellStyle name="60 % - zvýraznenie1 2" xfId="13" xr:uid="{00E94FFC-9DEA-4AC2-A9CE-3360181BFB51}"/>
    <cellStyle name="60 % - zvýraznenie2 2" xfId="14" xr:uid="{8B07D062-4BA8-4ECB-8906-E636406DC513}"/>
    <cellStyle name="60 % - zvýraznenie3 2" xfId="15" xr:uid="{4E4A7506-D6D2-4CA3-B571-704198DD3452}"/>
    <cellStyle name="60 % - zvýraznenie4 2" xfId="16" xr:uid="{635ACC57-1353-4767-BA79-00764DD6C4F4}"/>
    <cellStyle name="60 % - zvýraznenie5 2" xfId="17" xr:uid="{AB9ECD56-0630-4A6D-B257-906728D6CE2B}"/>
    <cellStyle name="60 % - zvýraznenie6 2" xfId="18" xr:uid="{A13C587A-3682-45E2-A014-031FBF4517FF}"/>
    <cellStyle name="Comma [0] 2" xfId="19" xr:uid="{194DCACA-BA6C-4F12-A68B-9D5D6496539F}"/>
    <cellStyle name="Comma 2" xfId="20" xr:uid="{5E804249-4397-4625-8EE7-5CA331804A66}"/>
    <cellStyle name="Comma 3" xfId="21" xr:uid="{AB47CAE6-0965-464B-8217-086B530CD36A}"/>
    <cellStyle name="Comma 4" xfId="22" xr:uid="{FDFC0BA9-9D14-4FA2-A512-78DB949EC3ED}"/>
    <cellStyle name="Currency [0] 2" xfId="23" xr:uid="{14B188FC-0555-4304-8F9B-9D11687D2914}"/>
    <cellStyle name="Čiarka [0] 2" xfId="24" xr:uid="{BD5A100C-ED4A-4AC7-9DA2-1242DD37CE08}"/>
    <cellStyle name="Čiarka 2" xfId="25" xr:uid="{2968B159-A257-4AD1-9226-DBB193AABD81}"/>
    <cellStyle name="Čiarka 3" xfId="26" xr:uid="{DF974BC0-62D3-4472-B808-A463FD3AA535}"/>
    <cellStyle name="Čiarka 4" xfId="27" xr:uid="{61D87D7F-F051-4E8C-9C72-9F418B227143}"/>
    <cellStyle name="Čiarka 5" xfId="28" xr:uid="{0858F186-7706-4DF8-97A3-43D84B2D4AB7}"/>
    <cellStyle name="Dobrá 2" xfId="29" xr:uid="{B5635FCF-EFF4-46BF-A6AF-F83E572C5D31}"/>
    <cellStyle name="Excel Built-in Normal" xfId="30" xr:uid="{7F16B8CB-37FB-4077-8CFE-752349C63821}"/>
    <cellStyle name="Kontrolná bunka 2" xfId="31" xr:uid="{ADADDEFE-4555-4B75-AC25-48FF6502A2FF}"/>
    <cellStyle name="Mena [0] 2" xfId="32" xr:uid="{3EF632D5-EF54-4EA1-8145-1AA0428C001B}"/>
    <cellStyle name="Mena 2" xfId="33" xr:uid="{85F70E85-14EC-49F3-B64D-43BA10C85DEB}"/>
    <cellStyle name="Mena 3" xfId="34" xr:uid="{7B4921FC-C8CF-4D76-AC5E-2F205812D9B3}"/>
    <cellStyle name="Mena 4" xfId="35" xr:uid="{F3E2A2FA-7EC6-40AE-80FE-9984DF6D6A2D}"/>
    <cellStyle name="Mena 5" xfId="36" xr:uid="{38BF2373-2241-4589-BC66-AF63E8FFFAC3}"/>
    <cellStyle name="Nadpis 1 2" xfId="37" xr:uid="{708036D2-3ED5-4B73-A29E-EE6BA3AF63ED}"/>
    <cellStyle name="Nadpis 2 2" xfId="38" xr:uid="{03C7D546-249E-49DE-BBAD-C5D63E899B2F}"/>
    <cellStyle name="Nadpis 3 2" xfId="39" xr:uid="{326B5E77-3F96-4F51-A232-9E36B4F33FCC}"/>
    <cellStyle name="Nadpis 4 2" xfId="40" xr:uid="{6F24A289-C3E2-4D25-932D-75D5CAB9468E}"/>
    <cellStyle name="Názov 2" xfId="41" xr:uid="{11BE0692-9DB9-4A55-909C-636C4E87519B}"/>
    <cellStyle name="Neutrálna 2" xfId="42" xr:uid="{A18C1196-25F0-4DB6-817B-BDC083A0BDF4}"/>
    <cellStyle name="Normálna" xfId="0" builtinId="0"/>
    <cellStyle name="Normálna 2" xfId="43" xr:uid="{95059236-C683-4AD1-97CC-FB489111C6CD}"/>
    <cellStyle name="Normálna 3" xfId="44" xr:uid="{A3B50065-9905-409F-AD93-D64F802E7A42}"/>
    <cellStyle name="Normálna 4" xfId="45" xr:uid="{4E3B1D78-FB58-47E9-B942-982F5C7E2C10}"/>
    <cellStyle name="Normálna 5" xfId="46" xr:uid="{0714E2AF-D8A7-4E07-A699-74A47410567E}"/>
    <cellStyle name="Normálne 2" xfId="47" xr:uid="{7F07566B-A050-4BA1-9B0F-6BEB114DD212}"/>
    <cellStyle name="normálne_Kalkulácia MHD TN 1 -12 2010" xfId="48" xr:uid="{A4D48D2E-B5AE-4A56-A3CB-EE4C4E3B9FEC}"/>
    <cellStyle name="Percentá 2" xfId="49" xr:uid="{F4D5AAEE-5D78-447C-BA92-DDDA3F1D13D4}"/>
    <cellStyle name="Poznámka 2" xfId="50" xr:uid="{E33784EE-31F9-44BB-8E27-E6EF8807F44F}"/>
    <cellStyle name="Prepojená bunka 2" xfId="51" xr:uid="{D4769F21-D3DF-42BA-AAFD-FFAB36393068}"/>
    <cellStyle name="Spolu 2" xfId="52" xr:uid="{6960D7D1-8666-4F0F-97F6-EFA46FF0F2DF}"/>
    <cellStyle name="Text upozornenia 2" xfId="53" xr:uid="{BBC13CF9-1824-48EA-96BD-588BA43100F9}"/>
    <cellStyle name="Vstup 2" xfId="54" xr:uid="{D0C0F2F4-17EF-4198-85D2-A4788C482D1D}"/>
    <cellStyle name="Výpočet 2" xfId="55" xr:uid="{5E1BA7A2-3288-42A8-9A2A-DDA8FE5CA78D}"/>
    <cellStyle name="Výstup 2" xfId="56" xr:uid="{D2B2B827-0B54-4656-AB8C-FA0E517A59B3}"/>
    <cellStyle name="Vysvetľujúci text 2" xfId="57" xr:uid="{77F4FBFF-6384-4905-91B1-35F9F96A5649}"/>
    <cellStyle name="Zlá 2" xfId="58" xr:uid="{7665F770-C84A-40AD-B780-BE9578F0B4A4}"/>
    <cellStyle name="Zvýraznenie1 2" xfId="59" xr:uid="{EFE175B0-34DE-4EFA-8650-2AC6D5D25616}"/>
    <cellStyle name="Zvýraznenie2 2" xfId="60" xr:uid="{DA9DB20E-35E0-4C1C-B31B-B4E731E17D36}"/>
    <cellStyle name="Zvýraznenie3 2" xfId="61" xr:uid="{6B53E407-6908-4AE1-A8CD-8906BC89FB32}"/>
    <cellStyle name="Zvýraznenie4 2" xfId="62" xr:uid="{700D42D3-D0A8-44F1-8708-8929EB1EA11E}"/>
    <cellStyle name="Zvýraznenie5 2" xfId="63" xr:uid="{1ECC36C9-5BE9-4110-B575-7A4433DAD663}"/>
    <cellStyle name="Zvýraznenie6 2" xfId="64" xr:uid="{32CA14F0-D44E-4916-A348-20AA17A12210}"/>
  </cellStyles>
  <dxfs count="5">
    <dxf>
      <font>
        <color theme="3"/>
      </font>
    </dxf>
    <dxf>
      <font>
        <b/>
        <i val="0"/>
        <color theme="3"/>
      </font>
    </dxf>
    <dxf>
      <font>
        <b/>
        <i val="0"/>
        <color theme="3"/>
      </font>
      <fill>
        <patternFill patternType="none">
          <bgColor auto="1"/>
        </patternFill>
      </fill>
      <border diagonalUp="0" diagonalDown="0">
        <left/>
        <right/>
        <top style="thin">
          <color theme="5"/>
        </top>
        <bottom/>
        <vertical/>
        <horizontal/>
      </border>
    </dxf>
    <dxf>
      <font>
        <b/>
        <i val="0"/>
        <color theme="3"/>
      </font>
      <fill>
        <patternFill patternType="none">
          <fgColor indexed="64"/>
          <bgColor auto="1"/>
        </patternFill>
      </fill>
      <border diagonalUp="0" diagonalDown="0">
        <left/>
        <right/>
        <top/>
        <bottom style="thin">
          <color theme="4"/>
        </bottom>
        <vertical/>
        <horizontal/>
      </border>
    </dxf>
    <dxf>
      <font>
        <b val="0"/>
        <i val="0"/>
        <color theme="1" tint="0.34998626667073579"/>
      </font>
      <border diagonalUp="0" diagonalDown="0">
        <left/>
        <right/>
        <top/>
        <bottom/>
        <vertical/>
        <horizontal style="thin">
          <color theme="0" tint="-0.34998626667073579"/>
        </horizontal>
      </border>
    </dxf>
  </dxfs>
  <tableStyles count="1" defaultTableStyle="TableStyleMedium2" defaultPivotStyle="PivotStyleLight16">
    <tableStyle name="Vypočítavaný zoznam" pivot="0" count="5" xr9:uid="{C9FE9FDA-602A-41FD-A4C9-FAD42A05F45C}">
      <tableStyleElement type="wholeTable" dxfId="4"/>
      <tableStyleElement type="headerRow" dxfId="3"/>
      <tableStyleElement type="totalRow" dxfId="2"/>
      <tableStyleElement type="firstColumn" dxfId="1"/>
      <tableStyleElement type="firstColumnStripe" dxfId="0"/>
    </tableStyle>
  </tableStyles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8E365-F306-46A0-AD3B-0F045BE66452}">
  <sheetPr codeName="Sheet3"/>
  <dimension ref="B1:J388"/>
  <sheetViews>
    <sheetView tabSelected="1" zoomScale="90" zoomScaleNormal="90" workbookViewId="0"/>
  </sheetViews>
  <sheetFormatPr defaultRowHeight="12.75" x14ac:dyDescent="0.2"/>
  <cols>
    <col min="1" max="1" width="8.85546875" style="3" customWidth="1"/>
    <col min="2" max="2" width="4.28515625" style="180" customWidth="1"/>
    <col min="3" max="3" width="7.28515625" style="3" customWidth="1"/>
    <col min="4" max="4" width="45.140625" style="3" customWidth="1"/>
    <col min="5" max="5" width="13.85546875" style="5" customWidth="1"/>
    <col min="6" max="6" width="12.140625" style="3" customWidth="1"/>
    <col min="7" max="7" width="15.42578125" style="3" customWidth="1"/>
    <col min="8" max="8" width="9.140625" style="3" customWidth="1"/>
    <col min="9" max="16384" width="9.140625" style="3"/>
  </cols>
  <sheetData>
    <row r="1" spans="2:7" ht="88.5" customHeight="1" x14ac:dyDescent="0.2">
      <c r="B1" s="405" t="s">
        <v>731</v>
      </c>
      <c r="C1" s="405"/>
      <c r="D1" s="405"/>
      <c r="E1" s="405"/>
      <c r="F1" s="405"/>
      <c r="G1" s="405"/>
    </row>
    <row r="2" spans="2:7" ht="4.5" customHeight="1" x14ac:dyDescent="0.4">
      <c r="B2" s="395" t="s">
        <v>516</v>
      </c>
      <c r="C2" s="395"/>
      <c r="D2" s="395"/>
      <c r="E2" s="395"/>
    </row>
    <row r="3" spans="2:7" ht="15" customHeight="1" x14ac:dyDescent="0.2">
      <c r="B3" s="411" t="s">
        <v>39</v>
      </c>
      <c r="C3" s="412"/>
      <c r="D3" s="412"/>
      <c r="E3" s="402" t="s">
        <v>732</v>
      </c>
      <c r="F3" s="402" t="s">
        <v>733</v>
      </c>
      <c r="G3" s="402" t="s">
        <v>734</v>
      </c>
    </row>
    <row r="4" spans="2:7" x14ac:dyDescent="0.2">
      <c r="B4" s="413"/>
      <c r="C4" s="414"/>
      <c r="D4" s="414"/>
      <c r="E4" s="403"/>
      <c r="F4" s="403"/>
      <c r="G4" s="403"/>
    </row>
    <row r="5" spans="2:7" x14ac:dyDescent="0.2">
      <c r="B5" s="415" t="s">
        <v>108</v>
      </c>
      <c r="C5" s="396" t="s">
        <v>300</v>
      </c>
      <c r="D5" s="408" t="s">
        <v>109</v>
      </c>
      <c r="E5" s="403"/>
      <c r="F5" s="403"/>
      <c r="G5" s="403"/>
    </row>
    <row r="6" spans="2:7" ht="11.25" customHeight="1" x14ac:dyDescent="0.2">
      <c r="B6" s="416"/>
      <c r="C6" s="397"/>
      <c r="D6" s="409"/>
      <c r="E6" s="404"/>
      <c r="F6" s="404"/>
      <c r="G6" s="404"/>
    </row>
    <row r="7" spans="2:7" ht="21.75" customHeight="1" thickBot="1" x14ac:dyDescent="0.3">
      <c r="B7" s="181">
        <v>1</v>
      </c>
      <c r="C7" s="182">
        <v>100</v>
      </c>
      <c r="D7" s="182" t="s">
        <v>246</v>
      </c>
      <c r="E7" s="183">
        <f>E8</f>
        <v>43233000</v>
      </c>
      <c r="F7" s="183">
        <f t="shared" ref="F7" si="0">F8</f>
        <v>0</v>
      </c>
      <c r="G7" s="183">
        <f>E7+F7</f>
        <v>43233000</v>
      </c>
    </row>
    <row r="8" spans="2:7" s="42" customFormat="1" ht="15.75" thickBot="1" x14ac:dyDescent="0.25">
      <c r="B8" s="7">
        <f>B7+1</f>
        <v>2</v>
      </c>
      <c r="C8" s="184"/>
      <c r="D8" s="184" t="s">
        <v>38</v>
      </c>
      <c r="E8" s="185">
        <f>E9+E11+E16</f>
        <v>43233000</v>
      </c>
      <c r="F8" s="185">
        <f t="shared" ref="F8" si="1">F9+F11+F16</f>
        <v>0</v>
      </c>
      <c r="G8" s="185">
        <f t="shared" ref="G8:G71" si="2">E8+F8</f>
        <v>43233000</v>
      </c>
    </row>
    <row r="9" spans="2:7" x14ac:dyDescent="0.2">
      <c r="B9" s="181">
        <f>B8+1</f>
        <v>3</v>
      </c>
      <c r="C9" s="187">
        <v>110</v>
      </c>
      <c r="D9" s="187" t="s">
        <v>247</v>
      </c>
      <c r="E9" s="188">
        <f>E10</f>
        <v>25745000</v>
      </c>
      <c r="F9" s="188">
        <f t="shared" ref="F9" si="3">F10</f>
        <v>0</v>
      </c>
      <c r="G9" s="188">
        <f t="shared" si="2"/>
        <v>25745000</v>
      </c>
    </row>
    <row r="10" spans="2:7" x14ac:dyDescent="0.2">
      <c r="B10" s="181">
        <f t="shared" ref="B10:B75" si="4">B9+1</f>
        <v>4</v>
      </c>
      <c r="C10" s="19">
        <v>111003</v>
      </c>
      <c r="D10" s="19" t="s">
        <v>245</v>
      </c>
      <c r="E10" s="22">
        <f>25500000+160000+75000+10000</f>
        <v>25745000</v>
      </c>
      <c r="F10" s="22"/>
      <c r="G10" s="22">
        <f t="shared" si="2"/>
        <v>25745000</v>
      </c>
    </row>
    <row r="11" spans="2:7" x14ac:dyDescent="0.2">
      <c r="B11" s="181">
        <f t="shared" si="4"/>
        <v>5</v>
      </c>
      <c r="C11" s="189">
        <v>120</v>
      </c>
      <c r="D11" s="189" t="s">
        <v>249</v>
      </c>
      <c r="E11" s="190">
        <f>E12</f>
        <v>12900000</v>
      </c>
      <c r="F11" s="190">
        <f t="shared" ref="F11" si="5">F12</f>
        <v>0</v>
      </c>
      <c r="G11" s="190">
        <f t="shared" si="2"/>
        <v>12900000</v>
      </c>
    </row>
    <row r="12" spans="2:7" x14ac:dyDescent="0.2">
      <c r="B12" s="181">
        <f t="shared" si="4"/>
        <v>6</v>
      </c>
      <c r="C12" s="13"/>
      <c r="D12" s="13" t="s">
        <v>296</v>
      </c>
      <c r="E12" s="16">
        <f>SUM(E13:E15)</f>
        <v>12900000</v>
      </c>
      <c r="F12" s="16">
        <f t="shared" ref="F12" si="6">SUM(F13:F15)</f>
        <v>0</v>
      </c>
      <c r="G12" s="16">
        <f t="shared" si="2"/>
        <v>12900000</v>
      </c>
    </row>
    <row r="13" spans="2:7" x14ac:dyDescent="0.2">
      <c r="B13" s="181">
        <f t="shared" si="4"/>
        <v>7</v>
      </c>
      <c r="C13" s="19">
        <v>121001</v>
      </c>
      <c r="D13" s="19" t="s">
        <v>248</v>
      </c>
      <c r="E13" s="22">
        <v>1326120</v>
      </c>
      <c r="F13" s="22"/>
      <c r="G13" s="22">
        <f t="shared" si="2"/>
        <v>1326120</v>
      </c>
    </row>
    <row r="14" spans="2:7" x14ac:dyDescent="0.2">
      <c r="B14" s="181">
        <f t="shared" si="4"/>
        <v>8</v>
      </c>
      <c r="C14" s="19">
        <v>121002</v>
      </c>
      <c r="D14" s="19" t="s">
        <v>250</v>
      </c>
      <c r="E14" s="22">
        <v>10234860</v>
      </c>
      <c r="F14" s="22"/>
      <c r="G14" s="22">
        <f t="shared" si="2"/>
        <v>10234860</v>
      </c>
    </row>
    <row r="15" spans="2:7" x14ac:dyDescent="0.2">
      <c r="B15" s="181">
        <f t="shared" si="4"/>
        <v>9</v>
      </c>
      <c r="C15" s="19">
        <v>121003</v>
      </c>
      <c r="D15" s="19" t="s">
        <v>251</v>
      </c>
      <c r="E15" s="22">
        <v>1339020</v>
      </c>
      <c r="F15" s="22"/>
      <c r="G15" s="22">
        <f t="shared" si="2"/>
        <v>1339020</v>
      </c>
    </row>
    <row r="16" spans="2:7" x14ac:dyDescent="0.2">
      <c r="B16" s="181">
        <f t="shared" si="4"/>
        <v>10</v>
      </c>
      <c r="C16" s="189">
        <v>130</v>
      </c>
      <c r="D16" s="189" t="s">
        <v>252</v>
      </c>
      <c r="E16" s="190">
        <f>SUM(E17:E21)</f>
        <v>4588000</v>
      </c>
      <c r="F16" s="190">
        <f t="shared" ref="F16" si="7">SUM(F17:F21)</f>
        <v>0</v>
      </c>
      <c r="G16" s="190">
        <f t="shared" si="2"/>
        <v>4588000</v>
      </c>
    </row>
    <row r="17" spans="2:7" x14ac:dyDescent="0.2">
      <c r="B17" s="181">
        <f t="shared" si="4"/>
        <v>11</v>
      </c>
      <c r="C17" s="19">
        <v>133001</v>
      </c>
      <c r="D17" s="19" t="s">
        <v>292</v>
      </c>
      <c r="E17" s="22">
        <v>68000</v>
      </c>
      <c r="F17" s="22"/>
      <c r="G17" s="22">
        <f t="shared" si="2"/>
        <v>68000</v>
      </c>
    </row>
    <row r="18" spans="2:7" x14ac:dyDescent="0.2">
      <c r="B18" s="181">
        <f t="shared" si="4"/>
        <v>12</v>
      </c>
      <c r="C18" s="19">
        <v>133006</v>
      </c>
      <c r="D18" s="19" t="s">
        <v>293</v>
      </c>
      <c r="E18" s="22">
        <v>280000</v>
      </c>
      <c r="F18" s="22"/>
      <c r="G18" s="22">
        <f t="shared" si="2"/>
        <v>280000</v>
      </c>
    </row>
    <row r="19" spans="2:7" x14ac:dyDescent="0.2">
      <c r="B19" s="181">
        <f t="shared" si="4"/>
        <v>13</v>
      </c>
      <c r="C19" s="191">
        <v>133012</v>
      </c>
      <c r="D19" s="191" t="s">
        <v>294</v>
      </c>
      <c r="E19" s="22">
        <v>90000</v>
      </c>
      <c r="F19" s="22"/>
      <c r="G19" s="22">
        <f t="shared" si="2"/>
        <v>90000</v>
      </c>
    </row>
    <row r="20" spans="2:7" x14ac:dyDescent="0.2">
      <c r="B20" s="181">
        <f t="shared" si="4"/>
        <v>14</v>
      </c>
      <c r="C20" s="149">
        <v>133013</v>
      </c>
      <c r="D20" s="149" t="s">
        <v>295</v>
      </c>
      <c r="E20" s="22">
        <v>3350000</v>
      </c>
      <c r="F20" s="22"/>
      <c r="G20" s="22">
        <f t="shared" si="2"/>
        <v>3350000</v>
      </c>
    </row>
    <row r="21" spans="2:7" x14ac:dyDescent="0.2">
      <c r="B21" s="181">
        <f t="shared" si="4"/>
        <v>15</v>
      </c>
      <c r="C21" s="192">
        <v>133015</v>
      </c>
      <c r="D21" s="192" t="s">
        <v>414</v>
      </c>
      <c r="E21" s="22">
        <v>800000</v>
      </c>
      <c r="F21" s="22"/>
      <c r="G21" s="22">
        <f t="shared" si="2"/>
        <v>800000</v>
      </c>
    </row>
    <row r="22" spans="2:7" ht="16.5" thickBot="1" x14ac:dyDescent="0.3">
      <c r="B22" s="181">
        <f t="shared" si="4"/>
        <v>16</v>
      </c>
      <c r="C22" s="194">
        <v>200</v>
      </c>
      <c r="D22" s="194" t="s">
        <v>159</v>
      </c>
      <c r="E22" s="195">
        <f>E23+E44+E47+E86+E90+E155+E191+E200+E207+E212+E219+E229+E236+E243+E250</f>
        <v>10844915</v>
      </c>
      <c r="F22" s="195">
        <f t="shared" ref="F22" si="8">F23+F44+F47+F86+F90+F155+F191+F200+F207+F212+F219+F229+F236+F243+F250</f>
        <v>-56400</v>
      </c>
      <c r="G22" s="195">
        <f t="shared" si="2"/>
        <v>10788515</v>
      </c>
    </row>
    <row r="23" spans="2:7" ht="15.75" thickBot="1" x14ac:dyDescent="0.3">
      <c r="B23" s="181">
        <f t="shared" si="4"/>
        <v>17</v>
      </c>
      <c r="C23" s="196"/>
      <c r="D23" s="196" t="s">
        <v>38</v>
      </c>
      <c r="E23" s="197">
        <f>E24+E31+E39+E41</f>
        <v>5028177</v>
      </c>
      <c r="F23" s="197">
        <f t="shared" ref="F23" si="9">F24+F31+F39+F41</f>
        <v>-100000</v>
      </c>
      <c r="G23" s="197">
        <f t="shared" si="2"/>
        <v>4928177</v>
      </c>
    </row>
    <row r="24" spans="2:7" x14ac:dyDescent="0.2">
      <c r="B24" s="181">
        <f t="shared" si="4"/>
        <v>18</v>
      </c>
      <c r="C24" s="198">
        <v>210</v>
      </c>
      <c r="D24" s="198" t="s">
        <v>232</v>
      </c>
      <c r="E24" s="199">
        <f>SUM(E25:E30)</f>
        <v>991040</v>
      </c>
      <c r="F24" s="199">
        <f t="shared" ref="F24" si="10">SUM(F25:F30)</f>
        <v>0</v>
      </c>
      <c r="G24" s="199">
        <f t="shared" si="2"/>
        <v>991040</v>
      </c>
    </row>
    <row r="25" spans="2:7" x14ac:dyDescent="0.2">
      <c r="B25" s="181"/>
      <c r="C25" s="149">
        <v>211</v>
      </c>
      <c r="D25" s="149" t="s">
        <v>719</v>
      </c>
      <c r="E25" s="151">
        <v>28740</v>
      </c>
      <c r="F25" s="151"/>
      <c r="G25" s="151">
        <f t="shared" si="2"/>
        <v>28740</v>
      </c>
    </row>
    <row r="26" spans="2:7" x14ac:dyDescent="0.2">
      <c r="B26" s="181">
        <f>B24+1</f>
        <v>19</v>
      </c>
      <c r="C26" s="149">
        <v>212002</v>
      </c>
      <c r="D26" s="149" t="s">
        <v>253</v>
      </c>
      <c r="E26" s="151">
        <v>146000</v>
      </c>
      <c r="F26" s="151"/>
      <c r="G26" s="151">
        <f t="shared" si="2"/>
        <v>146000</v>
      </c>
    </row>
    <row r="27" spans="2:7" x14ac:dyDescent="0.2">
      <c r="B27" s="181">
        <f t="shared" si="4"/>
        <v>20</v>
      </c>
      <c r="C27" s="149">
        <v>212003</v>
      </c>
      <c r="D27" s="149" t="s">
        <v>233</v>
      </c>
      <c r="E27" s="151">
        <v>726300</v>
      </c>
      <c r="F27" s="151"/>
      <c r="G27" s="151">
        <f t="shared" si="2"/>
        <v>726300</v>
      </c>
    </row>
    <row r="28" spans="2:7" x14ac:dyDescent="0.2">
      <c r="B28" s="181">
        <f t="shared" si="4"/>
        <v>21</v>
      </c>
      <c r="C28" s="149">
        <v>212003</v>
      </c>
      <c r="D28" s="149" t="s">
        <v>446</v>
      </c>
      <c r="E28" s="151">
        <v>2000</v>
      </c>
      <c r="F28" s="151"/>
      <c r="G28" s="151">
        <f t="shared" si="2"/>
        <v>2000</v>
      </c>
    </row>
    <row r="29" spans="2:7" x14ac:dyDescent="0.2">
      <c r="B29" s="181">
        <f t="shared" si="4"/>
        <v>22</v>
      </c>
      <c r="C29" s="149">
        <v>212003</v>
      </c>
      <c r="D29" s="149" t="s">
        <v>394</v>
      </c>
      <c r="E29" s="151">
        <v>80000</v>
      </c>
      <c r="F29" s="151"/>
      <c r="G29" s="151">
        <f t="shared" si="2"/>
        <v>80000</v>
      </c>
    </row>
    <row r="30" spans="2:7" x14ac:dyDescent="0.2">
      <c r="B30" s="181">
        <f t="shared" si="4"/>
        <v>23</v>
      </c>
      <c r="C30" s="149">
        <v>212004</v>
      </c>
      <c r="D30" s="149" t="s">
        <v>447</v>
      </c>
      <c r="E30" s="151">
        <v>8000</v>
      </c>
      <c r="F30" s="151"/>
      <c r="G30" s="151">
        <f t="shared" si="2"/>
        <v>8000</v>
      </c>
    </row>
    <row r="31" spans="2:7" x14ac:dyDescent="0.2">
      <c r="B31" s="181">
        <f t="shared" si="4"/>
        <v>24</v>
      </c>
      <c r="C31" s="200">
        <v>220</v>
      </c>
      <c r="D31" s="200" t="s">
        <v>206</v>
      </c>
      <c r="E31" s="201">
        <f>SUM(E32:E38)</f>
        <v>3704000</v>
      </c>
      <c r="F31" s="201">
        <f t="shared" ref="F31" si="11">SUM(F32:F38)</f>
        <v>-100000</v>
      </c>
      <c r="G31" s="201">
        <f t="shared" si="2"/>
        <v>3604000</v>
      </c>
    </row>
    <row r="32" spans="2:7" x14ac:dyDescent="0.2">
      <c r="B32" s="181">
        <f t="shared" si="4"/>
        <v>25</v>
      </c>
      <c r="C32" s="149">
        <v>221004</v>
      </c>
      <c r="D32" s="149" t="s">
        <v>207</v>
      </c>
      <c r="E32" s="151">
        <f>350000+50000</f>
        <v>400000</v>
      </c>
      <c r="F32" s="151"/>
      <c r="G32" s="151">
        <f t="shared" si="2"/>
        <v>400000</v>
      </c>
    </row>
    <row r="33" spans="2:7" x14ac:dyDescent="0.2">
      <c r="B33" s="181">
        <f t="shared" si="4"/>
        <v>26</v>
      </c>
      <c r="C33" s="149">
        <v>222003</v>
      </c>
      <c r="D33" s="149" t="s">
        <v>55</v>
      </c>
      <c r="E33" s="151">
        <v>180000</v>
      </c>
      <c r="F33" s="151"/>
      <c r="G33" s="151">
        <f t="shared" si="2"/>
        <v>180000</v>
      </c>
    </row>
    <row r="34" spans="2:7" x14ac:dyDescent="0.2">
      <c r="B34" s="181">
        <f t="shared" si="4"/>
        <v>27</v>
      </c>
      <c r="C34" s="149">
        <v>223001</v>
      </c>
      <c r="D34" s="149" t="s">
        <v>235</v>
      </c>
      <c r="E34" s="151">
        <v>5000</v>
      </c>
      <c r="F34" s="151"/>
      <c r="G34" s="151">
        <f t="shared" si="2"/>
        <v>5000</v>
      </c>
    </row>
    <row r="35" spans="2:7" s="42" customFormat="1" ht="24" x14ac:dyDescent="0.2">
      <c r="B35" s="7">
        <f t="shared" si="4"/>
        <v>28</v>
      </c>
      <c r="C35" s="203">
        <v>223001</v>
      </c>
      <c r="D35" s="63" t="s">
        <v>635</v>
      </c>
      <c r="E35" s="376">
        <v>100000</v>
      </c>
      <c r="F35" s="376">
        <v>-100000</v>
      </c>
      <c r="G35" s="376">
        <f t="shared" si="2"/>
        <v>0</v>
      </c>
    </row>
    <row r="36" spans="2:7" x14ac:dyDescent="0.2">
      <c r="B36" s="181">
        <f t="shared" si="4"/>
        <v>29</v>
      </c>
      <c r="C36" s="149">
        <v>223001</v>
      </c>
      <c r="D36" s="149" t="s">
        <v>297</v>
      </c>
      <c r="E36" s="151">
        <v>2900000</v>
      </c>
      <c r="F36" s="151"/>
      <c r="G36" s="151">
        <f t="shared" si="2"/>
        <v>2900000</v>
      </c>
    </row>
    <row r="37" spans="2:7" x14ac:dyDescent="0.2">
      <c r="B37" s="181">
        <f t="shared" si="4"/>
        <v>30</v>
      </c>
      <c r="C37" s="149">
        <v>223001</v>
      </c>
      <c r="D37" s="149" t="s">
        <v>298</v>
      </c>
      <c r="E37" s="151">
        <v>29000</v>
      </c>
      <c r="F37" s="151"/>
      <c r="G37" s="151">
        <f t="shared" si="2"/>
        <v>29000</v>
      </c>
    </row>
    <row r="38" spans="2:7" x14ac:dyDescent="0.2">
      <c r="B38" s="181">
        <f t="shared" si="4"/>
        <v>31</v>
      </c>
      <c r="C38" s="149">
        <v>223001</v>
      </c>
      <c r="D38" s="149" t="s">
        <v>383</v>
      </c>
      <c r="E38" s="151">
        <v>90000</v>
      </c>
      <c r="F38" s="151"/>
      <c r="G38" s="151">
        <f t="shared" si="2"/>
        <v>90000</v>
      </c>
    </row>
    <row r="39" spans="2:7" x14ac:dyDescent="0.2">
      <c r="B39" s="181">
        <f t="shared" si="4"/>
        <v>32</v>
      </c>
      <c r="C39" s="200">
        <v>240</v>
      </c>
      <c r="D39" s="200" t="s">
        <v>163</v>
      </c>
      <c r="E39" s="201">
        <f>E40</f>
        <v>90000</v>
      </c>
      <c r="F39" s="201">
        <f t="shared" ref="F39" si="12">F40</f>
        <v>0</v>
      </c>
      <c r="G39" s="201">
        <f t="shared" si="2"/>
        <v>90000</v>
      </c>
    </row>
    <row r="40" spans="2:7" x14ac:dyDescent="0.2">
      <c r="B40" s="181">
        <f t="shared" si="4"/>
        <v>33</v>
      </c>
      <c r="C40" s="149">
        <v>244</v>
      </c>
      <c r="D40" s="149" t="s">
        <v>400</v>
      </c>
      <c r="E40" s="151">
        <v>90000</v>
      </c>
      <c r="F40" s="151"/>
      <c r="G40" s="151">
        <f t="shared" si="2"/>
        <v>90000</v>
      </c>
    </row>
    <row r="41" spans="2:7" x14ac:dyDescent="0.2">
      <c r="B41" s="181">
        <f t="shared" si="4"/>
        <v>34</v>
      </c>
      <c r="C41" s="200">
        <v>290</v>
      </c>
      <c r="D41" s="200" t="s">
        <v>165</v>
      </c>
      <c r="E41" s="201">
        <f>SUM(E42:E43)</f>
        <v>243137</v>
      </c>
      <c r="F41" s="201">
        <f t="shared" ref="F41" si="13">SUM(F42:F43)</f>
        <v>0</v>
      </c>
      <c r="G41" s="201">
        <f t="shared" si="2"/>
        <v>243137</v>
      </c>
    </row>
    <row r="42" spans="2:7" x14ac:dyDescent="0.2">
      <c r="B42" s="181">
        <f t="shared" si="4"/>
        <v>35</v>
      </c>
      <c r="C42" s="192">
        <v>292027</v>
      </c>
      <c r="D42" s="192" t="s">
        <v>465</v>
      </c>
      <c r="E42" s="193">
        <f>15000+1800</f>
        <v>16800</v>
      </c>
      <c r="F42" s="193"/>
      <c r="G42" s="193">
        <f t="shared" si="2"/>
        <v>16800</v>
      </c>
    </row>
    <row r="43" spans="2:7" ht="13.5" thickBot="1" x14ac:dyDescent="0.25">
      <c r="B43" s="181">
        <f t="shared" si="4"/>
        <v>36</v>
      </c>
      <c r="C43" s="192">
        <v>292027</v>
      </c>
      <c r="D43" s="192" t="s">
        <v>299</v>
      </c>
      <c r="E43" s="193">
        <f>180000+9997+36340</f>
        <v>226337</v>
      </c>
      <c r="F43" s="193"/>
      <c r="G43" s="193">
        <f t="shared" si="2"/>
        <v>226337</v>
      </c>
    </row>
    <row r="44" spans="2:7" ht="15.75" thickBot="1" x14ac:dyDescent="0.3">
      <c r="B44" s="181">
        <f t="shared" si="4"/>
        <v>37</v>
      </c>
      <c r="C44" s="196">
        <v>1</v>
      </c>
      <c r="D44" s="196" t="s">
        <v>49</v>
      </c>
      <c r="E44" s="197">
        <f>E45</f>
        <v>43000</v>
      </c>
      <c r="F44" s="197">
        <f t="shared" ref="F44:F45" si="14">F45</f>
        <v>0</v>
      </c>
      <c r="G44" s="197">
        <f t="shared" si="2"/>
        <v>43000</v>
      </c>
    </row>
    <row r="45" spans="2:7" x14ac:dyDescent="0.2">
      <c r="B45" s="181">
        <f t="shared" si="4"/>
        <v>38</v>
      </c>
      <c r="C45" s="198">
        <v>220</v>
      </c>
      <c r="D45" s="198" t="s">
        <v>206</v>
      </c>
      <c r="E45" s="199">
        <f>E46</f>
        <v>43000</v>
      </c>
      <c r="F45" s="199">
        <f t="shared" si="14"/>
        <v>0</v>
      </c>
      <c r="G45" s="199">
        <f t="shared" si="2"/>
        <v>43000</v>
      </c>
    </row>
    <row r="46" spans="2:7" ht="13.5" thickBot="1" x14ac:dyDescent="0.25">
      <c r="B46" s="181">
        <f t="shared" si="4"/>
        <v>39</v>
      </c>
      <c r="C46" s="149">
        <v>223002</v>
      </c>
      <c r="D46" s="149" t="s">
        <v>70</v>
      </c>
      <c r="E46" s="151">
        <v>43000</v>
      </c>
      <c r="F46" s="151"/>
      <c r="G46" s="151">
        <f t="shared" si="2"/>
        <v>43000</v>
      </c>
    </row>
    <row r="47" spans="2:7" ht="15.75" thickBot="1" x14ac:dyDescent="0.3">
      <c r="B47" s="181">
        <f t="shared" si="4"/>
        <v>40</v>
      </c>
      <c r="C47" s="196">
        <v>2</v>
      </c>
      <c r="D47" s="196" t="s">
        <v>463</v>
      </c>
      <c r="E47" s="197">
        <f>E48+E50+E53+E55+E60+E63+E67+E70+E73+E75+E77+E79+E83</f>
        <v>1146450</v>
      </c>
      <c r="F47" s="197">
        <f t="shared" ref="F47" si="15">F48+F50+F53+F55+F60+F63+F67+F70+F73+F75+F77+F79+F83</f>
        <v>130000</v>
      </c>
      <c r="G47" s="197">
        <f t="shared" si="2"/>
        <v>1276450</v>
      </c>
    </row>
    <row r="48" spans="2:7" x14ac:dyDescent="0.2">
      <c r="B48" s="181">
        <f t="shared" si="4"/>
        <v>41</v>
      </c>
      <c r="C48" s="200">
        <v>210</v>
      </c>
      <c r="D48" s="198" t="s">
        <v>232</v>
      </c>
      <c r="E48" s="201">
        <f>E49</f>
        <v>300</v>
      </c>
      <c r="F48" s="201">
        <f t="shared" ref="F48" si="16">F49</f>
        <v>0</v>
      </c>
      <c r="G48" s="201">
        <f t="shared" si="2"/>
        <v>300</v>
      </c>
    </row>
    <row r="49" spans="2:7" x14ac:dyDescent="0.2">
      <c r="B49" s="181">
        <f>B48+1</f>
        <v>42</v>
      </c>
      <c r="C49" s="149">
        <v>212003</v>
      </c>
      <c r="D49" s="149" t="s">
        <v>233</v>
      </c>
      <c r="E49" s="151">
        <v>300</v>
      </c>
      <c r="F49" s="151"/>
      <c r="G49" s="151">
        <f t="shared" si="2"/>
        <v>300</v>
      </c>
    </row>
    <row r="50" spans="2:7" x14ac:dyDescent="0.2">
      <c r="B50" s="181">
        <f t="shared" si="4"/>
        <v>43</v>
      </c>
      <c r="C50" s="200">
        <v>220</v>
      </c>
      <c r="D50" s="200" t="s">
        <v>206</v>
      </c>
      <c r="E50" s="201">
        <f>SUM(E51:E52)</f>
        <v>1700</v>
      </c>
      <c r="F50" s="201">
        <f t="shared" ref="F50" si="17">SUM(F51:F52)</f>
        <v>0</v>
      </c>
      <c r="G50" s="201">
        <f t="shared" si="2"/>
        <v>1700</v>
      </c>
    </row>
    <row r="51" spans="2:7" x14ac:dyDescent="0.2">
      <c r="B51" s="181">
        <f t="shared" si="4"/>
        <v>44</v>
      </c>
      <c r="C51" s="149">
        <v>222003</v>
      </c>
      <c r="D51" s="149" t="s">
        <v>55</v>
      </c>
      <c r="E51" s="151">
        <v>100</v>
      </c>
      <c r="F51" s="151"/>
      <c r="G51" s="151">
        <f t="shared" si="2"/>
        <v>100</v>
      </c>
    </row>
    <row r="52" spans="2:7" x14ac:dyDescent="0.2">
      <c r="B52" s="181">
        <f t="shared" si="4"/>
        <v>45</v>
      </c>
      <c r="C52" s="149">
        <v>223001</v>
      </c>
      <c r="D52" s="149" t="s">
        <v>235</v>
      </c>
      <c r="E52" s="151">
        <v>1600</v>
      </c>
      <c r="F52" s="151"/>
      <c r="G52" s="151">
        <f t="shared" si="2"/>
        <v>1600</v>
      </c>
    </row>
    <row r="53" spans="2:7" x14ac:dyDescent="0.2">
      <c r="B53" s="181">
        <f>B52+1</f>
        <v>46</v>
      </c>
      <c r="C53" s="200">
        <v>240</v>
      </c>
      <c r="D53" s="200" t="s">
        <v>163</v>
      </c>
      <c r="E53" s="201">
        <f>E54</f>
        <v>50</v>
      </c>
      <c r="F53" s="201">
        <f t="shared" ref="F53" si="18">F54</f>
        <v>0</v>
      </c>
      <c r="G53" s="201">
        <f t="shared" si="2"/>
        <v>50</v>
      </c>
    </row>
    <row r="54" spans="2:7" x14ac:dyDescent="0.2">
      <c r="B54" s="181">
        <f t="shared" si="4"/>
        <v>47</v>
      </c>
      <c r="C54" s="149">
        <v>242</v>
      </c>
      <c r="D54" s="149" t="s">
        <v>162</v>
      </c>
      <c r="E54" s="151">
        <v>50</v>
      </c>
      <c r="F54" s="151"/>
      <c r="G54" s="151">
        <f t="shared" si="2"/>
        <v>50</v>
      </c>
    </row>
    <row r="55" spans="2:7" x14ac:dyDescent="0.2">
      <c r="B55" s="181">
        <f t="shared" si="4"/>
        <v>48</v>
      </c>
      <c r="C55" s="200">
        <v>290</v>
      </c>
      <c r="D55" s="200" t="s">
        <v>165</v>
      </c>
      <c r="E55" s="201">
        <f>SUM(E56:E59)</f>
        <v>9000</v>
      </c>
      <c r="F55" s="201">
        <f t="shared" ref="F55" si="19">SUM(F56:F59)</f>
        <v>0</v>
      </c>
      <c r="G55" s="201">
        <f t="shared" si="2"/>
        <v>9000</v>
      </c>
    </row>
    <row r="56" spans="2:7" x14ac:dyDescent="0.2">
      <c r="B56" s="181">
        <f t="shared" si="4"/>
        <v>49</v>
      </c>
      <c r="C56" s="149">
        <v>292006</v>
      </c>
      <c r="D56" s="149" t="s">
        <v>164</v>
      </c>
      <c r="E56" s="151">
        <v>4000</v>
      </c>
      <c r="F56" s="151"/>
      <c r="G56" s="151">
        <f t="shared" si="2"/>
        <v>4000</v>
      </c>
    </row>
    <row r="57" spans="2:7" x14ac:dyDescent="0.2">
      <c r="B57" s="181">
        <f t="shared" si="4"/>
        <v>50</v>
      </c>
      <c r="C57" s="149">
        <v>292012</v>
      </c>
      <c r="D57" s="149" t="s">
        <v>217</v>
      </c>
      <c r="E57" s="151">
        <v>4000</v>
      </c>
      <c r="F57" s="151"/>
      <c r="G57" s="151">
        <f t="shared" si="2"/>
        <v>4000</v>
      </c>
    </row>
    <row r="58" spans="2:7" x14ac:dyDescent="0.2">
      <c r="B58" s="181">
        <f t="shared" si="4"/>
        <v>51</v>
      </c>
      <c r="C58" s="149">
        <v>292017</v>
      </c>
      <c r="D58" s="149" t="s">
        <v>218</v>
      </c>
      <c r="E58" s="151">
        <v>500</v>
      </c>
      <c r="F58" s="151"/>
      <c r="G58" s="151">
        <f t="shared" si="2"/>
        <v>500</v>
      </c>
    </row>
    <row r="59" spans="2:7" x14ac:dyDescent="0.2">
      <c r="B59" s="181">
        <f t="shared" si="4"/>
        <v>52</v>
      </c>
      <c r="C59" s="149">
        <v>292027</v>
      </c>
      <c r="D59" s="149" t="s">
        <v>299</v>
      </c>
      <c r="E59" s="151">
        <v>500</v>
      </c>
      <c r="F59" s="151"/>
      <c r="G59" s="151">
        <f t="shared" si="2"/>
        <v>500</v>
      </c>
    </row>
    <row r="60" spans="2:7" x14ac:dyDescent="0.2">
      <c r="B60" s="181">
        <f t="shared" si="4"/>
        <v>53</v>
      </c>
      <c r="C60" s="200"/>
      <c r="D60" s="200" t="s">
        <v>47</v>
      </c>
      <c r="E60" s="201">
        <f>SUM(E61:E62)</f>
        <v>318000</v>
      </c>
      <c r="F60" s="201">
        <f t="shared" ref="F60" si="20">SUM(F61:F62)</f>
        <v>0</v>
      </c>
      <c r="G60" s="201">
        <f t="shared" si="2"/>
        <v>318000</v>
      </c>
    </row>
    <row r="61" spans="2:7" x14ac:dyDescent="0.2">
      <c r="B61" s="181">
        <f t="shared" si="4"/>
        <v>54</v>
      </c>
      <c r="C61" s="149">
        <v>212003</v>
      </c>
      <c r="D61" s="149" t="s">
        <v>233</v>
      </c>
      <c r="E61" s="151">
        <v>12500</v>
      </c>
      <c r="F61" s="151"/>
      <c r="G61" s="151">
        <f t="shared" si="2"/>
        <v>12500</v>
      </c>
    </row>
    <row r="62" spans="2:7" x14ac:dyDescent="0.2">
      <c r="B62" s="181">
        <f t="shared" si="4"/>
        <v>55</v>
      </c>
      <c r="C62" s="149">
        <v>223001</v>
      </c>
      <c r="D62" s="149" t="s">
        <v>235</v>
      </c>
      <c r="E62" s="151">
        <v>305500</v>
      </c>
      <c r="F62" s="151"/>
      <c r="G62" s="151">
        <f t="shared" si="2"/>
        <v>305500</v>
      </c>
    </row>
    <row r="63" spans="2:7" x14ac:dyDescent="0.2">
      <c r="B63" s="181">
        <f t="shared" si="4"/>
        <v>56</v>
      </c>
      <c r="C63" s="200"/>
      <c r="D63" s="200" t="s">
        <v>364</v>
      </c>
      <c r="E63" s="201">
        <f>SUM(E64:E66)</f>
        <v>409900</v>
      </c>
      <c r="F63" s="201">
        <f t="shared" ref="F63" si="21">SUM(F64:F66)</f>
        <v>0</v>
      </c>
      <c r="G63" s="201">
        <f t="shared" si="2"/>
        <v>409900</v>
      </c>
    </row>
    <row r="64" spans="2:7" x14ac:dyDescent="0.2">
      <c r="B64" s="181">
        <f t="shared" si="4"/>
        <v>57</v>
      </c>
      <c r="C64" s="149">
        <v>212002</v>
      </c>
      <c r="D64" s="149" t="s">
        <v>253</v>
      </c>
      <c r="E64" s="151">
        <v>16000</v>
      </c>
      <c r="F64" s="151"/>
      <c r="G64" s="151">
        <f t="shared" si="2"/>
        <v>16000</v>
      </c>
    </row>
    <row r="65" spans="2:7" x14ac:dyDescent="0.2">
      <c r="B65" s="181">
        <f t="shared" si="4"/>
        <v>58</v>
      </c>
      <c r="C65" s="149">
        <v>212003</v>
      </c>
      <c r="D65" s="149" t="s">
        <v>233</v>
      </c>
      <c r="E65" s="151">
        <v>2800</v>
      </c>
      <c r="F65" s="151"/>
      <c r="G65" s="151">
        <f t="shared" si="2"/>
        <v>2800</v>
      </c>
    </row>
    <row r="66" spans="2:7" x14ac:dyDescent="0.2">
      <c r="B66" s="181">
        <f t="shared" si="4"/>
        <v>59</v>
      </c>
      <c r="C66" s="149">
        <v>223001</v>
      </c>
      <c r="D66" s="149" t="s">
        <v>235</v>
      </c>
      <c r="E66" s="151">
        <v>391100</v>
      </c>
      <c r="F66" s="151"/>
      <c r="G66" s="151">
        <f t="shared" si="2"/>
        <v>391100</v>
      </c>
    </row>
    <row r="67" spans="2:7" x14ac:dyDescent="0.2">
      <c r="B67" s="181">
        <f t="shared" si="4"/>
        <v>60</v>
      </c>
      <c r="C67" s="200"/>
      <c r="D67" s="200" t="s">
        <v>196</v>
      </c>
      <c r="E67" s="201">
        <f>SUM(E68:E69)</f>
        <v>65000</v>
      </c>
      <c r="F67" s="201">
        <f t="shared" ref="F67" si="22">SUM(F68:F69)</f>
        <v>130000</v>
      </c>
      <c r="G67" s="201">
        <f t="shared" si="2"/>
        <v>195000</v>
      </c>
    </row>
    <row r="68" spans="2:7" x14ac:dyDescent="0.2">
      <c r="B68" s="181">
        <f>B67+1</f>
        <v>61</v>
      </c>
      <c r="C68" s="149">
        <v>212003</v>
      </c>
      <c r="D68" s="149" t="s">
        <v>233</v>
      </c>
      <c r="E68" s="151">
        <v>40000</v>
      </c>
      <c r="F68" s="151">
        <v>15000</v>
      </c>
      <c r="G68" s="151">
        <f t="shared" si="2"/>
        <v>55000</v>
      </c>
    </row>
    <row r="69" spans="2:7" x14ac:dyDescent="0.2">
      <c r="B69" s="181">
        <f t="shared" si="4"/>
        <v>62</v>
      </c>
      <c r="C69" s="149">
        <v>223001</v>
      </c>
      <c r="D69" s="149" t="s">
        <v>235</v>
      </c>
      <c r="E69" s="151">
        <v>25000</v>
      </c>
      <c r="F69" s="151">
        <f>15000+100000</f>
        <v>115000</v>
      </c>
      <c r="G69" s="151">
        <f t="shared" si="2"/>
        <v>140000</v>
      </c>
    </row>
    <row r="70" spans="2:7" x14ac:dyDescent="0.2">
      <c r="B70" s="181">
        <f t="shared" si="4"/>
        <v>63</v>
      </c>
      <c r="C70" s="200"/>
      <c r="D70" s="200" t="s">
        <v>212</v>
      </c>
      <c r="E70" s="201">
        <f>SUM(E71:E72)</f>
        <v>209500</v>
      </c>
      <c r="F70" s="201">
        <f t="shared" ref="F70" si="23">SUM(F71:F72)</f>
        <v>0</v>
      </c>
      <c r="G70" s="201">
        <f t="shared" si="2"/>
        <v>209500</v>
      </c>
    </row>
    <row r="71" spans="2:7" x14ac:dyDescent="0.2">
      <c r="B71" s="181">
        <f t="shared" si="4"/>
        <v>64</v>
      </c>
      <c r="C71" s="149">
        <v>212004</v>
      </c>
      <c r="D71" s="149" t="s">
        <v>234</v>
      </c>
      <c r="E71" s="151">
        <v>4500</v>
      </c>
      <c r="F71" s="151"/>
      <c r="G71" s="151">
        <f t="shared" si="2"/>
        <v>4500</v>
      </c>
    </row>
    <row r="72" spans="2:7" x14ac:dyDescent="0.2">
      <c r="B72" s="181">
        <f t="shared" si="4"/>
        <v>65</v>
      </c>
      <c r="C72" s="149">
        <v>223001</v>
      </c>
      <c r="D72" s="149" t="s">
        <v>235</v>
      </c>
      <c r="E72" s="151">
        <v>205000</v>
      </c>
      <c r="F72" s="151"/>
      <c r="G72" s="151">
        <f t="shared" ref="G72:G135" si="24">E72+F72</f>
        <v>205000</v>
      </c>
    </row>
    <row r="73" spans="2:7" x14ac:dyDescent="0.2">
      <c r="B73" s="181">
        <f t="shared" si="4"/>
        <v>66</v>
      </c>
      <c r="C73" s="200"/>
      <c r="D73" s="200" t="s">
        <v>202</v>
      </c>
      <c r="E73" s="201">
        <f>E74</f>
        <v>2500</v>
      </c>
      <c r="F73" s="201">
        <f t="shared" ref="F73" si="25">F74</f>
        <v>0</v>
      </c>
      <c r="G73" s="201">
        <f t="shared" si="24"/>
        <v>2500</v>
      </c>
    </row>
    <row r="74" spans="2:7" x14ac:dyDescent="0.2">
      <c r="B74" s="181">
        <f t="shared" si="4"/>
        <v>67</v>
      </c>
      <c r="C74" s="149">
        <v>292006</v>
      </c>
      <c r="D74" s="149" t="s">
        <v>164</v>
      </c>
      <c r="E74" s="151">
        <v>2500</v>
      </c>
      <c r="F74" s="151"/>
      <c r="G74" s="151">
        <f t="shared" si="24"/>
        <v>2500</v>
      </c>
    </row>
    <row r="75" spans="2:7" x14ac:dyDescent="0.2">
      <c r="B75" s="181">
        <f t="shared" si="4"/>
        <v>68</v>
      </c>
      <c r="C75" s="200"/>
      <c r="D75" s="200" t="s">
        <v>44</v>
      </c>
      <c r="E75" s="201">
        <f>SUM(E76:E76)</f>
        <v>50</v>
      </c>
      <c r="F75" s="201">
        <f t="shared" ref="F75" si="26">SUM(F76:F76)</f>
        <v>0</v>
      </c>
      <c r="G75" s="201">
        <f t="shared" si="24"/>
        <v>50</v>
      </c>
    </row>
    <row r="76" spans="2:7" x14ac:dyDescent="0.2">
      <c r="B76" s="181">
        <f t="shared" ref="B76:B106" si="27">B75+1</f>
        <v>69</v>
      </c>
      <c r="C76" s="149">
        <v>212003</v>
      </c>
      <c r="D76" s="149" t="s">
        <v>233</v>
      </c>
      <c r="E76" s="151">
        <v>50</v>
      </c>
      <c r="F76" s="151"/>
      <c r="G76" s="151">
        <f t="shared" si="24"/>
        <v>50</v>
      </c>
    </row>
    <row r="77" spans="2:7" x14ac:dyDescent="0.2">
      <c r="B77" s="181">
        <f t="shared" si="27"/>
        <v>70</v>
      </c>
      <c r="C77" s="200"/>
      <c r="D77" s="200" t="s">
        <v>45</v>
      </c>
      <c r="E77" s="201">
        <f>E78</f>
        <v>2500</v>
      </c>
      <c r="F77" s="201">
        <f t="shared" ref="F77" si="28">F78</f>
        <v>0</v>
      </c>
      <c r="G77" s="201">
        <f t="shared" si="24"/>
        <v>2500</v>
      </c>
    </row>
    <row r="78" spans="2:7" x14ac:dyDescent="0.2">
      <c r="B78" s="181">
        <f t="shared" si="27"/>
        <v>71</v>
      </c>
      <c r="C78" s="149">
        <v>292006</v>
      </c>
      <c r="D78" s="149" t="s">
        <v>164</v>
      </c>
      <c r="E78" s="151">
        <v>2500</v>
      </c>
      <c r="F78" s="151"/>
      <c r="G78" s="151">
        <f t="shared" si="24"/>
        <v>2500</v>
      </c>
    </row>
    <row r="79" spans="2:7" x14ac:dyDescent="0.2">
      <c r="B79" s="181">
        <f t="shared" si="27"/>
        <v>72</v>
      </c>
      <c r="C79" s="200"/>
      <c r="D79" s="200" t="s">
        <v>46</v>
      </c>
      <c r="E79" s="201">
        <f>SUM(E80:E82)</f>
        <v>102250</v>
      </c>
      <c r="F79" s="201">
        <f t="shared" ref="F79" si="29">SUM(F80:F82)</f>
        <v>0</v>
      </c>
      <c r="G79" s="201">
        <f t="shared" si="24"/>
        <v>102250</v>
      </c>
    </row>
    <row r="80" spans="2:7" x14ac:dyDescent="0.2">
      <c r="B80" s="181">
        <f t="shared" si="27"/>
        <v>73</v>
      </c>
      <c r="C80" s="149">
        <v>212002</v>
      </c>
      <c r="D80" s="149" t="s">
        <v>253</v>
      </c>
      <c r="E80" s="151">
        <v>500</v>
      </c>
      <c r="F80" s="151"/>
      <c r="G80" s="151">
        <f t="shared" si="24"/>
        <v>500</v>
      </c>
    </row>
    <row r="81" spans="2:7" x14ac:dyDescent="0.2">
      <c r="B81" s="181">
        <f t="shared" si="27"/>
        <v>74</v>
      </c>
      <c r="C81" s="149">
        <v>212003</v>
      </c>
      <c r="D81" s="149" t="s">
        <v>233</v>
      </c>
      <c r="E81" s="151">
        <v>250</v>
      </c>
      <c r="F81" s="151"/>
      <c r="G81" s="151">
        <f t="shared" si="24"/>
        <v>250</v>
      </c>
    </row>
    <row r="82" spans="2:7" x14ac:dyDescent="0.2">
      <c r="B82" s="181">
        <f t="shared" si="27"/>
        <v>75</v>
      </c>
      <c r="C82" s="149">
        <v>223001</v>
      </c>
      <c r="D82" s="149" t="s">
        <v>235</v>
      </c>
      <c r="E82" s="151">
        <v>101500</v>
      </c>
      <c r="F82" s="151"/>
      <c r="G82" s="151">
        <f t="shared" si="24"/>
        <v>101500</v>
      </c>
    </row>
    <row r="83" spans="2:7" x14ac:dyDescent="0.2">
      <c r="B83" s="181">
        <f t="shared" si="27"/>
        <v>76</v>
      </c>
      <c r="C83" s="200"/>
      <c r="D83" s="200" t="s">
        <v>48</v>
      </c>
      <c r="E83" s="201">
        <f>SUM(E84:E85)</f>
        <v>25700</v>
      </c>
      <c r="F83" s="201">
        <f t="shared" ref="F83" si="30">SUM(F84:F85)</f>
        <v>0</v>
      </c>
      <c r="G83" s="201">
        <f t="shared" si="24"/>
        <v>25700</v>
      </c>
    </row>
    <row r="84" spans="2:7" x14ac:dyDescent="0.2">
      <c r="B84" s="181">
        <f t="shared" si="27"/>
        <v>77</v>
      </c>
      <c r="C84" s="149">
        <v>212002</v>
      </c>
      <c r="D84" s="149" t="s">
        <v>253</v>
      </c>
      <c r="E84" s="151">
        <v>700</v>
      </c>
      <c r="F84" s="151"/>
      <c r="G84" s="151">
        <f t="shared" si="24"/>
        <v>700</v>
      </c>
    </row>
    <row r="85" spans="2:7" ht="13.5" thickBot="1" x14ac:dyDescent="0.25">
      <c r="B85" s="181">
        <f t="shared" si="27"/>
        <v>78</v>
      </c>
      <c r="C85" s="192">
        <v>223001</v>
      </c>
      <c r="D85" s="192" t="s">
        <v>235</v>
      </c>
      <c r="E85" s="193">
        <v>25000</v>
      </c>
      <c r="F85" s="193"/>
      <c r="G85" s="193">
        <f t="shared" si="24"/>
        <v>25000</v>
      </c>
    </row>
    <row r="86" spans="2:7" ht="15.75" thickBot="1" x14ac:dyDescent="0.3">
      <c r="B86" s="181">
        <f t="shared" si="27"/>
        <v>79</v>
      </c>
      <c r="C86" s="196">
        <v>3</v>
      </c>
      <c r="D86" s="196" t="s">
        <v>8</v>
      </c>
      <c r="E86" s="197">
        <f>E87</f>
        <v>53861</v>
      </c>
      <c r="F86" s="197">
        <f t="shared" ref="F86" si="31">F87</f>
        <v>0</v>
      </c>
      <c r="G86" s="197">
        <f t="shared" si="24"/>
        <v>53861</v>
      </c>
    </row>
    <row r="87" spans="2:7" x14ac:dyDescent="0.2">
      <c r="B87" s="181">
        <f t="shared" si="27"/>
        <v>80</v>
      </c>
      <c r="C87" s="198">
        <v>220</v>
      </c>
      <c r="D87" s="198" t="s">
        <v>206</v>
      </c>
      <c r="E87" s="199">
        <f>E88+E89</f>
        <v>53861</v>
      </c>
      <c r="F87" s="199">
        <f t="shared" ref="F87" si="32">F88+F89</f>
        <v>0</v>
      </c>
      <c r="G87" s="199">
        <f t="shared" si="24"/>
        <v>53861</v>
      </c>
    </row>
    <row r="88" spans="2:7" x14ac:dyDescent="0.2">
      <c r="B88" s="181">
        <f t="shared" si="27"/>
        <v>81</v>
      </c>
      <c r="C88" s="149">
        <v>223002</v>
      </c>
      <c r="D88" s="149" t="s">
        <v>70</v>
      </c>
      <c r="E88" s="151">
        <v>51282</v>
      </c>
      <c r="F88" s="151"/>
      <c r="G88" s="151">
        <f t="shared" si="24"/>
        <v>51282</v>
      </c>
    </row>
    <row r="89" spans="2:7" ht="13.5" thickBot="1" x14ac:dyDescent="0.25">
      <c r="B89" s="181">
        <f t="shared" si="27"/>
        <v>82</v>
      </c>
      <c r="C89" s="208">
        <v>292012</v>
      </c>
      <c r="D89" s="208" t="s">
        <v>217</v>
      </c>
      <c r="E89" s="209">
        <v>2579</v>
      </c>
      <c r="F89" s="209"/>
      <c r="G89" s="209">
        <f t="shared" si="24"/>
        <v>2579</v>
      </c>
    </row>
    <row r="90" spans="2:7" ht="15.75" thickBot="1" x14ac:dyDescent="0.3">
      <c r="B90" s="181">
        <f t="shared" si="27"/>
        <v>83</v>
      </c>
      <c r="C90" s="196">
        <v>4</v>
      </c>
      <c r="D90" s="196" t="s">
        <v>82</v>
      </c>
      <c r="E90" s="197">
        <f>E91+E95+E99+E103+E107+E111+E115+E119+E123+E127+E131+E135+E139+E143+E145+E147+E150</f>
        <v>1179768</v>
      </c>
      <c r="F90" s="197">
        <f t="shared" ref="F90" si="33">F91+F95+F99+F103+F107+F111+F115+F119+F123+F127+F131+F135+F139+F143+F145+F147+F150</f>
        <v>0</v>
      </c>
      <c r="G90" s="197">
        <f t="shared" si="24"/>
        <v>1179768</v>
      </c>
    </row>
    <row r="91" spans="2:7" x14ac:dyDescent="0.2">
      <c r="B91" s="181">
        <f t="shared" si="27"/>
        <v>84</v>
      </c>
      <c r="C91" s="198" t="s">
        <v>90</v>
      </c>
      <c r="D91" s="198" t="s">
        <v>66</v>
      </c>
      <c r="E91" s="199">
        <f>SUM(E92:E94)</f>
        <v>52428</v>
      </c>
      <c r="F91" s="199">
        <f t="shared" ref="F91" si="34">SUM(F92:F94)</f>
        <v>0</v>
      </c>
      <c r="G91" s="199">
        <f t="shared" si="24"/>
        <v>52428</v>
      </c>
    </row>
    <row r="92" spans="2:7" x14ac:dyDescent="0.2">
      <c r="B92" s="181">
        <f t="shared" si="27"/>
        <v>85</v>
      </c>
      <c r="C92" s="149">
        <v>223001</v>
      </c>
      <c r="D92" s="149" t="s">
        <v>235</v>
      </c>
      <c r="E92" s="151">
        <v>10176</v>
      </c>
      <c r="F92" s="151"/>
      <c r="G92" s="151">
        <f t="shared" si="24"/>
        <v>10176</v>
      </c>
    </row>
    <row r="93" spans="2:7" x14ac:dyDescent="0.2">
      <c r="B93" s="181">
        <f t="shared" si="27"/>
        <v>86</v>
      </c>
      <c r="C93" s="149">
        <v>223002</v>
      </c>
      <c r="D93" s="149" t="s">
        <v>70</v>
      </c>
      <c r="E93" s="151">
        <v>15464</v>
      </c>
      <c r="F93" s="151"/>
      <c r="G93" s="151">
        <f t="shared" si="24"/>
        <v>15464</v>
      </c>
    </row>
    <row r="94" spans="2:7" x14ac:dyDescent="0.2">
      <c r="B94" s="181">
        <f t="shared" si="27"/>
        <v>87</v>
      </c>
      <c r="C94" s="149">
        <v>223003</v>
      </c>
      <c r="D94" s="149" t="s">
        <v>71</v>
      </c>
      <c r="E94" s="151">
        <v>26788</v>
      </c>
      <c r="F94" s="151"/>
      <c r="G94" s="151">
        <f t="shared" si="24"/>
        <v>26788</v>
      </c>
    </row>
    <row r="95" spans="2:7" x14ac:dyDescent="0.2">
      <c r="B95" s="181">
        <f t="shared" si="27"/>
        <v>88</v>
      </c>
      <c r="C95" s="200" t="s">
        <v>89</v>
      </c>
      <c r="D95" s="200" t="s">
        <v>223</v>
      </c>
      <c r="E95" s="201">
        <f>SUM(E96:E98)</f>
        <v>115350</v>
      </c>
      <c r="F95" s="201">
        <f t="shared" ref="F95" si="35">SUM(F96:F98)</f>
        <v>0</v>
      </c>
      <c r="G95" s="201">
        <f t="shared" si="24"/>
        <v>115350</v>
      </c>
    </row>
    <row r="96" spans="2:7" x14ac:dyDescent="0.2">
      <c r="B96" s="181">
        <f t="shared" si="27"/>
        <v>89</v>
      </c>
      <c r="C96" s="149">
        <v>223001</v>
      </c>
      <c r="D96" s="149" t="s">
        <v>235</v>
      </c>
      <c r="E96" s="151">
        <v>21052</v>
      </c>
      <c r="F96" s="151"/>
      <c r="G96" s="151">
        <f t="shared" si="24"/>
        <v>21052</v>
      </c>
    </row>
    <row r="97" spans="2:7" x14ac:dyDescent="0.2">
      <c r="B97" s="181">
        <f t="shared" si="27"/>
        <v>90</v>
      </c>
      <c r="C97" s="149">
        <v>223002</v>
      </c>
      <c r="D97" s="149" t="s">
        <v>70</v>
      </c>
      <c r="E97" s="151">
        <v>35289</v>
      </c>
      <c r="F97" s="151"/>
      <c r="G97" s="151">
        <f t="shared" si="24"/>
        <v>35289</v>
      </c>
    </row>
    <row r="98" spans="2:7" x14ac:dyDescent="0.2">
      <c r="B98" s="181">
        <f t="shared" si="27"/>
        <v>91</v>
      </c>
      <c r="C98" s="149">
        <v>223003</v>
      </c>
      <c r="D98" s="149" t="s">
        <v>71</v>
      </c>
      <c r="E98" s="151">
        <v>59009</v>
      </c>
      <c r="F98" s="151"/>
      <c r="G98" s="151">
        <f t="shared" si="24"/>
        <v>59009</v>
      </c>
    </row>
    <row r="99" spans="2:7" x14ac:dyDescent="0.2">
      <c r="B99" s="181">
        <f t="shared" si="27"/>
        <v>92</v>
      </c>
      <c r="C99" s="200" t="s">
        <v>85</v>
      </c>
      <c r="D99" s="200" t="s">
        <v>65</v>
      </c>
      <c r="E99" s="201">
        <f>SUM(E100:E102)</f>
        <v>64980</v>
      </c>
      <c r="F99" s="201">
        <f t="shared" ref="F99" si="36">SUM(F100:F102)</f>
        <v>0</v>
      </c>
      <c r="G99" s="201">
        <f t="shared" si="24"/>
        <v>64980</v>
      </c>
    </row>
    <row r="100" spans="2:7" x14ac:dyDescent="0.2">
      <c r="B100" s="181">
        <f t="shared" si="27"/>
        <v>93</v>
      </c>
      <c r="C100" s="149">
        <v>223001</v>
      </c>
      <c r="D100" s="149" t="s">
        <v>235</v>
      </c>
      <c r="E100" s="151">
        <v>10746</v>
      </c>
      <c r="F100" s="151"/>
      <c r="G100" s="151">
        <f t="shared" si="24"/>
        <v>10746</v>
      </c>
    </row>
    <row r="101" spans="2:7" x14ac:dyDescent="0.2">
      <c r="B101" s="181">
        <f t="shared" si="27"/>
        <v>94</v>
      </c>
      <c r="C101" s="149">
        <v>223002</v>
      </c>
      <c r="D101" s="149" t="s">
        <v>70</v>
      </c>
      <c r="E101" s="151">
        <v>21411</v>
      </c>
      <c r="F101" s="151"/>
      <c r="G101" s="151">
        <f t="shared" si="24"/>
        <v>21411</v>
      </c>
    </row>
    <row r="102" spans="2:7" x14ac:dyDescent="0.2">
      <c r="B102" s="181">
        <f t="shared" si="27"/>
        <v>95</v>
      </c>
      <c r="C102" s="149">
        <v>223003</v>
      </c>
      <c r="D102" s="149" t="s">
        <v>71</v>
      </c>
      <c r="E102" s="151">
        <v>32823</v>
      </c>
      <c r="F102" s="151"/>
      <c r="G102" s="151">
        <f t="shared" si="24"/>
        <v>32823</v>
      </c>
    </row>
    <row r="103" spans="2:7" x14ac:dyDescent="0.2">
      <c r="B103" s="181">
        <f t="shared" si="27"/>
        <v>96</v>
      </c>
      <c r="C103" s="200" t="s">
        <v>93</v>
      </c>
      <c r="D103" s="200" t="s">
        <v>485</v>
      </c>
      <c r="E103" s="201">
        <f>SUM(E104:E106)</f>
        <v>80650</v>
      </c>
      <c r="F103" s="201">
        <f t="shared" ref="F103" si="37">SUM(F104:F106)</f>
        <v>0</v>
      </c>
      <c r="G103" s="201">
        <f t="shared" si="24"/>
        <v>80650</v>
      </c>
    </row>
    <row r="104" spans="2:7" x14ac:dyDescent="0.2">
      <c r="B104" s="181">
        <f t="shared" si="27"/>
        <v>97</v>
      </c>
      <c r="C104" s="149">
        <v>223001</v>
      </c>
      <c r="D104" s="149" t="s">
        <v>235</v>
      </c>
      <c r="E104" s="151">
        <v>13962</v>
      </c>
      <c r="F104" s="151"/>
      <c r="G104" s="151">
        <f t="shared" si="24"/>
        <v>13962</v>
      </c>
    </row>
    <row r="105" spans="2:7" x14ac:dyDescent="0.2">
      <c r="B105" s="181">
        <f t="shared" si="27"/>
        <v>98</v>
      </c>
      <c r="C105" s="149">
        <v>223002</v>
      </c>
      <c r="D105" s="149" t="s">
        <v>70</v>
      </c>
      <c r="E105" s="151">
        <v>25773</v>
      </c>
      <c r="F105" s="151"/>
      <c r="G105" s="151">
        <f t="shared" si="24"/>
        <v>25773</v>
      </c>
    </row>
    <row r="106" spans="2:7" x14ac:dyDescent="0.2">
      <c r="B106" s="181">
        <f t="shared" si="27"/>
        <v>99</v>
      </c>
      <c r="C106" s="149">
        <v>223003</v>
      </c>
      <c r="D106" s="149" t="s">
        <v>71</v>
      </c>
      <c r="E106" s="151">
        <v>40915</v>
      </c>
      <c r="F106" s="151"/>
      <c r="G106" s="151">
        <f t="shared" si="24"/>
        <v>40915</v>
      </c>
    </row>
    <row r="107" spans="2:7" x14ac:dyDescent="0.2">
      <c r="B107" s="181">
        <f t="shared" ref="B107:B139" si="38">B106+1</f>
        <v>100</v>
      </c>
      <c r="C107" s="200" t="s">
        <v>95</v>
      </c>
      <c r="D107" s="200" t="s">
        <v>96</v>
      </c>
      <c r="E107" s="201">
        <f>SUM(E108:E110)</f>
        <v>64827</v>
      </c>
      <c r="F107" s="201">
        <f t="shared" ref="F107" si="39">SUM(F108:F110)</f>
        <v>0</v>
      </c>
      <c r="G107" s="201">
        <f t="shared" si="24"/>
        <v>64827</v>
      </c>
    </row>
    <row r="108" spans="2:7" x14ac:dyDescent="0.2">
      <c r="B108" s="181">
        <f t="shared" si="38"/>
        <v>101</v>
      </c>
      <c r="C108" s="149">
        <v>223001</v>
      </c>
      <c r="D108" s="149" t="s">
        <v>235</v>
      </c>
      <c r="E108" s="151">
        <v>13082</v>
      </c>
      <c r="F108" s="151"/>
      <c r="G108" s="151">
        <f t="shared" si="24"/>
        <v>13082</v>
      </c>
    </row>
    <row r="109" spans="2:7" x14ac:dyDescent="0.2">
      <c r="B109" s="181">
        <f t="shared" si="38"/>
        <v>102</v>
      </c>
      <c r="C109" s="149">
        <v>223002</v>
      </c>
      <c r="D109" s="149" t="s">
        <v>70</v>
      </c>
      <c r="E109" s="151">
        <v>18239</v>
      </c>
      <c r="F109" s="151"/>
      <c r="G109" s="151">
        <f t="shared" si="24"/>
        <v>18239</v>
      </c>
    </row>
    <row r="110" spans="2:7" x14ac:dyDescent="0.2">
      <c r="B110" s="181">
        <f t="shared" si="38"/>
        <v>103</v>
      </c>
      <c r="C110" s="149">
        <v>223003</v>
      </c>
      <c r="D110" s="149" t="s">
        <v>71</v>
      </c>
      <c r="E110" s="151">
        <v>33506</v>
      </c>
      <c r="F110" s="151"/>
      <c r="G110" s="151">
        <f t="shared" si="24"/>
        <v>33506</v>
      </c>
    </row>
    <row r="111" spans="2:7" x14ac:dyDescent="0.2">
      <c r="B111" s="181">
        <f t="shared" si="38"/>
        <v>104</v>
      </c>
      <c r="C111" s="200" t="s">
        <v>83</v>
      </c>
      <c r="D111" s="200" t="s">
        <v>84</v>
      </c>
      <c r="E111" s="201">
        <f>SUM(E112:E114)</f>
        <v>114353</v>
      </c>
      <c r="F111" s="201">
        <f t="shared" ref="F111" si="40">SUM(F112:F114)</f>
        <v>0</v>
      </c>
      <c r="G111" s="201">
        <f t="shared" si="24"/>
        <v>114353</v>
      </c>
    </row>
    <row r="112" spans="2:7" x14ac:dyDescent="0.2">
      <c r="B112" s="181">
        <f t="shared" si="38"/>
        <v>105</v>
      </c>
      <c r="C112" s="149">
        <v>223001</v>
      </c>
      <c r="D112" s="149" t="s">
        <v>235</v>
      </c>
      <c r="E112" s="151">
        <v>21142</v>
      </c>
      <c r="F112" s="151"/>
      <c r="G112" s="151">
        <f t="shared" si="24"/>
        <v>21142</v>
      </c>
    </row>
    <row r="113" spans="2:7" x14ac:dyDescent="0.2">
      <c r="B113" s="181">
        <f t="shared" si="38"/>
        <v>106</v>
      </c>
      <c r="C113" s="149">
        <v>223002</v>
      </c>
      <c r="D113" s="149" t="s">
        <v>70</v>
      </c>
      <c r="E113" s="151">
        <v>34892</v>
      </c>
      <c r="F113" s="151"/>
      <c r="G113" s="151">
        <f t="shared" si="24"/>
        <v>34892</v>
      </c>
    </row>
    <row r="114" spans="2:7" x14ac:dyDescent="0.2">
      <c r="B114" s="181">
        <f t="shared" si="38"/>
        <v>107</v>
      </c>
      <c r="C114" s="149">
        <v>223003</v>
      </c>
      <c r="D114" s="149" t="s">
        <v>71</v>
      </c>
      <c r="E114" s="151">
        <v>58319</v>
      </c>
      <c r="F114" s="151"/>
      <c r="G114" s="151">
        <f t="shared" si="24"/>
        <v>58319</v>
      </c>
    </row>
    <row r="115" spans="2:7" x14ac:dyDescent="0.2">
      <c r="B115" s="181">
        <f t="shared" si="38"/>
        <v>108</v>
      </c>
      <c r="C115" s="200" t="s">
        <v>81</v>
      </c>
      <c r="D115" s="200" t="s">
        <v>448</v>
      </c>
      <c r="E115" s="201">
        <f>SUM(E116:E118)</f>
        <v>113680</v>
      </c>
      <c r="F115" s="201">
        <f t="shared" ref="F115" si="41">SUM(F116:F118)</f>
        <v>0</v>
      </c>
      <c r="G115" s="201">
        <f t="shared" si="24"/>
        <v>113680</v>
      </c>
    </row>
    <row r="116" spans="2:7" x14ac:dyDescent="0.2">
      <c r="B116" s="181">
        <f t="shared" si="38"/>
        <v>109</v>
      </c>
      <c r="C116" s="149">
        <v>223001</v>
      </c>
      <c r="D116" s="149" t="s">
        <v>235</v>
      </c>
      <c r="E116" s="151">
        <v>19994</v>
      </c>
      <c r="F116" s="151"/>
      <c r="G116" s="151">
        <f t="shared" si="24"/>
        <v>19994</v>
      </c>
    </row>
    <row r="117" spans="2:7" x14ac:dyDescent="0.2">
      <c r="B117" s="181">
        <f t="shared" si="38"/>
        <v>110</v>
      </c>
      <c r="C117" s="149">
        <v>223002</v>
      </c>
      <c r="D117" s="149" t="s">
        <v>70</v>
      </c>
      <c r="E117" s="151">
        <v>35685</v>
      </c>
      <c r="F117" s="151"/>
      <c r="G117" s="151">
        <f t="shared" si="24"/>
        <v>35685</v>
      </c>
    </row>
    <row r="118" spans="2:7" x14ac:dyDescent="0.2">
      <c r="B118" s="181">
        <f t="shared" si="38"/>
        <v>111</v>
      </c>
      <c r="C118" s="149">
        <v>223003</v>
      </c>
      <c r="D118" s="149" t="s">
        <v>71</v>
      </c>
      <c r="E118" s="151">
        <v>58001</v>
      </c>
      <c r="F118" s="151"/>
      <c r="G118" s="151">
        <f t="shared" si="24"/>
        <v>58001</v>
      </c>
    </row>
    <row r="119" spans="2:7" x14ac:dyDescent="0.2">
      <c r="B119" s="181">
        <f t="shared" si="38"/>
        <v>112</v>
      </c>
      <c r="C119" s="200" t="s">
        <v>99</v>
      </c>
      <c r="D119" s="200" t="s">
        <v>100</v>
      </c>
      <c r="E119" s="201">
        <f>SUM(E120:E122)</f>
        <v>62136</v>
      </c>
      <c r="F119" s="201">
        <f t="shared" ref="F119" si="42">SUM(F120:F122)</f>
        <v>0</v>
      </c>
      <c r="G119" s="201">
        <f t="shared" si="24"/>
        <v>62136</v>
      </c>
    </row>
    <row r="120" spans="2:7" x14ac:dyDescent="0.2">
      <c r="B120" s="181">
        <f t="shared" si="38"/>
        <v>113</v>
      </c>
      <c r="C120" s="149">
        <v>223001</v>
      </c>
      <c r="D120" s="149" t="s">
        <v>235</v>
      </c>
      <c r="E120" s="151">
        <v>10836</v>
      </c>
      <c r="F120" s="151"/>
      <c r="G120" s="151">
        <f t="shared" si="24"/>
        <v>10836</v>
      </c>
    </row>
    <row r="121" spans="2:7" x14ac:dyDescent="0.2">
      <c r="B121" s="181">
        <f t="shared" si="38"/>
        <v>114</v>
      </c>
      <c r="C121" s="149">
        <v>223002</v>
      </c>
      <c r="D121" s="149" t="s">
        <v>70</v>
      </c>
      <c r="E121" s="151">
        <v>19825</v>
      </c>
      <c r="F121" s="151"/>
      <c r="G121" s="151">
        <f t="shared" si="24"/>
        <v>19825</v>
      </c>
    </row>
    <row r="122" spans="2:7" x14ac:dyDescent="0.2">
      <c r="B122" s="181">
        <f t="shared" si="38"/>
        <v>115</v>
      </c>
      <c r="C122" s="149">
        <v>223003</v>
      </c>
      <c r="D122" s="149" t="s">
        <v>71</v>
      </c>
      <c r="E122" s="151">
        <v>31475</v>
      </c>
      <c r="F122" s="151"/>
      <c r="G122" s="151">
        <f t="shared" si="24"/>
        <v>31475</v>
      </c>
    </row>
    <row r="123" spans="2:7" x14ac:dyDescent="0.2">
      <c r="B123" s="181">
        <f t="shared" si="38"/>
        <v>116</v>
      </c>
      <c r="C123" s="200" t="s">
        <v>98</v>
      </c>
      <c r="D123" s="200" t="s">
        <v>61</v>
      </c>
      <c r="E123" s="201">
        <f>SUM(E124:E126)</f>
        <v>103453</v>
      </c>
      <c r="F123" s="201">
        <f t="shared" ref="F123" si="43">SUM(F124:F126)</f>
        <v>0</v>
      </c>
      <c r="G123" s="201">
        <f t="shared" si="24"/>
        <v>103453</v>
      </c>
    </row>
    <row r="124" spans="2:7" x14ac:dyDescent="0.2">
      <c r="B124" s="181">
        <f t="shared" si="38"/>
        <v>117</v>
      </c>
      <c r="C124" s="149">
        <v>223001</v>
      </c>
      <c r="D124" s="149" t="s">
        <v>235</v>
      </c>
      <c r="E124" s="151">
        <v>18939</v>
      </c>
      <c r="F124" s="151"/>
      <c r="G124" s="151">
        <f t="shared" si="24"/>
        <v>18939</v>
      </c>
    </row>
    <row r="125" spans="2:7" x14ac:dyDescent="0.2">
      <c r="B125" s="181">
        <f t="shared" si="38"/>
        <v>118</v>
      </c>
      <c r="C125" s="149">
        <v>223002</v>
      </c>
      <c r="D125" s="149" t="s">
        <v>70</v>
      </c>
      <c r="E125" s="151">
        <v>31720</v>
      </c>
      <c r="F125" s="151"/>
      <c r="G125" s="151">
        <f t="shared" si="24"/>
        <v>31720</v>
      </c>
    </row>
    <row r="126" spans="2:7" x14ac:dyDescent="0.2">
      <c r="B126" s="181">
        <f t="shared" si="38"/>
        <v>119</v>
      </c>
      <c r="C126" s="149">
        <v>223003</v>
      </c>
      <c r="D126" s="149" t="s">
        <v>71</v>
      </c>
      <c r="E126" s="151">
        <v>52794</v>
      </c>
      <c r="F126" s="151"/>
      <c r="G126" s="151">
        <f t="shared" si="24"/>
        <v>52794</v>
      </c>
    </row>
    <row r="127" spans="2:7" x14ac:dyDescent="0.2">
      <c r="B127" s="181">
        <f t="shared" si="38"/>
        <v>120</v>
      </c>
      <c r="C127" s="200" t="s">
        <v>94</v>
      </c>
      <c r="D127" s="200" t="s">
        <v>67</v>
      </c>
      <c r="E127" s="201">
        <f>SUM(E128:E130)</f>
        <v>102719</v>
      </c>
      <c r="F127" s="201">
        <f t="shared" ref="F127" si="44">SUM(F128:F130)</f>
        <v>0</v>
      </c>
      <c r="G127" s="201">
        <f t="shared" si="24"/>
        <v>102719</v>
      </c>
    </row>
    <row r="128" spans="2:7" x14ac:dyDescent="0.2">
      <c r="B128" s="181">
        <f t="shared" si="38"/>
        <v>121</v>
      </c>
      <c r="C128" s="149">
        <v>223001</v>
      </c>
      <c r="D128" s="149" t="s">
        <v>235</v>
      </c>
      <c r="E128" s="151">
        <v>19734</v>
      </c>
      <c r="F128" s="151"/>
      <c r="G128" s="151">
        <f t="shared" si="24"/>
        <v>19734</v>
      </c>
    </row>
    <row r="129" spans="2:7" x14ac:dyDescent="0.2">
      <c r="B129" s="181">
        <f t="shared" si="38"/>
        <v>122</v>
      </c>
      <c r="C129" s="149">
        <v>223002</v>
      </c>
      <c r="D129" s="149" t="s">
        <v>70</v>
      </c>
      <c r="E129" s="151">
        <v>30531</v>
      </c>
      <c r="F129" s="151"/>
      <c r="G129" s="151">
        <f t="shared" si="24"/>
        <v>30531</v>
      </c>
    </row>
    <row r="130" spans="2:7" x14ac:dyDescent="0.2">
      <c r="B130" s="181">
        <f t="shared" si="38"/>
        <v>123</v>
      </c>
      <c r="C130" s="149">
        <v>223003</v>
      </c>
      <c r="D130" s="149" t="s">
        <v>71</v>
      </c>
      <c r="E130" s="151">
        <v>52454</v>
      </c>
      <c r="F130" s="151"/>
      <c r="G130" s="151">
        <f t="shared" si="24"/>
        <v>52454</v>
      </c>
    </row>
    <row r="131" spans="2:7" x14ac:dyDescent="0.2">
      <c r="B131" s="181">
        <f t="shared" si="38"/>
        <v>124</v>
      </c>
      <c r="C131" s="200" t="s">
        <v>97</v>
      </c>
      <c r="D131" s="200" t="s">
        <v>68</v>
      </c>
      <c r="E131" s="201">
        <f>SUM(E132:E134)</f>
        <v>87143</v>
      </c>
      <c r="F131" s="201">
        <f t="shared" ref="F131" si="45">SUM(F132:F134)</f>
        <v>0</v>
      </c>
      <c r="G131" s="201">
        <f t="shared" si="24"/>
        <v>87143</v>
      </c>
    </row>
    <row r="132" spans="2:7" x14ac:dyDescent="0.2">
      <c r="B132" s="181">
        <f t="shared" si="38"/>
        <v>125</v>
      </c>
      <c r="C132" s="149">
        <v>223001</v>
      </c>
      <c r="D132" s="149" t="s">
        <v>235</v>
      </c>
      <c r="E132" s="151">
        <v>18236</v>
      </c>
      <c r="F132" s="151"/>
      <c r="G132" s="151">
        <f t="shared" si="24"/>
        <v>18236</v>
      </c>
    </row>
    <row r="133" spans="2:7" x14ac:dyDescent="0.2">
      <c r="B133" s="181">
        <f t="shared" si="38"/>
        <v>126</v>
      </c>
      <c r="C133" s="149">
        <v>223002</v>
      </c>
      <c r="D133" s="149" t="s">
        <v>70</v>
      </c>
      <c r="E133" s="151">
        <v>23790</v>
      </c>
      <c r="F133" s="151"/>
      <c r="G133" s="151">
        <f t="shared" si="24"/>
        <v>23790</v>
      </c>
    </row>
    <row r="134" spans="2:7" x14ac:dyDescent="0.2">
      <c r="B134" s="181">
        <f t="shared" si="38"/>
        <v>127</v>
      </c>
      <c r="C134" s="149">
        <v>223003</v>
      </c>
      <c r="D134" s="149" t="s">
        <v>71</v>
      </c>
      <c r="E134" s="151">
        <v>45117</v>
      </c>
      <c r="F134" s="151"/>
      <c r="G134" s="151">
        <f t="shared" si="24"/>
        <v>45117</v>
      </c>
    </row>
    <row r="135" spans="2:7" x14ac:dyDescent="0.2">
      <c r="B135" s="181">
        <f t="shared" si="38"/>
        <v>128</v>
      </c>
      <c r="C135" s="200" t="s">
        <v>91</v>
      </c>
      <c r="D135" s="200" t="s">
        <v>92</v>
      </c>
      <c r="E135" s="201">
        <f>SUM(E136:E138)</f>
        <v>33209</v>
      </c>
      <c r="F135" s="201">
        <f t="shared" ref="F135" si="46">SUM(F136:F138)</f>
        <v>0</v>
      </c>
      <c r="G135" s="201">
        <f t="shared" si="24"/>
        <v>33209</v>
      </c>
    </row>
    <row r="136" spans="2:7" x14ac:dyDescent="0.2">
      <c r="B136" s="181">
        <f t="shared" si="38"/>
        <v>129</v>
      </c>
      <c r="C136" s="149">
        <v>223001</v>
      </c>
      <c r="D136" s="149" t="s">
        <v>235</v>
      </c>
      <c r="E136" s="151">
        <v>6696</v>
      </c>
      <c r="F136" s="151"/>
      <c r="G136" s="151">
        <f t="shared" ref="G136:G201" si="47">E136+F136</f>
        <v>6696</v>
      </c>
    </row>
    <row r="137" spans="2:7" x14ac:dyDescent="0.2">
      <c r="B137" s="181">
        <f t="shared" si="38"/>
        <v>130</v>
      </c>
      <c r="C137" s="149">
        <v>223002</v>
      </c>
      <c r="D137" s="149" t="s">
        <v>70</v>
      </c>
      <c r="E137" s="151">
        <v>9516</v>
      </c>
      <c r="F137" s="151"/>
      <c r="G137" s="151">
        <f t="shared" si="47"/>
        <v>9516</v>
      </c>
    </row>
    <row r="138" spans="2:7" x14ac:dyDescent="0.2">
      <c r="B138" s="181">
        <f t="shared" si="38"/>
        <v>131</v>
      </c>
      <c r="C138" s="149">
        <v>223003</v>
      </c>
      <c r="D138" s="149" t="s">
        <v>71</v>
      </c>
      <c r="E138" s="151">
        <v>16997</v>
      </c>
      <c r="F138" s="151"/>
      <c r="G138" s="151">
        <f t="shared" si="47"/>
        <v>16997</v>
      </c>
    </row>
    <row r="139" spans="2:7" x14ac:dyDescent="0.2">
      <c r="B139" s="181">
        <f t="shared" si="38"/>
        <v>132</v>
      </c>
      <c r="C139" s="200" t="s">
        <v>86</v>
      </c>
      <c r="D139" s="200" t="s">
        <v>192</v>
      </c>
      <c r="E139" s="201">
        <f>SUM(E140:E142)</f>
        <v>32745</v>
      </c>
      <c r="F139" s="201">
        <f t="shared" ref="F139" si="48">SUM(F140:F142)</f>
        <v>0</v>
      </c>
      <c r="G139" s="201">
        <f t="shared" si="47"/>
        <v>32745</v>
      </c>
    </row>
    <row r="140" spans="2:7" x14ac:dyDescent="0.2">
      <c r="B140" s="181">
        <f t="shared" ref="B140:B193" si="49">B139+1</f>
        <v>133</v>
      </c>
      <c r="C140" s="149">
        <v>223001</v>
      </c>
      <c r="D140" s="149" t="s">
        <v>235</v>
      </c>
      <c r="E140" s="151">
        <v>7138</v>
      </c>
      <c r="F140" s="151"/>
      <c r="G140" s="151">
        <f t="shared" si="47"/>
        <v>7138</v>
      </c>
    </row>
    <row r="141" spans="2:7" x14ac:dyDescent="0.2">
      <c r="B141" s="181">
        <f t="shared" si="49"/>
        <v>134</v>
      </c>
      <c r="C141" s="149">
        <v>223002</v>
      </c>
      <c r="D141" s="149" t="s">
        <v>70</v>
      </c>
      <c r="E141" s="151">
        <v>8723</v>
      </c>
      <c r="F141" s="151"/>
      <c r="G141" s="151">
        <f t="shared" si="47"/>
        <v>8723</v>
      </c>
    </row>
    <row r="142" spans="2:7" x14ac:dyDescent="0.2">
      <c r="B142" s="181">
        <f t="shared" si="49"/>
        <v>135</v>
      </c>
      <c r="C142" s="149">
        <v>223003</v>
      </c>
      <c r="D142" s="149" t="s">
        <v>71</v>
      </c>
      <c r="E142" s="151">
        <v>16884</v>
      </c>
      <c r="F142" s="151"/>
      <c r="G142" s="151">
        <f t="shared" si="47"/>
        <v>16884</v>
      </c>
    </row>
    <row r="143" spans="2:7" x14ac:dyDescent="0.2">
      <c r="B143" s="181">
        <f t="shared" si="49"/>
        <v>136</v>
      </c>
      <c r="C143" s="200" t="s">
        <v>101</v>
      </c>
      <c r="D143" s="200" t="s">
        <v>69</v>
      </c>
      <c r="E143" s="201">
        <f>E144</f>
        <v>12292</v>
      </c>
      <c r="F143" s="201">
        <f t="shared" ref="F143" si="50">F144</f>
        <v>0</v>
      </c>
      <c r="G143" s="201">
        <f t="shared" si="47"/>
        <v>12292</v>
      </c>
    </row>
    <row r="144" spans="2:7" x14ac:dyDescent="0.2">
      <c r="B144" s="181">
        <f t="shared" si="49"/>
        <v>137</v>
      </c>
      <c r="C144" s="149">
        <v>223002</v>
      </c>
      <c r="D144" s="149" t="s">
        <v>70</v>
      </c>
      <c r="E144" s="151">
        <v>12292</v>
      </c>
      <c r="F144" s="151"/>
      <c r="G144" s="151">
        <f t="shared" si="47"/>
        <v>12292</v>
      </c>
    </row>
    <row r="145" spans="2:7" x14ac:dyDescent="0.2">
      <c r="B145" s="181">
        <f t="shared" si="49"/>
        <v>138</v>
      </c>
      <c r="C145" s="200" t="s">
        <v>102</v>
      </c>
      <c r="D145" s="200" t="s">
        <v>103</v>
      </c>
      <c r="E145" s="201">
        <f>E146</f>
        <v>42822</v>
      </c>
      <c r="F145" s="201">
        <f t="shared" ref="F145" si="51">F146</f>
        <v>0</v>
      </c>
      <c r="G145" s="201">
        <f t="shared" si="47"/>
        <v>42822</v>
      </c>
    </row>
    <row r="146" spans="2:7" x14ac:dyDescent="0.2">
      <c r="B146" s="181">
        <f t="shared" si="49"/>
        <v>139</v>
      </c>
      <c r="C146" s="149">
        <v>223002</v>
      </c>
      <c r="D146" s="149" t="s">
        <v>70</v>
      </c>
      <c r="E146" s="151">
        <v>42822</v>
      </c>
      <c r="F146" s="151"/>
      <c r="G146" s="151">
        <f t="shared" si="47"/>
        <v>42822</v>
      </c>
    </row>
    <row r="147" spans="2:7" x14ac:dyDescent="0.2">
      <c r="B147" s="181">
        <f t="shared" si="49"/>
        <v>140</v>
      </c>
      <c r="C147" s="200" t="s">
        <v>87</v>
      </c>
      <c r="D147" s="200" t="s">
        <v>88</v>
      </c>
      <c r="E147" s="201">
        <f>SUM(E148:E149)</f>
        <v>80370</v>
      </c>
      <c r="F147" s="201">
        <f t="shared" ref="F147" si="52">SUM(F148:F149)</f>
        <v>0</v>
      </c>
      <c r="G147" s="201">
        <f t="shared" si="47"/>
        <v>80370</v>
      </c>
    </row>
    <row r="148" spans="2:7" x14ac:dyDescent="0.2">
      <c r="B148" s="181">
        <f t="shared" si="49"/>
        <v>141</v>
      </c>
      <c r="C148" s="149">
        <v>223001</v>
      </c>
      <c r="D148" s="149" t="s">
        <v>235</v>
      </c>
      <c r="E148" s="151">
        <v>21052</v>
      </c>
      <c r="F148" s="151"/>
      <c r="G148" s="151">
        <f t="shared" si="47"/>
        <v>21052</v>
      </c>
    </row>
    <row r="149" spans="2:7" x14ac:dyDescent="0.2">
      <c r="B149" s="181">
        <f t="shared" si="49"/>
        <v>142</v>
      </c>
      <c r="C149" s="149">
        <v>223003</v>
      </c>
      <c r="D149" s="149" t="s">
        <v>71</v>
      </c>
      <c r="E149" s="151">
        <v>59318</v>
      </c>
      <c r="F149" s="151"/>
      <c r="G149" s="151">
        <f t="shared" si="47"/>
        <v>59318</v>
      </c>
    </row>
    <row r="150" spans="2:7" x14ac:dyDescent="0.2">
      <c r="B150" s="181">
        <f t="shared" si="49"/>
        <v>143</v>
      </c>
      <c r="C150" s="200"/>
      <c r="D150" s="200" t="s">
        <v>301</v>
      </c>
      <c r="E150" s="201">
        <f>SUM(E151:E154)</f>
        <v>16611</v>
      </c>
      <c r="F150" s="201">
        <f t="shared" ref="F150" si="53">SUM(F151:F154)</f>
        <v>0</v>
      </c>
      <c r="G150" s="201">
        <f t="shared" si="47"/>
        <v>16611</v>
      </c>
    </row>
    <row r="151" spans="2:7" x14ac:dyDescent="0.2">
      <c r="B151" s="181">
        <f t="shared" si="49"/>
        <v>144</v>
      </c>
      <c r="C151" s="149">
        <v>212003</v>
      </c>
      <c r="D151" s="149" t="s">
        <v>233</v>
      </c>
      <c r="E151" s="151">
        <v>7290</v>
      </c>
      <c r="F151" s="151"/>
      <c r="G151" s="151">
        <f t="shared" si="47"/>
        <v>7290</v>
      </c>
    </row>
    <row r="152" spans="2:7" x14ac:dyDescent="0.2">
      <c r="B152" s="181">
        <f t="shared" si="49"/>
        <v>145</v>
      </c>
      <c r="C152" s="149">
        <v>292012</v>
      </c>
      <c r="D152" s="149" t="s">
        <v>217</v>
      </c>
      <c r="E152" s="151">
        <v>6630</v>
      </c>
      <c r="F152" s="151"/>
      <c r="G152" s="151">
        <f t="shared" si="47"/>
        <v>6630</v>
      </c>
    </row>
    <row r="153" spans="2:7" x14ac:dyDescent="0.2">
      <c r="B153" s="181">
        <f t="shared" si="49"/>
        <v>146</v>
      </c>
      <c r="C153" s="149">
        <v>292017</v>
      </c>
      <c r="D153" s="149" t="s">
        <v>218</v>
      </c>
      <c r="E153" s="151">
        <v>243</v>
      </c>
      <c r="F153" s="151"/>
      <c r="G153" s="151">
        <f t="shared" si="47"/>
        <v>243</v>
      </c>
    </row>
    <row r="154" spans="2:7" ht="13.5" thickBot="1" x14ac:dyDescent="0.25">
      <c r="B154" s="181">
        <f t="shared" si="49"/>
        <v>147</v>
      </c>
      <c r="C154" s="149">
        <v>292019</v>
      </c>
      <c r="D154" s="149" t="s">
        <v>219</v>
      </c>
      <c r="E154" s="151">
        <f>2000+448</f>
        <v>2448</v>
      </c>
      <c r="F154" s="151"/>
      <c r="G154" s="151">
        <f t="shared" si="47"/>
        <v>2448</v>
      </c>
    </row>
    <row r="155" spans="2:7" ht="15.75" thickBot="1" x14ac:dyDescent="0.3">
      <c r="B155" s="181">
        <f t="shared" si="49"/>
        <v>148</v>
      </c>
      <c r="C155" s="196">
        <v>5</v>
      </c>
      <c r="D155" s="196" t="s">
        <v>104</v>
      </c>
      <c r="E155" s="197">
        <f>E158+E162+E168+E170+E173+E178+E183+E187+E189</f>
        <v>1842342</v>
      </c>
      <c r="F155" s="197">
        <f>F158+F162+F168+F170+F173+F178+F183+F187+F189+F156</f>
        <v>-86500</v>
      </c>
      <c r="G155" s="197">
        <f t="shared" si="47"/>
        <v>1755842</v>
      </c>
    </row>
    <row r="156" spans="2:7" x14ac:dyDescent="0.2">
      <c r="B156" s="181">
        <f t="shared" si="49"/>
        <v>149</v>
      </c>
      <c r="C156" s="200">
        <v>220</v>
      </c>
      <c r="D156" s="200" t="s">
        <v>206</v>
      </c>
      <c r="E156" s="201">
        <f>E157</f>
        <v>0</v>
      </c>
      <c r="F156" s="201">
        <f>F157</f>
        <v>26600</v>
      </c>
      <c r="G156" s="201">
        <f t="shared" ref="G156:G157" si="54">E156+F156</f>
        <v>26600</v>
      </c>
    </row>
    <row r="157" spans="2:7" s="42" customFormat="1" ht="24" x14ac:dyDescent="0.2">
      <c r="B157" s="7">
        <f t="shared" si="49"/>
        <v>150</v>
      </c>
      <c r="C157" s="203">
        <v>223001</v>
      </c>
      <c r="D157" s="63" t="s">
        <v>749</v>
      </c>
      <c r="E157" s="376">
        <v>0</v>
      </c>
      <c r="F157" s="376">
        <v>26600</v>
      </c>
      <c r="G157" s="376">
        <f t="shared" si="54"/>
        <v>26600</v>
      </c>
    </row>
    <row r="158" spans="2:7" x14ac:dyDescent="0.2">
      <c r="B158" s="181">
        <f t="shared" si="49"/>
        <v>151</v>
      </c>
      <c r="C158" s="200">
        <v>290</v>
      </c>
      <c r="D158" s="200" t="s">
        <v>165</v>
      </c>
      <c r="E158" s="201">
        <f>SUM(E159:E161)</f>
        <v>9782</v>
      </c>
      <c r="F158" s="201">
        <f t="shared" ref="F158" si="55">SUM(F159:F161)</f>
        <v>2020</v>
      </c>
      <c r="G158" s="201">
        <f t="shared" si="47"/>
        <v>11802</v>
      </c>
    </row>
    <row r="159" spans="2:7" x14ac:dyDescent="0.2">
      <c r="B159" s="181">
        <f t="shared" si="49"/>
        <v>152</v>
      </c>
      <c r="C159" s="149">
        <v>292012</v>
      </c>
      <c r="D159" s="149" t="s">
        <v>217</v>
      </c>
      <c r="E159" s="151">
        <v>5000</v>
      </c>
      <c r="F159" s="151">
        <v>3520</v>
      </c>
      <c r="G159" s="151">
        <f t="shared" si="47"/>
        <v>8520</v>
      </c>
    </row>
    <row r="160" spans="2:7" x14ac:dyDescent="0.2">
      <c r="B160" s="181">
        <f t="shared" si="49"/>
        <v>153</v>
      </c>
      <c r="C160" s="149">
        <v>292017</v>
      </c>
      <c r="D160" s="149" t="s">
        <v>218</v>
      </c>
      <c r="E160" s="151">
        <v>1782</v>
      </c>
      <c r="F160" s="151">
        <v>1300</v>
      </c>
      <c r="G160" s="151">
        <f t="shared" si="47"/>
        <v>3082</v>
      </c>
    </row>
    <row r="161" spans="2:7" x14ac:dyDescent="0.2">
      <c r="B161" s="181">
        <f t="shared" si="49"/>
        <v>154</v>
      </c>
      <c r="C161" s="149">
        <v>292019</v>
      </c>
      <c r="D161" s="149" t="s">
        <v>219</v>
      </c>
      <c r="E161" s="151">
        <v>3000</v>
      </c>
      <c r="F161" s="151">
        <v>-2800</v>
      </c>
      <c r="G161" s="151">
        <f t="shared" si="47"/>
        <v>200</v>
      </c>
    </row>
    <row r="162" spans="2:7" x14ac:dyDescent="0.2">
      <c r="B162" s="181">
        <f t="shared" si="49"/>
        <v>155</v>
      </c>
      <c r="C162" s="200"/>
      <c r="D162" s="200" t="s">
        <v>72</v>
      </c>
      <c r="E162" s="201">
        <f>SUM(E163:E167)</f>
        <v>139195</v>
      </c>
      <c r="F162" s="201">
        <f t="shared" ref="F162" si="56">SUM(F163:F167)</f>
        <v>-26540</v>
      </c>
      <c r="G162" s="201">
        <f t="shared" si="47"/>
        <v>112655</v>
      </c>
    </row>
    <row r="163" spans="2:7" x14ac:dyDescent="0.2">
      <c r="B163" s="181">
        <f t="shared" si="49"/>
        <v>156</v>
      </c>
      <c r="C163" s="149">
        <v>223001</v>
      </c>
      <c r="D163" s="149" t="s">
        <v>365</v>
      </c>
      <c r="E163" s="151">
        <v>23600</v>
      </c>
      <c r="F163" s="151">
        <v>-8500</v>
      </c>
      <c r="G163" s="151">
        <f t="shared" si="47"/>
        <v>15100</v>
      </c>
    </row>
    <row r="164" spans="2:7" x14ac:dyDescent="0.2">
      <c r="B164" s="181">
        <f t="shared" si="49"/>
        <v>157</v>
      </c>
      <c r="C164" s="149">
        <v>223002</v>
      </c>
      <c r="D164" s="149" t="s">
        <v>70</v>
      </c>
      <c r="E164" s="151">
        <v>74575</v>
      </c>
      <c r="F164" s="151">
        <v>-10040</v>
      </c>
      <c r="G164" s="151">
        <f t="shared" si="47"/>
        <v>64535</v>
      </c>
    </row>
    <row r="165" spans="2:7" x14ac:dyDescent="0.2">
      <c r="B165" s="181">
        <f t="shared" si="49"/>
        <v>158</v>
      </c>
      <c r="C165" s="149">
        <v>223003</v>
      </c>
      <c r="D165" s="149" t="s">
        <v>303</v>
      </c>
      <c r="E165" s="151">
        <v>11800</v>
      </c>
      <c r="F165" s="151">
        <v>-5000</v>
      </c>
      <c r="G165" s="151">
        <f t="shared" si="47"/>
        <v>6800</v>
      </c>
    </row>
    <row r="166" spans="2:7" x14ac:dyDescent="0.2">
      <c r="B166" s="181">
        <f t="shared" si="49"/>
        <v>159</v>
      </c>
      <c r="C166" s="149">
        <v>223003</v>
      </c>
      <c r="D166" s="149" t="s">
        <v>302</v>
      </c>
      <c r="E166" s="151">
        <v>27900</v>
      </c>
      <c r="F166" s="151">
        <v>-3000</v>
      </c>
      <c r="G166" s="151">
        <f t="shared" si="47"/>
        <v>24900</v>
      </c>
    </row>
    <row r="167" spans="2:7" ht="14.25" customHeight="1" x14ac:dyDescent="0.2">
      <c r="B167" s="181">
        <f t="shared" si="49"/>
        <v>160</v>
      </c>
      <c r="C167" s="149">
        <v>223003</v>
      </c>
      <c r="D167" s="149" t="s">
        <v>304</v>
      </c>
      <c r="E167" s="151">
        <v>1320</v>
      </c>
      <c r="F167" s="151"/>
      <c r="G167" s="151">
        <f t="shared" si="47"/>
        <v>1320</v>
      </c>
    </row>
    <row r="168" spans="2:7" x14ac:dyDescent="0.2">
      <c r="B168" s="181">
        <f t="shared" si="49"/>
        <v>161</v>
      </c>
      <c r="C168" s="200"/>
      <c r="D168" s="200" t="s">
        <v>105</v>
      </c>
      <c r="E168" s="201">
        <f>E169</f>
        <v>5500</v>
      </c>
      <c r="F168" s="201">
        <f t="shared" ref="F168" si="57">F169</f>
        <v>-1800</v>
      </c>
      <c r="G168" s="201">
        <f t="shared" si="47"/>
        <v>3700</v>
      </c>
    </row>
    <row r="169" spans="2:7" x14ac:dyDescent="0.2">
      <c r="B169" s="181">
        <f t="shared" si="49"/>
        <v>162</v>
      </c>
      <c r="C169" s="149">
        <v>223001</v>
      </c>
      <c r="D169" s="149" t="s">
        <v>235</v>
      </c>
      <c r="E169" s="151">
        <v>5500</v>
      </c>
      <c r="F169" s="151">
        <v>-1800</v>
      </c>
      <c r="G169" s="151">
        <f t="shared" si="47"/>
        <v>3700</v>
      </c>
    </row>
    <row r="170" spans="2:7" x14ac:dyDescent="0.2">
      <c r="B170" s="181">
        <f t="shared" si="49"/>
        <v>163</v>
      </c>
      <c r="C170" s="200"/>
      <c r="D170" s="200" t="s">
        <v>306</v>
      </c>
      <c r="E170" s="201">
        <f>SUM(E171:E172)</f>
        <v>9280</v>
      </c>
      <c r="F170" s="201">
        <f t="shared" ref="F170" si="58">SUM(F171:F172)</f>
        <v>1220</v>
      </c>
      <c r="G170" s="201">
        <f t="shared" si="47"/>
        <v>10500</v>
      </c>
    </row>
    <row r="171" spans="2:7" x14ac:dyDescent="0.2">
      <c r="B171" s="181">
        <f t="shared" si="49"/>
        <v>164</v>
      </c>
      <c r="C171" s="149">
        <v>223001</v>
      </c>
      <c r="D171" s="149" t="s">
        <v>305</v>
      </c>
      <c r="E171" s="151">
        <v>8950</v>
      </c>
      <c r="F171" s="151">
        <v>1050</v>
      </c>
      <c r="G171" s="151">
        <f t="shared" si="47"/>
        <v>10000</v>
      </c>
    </row>
    <row r="172" spans="2:7" x14ac:dyDescent="0.2">
      <c r="B172" s="181">
        <f t="shared" si="49"/>
        <v>165</v>
      </c>
      <c r="C172" s="149">
        <v>223001</v>
      </c>
      <c r="D172" s="149" t="s">
        <v>450</v>
      </c>
      <c r="E172" s="151">
        <v>330</v>
      </c>
      <c r="F172" s="151">
        <v>170</v>
      </c>
      <c r="G172" s="151">
        <f t="shared" si="47"/>
        <v>500</v>
      </c>
    </row>
    <row r="173" spans="2:7" x14ac:dyDescent="0.2">
      <c r="B173" s="181">
        <f t="shared" si="49"/>
        <v>166</v>
      </c>
      <c r="C173" s="200"/>
      <c r="D173" s="200" t="s">
        <v>59</v>
      </c>
      <c r="E173" s="201">
        <f>SUM(E174:E177)</f>
        <v>512745</v>
      </c>
      <c r="F173" s="201">
        <f t="shared" ref="F173" si="59">SUM(F174:F177)</f>
        <v>-32000</v>
      </c>
      <c r="G173" s="201">
        <f t="shared" si="47"/>
        <v>480745</v>
      </c>
    </row>
    <row r="174" spans="2:7" x14ac:dyDescent="0.2">
      <c r="B174" s="181">
        <f t="shared" si="49"/>
        <v>167</v>
      </c>
      <c r="C174" s="149">
        <v>212003</v>
      </c>
      <c r="D174" s="149" t="s">
        <v>233</v>
      </c>
      <c r="E174" s="151">
        <v>40</v>
      </c>
      <c r="F174" s="151"/>
      <c r="G174" s="151">
        <f t="shared" si="47"/>
        <v>40</v>
      </c>
    </row>
    <row r="175" spans="2:7" s="42" customFormat="1" x14ac:dyDescent="0.2">
      <c r="B175" s="181">
        <f t="shared" si="49"/>
        <v>168</v>
      </c>
      <c r="C175" s="203">
        <v>223001</v>
      </c>
      <c r="D175" s="63" t="s">
        <v>307</v>
      </c>
      <c r="E175" s="151">
        <v>72415</v>
      </c>
      <c r="F175" s="151">
        <v>-32000</v>
      </c>
      <c r="G175" s="151">
        <f t="shared" si="47"/>
        <v>40415</v>
      </c>
    </row>
    <row r="176" spans="2:7" x14ac:dyDescent="0.2">
      <c r="B176" s="181">
        <f t="shared" si="49"/>
        <v>169</v>
      </c>
      <c r="C176" s="149">
        <v>223001</v>
      </c>
      <c r="D176" s="149" t="s">
        <v>305</v>
      </c>
      <c r="E176" s="151">
        <v>213530</v>
      </c>
      <c r="F176" s="151"/>
      <c r="G176" s="151">
        <f t="shared" si="47"/>
        <v>213530</v>
      </c>
    </row>
    <row r="177" spans="2:7" x14ac:dyDescent="0.2">
      <c r="B177" s="181">
        <f t="shared" si="49"/>
        <v>170</v>
      </c>
      <c r="C177" s="149">
        <v>223001</v>
      </c>
      <c r="D177" s="149" t="s">
        <v>308</v>
      </c>
      <c r="E177" s="151">
        <v>226760</v>
      </c>
      <c r="F177" s="151"/>
      <c r="G177" s="151">
        <f t="shared" si="47"/>
        <v>226760</v>
      </c>
    </row>
    <row r="178" spans="2:7" ht="25.5" x14ac:dyDescent="0.2">
      <c r="B178" s="181">
        <f t="shared" si="49"/>
        <v>171</v>
      </c>
      <c r="C178" s="200"/>
      <c r="D178" s="204" t="s">
        <v>309</v>
      </c>
      <c r="E178" s="205">
        <f>SUM(E179:E182)</f>
        <v>535090</v>
      </c>
      <c r="F178" s="205">
        <f t="shared" ref="F178" si="60">SUM(F179:F182)</f>
        <v>-22000</v>
      </c>
      <c r="G178" s="205">
        <f t="shared" si="47"/>
        <v>513090</v>
      </c>
    </row>
    <row r="179" spans="2:7" x14ac:dyDescent="0.2">
      <c r="B179" s="181">
        <f t="shared" si="49"/>
        <v>172</v>
      </c>
      <c r="C179" s="149">
        <v>212003</v>
      </c>
      <c r="D179" s="149" t="s">
        <v>233</v>
      </c>
      <c r="E179" s="151">
        <v>70</v>
      </c>
      <c r="F179" s="151"/>
      <c r="G179" s="151">
        <f t="shared" si="47"/>
        <v>70</v>
      </c>
    </row>
    <row r="180" spans="2:7" x14ac:dyDescent="0.2">
      <c r="B180" s="181">
        <f t="shared" si="49"/>
        <v>173</v>
      </c>
      <c r="C180" s="149">
        <v>223001</v>
      </c>
      <c r="D180" s="149" t="s">
        <v>305</v>
      </c>
      <c r="E180" s="151">
        <v>142350</v>
      </c>
      <c r="F180" s="151">
        <v>50000</v>
      </c>
      <c r="G180" s="151">
        <f t="shared" si="47"/>
        <v>192350</v>
      </c>
    </row>
    <row r="181" spans="2:7" x14ac:dyDescent="0.2">
      <c r="B181" s="181">
        <f t="shared" si="49"/>
        <v>174</v>
      </c>
      <c r="C181" s="149">
        <v>223001</v>
      </c>
      <c r="D181" s="149" t="s">
        <v>308</v>
      </c>
      <c r="E181" s="151">
        <v>254700</v>
      </c>
      <c r="F181" s="151"/>
      <c r="G181" s="151">
        <f t="shared" si="47"/>
        <v>254700</v>
      </c>
    </row>
    <row r="182" spans="2:7" x14ac:dyDescent="0.2">
      <c r="B182" s="181">
        <f t="shared" si="49"/>
        <v>175</v>
      </c>
      <c r="C182" s="149">
        <v>223001</v>
      </c>
      <c r="D182" s="149" t="s">
        <v>307</v>
      </c>
      <c r="E182" s="151">
        <v>137970</v>
      </c>
      <c r="F182" s="151">
        <v>-72000</v>
      </c>
      <c r="G182" s="151">
        <f t="shared" si="47"/>
        <v>65970</v>
      </c>
    </row>
    <row r="183" spans="2:7" x14ac:dyDescent="0.2">
      <c r="B183" s="181">
        <f t="shared" si="49"/>
        <v>176</v>
      </c>
      <c r="C183" s="200"/>
      <c r="D183" s="200" t="s">
        <v>454</v>
      </c>
      <c r="E183" s="201">
        <f>SUM(E184:E186)</f>
        <v>372730</v>
      </c>
      <c r="F183" s="201">
        <f t="shared" ref="F183" si="61">SUM(F184:F186)</f>
        <v>-9000</v>
      </c>
      <c r="G183" s="201">
        <f t="shared" si="47"/>
        <v>363730</v>
      </c>
    </row>
    <row r="184" spans="2:7" x14ac:dyDescent="0.2">
      <c r="B184" s="181">
        <f t="shared" si="49"/>
        <v>177</v>
      </c>
      <c r="C184" s="149">
        <v>223001</v>
      </c>
      <c r="D184" s="149" t="s">
        <v>305</v>
      </c>
      <c r="E184" s="151">
        <v>190850</v>
      </c>
      <c r="F184" s="151">
        <v>13000</v>
      </c>
      <c r="G184" s="151">
        <f t="shared" si="47"/>
        <v>203850</v>
      </c>
    </row>
    <row r="185" spans="2:7" x14ac:dyDescent="0.2">
      <c r="B185" s="181">
        <f t="shared" si="49"/>
        <v>178</v>
      </c>
      <c r="C185" s="149">
        <v>223001</v>
      </c>
      <c r="D185" s="149" t="s">
        <v>308</v>
      </c>
      <c r="E185" s="151">
        <v>149560</v>
      </c>
      <c r="F185" s="151">
        <v>-10000</v>
      </c>
      <c r="G185" s="151">
        <f t="shared" si="47"/>
        <v>139560</v>
      </c>
    </row>
    <row r="186" spans="2:7" x14ac:dyDescent="0.2">
      <c r="B186" s="181">
        <f t="shared" si="49"/>
        <v>179</v>
      </c>
      <c r="C186" s="149">
        <v>223001</v>
      </c>
      <c r="D186" s="149" t="s">
        <v>307</v>
      </c>
      <c r="E186" s="151">
        <v>32320</v>
      </c>
      <c r="F186" s="151">
        <v>-12000</v>
      </c>
      <c r="G186" s="151">
        <f t="shared" si="47"/>
        <v>20320</v>
      </c>
    </row>
    <row r="187" spans="2:7" x14ac:dyDescent="0.2">
      <c r="B187" s="181">
        <f t="shared" si="49"/>
        <v>180</v>
      </c>
      <c r="C187" s="200"/>
      <c r="D187" s="200" t="s">
        <v>312</v>
      </c>
      <c r="E187" s="201">
        <f>E188</f>
        <v>240340</v>
      </c>
      <c r="F187" s="201">
        <f t="shared" ref="F187" si="62">F188</f>
        <v>-20000</v>
      </c>
      <c r="G187" s="201">
        <f t="shared" si="47"/>
        <v>220340</v>
      </c>
    </row>
    <row r="188" spans="2:7" x14ac:dyDescent="0.2">
      <c r="B188" s="181">
        <f t="shared" si="49"/>
        <v>181</v>
      </c>
      <c r="C188" s="149">
        <v>223001</v>
      </c>
      <c r="D188" s="149" t="s">
        <v>310</v>
      </c>
      <c r="E188" s="151">
        <v>240340</v>
      </c>
      <c r="F188" s="151">
        <v>-20000</v>
      </c>
      <c r="G188" s="151">
        <f t="shared" si="47"/>
        <v>220340</v>
      </c>
    </row>
    <row r="189" spans="2:7" x14ac:dyDescent="0.2">
      <c r="B189" s="181">
        <f t="shared" si="49"/>
        <v>182</v>
      </c>
      <c r="C189" s="200"/>
      <c r="D189" s="200" t="s">
        <v>311</v>
      </c>
      <c r="E189" s="201">
        <f>E190</f>
        <v>17680</v>
      </c>
      <c r="F189" s="201">
        <f t="shared" ref="F189" si="63">F190</f>
        <v>-5000</v>
      </c>
      <c r="G189" s="201">
        <f t="shared" si="47"/>
        <v>12680</v>
      </c>
    </row>
    <row r="190" spans="2:7" ht="13.5" thickBot="1" x14ac:dyDescent="0.25">
      <c r="B190" s="181">
        <f t="shared" si="49"/>
        <v>183</v>
      </c>
      <c r="C190" s="192">
        <v>223001</v>
      </c>
      <c r="D190" s="192" t="s">
        <v>235</v>
      </c>
      <c r="E190" s="193">
        <v>17680</v>
      </c>
      <c r="F190" s="193">
        <v>-5000</v>
      </c>
      <c r="G190" s="193">
        <f t="shared" si="47"/>
        <v>12680</v>
      </c>
    </row>
    <row r="191" spans="2:7" ht="15.75" thickBot="1" x14ac:dyDescent="0.3">
      <c r="B191" s="181">
        <f t="shared" si="49"/>
        <v>184</v>
      </c>
      <c r="C191" s="196">
        <v>6</v>
      </c>
      <c r="D191" s="196" t="s">
        <v>278</v>
      </c>
      <c r="E191" s="197">
        <f>E192+E194+E198</f>
        <v>94123</v>
      </c>
      <c r="F191" s="197">
        <f t="shared" ref="F191" si="64">F192+F194+F198</f>
        <v>0</v>
      </c>
      <c r="G191" s="197">
        <f t="shared" si="47"/>
        <v>94123</v>
      </c>
    </row>
    <row r="192" spans="2:7" x14ac:dyDescent="0.2">
      <c r="B192" s="181">
        <f t="shared" si="49"/>
        <v>185</v>
      </c>
      <c r="C192" s="198">
        <v>210</v>
      </c>
      <c r="D192" s="198" t="s">
        <v>232</v>
      </c>
      <c r="E192" s="199">
        <f>E193</f>
        <v>1350</v>
      </c>
      <c r="F192" s="199">
        <f t="shared" ref="F192" si="65">F193</f>
        <v>0</v>
      </c>
      <c r="G192" s="199">
        <f t="shared" si="47"/>
        <v>1350</v>
      </c>
    </row>
    <row r="193" spans="2:7" x14ac:dyDescent="0.2">
      <c r="B193" s="181">
        <f t="shared" si="49"/>
        <v>186</v>
      </c>
      <c r="C193" s="149">
        <v>212003</v>
      </c>
      <c r="D193" s="149" t="s">
        <v>233</v>
      </c>
      <c r="E193" s="151">
        <v>1350</v>
      </c>
      <c r="F193" s="151"/>
      <c r="G193" s="151">
        <f t="shared" si="47"/>
        <v>1350</v>
      </c>
    </row>
    <row r="194" spans="2:7" x14ac:dyDescent="0.2">
      <c r="B194" s="181">
        <f t="shared" ref="B194:B263" si="66">B193+1</f>
        <v>187</v>
      </c>
      <c r="C194" s="200">
        <v>220</v>
      </c>
      <c r="D194" s="200" t="s">
        <v>206</v>
      </c>
      <c r="E194" s="201">
        <f>SUM(E195:E197)</f>
        <v>92373</v>
      </c>
      <c r="F194" s="201">
        <f t="shared" ref="F194" si="67">SUM(F195:F197)</f>
        <v>0</v>
      </c>
      <c r="G194" s="201">
        <f t="shared" si="47"/>
        <v>92373</v>
      </c>
    </row>
    <row r="195" spans="2:7" x14ac:dyDescent="0.2">
      <c r="B195" s="181">
        <f t="shared" si="66"/>
        <v>188</v>
      </c>
      <c r="C195" s="149">
        <v>223001</v>
      </c>
      <c r="D195" s="149" t="s">
        <v>235</v>
      </c>
      <c r="E195" s="151">
        <v>38560</v>
      </c>
      <c r="F195" s="151"/>
      <c r="G195" s="151">
        <f t="shared" si="47"/>
        <v>38560</v>
      </c>
    </row>
    <row r="196" spans="2:7" x14ac:dyDescent="0.2">
      <c r="B196" s="181">
        <f t="shared" si="66"/>
        <v>189</v>
      </c>
      <c r="C196" s="149">
        <v>223002</v>
      </c>
      <c r="D196" s="149" t="s">
        <v>70</v>
      </c>
      <c r="E196" s="151">
        <v>37000</v>
      </c>
      <c r="F196" s="151"/>
      <c r="G196" s="151">
        <f t="shared" si="47"/>
        <v>37000</v>
      </c>
    </row>
    <row r="197" spans="2:7" x14ac:dyDescent="0.2">
      <c r="B197" s="181">
        <f t="shared" si="66"/>
        <v>190</v>
      </c>
      <c r="C197" s="149">
        <v>223003</v>
      </c>
      <c r="D197" s="149" t="s">
        <v>71</v>
      </c>
      <c r="E197" s="151">
        <v>16813</v>
      </c>
      <c r="F197" s="151"/>
      <c r="G197" s="151">
        <f t="shared" si="47"/>
        <v>16813</v>
      </c>
    </row>
    <row r="198" spans="2:7" x14ac:dyDescent="0.2">
      <c r="B198" s="181">
        <f t="shared" si="66"/>
        <v>191</v>
      </c>
      <c r="C198" s="200">
        <v>290</v>
      </c>
      <c r="D198" s="200" t="s">
        <v>165</v>
      </c>
      <c r="E198" s="201">
        <f>E199</f>
        <v>400</v>
      </c>
      <c r="F198" s="201">
        <f t="shared" ref="F198" si="68">F199</f>
        <v>0</v>
      </c>
      <c r="G198" s="201">
        <f t="shared" si="47"/>
        <v>400</v>
      </c>
    </row>
    <row r="199" spans="2:7" ht="13.5" thickBot="1" x14ac:dyDescent="0.25">
      <c r="B199" s="181">
        <f t="shared" si="66"/>
        <v>192</v>
      </c>
      <c r="C199" s="149">
        <v>292012</v>
      </c>
      <c r="D199" s="149" t="s">
        <v>217</v>
      </c>
      <c r="E199" s="151">
        <v>400</v>
      </c>
      <c r="F199" s="151"/>
      <c r="G199" s="151">
        <f t="shared" si="47"/>
        <v>400</v>
      </c>
    </row>
    <row r="200" spans="2:7" ht="15.75" thickBot="1" x14ac:dyDescent="0.3">
      <c r="B200" s="181">
        <f t="shared" si="66"/>
        <v>193</v>
      </c>
      <c r="C200" s="196">
        <v>7</v>
      </c>
      <c r="D200" s="196" t="s">
        <v>280</v>
      </c>
      <c r="E200" s="197">
        <f>E201+E203</f>
        <v>161850</v>
      </c>
      <c r="F200" s="197">
        <f t="shared" ref="F200" si="69">F201+F203</f>
        <v>0</v>
      </c>
      <c r="G200" s="197">
        <f t="shared" si="47"/>
        <v>161850</v>
      </c>
    </row>
    <row r="201" spans="2:7" x14ac:dyDescent="0.2">
      <c r="B201" s="181">
        <f t="shared" si="66"/>
        <v>194</v>
      </c>
      <c r="C201" s="198">
        <v>210</v>
      </c>
      <c r="D201" s="198" t="s">
        <v>232</v>
      </c>
      <c r="E201" s="199">
        <f>SUM(E202:E202)</f>
        <v>650</v>
      </c>
      <c r="F201" s="199">
        <f t="shared" ref="F201" si="70">SUM(F202:F202)</f>
        <v>0</v>
      </c>
      <c r="G201" s="199">
        <f t="shared" si="47"/>
        <v>650</v>
      </c>
    </row>
    <row r="202" spans="2:7" x14ac:dyDescent="0.2">
      <c r="B202" s="181">
        <f t="shared" si="66"/>
        <v>195</v>
      </c>
      <c r="C202" s="149">
        <v>212003</v>
      </c>
      <c r="D202" s="149" t="s">
        <v>233</v>
      </c>
      <c r="E202" s="151">
        <v>650</v>
      </c>
      <c r="F202" s="151"/>
      <c r="G202" s="151">
        <f t="shared" ref="G202:G266" si="71">E202+F202</f>
        <v>650</v>
      </c>
    </row>
    <row r="203" spans="2:7" x14ac:dyDescent="0.2">
      <c r="B203" s="181">
        <f t="shared" si="66"/>
        <v>196</v>
      </c>
      <c r="C203" s="200">
        <v>220</v>
      </c>
      <c r="D203" s="200" t="s">
        <v>206</v>
      </c>
      <c r="E203" s="201">
        <f>SUM(E204:E206)</f>
        <v>161200</v>
      </c>
      <c r="F203" s="201">
        <f t="shared" ref="F203" si="72">SUM(F204:F206)</f>
        <v>0</v>
      </c>
      <c r="G203" s="201">
        <f t="shared" si="71"/>
        <v>161200</v>
      </c>
    </row>
    <row r="204" spans="2:7" x14ac:dyDescent="0.2">
      <c r="B204" s="181">
        <f t="shared" si="66"/>
        <v>197</v>
      </c>
      <c r="C204" s="149">
        <v>223001</v>
      </c>
      <c r="D204" s="149" t="s">
        <v>235</v>
      </c>
      <c r="E204" s="151">
        <v>66000</v>
      </c>
      <c r="F204" s="151"/>
      <c r="G204" s="151">
        <f t="shared" si="71"/>
        <v>66000</v>
      </c>
    </row>
    <row r="205" spans="2:7" x14ac:dyDescent="0.2">
      <c r="B205" s="181">
        <f t="shared" si="66"/>
        <v>198</v>
      </c>
      <c r="C205" s="149">
        <v>223002</v>
      </c>
      <c r="D205" s="149" t="s">
        <v>70</v>
      </c>
      <c r="E205" s="151">
        <v>50200</v>
      </c>
      <c r="F205" s="151"/>
      <c r="G205" s="151">
        <f t="shared" si="71"/>
        <v>50200</v>
      </c>
    </row>
    <row r="206" spans="2:7" ht="13.5" thickBot="1" x14ac:dyDescent="0.25">
      <c r="B206" s="181">
        <f t="shared" si="66"/>
        <v>199</v>
      </c>
      <c r="C206" s="149">
        <v>223003</v>
      </c>
      <c r="D206" s="149" t="s">
        <v>71</v>
      </c>
      <c r="E206" s="202">
        <v>45000</v>
      </c>
      <c r="F206" s="202"/>
      <c r="G206" s="202">
        <f t="shared" si="71"/>
        <v>45000</v>
      </c>
    </row>
    <row r="207" spans="2:7" ht="15.75" thickBot="1" x14ac:dyDescent="0.3">
      <c r="B207" s="181">
        <f t="shared" si="66"/>
        <v>200</v>
      </c>
      <c r="C207" s="206">
        <v>8</v>
      </c>
      <c r="D207" s="206" t="s">
        <v>6</v>
      </c>
      <c r="E207" s="207">
        <f>E208+E210</f>
        <v>89946</v>
      </c>
      <c r="F207" s="207">
        <f t="shared" ref="F207" si="73">F208+F210</f>
        <v>0</v>
      </c>
      <c r="G207" s="207">
        <f t="shared" si="71"/>
        <v>89946</v>
      </c>
    </row>
    <row r="208" spans="2:7" x14ac:dyDescent="0.2">
      <c r="B208" s="181">
        <f t="shared" si="66"/>
        <v>201</v>
      </c>
      <c r="C208" s="198">
        <v>210</v>
      </c>
      <c r="D208" s="198" t="s">
        <v>232</v>
      </c>
      <c r="E208" s="199">
        <f>SUM(E209:E209)</f>
        <v>24246</v>
      </c>
      <c r="F208" s="199">
        <f t="shared" ref="F208" si="74">SUM(F209:F209)</f>
        <v>0</v>
      </c>
      <c r="G208" s="199">
        <f t="shared" si="71"/>
        <v>24246</v>
      </c>
    </row>
    <row r="209" spans="2:7" x14ac:dyDescent="0.2">
      <c r="B209" s="181">
        <f t="shared" si="66"/>
        <v>202</v>
      </c>
      <c r="C209" s="149">
        <v>212003</v>
      </c>
      <c r="D209" s="149" t="s">
        <v>233</v>
      </c>
      <c r="E209" s="151">
        <v>24246</v>
      </c>
      <c r="F209" s="151"/>
      <c r="G209" s="151">
        <f t="shared" si="71"/>
        <v>24246</v>
      </c>
    </row>
    <row r="210" spans="2:7" x14ac:dyDescent="0.2">
      <c r="B210" s="181">
        <f t="shared" si="66"/>
        <v>203</v>
      </c>
      <c r="C210" s="200">
        <v>220</v>
      </c>
      <c r="D210" s="200" t="s">
        <v>206</v>
      </c>
      <c r="E210" s="201">
        <f>E211</f>
        <v>65700</v>
      </c>
      <c r="F210" s="201">
        <f t="shared" ref="F210" si="75">F211</f>
        <v>0</v>
      </c>
      <c r="G210" s="201">
        <f t="shared" si="71"/>
        <v>65700</v>
      </c>
    </row>
    <row r="211" spans="2:7" ht="13.5" thickBot="1" x14ac:dyDescent="0.25">
      <c r="B211" s="181">
        <f t="shared" si="66"/>
        <v>204</v>
      </c>
      <c r="C211" s="149">
        <v>223002</v>
      </c>
      <c r="D211" s="149" t="s">
        <v>70</v>
      </c>
      <c r="E211" s="151">
        <v>65700</v>
      </c>
      <c r="F211" s="151"/>
      <c r="G211" s="151">
        <f t="shared" si="71"/>
        <v>65700</v>
      </c>
    </row>
    <row r="212" spans="2:7" ht="15.75" thickBot="1" x14ac:dyDescent="0.3">
      <c r="B212" s="181">
        <f t="shared" si="66"/>
        <v>205</v>
      </c>
      <c r="C212" s="196">
        <v>9</v>
      </c>
      <c r="D212" s="196" t="s">
        <v>4</v>
      </c>
      <c r="E212" s="197">
        <f>E213+E215</f>
        <v>156600</v>
      </c>
      <c r="F212" s="197">
        <f t="shared" ref="F212" si="76">F213+F215</f>
        <v>0</v>
      </c>
      <c r="G212" s="197">
        <f t="shared" si="71"/>
        <v>156600</v>
      </c>
    </row>
    <row r="213" spans="2:7" x14ac:dyDescent="0.2">
      <c r="B213" s="181">
        <f t="shared" si="66"/>
        <v>206</v>
      </c>
      <c r="C213" s="198">
        <v>210</v>
      </c>
      <c r="D213" s="198" t="s">
        <v>232</v>
      </c>
      <c r="E213" s="199">
        <f>E214</f>
        <v>7000</v>
      </c>
      <c r="F213" s="199">
        <f t="shared" ref="F213" si="77">F214</f>
        <v>0</v>
      </c>
      <c r="G213" s="199">
        <f t="shared" si="71"/>
        <v>7000</v>
      </c>
    </row>
    <row r="214" spans="2:7" x14ac:dyDescent="0.2">
      <c r="B214" s="181">
        <f t="shared" si="66"/>
        <v>207</v>
      </c>
      <c r="C214" s="149">
        <v>212003</v>
      </c>
      <c r="D214" s="149" t="s">
        <v>233</v>
      </c>
      <c r="E214" s="151">
        <v>7000</v>
      </c>
      <c r="F214" s="151"/>
      <c r="G214" s="151">
        <f t="shared" si="71"/>
        <v>7000</v>
      </c>
    </row>
    <row r="215" spans="2:7" x14ac:dyDescent="0.2">
      <c r="B215" s="181">
        <f t="shared" si="66"/>
        <v>208</v>
      </c>
      <c r="C215" s="200">
        <v>220</v>
      </c>
      <c r="D215" s="200" t="s">
        <v>206</v>
      </c>
      <c r="E215" s="201">
        <f>SUM(E216:E218)</f>
        <v>149600</v>
      </c>
      <c r="F215" s="201">
        <f t="shared" ref="F215" si="78">SUM(F216:F218)</f>
        <v>0</v>
      </c>
      <c r="G215" s="201">
        <f t="shared" si="71"/>
        <v>149600</v>
      </c>
    </row>
    <row r="216" spans="2:7" x14ac:dyDescent="0.2">
      <c r="B216" s="181">
        <f t="shared" si="66"/>
        <v>209</v>
      </c>
      <c r="C216" s="149">
        <v>223001</v>
      </c>
      <c r="D216" s="149" t="s">
        <v>235</v>
      </c>
      <c r="E216" s="151">
        <v>60000</v>
      </c>
      <c r="F216" s="151"/>
      <c r="G216" s="151">
        <f t="shared" si="71"/>
        <v>60000</v>
      </c>
    </row>
    <row r="217" spans="2:7" x14ac:dyDescent="0.2">
      <c r="B217" s="181">
        <f t="shared" si="66"/>
        <v>210</v>
      </c>
      <c r="C217" s="149">
        <v>223002</v>
      </c>
      <c r="D217" s="149" t="s">
        <v>70</v>
      </c>
      <c r="E217" s="151">
        <v>52000</v>
      </c>
      <c r="F217" s="151"/>
      <c r="G217" s="151">
        <f t="shared" si="71"/>
        <v>52000</v>
      </c>
    </row>
    <row r="218" spans="2:7" ht="13.5" thickBot="1" x14ac:dyDescent="0.25">
      <c r="B218" s="181">
        <f t="shared" si="66"/>
        <v>211</v>
      </c>
      <c r="C218" s="149">
        <v>223003</v>
      </c>
      <c r="D218" s="149" t="s">
        <v>71</v>
      </c>
      <c r="E218" s="151">
        <v>37600</v>
      </c>
      <c r="F218" s="151"/>
      <c r="G218" s="151">
        <f t="shared" si="71"/>
        <v>37600</v>
      </c>
    </row>
    <row r="219" spans="2:7" ht="15.75" thickBot="1" x14ac:dyDescent="0.3">
      <c r="B219" s="181">
        <f t="shared" si="66"/>
        <v>212</v>
      </c>
      <c r="C219" s="196">
        <v>10</v>
      </c>
      <c r="D219" s="196" t="s">
        <v>0</v>
      </c>
      <c r="E219" s="197">
        <f>E220+E223+E227</f>
        <v>237098</v>
      </c>
      <c r="F219" s="197">
        <f t="shared" ref="F219" si="79">F220+F223+F227</f>
        <v>100</v>
      </c>
      <c r="G219" s="197">
        <f t="shared" si="71"/>
        <v>237198</v>
      </c>
    </row>
    <row r="220" spans="2:7" x14ac:dyDescent="0.2">
      <c r="B220" s="181">
        <f t="shared" si="66"/>
        <v>213</v>
      </c>
      <c r="C220" s="198">
        <v>210</v>
      </c>
      <c r="D220" s="198" t="s">
        <v>232</v>
      </c>
      <c r="E220" s="199">
        <f>E221</f>
        <v>15000</v>
      </c>
      <c r="F220" s="199">
        <f>F222</f>
        <v>100</v>
      </c>
      <c r="G220" s="199">
        <f t="shared" si="71"/>
        <v>15100</v>
      </c>
    </row>
    <row r="221" spans="2:7" x14ac:dyDescent="0.2">
      <c r="B221" s="181">
        <f t="shared" si="66"/>
        <v>214</v>
      </c>
      <c r="C221" s="149">
        <v>212003</v>
      </c>
      <c r="D221" s="149" t="s">
        <v>233</v>
      </c>
      <c r="E221" s="151">
        <v>15000</v>
      </c>
      <c r="F221" s="151"/>
      <c r="G221" s="151">
        <f t="shared" si="71"/>
        <v>15000</v>
      </c>
    </row>
    <row r="222" spans="2:7" x14ac:dyDescent="0.2">
      <c r="B222" s="181">
        <f t="shared" si="66"/>
        <v>215</v>
      </c>
      <c r="C222" s="149">
        <v>212004</v>
      </c>
      <c r="D222" s="149" t="s">
        <v>745</v>
      </c>
      <c r="E222" s="151">
        <v>0</v>
      </c>
      <c r="F222" s="151">
        <v>100</v>
      </c>
      <c r="G222" s="151">
        <f t="shared" si="71"/>
        <v>100</v>
      </c>
    </row>
    <row r="223" spans="2:7" x14ac:dyDescent="0.2">
      <c r="B223" s="181">
        <f t="shared" si="66"/>
        <v>216</v>
      </c>
      <c r="C223" s="200">
        <v>220</v>
      </c>
      <c r="D223" s="200" t="s">
        <v>206</v>
      </c>
      <c r="E223" s="201">
        <f>SUM(E224:E226)</f>
        <v>222037</v>
      </c>
      <c r="F223" s="201">
        <f t="shared" ref="F223" si="80">SUM(F224:F226)</f>
        <v>0</v>
      </c>
      <c r="G223" s="201">
        <f t="shared" si="71"/>
        <v>222037</v>
      </c>
    </row>
    <row r="224" spans="2:7" x14ac:dyDescent="0.2">
      <c r="B224" s="181">
        <f t="shared" si="66"/>
        <v>217</v>
      </c>
      <c r="C224" s="149">
        <v>223001</v>
      </c>
      <c r="D224" s="149" t="s">
        <v>235</v>
      </c>
      <c r="E224" s="151">
        <v>73100</v>
      </c>
      <c r="F224" s="151"/>
      <c r="G224" s="151">
        <f t="shared" si="71"/>
        <v>73100</v>
      </c>
    </row>
    <row r="225" spans="2:7" x14ac:dyDescent="0.2">
      <c r="B225" s="181">
        <f t="shared" si="66"/>
        <v>218</v>
      </c>
      <c r="C225" s="149">
        <v>223002</v>
      </c>
      <c r="D225" s="149" t="s">
        <v>70</v>
      </c>
      <c r="E225" s="151">
        <v>33530</v>
      </c>
      <c r="F225" s="151"/>
      <c r="G225" s="151">
        <f t="shared" si="71"/>
        <v>33530</v>
      </c>
    </row>
    <row r="226" spans="2:7" x14ac:dyDescent="0.2">
      <c r="B226" s="181">
        <f t="shared" si="66"/>
        <v>219</v>
      </c>
      <c r="C226" s="149">
        <v>223003</v>
      </c>
      <c r="D226" s="149" t="s">
        <v>71</v>
      </c>
      <c r="E226" s="151">
        <v>115407</v>
      </c>
      <c r="F226" s="151"/>
      <c r="G226" s="151">
        <f t="shared" si="71"/>
        <v>115407</v>
      </c>
    </row>
    <row r="227" spans="2:7" x14ac:dyDescent="0.2">
      <c r="B227" s="181">
        <f t="shared" si="66"/>
        <v>220</v>
      </c>
      <c r="C227" s="200">
        <v>290</v>
      </c>
      <c r="D227" s="200" t="s">
        <v>165</v>
      </c>
      <c r="E227" s="201">
        <f>E228</f>
        <v>61</v>
      </c>
      <c r="F227" s="201">
        <f t="shared" ref="F227" si="81">F228</f>
        <v>0</v>
      </c>
      <c r="G227" s="201">
        <f t="shared" si="71"/>
        <v>61</v>
      </c>
    </row>
    <row r="228" spans="2:7" ht="13.5" thickBot="1" x14ac:dyDescent="0.25">
      <c r="B228" s="181">
        <f t="shared" si="66"/>
        <v>221</v>
      </c>
      <c r="C228" s="149">
        <v>292012</v>
      </c>
      <c r="D228" s="149" t="s">
        <v>217</v>
      </c>
      <c r="E228" s="151">
        <v>61</v>
      </c>
      <c r="F228" s="151"/>
      <c r="G228" s="151">
        <f t="shared" si="71"/>
        <v>61</v>
      </c>
    </row>
    <row r="229" spans="2:7" ht="15.75" thickBot="1" x14ac:dyDescent="0.3">
      <c r="B229" s="181">
        <f t="shared" si="66"/>
        <v>222</v>
      </c>
      <c r="C229" s="196">
        <v>11</v>
      </c>
      <c r="D229" s="196" t="s">
        <v>7</v>
      </c>
      <c r="E229" s="197">
        <f>E230+E232</f>
        <v>330800</v>
      </c>
      <c r="F229" s="197">
        <f t="shared" ref="F229" si="82">F230+F232</f>
        <v>0</v>
      </c>
      <c r="G229" s="197">
        <f t="shared" si="71"/>
        <v>330800</v>
      </c>
    </row>
    <row r="230" spans="2:7" x14ac:dyDescent="0.2">
      <c r="B230" s="181">
        <f t="shared" si="66"/>
        <v>223</v>
      </c>
      <c r="C230" s="198">
        <v>210</v>
      </c>
      <c r="D230" s="198" t="s">
        <v>232</v>
      </c>
      <c r="E230" s="199">
        <f>E231</f>
        <v>82800</v>
      </c>
      <c r="F230" s="199">
        <f t="shared" ref="F230" si="83">F231</f>
        <v>0</v>
      </c>
      <c r="G230" s="199">
        <f t="shared" si="71"/>
        <v>82800</v>
      </c>
    </row>
    <row r="231" spans="2:7" x14ac:dyDescent="0.2">
      <c r="B231" s="181">
        <f t="shared" si="66"/>
        <v>224</v>
      </c>
      <c r="C231" s="149">
        <v>212003</v>
      </c>
      <c r="D231" s="149" t="s">
        <v>233</v>
      </c>
      <c r="E231" s="151">
        <v>82800</v>
      </c>
      <c r="F231" s="151"/>
      <c r="G231" s="151">
        <f t="shared" si="71"/>
        <v>82800</v>
      </c>
    </row>
    <row r="232" spans="2:7" x14ac:dyDescent="0.2">
      <c r="B232" s="181">
        <f t="shared" si="66"/>
        <v>225</v>
      </c>
      <c r="C232" s="200">
        <v>220</v>
      </c>
      <c r="D232" s="200" t="s">
        <v>206</v>
      </c>
      <c r="E232" s="201">
        <f>SUM(E233:E235)</f>
        <v>248000</v>
      </c>
      <c r="F232" s="201">
        <f t="shared" ref="F232" si="84">SUM(F233:F235)</f>
        <v>0</v>
      </c>
      <c r="G232" s="201">
        <f t="shared" si="71"/>
        <v>248000</v>
      </c>
    </row>
    <row r="233" spans="2:7" x14ac:dyDescent="0.2">
      <c r="B233" s="181">
        <f t="shared" si="66"/>
        <v>226</v>
      </c>
      <c r="C233" s="149">
        <v>223001</v>
      </c>
      <c r="D233" s="149" t="s">
        <v>235</v>
      </c>
      <c r="E233" s="151">
        <v>105000</v>
      </c>
      <c r="F233" s="151"/>
      <c r="G233" s="151">
        <f t="shared" si="71"/>
        <v>105000</v>
      </c>
    </row>
    <row r="234" spans="2:7" x14ac:dyDescent="0.2">
      <c r="B234" s="181">
        <f t="shared" si="66"/>
        <v>227</v>
      </c>
      <c r="C234" s="149">
        <v>223002</v>
      </c>
      <c r="D234" s="149" t="s">
        <v>70</v>
      </c>
      <c r="E234" s="151">
        <v>63000</v>
      </c>
      <c r="F234" s="151"/>
      <c r="G234" s="151">
        <f t="shared" si="71"/>
        <v>63000</v>
      </c>
    </row>
    <row r="235" spans="2:7" ht="13.5" thickBot="1" x14ac:dyDescent="0.25">
      <c r="B235" s="181">
        <f t="shared" si="66"/>
        <v>228</v>
      </c>
      <c r="C235" s="149">
        <v>223003</v>
      </c>
      <c r="D235" s="149" t="s">
        <v>71</v>
      </c>
      <c r="E235" s="151">
        <v>80000</v>
      </c>
      <c r="F235" s="151"/>
      <c r="G235" s="151">
        <f t="shared" si="71"/>
        <v>80000</v>
      </c>
    </row>
    <row r="236" spans="2:7" ht="15.75" thickBot="1" x14ac:dyDescent="0.3">
      <c r="B236" s="181">
        <f t="shared" si="66"/>
        <v>229</v>
      </c>
      <c r="C236" s="196">
        <v>12</v>
      </c>
      <c r="D236" s="196" t="s">
        <v>5</v>
      </c>
      <c r="E236" s="197">
        <f>E237+E239</f>
        <v>174700</v>
      </c>
      <c r="F236" s="197">
        <f t="shared" ref="F236" si="85">F237+F239</f>
        <v>0</v>
      </c>
      <c r="G236" s="197">
        <f t="shared" si="71"/>
        <v>174700</v>
      </c>
    </row>
    <row r="237" spans="2:7" x14ac:dyDescent="0.2">
      <c r="B237" s="181">
        <f t="shared" si="66"/>
        <v>230</v>
      </c>
      <c r="C237" s="198">
        <v>210</v>
      </c>
      <c r="D237" s="198" t="s">
        <v>232</v>
      </c>
      <c r="E237" s="199">
        <f>E238</f>
        <v>17000</v>
      </c>
      <c r="F237" s="199">
        <f t="shared" ref="F237" si="86">F238</f>
        <v>0</v>
      </c>
      <c r="G237" s="199">
        <f t="shared" si="71"/>
        <v>17000</v>
      </c>
    </row>
    <row r="238" spans="2:7" x14ac:dyDescent="0.2">
      <c r="B238" s="181">
        <f t="shared" si="66"/>
        <v>231</v>
      </c>
      <c r="C238" s="149">
        <v>212003</v>
      </c>
      <c r="D238" s="149" t="s">
        <v>233</v>
      </c>
      <c r="E238" s="151">
        <v>17000</v>
      </c>
      <c r="F238" s="151"/>
      <c r="G238" s="151">
        <f t="shared" si="71"/>
        <v>17000</v>
      </c>
    </row>
    <row r="239" spans="2:7" x14ac:dyDescent="0.2">
      <c r="B239" s="181">
        <f t="shared" si="66"/>
        <v>232</v>
      </c>
      <c r="C239" s="200">
        <v>220</v>
      </c>
      <c r="D239" s="200" t="s">
        <v>206</v>
      </c>
      <c r="E239" s="201">
        <f>SUM(E240:E242)</f>
        <v>157700</v>
      </c>
      <c r="F239" s="201">
        <f t="shared" ref="F239" si="87">SUM(F240:F242)</f>
        <v>0</v>
      </c>
      <c r="G239" s="201">
        <f t="shared" si="71"/>
        <v>157700</v>
      </c>
    </row>
    <row r="240" spans="2:7" x14ac:dyDescent="0.2">
      <c r="B240" s="181">
        <f t="shared" si="66"/>
        <v>233</v>
      </c>
      <c r="C240" s="149">
        <v>223001</v>
      </c>
      <c r="D240" s="149" t="s">
        <v>235</v>
      </c>
      <c r="E240" s="151">
        <v>68000</v>
      </c>
      <c r="F240" s="151"/>
      <c r="G240" s="151">
        <f t="shared" si="71"/>
        <v>68000</v>
      </c>
    </row>
    <row r="241" spans="2:7" x14ac:dyDescent="0.2">
      <c r="B241" s="181">
        <f t="shared" si="66"/>
        <v>234</v>
      </c>
      <c r="C241" s="149">
        <v>223002</v>
      </c>
      <c r="D241" s="149" t="s">
        <v>70</v>
      </c>
      <c r="E241" s="151">
        <v>56200</v>
      </c>
      <c r="F241" s="151"/>
      <c r="G241" s="151">
        <f t="shared" si="71"/>
        <v>56200</v>
      </c>
    </row>
    <row r="242" spans="2:7" ht="13.5" thickBot="1" x14ac:dyDescent="0.25">
      <c r="B242" s="181">
        <f t="shared" si="66"/>
        <v>235</v>
      </c>
      <c r="C242" s="192">
        <v>223003</v>
      </c>
      <c r="D242" s="192" t="s">
        <v>71</v>
      </c>
      <c r="E242" s="193">
        <v>33500</v>
      </c>
      <c r="F242" s="193"/>
      <c r="G242" s="193">
        <f t="shared" si="71"/>
        <v>33500</v>
      </c>
    </row>
    <row r="243" spans="2:7" ht="15.75" thickBot="1" x14ac:dyDescent="0.3">
      <c r="B243" s="181">
        <f t="shared" si="66"/>
        <v>236</v>
      </c>
      <c r="C243" s="196">
        <v>13</v>
      </c>
      <c r="D243" s="196" t="s">
        <v>12</v>
      </c>
      <c r="E243" s="197">
        <f>E244+E246</f>
        <v>112500</v>
      </c>
      <c r="F243" s="197">
        <f t="shared" ref="F243" si="88">F244+F246</f>
        <v>0</v>
      </c>
      <c r="G243" s="197">
        <f t="shared" si="71"/>
        <v>112500</v>
      </c>
    </row>
    <row r="244" spans="2:7" x14ac:dyDescent="0.2">
      <c r="B244" s="181">
        <f t="shared" si="66"/>
        <v>237</v>
      </c>
      <c r="C244" s="198">
        <v>210</v>
      </c>
      <c r="D244" s="198" t="s">
        <v>232</v>
      </c>
      <c r="E244" s="199">
        <f>E245</f>
        <v>7000</v>
      </c>
      <c r="F244" s="199">
        <f t="shared" ref="F244" si="89">F245</f>
        <v>0</v>
      </c>
      <c r="G244" s="199">
        <f t="shared" si="71"/>
        <v>7000</v>
      </c>
    </row>
    <row r="245" spans="2:7" x14ac:dyDescent="0.2">
      <c r="B245" s="181">
        <f t="shared" si="66"/>
        <v>238</v>
      </c>
      <c r="C245" s="149">
        <v>212003</v>
      </c>
      <c r="D245" s="149" t="s">
        <v>233</v>
      </c>
      <c r="E245" s="151">
        <v>7000</v>
      </c>
      <c r="F245" s="151"/>
      <c r="G245" s="151">
        <f t="shared" si="71"/>
        <v>7000</v>
      </c>
    </row>
    <row r="246" spans="2:7" x14ac:dyDescent="0.2">
      <c r="B246" s="181">
        <f t="shared" si="66"/>
        <v>239</v>
      </c>
      <c r="C246" s="200">
        <v>220</v>
      </c>
      <c r="D246" s="200" t="s">
        <v>206</v>
      </c>
      <c r="E246" s="201">
        <f>SUM(E247:E249)</f>
        <v>105500</v>
      </c>
      <c r="F246" s="201">
        <f t="shared" ref="F246" si="90">SUM(F247:F249)</f>
        <v>0</v>
      </c>
      <c r="G246" s="201">
        <f t="shared" si="71"/>
        <v>105500</v>
      </c>
    </row>
    <row r="247" spans="2:7" x14ac:dyDescent="0.2">
      <c r="B247" s="181">
        <f t="shared" si="66"/>
        <v>240</v>
      </c>
      <c r="C247" s="149">
        <v>223001</v>
      </c>
      <c r="D247" s="149" t="s">
        <v>235</v>
      </c>
      <c r="E247" s="151">
        <v>36500</v>
      </c>
      <c r="F247" s="151"/>
      <c r="G247" s="151">
        <f t="shared" si="71"/>
        <v>36500</v>
      </c>
    </row>
    <row r="248" spans="2:7" x14ac:dyDescent="0.2">
      <c r="B248" s="181">
        <f t="shared" si="66"/>
        <v>241</v>
      </c>
      <c r="C248" s="149">
        <v>223002</v>
      </c>
      <c r="D248" s="149" t="s">
        <v>70</v>
      </c>
      <c r="E248" s="151">
        <v>22000</v>
      </c>
      <c r="F248" s="151"/>
      <c r="G248" s="151">
        <f t="shared" si="71"/>
        <v>22000</v>
      </c>
    </row>
    <row r="249" spans="2:7" ht="13.5" thickBot="1" x14ac:dyDescent="0.25">
      <c r="B249" s="181">
        <f t="shared" si="66"/>
        <v>242</v>
      </c>
      <c r="C249" s="149">
        <v>223003</v>
      </c>
      <c r="D249" s="149" t="s">
        <v>71</v>
      </c>
      <c r="E249" s="151">
        <v>47000</v>
      </c>
      <c r="F249" s="151"/>
      <c r="G249" s="151">
        <f t="shared" si="71"/>
        <v>47000</v>
      </c>
    </row>
    <row r="250" spans="2:7" ht="15.75" thickBot="1" x14ac:dyDescent="0.3">
      <c r="B250" s="181">
        <f t="shared" si="66"/>
        <v>243</v>
      </c>
      <c r="C250" s="196">
        <v>14</v>
      </c>
      <c r="D250" s="196" t="s">
        <v>1</v>
      </c>
      <c r="E250" s="197">
        <f>E251+E253</f>
        <v>193700</v>
      </c>
      <c r="F250" s="197">
        <f t="shared" ref="F250" si="91">F251+F253</f>
        <v>0</v>
      </c>
      <c r="G250" s="197">
        <f t="shared" si="71"/>
        <v>193700</v>
      </c>
    </row>
    <row r="251" spans="2:7" x14ac:dyDescent="0.2">
      <c r="B251" s="181">
        <f t="shared" si="66"/>
        <v>244</v>
      </c>
      <c r="C251" s="198">
        <v>210</v>
      </c>
      <c r="D251" s="198" t="s">
        <v>232</v>
      </c>
      <c r="E251" s="199">
        <f>E252</f>
        <v>200</v>
      </c>
      <c r="F251" s="199">
        <f t="shared" ref="F251" si="92">F252</f>
        <v>0</v>
      </c>
      <c r="G251" s="199">
        <f t="shared" si="71"/>
        <v>200</v>
      </c>
    </row>
    <row r="252" spans="2:7" x14ac:dyDescent="0.2">
      <c r="B252" s="181">
        <f t="shared" si="66"/>
        <v>245</v>
      </c>
      <c r="C252" s="149">
        <v>212003</v>
      </c>
      <c r="D252" s="149" t="s">
        <v>233</v>
      </c>
      <c r="E252" s="151">
        <v>200</v>
      </c>
      <c r="F252" s="151"/>
      <c r="G252" s="151">
        <f t="shared" si="71"/>
        <v>200</v>
      </c>
    </row>
    <row r="253" spans="2:7" x14ac:dyDescent="0.2">
      <c r="B253" s="181">
        <f t="shared" si="66"/>
        <v>246</v>
      </c>
      <c r="C253" s="200">
        <v>220</v>
      </c>
      <c r="D253" s="200" t="s">
        <v>206</v>
      </c>
      <c r="E253" s="201">
        <f>E254</f>
        <v>193500</v>
      </c>
      <c r="F253" s="201">
        <f t="shared" ref="F253" si="93">F254</f>
        <v>0</v>
      </c>
      <c r="G253" s="201">
        <f t="shared" si="71"/>
        <v>193500</v>
      </c>
    </row>
    <row r="254" spans="2:7" x14ac:dyDescent="0.2">
      <c r="B254" s="181">
        <f t="shared" si="66"/>
        <v>247</v>
      </c>
      <c r="C254" s="149">
        <v>223002</v>
      </c>
      <c r="D254" s="149" t="s">
        <v>70</v>
      </c>
      <c r="E254" s="151">
        <v>193500</v>
      </c>
      <c r="F254" s="151"/>
      <c r="G254" s="151">
        <f t="shared" si="71"/>
        <v>193500</v>
      </c>
    </row>
    <row r="255" spans="2:7" ht="16.5" thickBot="1" x14ac:dyDescent="0.3">
      <c r="B255" s="181">
        <f t="shared" si="66"/>
        <v>248</v>
      </c>
      <c r="C255" s="194">
        <v>300</v>
      </c>
      <c r="D255" s="194" t="s">
        <v>209</v>
      </c>
      <c r="E255" s="195">
        <f>E256+E292+E304+E308+E297+E301+E311</f>
        <v>29556742</v>
      </c>
      <c r="F255" s="195">
        <f>F256+F292+F304+F308+F297+F301+F311</f>
        <v>92444</v>
      </c>
      <c r="G255" s="195">
        <f t="shared" si="71"/>
        <v>29649186</v>
      </c>
    </row>
    <row r="256" spans="2:7" ht="15.75" thickBot="1" x14ac:dyDescent="0.3">
      <c r="B256" s="181">
        <f t="shared" si="66"/>
        <v>249</v>
      </c>
      <c r="C256" s="196"/>
      <c r="D256" s="196" t="s">
        <v>38</v>
      </c>
      <c r="E256" s="197">
        <f>E257+E286</f>
        <v>28948095</v>
      </c>
      <c r="F256" s="197">
        <f t="shared" ref="F256" si="94">F257+F286</f>
        <v>0</v>
      </c>
      <c r="G256" s="197">
        <f t="shared" si="71"/>
        <v>28948095</v>
      </c>
    </row>
    <row r="257" spans="2:7" x14ac:dyDescent="0.2">
      <c r="B257" s="181">
        <f t="shared" si="66"/>
        <v>250</v>
      </c>
      <c r="C257" s="198">
        <v>310</v>
      </c>
      <c r="D257" s="198" t="s">
        <v>210</v>
      </c>
      <c r="E257" s="199">
        <f>E258+E264+E275+E277</f>
        <v>28738659</v>
      </c>
      <c r="F257" s="199">
        <f t="shared" ref="F257" si="95">F258+F264+F275+F277</f>
        <v>0</v>
      </c>
      <c r="G257" s="199">
        <f t="shared" si="71"/>
        <v>28738659</v>
      </c>
    </row>
    <row r="258" spans="2:7" x14ac:dyDescent="0.2">
      <c r="B258" s="181">
        <f t="shared" si="66"/>
        <v>251</v>
      </c>
      <c r="C258" s="210">
        <v>311</v>
      </c>
      <c r="D258" s="210" t="s">
        <v>208</v>
      </c>
      <c r="E258" s="211">
        <f>SUM(E259:E263)</f>
        <v>222066</v>
      </c>
      <c r="F258" s="211">
        <f t="shared" ref="F258" si="96">SUM(F259:F263)</f>
        <v>0</v>
      </c>
      <c r="G258" s="211">
        <f t="shared" si="71"/>
        <v>222066</v>
      </c>
    </row>
    <row r="259" spans="2:7" x14ac:dyDescent="0.2">
      <c r="B259" s="181">
        <f t="shared" si="66"/>
        <v>252</v>
      </c>
      <c r="C259" s="149"/>
      <c r="D259" s="149" t="s">
        <v>315</v>
      </c>
      <c r="E259" s="151">
        <v>4400</v>
      </c>
      <c r="F259" s="151"/>
      <c r="G259" s="151">
        <f t="shared" si="71"/>
        <v>4400</v>
      </c>
    </row>
    <row r="260" spans="2:7" x14ac:dyDescent="0.2">
      <c r="B260" s="181">
        <f t="shared" si="66"/>
        <v>253</v>
      </c>
      <c r="C260" s="149"/>
      <c r="D260" s="149" t="s">
        <v>466</v>
      </c>
      <c r="E260" s="151">
        <v>151600</v>
      </c>
      <c r="F260" s="151"/>
      <c r="G260" s="151">
        <f t="shared" si="71"/>
        <v>151600</v>
      </c>
    </row>
    <row r="261" spans="2:7" x14ac:dyDescent="0.2">
      <c r="B261" s="181">
        <f t="shared" si="66"/>
        <v>254</v>
      </c>
      <c r="C261" s="149"/>
      <c r="D261" s="149" t="s">
        <v>675</v>
      </c>
      <c r="E261" s="151">
        <v>2250</v>
      </c>
      <c r="F261" s="151"/>
      <c r="G261" s="151">
        <f t="shared" si="71"/>
        <v>2250</v>
      </c>
    </row>
    <row r="262" spans="2:7" x14ac:dyDescent="0.2">
      <c r="B262" s="181">
        <f t="shared" si="66"/>
        <v>255</v>
      </c>
      <c r="C262" s="149"/>
      <c r="D262" s="149" t="s">
        <v>713</v>
      </c>
      <c r="E262" s="151">
        <v>11070</v>
      </c>
      <c r="F262" s="151"/>
      <c r="G262" s="151">
        <f t="shared" si="71"/>
        <v>11070</v>
      </c>
    </row>
    <row r="263" spans="2:7" x14ac:dyDescent="0.2">
      <c r="B263" s="181">
        <f t="shared" si="66"/>
        <v>256</v>
      </c>
      <c r="C263" s="149"/>
      <c r="D263" s="149" t="s">
        <v>718</v>
      </c>
      <c r="E263" s="151">
        <v>52746</v>
      </c>
      <c r="F263" s="151"/>
      <c r="G263" s="151">
        <f t="shared" si="71"/>
        <v>52746</v>
      </c>
    </row>
    <row r="264" spans="2:7" s="42" customFormat="1" ht="24" x14ac:dyDescent="0.2">
      <c r="B264" s="181">
        <f t="shared" ref="B264:B269" si="97">B263+1</f>
        <v>257</v>
      </c>
      <c r="C264" s="212">
        <v>312001</v>
      </c>
      <c r="D264" s="213" t="s">
        <v>220</v>
      </c>
      <c r="E264" s="214">
        <f>SUM(E265:E274)</f>
        <v>4511787</v>
      </c>
      <c r="F264" s="214">
        <f t="shared" ref="F264" si="98">SUM(F265:F274)</f>
        <v>0</v>
      </c>
      <c r="G264" s="214">
        <f t="shared" si="71"/>
        <v>4511787</v>
      </c>
    </row>
    <row r="265" spans="2:7" x14ac:dyDescent="0.2">
      <c r="B265" s="181">
        <f t="shared" si="97"/>
        <v>258</v>
      </c>
      <c r="C265" s="215"/>
      <c r="D265" s="63" t="s">
        <v>313</v>
      </c>
      <c r="E265" s="216">
        <f>1994640-45864</f>
        <v>1948776</v>
      </c>
      <c r="F265" s="216"/>
      <c r="G265" s="216">
        <f t="shared" si="71"/>
        <v>1948776</v>
      </c>
    </row>
    <row r="266" spans="2:7" x14ac:dyDescent="0.2">
      <c r="B266" s="181">
        <f t="shared" si="97"/>
        <v>259</v>
      </c>
      <c r="C266" s="215"/>
      <c r="D266" s="63" t="s">
        <v>715</v>
      </c>
      <c r="E266" s="216">
        <v>30000</v>
      </c>
      <c r="F266" s="216"/>
      <c r="G266" s="216">
        <f t="shared" si="71"/>
        <v>30000</v>
      </c>
    </row>
    <row r="267" spans="2:7" x14ac:dyDescent="0.2">
      <c r="B267" s="181">
        <f t="shared" si="97"/>
        <v>260</v>
      </c>
      <c r="C267" s="215"/>
      <c r="D267" s="63" t="s">
        <v>716</v>
      </c>
      <c r="E267" s="216">
        <v>35000</v>
      </c>
      <c r="F267" s="216"/>
      <c r="G267" s="216">
        <f t="shared" ref="G267:G314" si="99">E267+F267</f>
        <v>35000</v>
      </c>
    </row>
    <row r="268" spans="2:7" x14ac:dyDescent="0.2">
      <c r="B268" s="181">
        <f t="shared" si="97"/>
        <v>261</v>
      </c>
      <c r="C268" s="215"/>
      <c r="D268" s="63" t="s">
        <v>256</v>
      </c>
      <c r="E268" s="216">
        <v>16500</v>
      </c>
      <c r="F268" s="216"/>
      <c r="G268" s="216">
        <f t="shared" si="99"/>
        <v>16500</v>
      </c>
    </row>
    <row r="269" spans="2:7" x14ac:dyDescent="0.2">
      <c r="B269" s="181">
        <f t="shared" si="97"/>
        <v>262</v>
      </c>
      <c r="C269" s="215"/>
      <c r="D269" s="63" t="s">
        <v>317</v>
      </c>
      <c r="E269" s="216">
        <v>1542790</v>
      </c>
      <c r="F269" s="216"/>
      <c r="G269" s="216">
        <f t="shared" si="99"/>
        <v>1542790</v>
      </c>
    </row>
    <row r="270" spans="2:7" x14ac:dyDescent="0.2">
      <c r="B270" s="181">
        <f>B269+1</f>
        <v>263</v>
      </c>
      <c r="C270" s="215"/>
      <c r="D270" s="63" t="s">
        <v>624</v>
      </c>
      <c r="E270" s="216">
        <f>100000+80000</f>
        <v>180000</v>
      </c>
      <c r="F270" s="216"/>
      <c r="G270" s="216">
        <f t="shared" si="99"/>
        <v>180000</v>
      </c>
    </row>
    <row r="271" spans="2:7" x14ac:dyDescent="0.2">
      <c r="B271" s="181">
        <f>B270+1</f>
        <v>264</v>
      </c>
      <c r="C271" s="215"/>
      <c r="D271" s="63" t="s">
        <v>168</v>
      </c>
      <c r="E271" s="216">
        <v>18000</v>
      </c>
      <c r="F271" s="216"/>
      <c r="G271" s="216">
        <f t="shared" si="99"/>
        <v>18000</v>
      </c>
    </row>
    <row r="272" spans="2:7" x14ac:dyDescent="0.2">
      <c r="B272" s="181">
        <f>B271+1</f>
        <v>265</v>
      </c>
      <c r="C272" s="384"/>
      <c r="D272" s="281" t="s">
        <v>725</v>
      </c>
      <c r="E272" s="216">
        <v>49581</v>
      </c>
      <c r="F272" s="216"/>
      <c r="G272" s="216">
        <f t="shared" si="99"/>
        <v>49581</v>
      </c>
    </row>
    <row r="273" spans="2:10" ht="36" x14ac:dyDescent="0.2">
      <c r="B273" s="181">
        <f t="shared" ref="B273:B276" si="100">B272+1</f>
        <v>266</v>
      </c>
      <c r="C273" s="280"/>
      <c r="D273" s="281" t="s">
        <v>512</v>
      </c>
      <c r="E273" s="216">
        <v>83500</v>
      </c>
      <c r="F273" s="376"/>
      <c r="G273" s="216">
        <f t="shared" si="99"/>
        <v>83500</v>
      </c>
      <c r="J273" s="5"/>
    </row>
    <row r="274" spans="2:10" ht="24" x14ac:dyDescent="0.2">
      <c r="B274" s="181">
        <f t="shared" si="100"/>
        <v>267</v>
      </c>
      <c r="C274" s="280"/>
      <c r="D274" s="281" t="s">
        <v>499</v>
      </c>
      <c r="E274" s="216">
        <v>607640</v>
      </c>
      <c r="F274" s="216"/>
      <c r="G274" s="216">
        <f t="shared" si="99"/>
        <v>607640</v>
      </c>
    </row>
    <row r="275" spans="2:10" x14ac:dyDescent="0.2">
      <c r="B275" s="181">
        <f t="shared" si="100"/>
        <v>268</v>
      </c>
      <c r="C275" s="210">
        <v>312002</v>
      </c>
      <c r="D275" s="210" t="s">
        <v>273</v>
      </c>
      <c r="E275" s="211">
        <f>E276</f>
        <v>340000</v>
      </c>
      <c r="F275" s="211">
        <f t="shared" ref="F275" si="101">F276</f>
        <v>0</v>
      </c>
      <c r="G275" s="211">
        <f t="shared" si="99"/>
        <v>340000</v>
      </c>
    </row>
    <row r="276" spans="2:10" x14ac:dyDescent="0.2">
      <c r="B276" s="181">
        <f t="shared" si="100"/>
        <v>269</v>
      </c>
      <c r="C276" s="215"/>
      <c r="D276" s="149" t="s">
        <v>274</v>
      </c>
      <c r="E276" s="151">
        <f>200000+140000</f>
        <v>340000</v>
      </c>
      <c r="F276" s="151"/>
      <c r="G276" s="151">
        <f t="shared" si="99"/>
        <v>340000</v>
      </c>
    </row>
    <row r="277" spans="2:10" ht="24" x14ac:dyDescent="0.2">
      <c r="B277" s="181">
        <f t="shared" ref="B277:B314" si="102">B276+1</f>
        <v>270</v>
      </c>
      <c r="C277" s="212">
        <v>312012</v>
      </c>
      <c r="D277" s="213" t="s">
        <v>221</v>
      </c>
      <c r="E277" s="214">
        <f>SUM(E278:E285)</f>
        <v>23664806</v>
      </c>
      <c r="F277" s="214">
        <f t="shared" ref="F277" si="103">SUM(F278:F285)</f>
        <v>0</v>
      </c>
      <c r="G277" s="214">
        <f t="shared" si="99"/>
        <v>23664806</v>
      </c>
    </row>
    <row r="278" spans="2:10" x14ac:dyDescent="0.2">
      <c r="B278" s="181">
        <f t="shared" si="102"/>
        <v>271</v>
      </c>
      <c r="C278" s="215"/>
      <c r="D278" s="149" t="s">
        <v>277</v>
      </c>
      <c r="E278" s="151">
        <f>16051260+488722+23205</f>
        <v>16563187</v>
      </c>
      <c r="F278" s="151"/>
      <c r="G278" s="151">
        <f t="shared" si="99"/>
        <v>16563187</v>
      </c>
    </row>
    <row r="279" spans="2:10" x14ac:dyDescent="0.2">
      <c r="B279" s="181">
        <f t="shared" si="102"/>
        <v>272</v>
      </c>
      <c r="C279" s="215"/>
      <c r="D279" s="149" t="s">
        <v>462</v>
      </c>
      <c r="E279" s="151">
        <f>6368230+292954</f>
        <v>6661184</v>
      </c>
      <c r="F279" s="151"/>
      <c r="G279" s="151">
        <f t="shared" si="99"/>
        <v>6661184</v>
      </c>
    </row>
    <row r="280" spans="2:10" x14ac:dyDescent="0.2">
      <c r="B280" s="181">
        <f t="shared" si="102"/>
        <v>273</v>
      </c>
      <c r="C280" s="215"/>
      <c r="D280" s="149" t="s">
        <v>276</v>
      </c>
      <c r="E280" s="151">
        <v>196000</v>
      </c>
      <c r="F280" s="151"/>
      <c r="G280" s="151">
        <f t="shared" si="99"/>
        <v>196000</v>
      </c>
    </row>
    <row r="281" spans="2:10" x14ac:dyDescent="0.2">
      <c r="B281" s="181">
        <f t="shared" si="102"/>
        <v>274</v>
      </c>
      <c r="C281" s="215"/>
      <c r="D281" s="149" t="s">
        <v>255</v>
      </c>
      <c r="E281" s="151">
        <v>90000</v>
      </c>
      <c r="F281" s="151"/>
      <c r="G281" s="151">
        <f t="shared" si="99"/>
        <v>90000</v>
      </c>
    </row>
    <row r="282" spans="2:10" x14ac:dyDescent="0.2">
      <c r="B282" s="181">
        <f t="shared" si="102"/>
        <v>275</v>
      </c>
      <c r="C282" s="215"/>
      <c r="D282" s="149" t="s">
        <v>121</v>
      </c>
      <c r="E282" s="151">
        <v>70635</v>
      </c>
      <c r="F282" s="151"/>
      <c r="G282" s="151">
        <f t="shared" si="99"/>
        <v>70635</v>
      </c>
    </row>
    <row r="283" spans="2:10" x14ac:dyDescent="0.2">
      <c r="B283" s="181">
        <f t="shared" si="102"/>
        <v>276</v>
      </c>
      <c r="C283" s="215"/>
      <c r="D283" s="149" t="s">
        <v>275</v>
      </c>
      <c r="E283" s="151">
        <v>17800</v>
      </c>
      <c r="F283" s="151"/>
      <c r="G283" s="151">
        <f t="shared" si="99"/>
        <v>17800</v>
      </c>
    </row>
    <row r="284" spans="2:10" x14ac:dyDescent="0.2">
      <c r="B284" s="181">
        <f t="shared" si="102"/>
        <v>277</v>
      </c>
      <c r="C284" s="215"/>
      <c r="D284" s="149" t="s">
        <v>314</v>
      </c>
      <c r="E284" s="202">
        <v>59000</v>
      </c>
      <c r="F284" s="202"/>
      <c r="G284" s="202">
        <f t="shared" si="99"/>
        <v>59000</v>
      </c>
    </row>
    <row r="285" spans="2:10" x14ac:dyDescent="0.2">
      <c r="B285" s="181">
        <f t="shared" si="102"/>
        <v>278</v>
      </c>
      <c r="C285" s="215"/>
      <c r="D285" s="149" t="s">
        <v>60</v>
      </c>
      <c r="E285" s="151">
        <v>7000</v>
      </c>
      <c r="F285" s="151"/>
      <c r="G285" s="151">
        <f t="shared" si="99"/>
        <v>7000</v>
      </c>
    </row>
    <row r="286" spans="2:10" x14ac:dyDescent="0.2">
      <c r="B286" s="181">
        <f t="shared" si="102"/>
        <v>279</v>
      </c>
      <c r="C286" s="200">
        <v>330</v>
      </c>
      <c r="D286" s="200" t="s">
        <v>271</v>
      </c>
      <c r="E286" s="201">
        <f>SUM(E287:E291)</f>
        <v>209436</v>
      </c>
      <c r="F286" s="201">
        <f t="shared" ref="F286" si="104">SUM(F287:F291)</f>
        <v>0</v>
      </c>
      <c r="G286" s="201">
        <f t="shared" si="99"/>
        <v>209436</v>
      </c>
    </row>
    <row r="287" spans="2:10" x14ac:dyDescent="0.2">
      <c r="B287" s="181">
        <f t="shared" si="102"/>
        <v>280</v>
      </c>
      <c r="C287" s="148"/>
      <c r="D287" s="149" t="s">
        <v>437</v>
      </c>
      <c r="E287" s="151">
        <f>60000+15000+25000</f>
        <v>100000</v>
      </c>
      <c r="F287" s="151"/>
      <c r="G287" s="151">
        <f t="shared" si="99"/>
        <v>100000</v>
      </c>
    </row>
    <row r="288" spans="2:10" x14ac:dyDescent="0.2">
      <c r="B288" s="181">
        <f t="shared" si="102"/>
        <v>281</v>
      </c>
      <c r="C288" s="148"/>
      <c r="D288" s="149" t="s">
        <v>438</v>
      </c>
      <c r="E288" s="151">
        <f>17500+3307</f>
        <v>20807</v>
      </c>
      <c r="F288" s="151"/>
      <c r="G288" s="151">
        <f t="shared" si="99"/>
        <v>20807</v>
      </c>
    </row>
    <row r="289" spans="2:7" x14ac:dyDescent="0.2">
      <c r="B289" s="181">
        <f t="shared" si="102"/>
        <v>282</v>
      </c>
      <c r="C289" s="148"/>
      <c r="D289" s="149" t="s">
        <v>408</v>
      </c>
      <c r="E289" s="151">
        <f>22000+21629</f>
        <v>43629</v>
      </c>
      <c r="F289" s="151"/>
      <c r="G289" s="151">
        <f t="shared" si="99"/>
        <v>43629</v>
      </c>
    </row>
    <row r="290" spans="2:7" x14ac:dyDescent="0.2">
      <c r="B290" s="181">
        <f t="shared" si="102"/>
        <v>283</v>
      </c>
      <c r="C290" s="148"/>
      <c r="D290" s="149" t="s">
        <v>712</v>
      </c>
      <c r="E290" s="151">
        <v>20000</v>
      </c>
      <c r="F290" s="151"/>
      <c r="G290" s="151">
        <f t="shared" si="99"/>
        <v>20000</v>
      </c>
    </row>
    <row r="291" spans="2:7" ht="13.5" thickBot="1" x14ac:dyDescent="0.25">
      <c r="B291" s="181">
        <f t="shared" si="102"/>
        <v>284</v>
      </c>
      <c r="C291" s="273"/>
      <c r="D291" s="208" t="s">
        <v>711</v>
      </c>
      <c r="E291" s="209">
        <v>25000</v>
      </c>
      <c r="F291" s="209"/>
      <c r="G291" s="209">
        <f t="shared" si="99"/>
        <v>25000</v>
      </c>
    </row>
    <row r="292" spans="2:7" ht="15.75" thickBot="1" x14ac:dyDescent="0.3">
      <c r="B292" s="181">
        <f t="shared" si="102"/>
        <v>285</v>
      </c>
      <c r="C292" s="196">
        <v>1</v>
      </c>
      <c r="D292" s="196" t="s">
        <v>49</v>
      </c>
      <c r="E292" s="197">
        <f>E295+E293</f>
        <v>13380</v>
      </c>
      <c r="F292" s="197">
        <f t="shared" ref="F292" si="105">F295+F293</f>
        <v>0</v>
      </c>
      <c r="G292" s="197">
        <f t="shared" si="99"/>
        <v>13380</v>
      </c>
    </row>
    <row r="293" spans="2:7" x14ac:dyDescent="0.2">
      <c r="B293" s="181">
        <f t="shared" si="102"/>
        <v>286</v>
      </c>
      <c r="C293" s="371">
        <v>311</v>
      </c>
      <c r="D293" s="372" t="s">
        <v>208</v>
      </c>
      <c r="E293" s="214">
        <f>E294</f>
        <v>600</v>
      </c>
      <c r="F293" s="214">
        <f t="shared" ref="F293" si="106">F294</f>
        <v>0</v>
      </c>
      <c r="G293" s="214">
        <f t="shared" si="99"/>
        <v>600</v>
      </c>
    </row>
    <row r="294" spans="2:7" x14ac:dyDescent="0.2">
      <c r="B294" s="181">
        <f t="shared" si="102"/>
        <v>287</v>
      </c>
      <c r="C294" s="373"/>
      <c r="D294" s="63" t="s">
        <v>676</v>
      </c>
      <c r="E294" s="222">
        <v>600</v>
      </c>
      <c r="F294" s="222"/>
      <c r="G294" s="222">
        <f t="shared" si="99"/>
        <v>600</v>
      </c>
    </row>
    <row r="295" spans="2:7" s="42" customFormat="1" ht="24" x14ac:dyDescent="0.2">
      <c r="B295" s="181">
        <f t="shared" si="102"/>
        <v>288</v>
      </c>
      <c r="C295" s="212">
        <v>312001</v>
      </c>
      <c r="D295" s="213" t="s">
        <v>220</v>
      </c>
      <c r="E295" s="214">
        <f>E296</f>
        <v>12780</v>
      </c>
      <c r="F295" s="214">
        <f t="shared" ref="F295" si="107">F296</f>
        <v>0</v>
      </c>
      <c r="G295" s="214">
        <f t="shared" si="99"/>
        <v>12780</v>
      </c>
    </row>
    <row r="296" spans="2:7" s="42" customFormat="1" ht="13.5" thickBot="1" x14ac:dyDescent="0.25">
      <c r="B296" s="181">
        <f t="shared" si="102"/>
        <v>289</v>
      </c>
      <c r="C296" s="217"/>
      <c r="D296" s="370" t="s">
        <v>316</v>
      </c>
      <c r="E296" s="222">
        <f>10000+2780</f>
        <v>12780</v>
      </c>
      <c r="F296" s="222"/>
      <c r="G296" s="222">
        <f t="shared" si="99"/>
        <v>12780</v>
      </c>
    </row>
    <row r="297" spans="2:7" s="42" customFormat="1" ht="15.75" thickBot="1" x14ac:dyDescent="0.3">
      <c r="B297" s="181">
        <f t="shared" si="102"/>
        <v>290</v>
      </c>
      <c r="C297" s="196">
        <v>4</v>
      </c>
      <c r="D297" s="196" t="s">
        <v>82</v>
      </c>
      <c r="E297" s="197">
        <f>E298</f>
        <v>600</v>
      </c>
      <c r="F297" s="197">
        <f t="shared" ref="F297" si="108">F298</f>
        <v>0</v>
      </c>
      <c r="G297" s="197">
        <f t="shared" si="99"/>
        <v>600</v>
      </c>
    </row>
    <row r="298" spans="2:7" s="42" customFormat="1" x14ac:dyDescent="0.2">
      <c r="B298" s="181">
        <f t="shared" si="102"/>
        <v>291</v>
      </c>
      <c r="C298" s="212">
        <v>311</v>
      </c>
      <c r="D298" s="210" t="s">
        <v>208</v>
      </c>
      <c r="E298" s="214">
        <f>E299+E300</f>
        <v>600</v>
      </c>
      <c r="F298" s="214">
        <f t="shared" ref="F298" si="109">F299+F300</f>
        <v>0</v>
      </c>
      <c r="G298" s="214">
        <f t="shared" si="99"/>
        <v>600</v>
      </c>
    </row>
    <row r="299" spans="2:7" s="42" customFormat="1" x14ac:dyDescent="0.2">
      <c r="B299" s="181">
        <f t="shared" si="102"/>
        <v>292</v>
      </c>
      <c r="C299" s="373"/>
      <c r="D299" s="63" t="s">
        <v>677</v>
      </c>
      <c r="E299" s="376">
        <v>300</v>
      </c>
      <c r="F299" s="376"/>
      <c r="G299" s="376">
        <f t="shared" si="99"/>
        <v>300</v>
      </c>
    </row>
    <row r="300" spans="2:7" s="42" customFormat="1" ht="13.5" thickBot="1" x14ac:dyDescent="0.25">
      <c r="B300" s="181">
        <f t="shared" si="102"/>
        <v>293</v>
      </c>
      <c r="C300" s="374"/>
      <c r="D300" s="377" t="s">
        <v>678</v>
      </c>
      <c r="E300" s="375">
        <v>300</v>
      </c>
      <c r="F300" s="375"/>
      <c r="G300" s="375">
        <f t="shared" si="99"/>
        <v>300</v>
      </c>
    </row>
    <row r="301" spans="2:7" s="42" customFormat="1" ht="15.75" thickBot="1" x14ac:dyDescent="0.3">
      <c r="B301" s="181">
        <f t="shared" si="102"/>
        <v>294</v>
      </c>
      <c r="C301" s="196">
        <v>3</v>
      </c>
      <c r="D301" s="196" t="s">
        <v>8</v>
      </c>
      <c r="E301" s="197">
        <f>E302</f>
        <v>300</v>
      </c>
      <c r="F301" s="197">
        <f t="shared" ref="F301:F302" si="110">F302</f>
        <v>0</v>
      </c>
      <c r="G301" s="197">
        <f t="shared" si="99"/>
        <v>300</v>
      </c>
    </row>
    <row r="302" spans="2:7" s="42" customFormat="1" x14ac:dyDescent="0.2">
      <c r="B302" s="181">
        <f t="shared" si="102"/>
        <v>295</v>
      </c>
      <c r="C302" s="371">
        <v>311</v>
      </c>
      <c r="D302" s="372" t="s">
        <v>208</v>
      </c>
      <c r="E302" s="378">
        <f>E303</f>
        <v>300</v>
      </c>
      <c r="F302" s="378">
        <f t="shared" si="110"/>
        <v>0</v>
      </c>
      <c r="G302" s="378">
        <f t="shared" si="99"/>
        <v>300</v>
      </c>
    </row>
    <row r="303" spans="2:7" s="42" customFormat="1" ht="13.5" thickBot="1" x14ac:dyDescent="0.25">
      <c r="B303" s="181">
        <f t="shared" si="102"/>
        <v>296</v>
      </c>
      <c r="C303" s="373"/>
      <c r="D303" s="377" t="s">
        <v>679</v>
      </c>
      <c r="E303" s="376">
        <v>300</v>
      </c>
      <c r="F303" s="376"/>
      <c r="G303" s="376">
        <f t="shared" si="99"/>
        <v>300</v>
      </c>
    </row>
    <row r="304" spans="2:7" ht="15.75" thickBot="1" x14ac:dyDescent="0.3">
      <c r="B304" s="181">
        <f t="shared" si="102"/>
        <v>297</v>
      </c>
      <c r="C304" s="196">
        <v>5</v>
      </c>
      <c r="D304" s="196" t="s">
        <v>104</v>
      </c>
      <c r="E304" s="197">
        <f>E305</f>
        <v>524367</v>
      </c>
      <c r="F304" s="197">
        <f t="shared" ref="F304" si="111">F305</f>
        <v>86000</v>
      </c>
      <c r="G304" s="197">
        <f t="shared" si="99"/>
        <v>610367</v>
      </c>
    </row>
    <row r="305" spans="2:7" s="42" customFormat="1" ht="24" x14ac:dyDescent="0.2">
      <c r="B305" s="181">
        <f t="shared" si="102"/>
        <v>298</v>
      </c>
      <c r="C305" s="212">
        <v>312001</v>
      </c>
      <c r="D305" s="213" t="s">
        <v>220</v>
      </c>
      <c r="E305" s="214">
        <f>SUM(E306:E307)</f>
        <v>524367</v>
      </c>
      <c r="F305" s="214">
        <f>SUM(F306:F307)</f>
        <v>86000</v>
      </c>
      <c r="G305" s="214">
        <f t="shared" si="99"/>
        <v>610367</v>
      </c>
    </row>
    <row r="306" spans="2:7" x14ac:dyDescent="0.2">
      <c r="B306" s="181">
        <f t="shared" si="102"/>
        <v>299</v>
      </c>
      <c r="C306" s="149"/>
      <c r="D306" s="149" t="s">
        <v>281</v>
      </c>
      <c r="E306" s="202">
        <f>350000+130367</f>
        <v>480367</v>
      </c>
      <c r="F306" s="202">
        <v>60000</v>
      </c>
      <c r="G306" s="202">
        <f t="shared" si="99"/>
        <v>540367</v>
      </c>
    </row>
    <row r="307" spans="2:7" ht="13.5" thickBot="1" x14ac:dyDescent="0.25">
      <c r="B307" s="181">
        <f t="shared" si="102"/>
        <v>300</v>
      </c>
      <c r="C307" s="273"/>
      <c r="D307" s="274" t="s">
        <v>451</v>
      </c>
      <c r="E307" s="209">
        <v>44000</v>
      </c>
      <c r="F307" s="209">
        <v>26000</v>
      </c>
      <c r="G307" s="209">
        <f t="shared" si="99"/>
        <v>70000</v>
      </c>
    </row>
    <row r="308" spans="2:7" s="42" customFormat="1" ht="15.75" thickBot="1" x14ac:dyDescent="0.25">
      <c r="B308" s="181">
        <f t="shared" si="102"/>
        <v>301</v>
      </c>
      <c r="C308" s="223">
        <v>9</v>
      </c>
      <c r="D308" s="223" t="s">
        <v>4</v>
      </c>
      <c r="E308" s="224">
        <f>E309</f>
        <v>69000</v>
      </c>
      <c r="F308" s="224">
        <f t="shared" ref="F308:F309" si="112">F309</f>
        <v>6444</v>
      </c>
      <c r="G308" s="224">
        <f t="shared" si="99"/>
        <v>75444</v>
      </c>
    </row>
    <row r="309" spans="2:7" s="42" customFormat="1" ht="24" x14ac:dyDescent="0.2">
      <c r="B309" s="181">
        <f t="shared" si="102"/>
        <v>302</v>
      </c>
      <c r="C309" s="218">
        <v>312001</v>
      </c>
      <c r="D309" s="219" t="s">
        <v>220</v>
      </c>
      <c r="E309" s="220">
        <f>E310</f>
        <v>69000</v>
      </c>
      <c r="F309" s="220">
        <f t="shared" si="112"/>
        <v>6444</v>
      </c>
      <c r="G309" s="220">
        <f t="shared" si="99"/>
        <v>75444</v>
      </c>
    </row>
    <row r="310" spans="2:7" s="42" customFormat="1" ht="13.5" thickBot="1" x14ac:dyDescent="0.25">
      <c r="B310" s="181">
        <f t="shared" si="102"/>
        <v>303</v>
      </c>
      <c r="C310" s="217"/>
      <c r="D310" s="221" t="s">
        <v>266</v>
      </c>
      <c r="E310" s="222">
        <v>69000</v>
      </c>
      <c r="F310" s="222">
        <v>6444</v>
      </c>
      <c r="G310" s="222">
        <f t="shared" si="99"/>
        <v>75444</v>
      </c>
    </row>
    <row r="311" spans="2:7" s="42" customFormat="1" ht="15.75" thickBot="1" x14ac:dyDescent="0.3">
      <c r="B311" s="181">
        <f t="shared" si="102"/>
        <v>304</v>
      </c>
      <c r="C311" s="196">
        <v>10</v>
      </c>
      <c r="D311" s="196" t="s">
        <v>0</v>
      </c>
      <c r="E311" s="197">
        <f>E312</f>
        <v>1000</v>
      </c>
      <c r="F311" s="197">
        <f t="shared" ref="F311:F312" si="113">F312</f>
        <v>0</v>
      </c>
      <c r="G311" s="197">
        <f t="shared" si="99"/>
        <v>1000</v>
      </c>
    </row>
    <row r="312" spans="2:7" s="42" customFormat="1" ht="24" x14ac:dyDescent="0.2">
      <c r="B312" s="181">
        <f t="shared" si="102"/>
        <v>305</v>
      </c>
      <c r="C312" s="218">
        <v>312001</v>
      </c>
      <c r="D312" s="219" t="s">
        <v>220</v>
      </c>
      <c r="E312" s="220">
        <f>E313</f>
        <v>1000</v>
      </c>
      <c r="F312" s="220">
        <f t="shared" si="113"/>
        <v>0</v>
      </c>
      <c r="G312" s="220">
        <f t="shared" si="99"/>
        <v>1000</v>
      </c>
    </row>
    <row r="313" spans="2:7" s="42" customFormat="1" x14ac:dyDescent="0.2">
      <c r="B313" s="181">
        <f t="shared" si="102"/>
        <v>306</v>
      </c>
      <c r="C313" s="217"/>
      <c r="D313" s="221" t="s">
        <v>680</v>
      </c>
      <c r="E313" s="222">
        <v>1000</v>
      </c>
      <c r="F313" s="222"/>
      <c r="G313" s="222">
        <f t="shared" si="99"/>
        <v>1000</v>
      </c>
    </row>
    <row r="314" spans="2:7" ht="15" x14ac:dyDescent="0.2">
      <c r="B314" s="181">
        <f t="shared" si="102"/>
        <v>307</v>
      </c>
      <c r="C314" s="225"/>
      <c r="D314" s="225" t="s">
        <v>111</v>
      </c>
      <c r="E314" s="226">
        <f>E255+E22+E7</f>
        <v>83634657</v>
      </c>
      <c r="F314" s="226">
        <f>F255+F22+F7</f>
        <v>36044</v>
      </c>
      <c r="G314" s="226">
        <f t="shared" si="99"/>
        <v>83670701</v>
      </c>
    </row>
    <row r="315" spans="2:7" ht="12.75" customHeight="1" x14ac:dyDescent="0.2"/>
    <row r="316" spans="2:7" ht="12.75" customHeight="1" x14ac:dyDescent="0.2"/>
    <row r="317" spans="2:7" ht="12.75" customHeight="1" x14ac:dyDescent="0.2"/>
    <row r="318" spans="2:7" ht="12.75" customHeight="1" x14ac:dyDescent="0.2"/>
    <row r="319" spans="2:7" ht="12.75" customHeight="1" x14ac:dyDescent="0.2"/>
    <row r="320" spans="2:7" ht="12.75" customHeight="1" x14ac:dyDescent="0.2"/>
    <row r="321" spans="2:7" ht="12.75" customHeight="1" x14ac:dyDescent="0.2"/>
    <row r="322" spans="2:7" ht="12.75" customHeight="1" x14ac:dyDescent="0.2"/>
    <row r="323" spans="2:7" ht="12.75" customHeight="1" x14ac:dyDescent="0.2"/>
    <row r="324" spans="2:7" ht="12.75" customHeight="1" x14ac:dyDescent="0.2"/>
    <row r="325" spans="2:7" ht="12.75" customHeight="1" x14ac:dyDescent="0.2"/>
    <row r="326" spans="2:7" ht="12.75" customHeight="1" x14ac:dyDescent="0.2"/>
    <row r="327" spans="2:7" ht="12.75" customHeight="1" x14ac:dyDescent="0.2"/>
    <row r="328" spans="2:7" ht="24.75" customHeight="1" x14ac:dyDescent="0.2">
      <c r="B328" s="398" t="s">
        <v>160</v>
      </c>
      <c r="C328" s="399"/>
      <c r="D328" s="399"/>
      <c r="E328" s="402" t="s">
        <v>732</v>
      </c>
      <c r="F328" s="402" t="s">
        <v>733</v>
      </c>
      <c r="G328" s="402" t="s">
        <v>734</v>
      </c>
    </row>
    <row r="329" spans="2:7" ht="11.25" customHeight="1" x14ac:dyDescent="0.2">
      <c r="B329" s="400"/>
      <c r="C329" s="401"/>
      <c r="D329" s="401"/>
      <c r="E329" s="403"/>
      <c r="F329" s="403"/>
      <c r="G329" s="403"/>
    </row>
    <row r="330" spans="2:7" x14ac:dyDescent="0.2">
      <c r="B330" s="410" t="s">
        <v>108</v>
      </c>
      <c r="C330" s="406" t="s">
        <v>110</v>
      </c>
      <c r="D330" s="417" t="s">
        <v>109</v>
      </c>
      <c r="E330" s="403"/>
      <c r="F330" s="403"/>
      <c r="G330" s="403"/>
    </row>
    <row r="331" spans="2:7" ht="0.75" customHeight="1" x14ac:dyDescent="0.2">
      <c r="B331" s="410"/>
      <c r="C331" s="407"/>
      <c r="D331" s="418"/>
      <c r="E331" s="404"/>
      <c r="F331" s="404"/>
      <c r="G331" s="404"/>
    </row>
    <row r="332" spans="2:7" ht="16.5" thickBot="1" x14ac:dyDescent="0.3">
      <c r="B332" s="227">
        <v>1</v>
      </c>
      <c r="C332" s="228">
        <v>200</v>
      </c>
      <c r="D332" s="228" t="s">
        <v>159</v>
      </c>
      <c r="E332" s="229">
        <f>E333</f>
        <v>1509547</v>
      </c>
      <c r="F332" s="229">
        <f>F333+F338+F341</f>
        <v>15500</v>
      </c>
      <c r="G332" s="229">
        <f>E332+F332</f>
        <v>1525047</v>
      </c>
    </row>
    <row r="333" spans="2:7" ht="15.75" thickBot="1" x14ac:dyDescent="0.3">
      <c r="B333" s="230">
        <f>B332+1</f>
        <v>2</v>
      </c>
      <c r="C333" s="231"/>
      <c r="D333" s="231" t="s">
        <v>38</v>
      </c>
      <c r="E333" s="232">
        <f>E334</f>
        <v>1509547</v>
      </c>
      <c r="F333" s="232">
        <f t="shared" ref="F333" si="114">F334</f>
        <v>0</v>
      </c>
      <c r="G333" s="232">
        <f t="shared" ref="G333:G380" si="115">E333+F333</f>
        <v>1509547</v>
      </c>
    </row>
    <row r="334" spans="2:7" x14ac:dyDescent="0.2">
      <c r="B334" s="230">
        <f t="shared" ref="B334:B351" si="116">B333+1</f>
        <v>3</v>
      </c>
      <c r="C334" s="187">
        <v>230</v>
      </c>
      <c r="D334" s="187" t="s">
        <v>160</v>
      </c>
      <c r="E334" s="188">
        <f>SUM(E335:E337)</f>
        <v>1509547</v>
      </c>
      <c r="F334" s="188">
        <f t="shared" ref="F334" si="117">SUM(F335:F337)</f>
        <v>0</v>
      </c>
      <c r="G334" s="188">
        <f t="shared" si="115"/>
        <v>1509547</v>
      </c>
    </row>
    <row r="335" spans="2:7" x14ac:dyDescent="0.2">
      <c r="B335" s="230">
        <f t="shared" si="116"/>
        <v>4</v>
      </c>
      <c r="C335" s="131">
        <v>231</v>
      </c>
      <c r="D335" s="131" t="s">
        <v>415</v>
      </c>
      <c r="E335" s="22">
        <v>450000</v>
      </c>
      <c r="F335" s="22"/>
      <c r="G335" s="22">
        <f t="shared" si="115"/>
        <v>450000</v>
      </c>
    </row>
    <row r="336" spans="2:7" x14ac:dyDescent="0.2">
      <c r="B336" s="230">
        <f t="shared" si="116"/>
        <v>5</v>
      </c>
      <c r="C336" s="131">
        <v>231</v>
      </c>
      <c r="D336" s="131" t="s">
        <v>708</v>
      </c>
      <c r="E336" s="132">
        <v>619547</v>
      </c>
      <c r="F336" s="132"/>
      <c r="G336" s="132">
        <f t="shared" si="115"/>
        <v>619547</v>
      </c>
    </row>
    <row r="337" spans="2:7" ht="13.5" thickBot="1" x14ac:dyDescent="0.25">
      <c r="B337" s="230">
        <f t="shared" si="116"/>
        <v>6</v>
      </c>
      <c r="C337" s="131">
        <v>233001</v>
      </c>
      <c r="D337" s="131" t="s">
        <v>161</v>
      </c>
      <c r="E337" s="132">
        <v>440000</v>
      </c>
      <c r="F337" s="132"/>
      <c r="G337" s="132">
        <f t="shared" si="115"/>
        <v>440000</v>
      </c>
    </row>
    <row r="338" spans="2:7" ht="15.75" thickBot="1" x14ac:dyDescent="0.3">
      <c r="B338" s="230">
        <f t="shared" si="116"/>
        <v>7</v>
      </c>
      <c r="C338" s="196">
        <v>2</v>
      </c>
      <c r="D338" s="196" t="s">
        <v>463</v>
      </c>
      <c r="E338" s="197">
        <f>E339</f>
        <v>0</v>
      </c>
      <c r="F338" s="197">
        <f>F339</f>
        <v>15000</v>
      </c>
      <c r="G338" s="197">
        <f t="shared" si="115"/>
        <v>15000</v>
      </c>
    </row>
    <row r="339" spans="2:7" x14ac:dyDescent="0.2">
      <c r="B339" s="230">
        <f t="shared" si="116"/>
        <v>8</v>
      </c>
      <c r="C339" s="187">
        <v>230</v>
      </c>
      <c r="D339" s="187" t="s">
        <v>160</v>
      </c>
      <c r="E339" s="188">
        <f>E340</f>
        <v>0</v>
      </c>
      <c r="F339" s="188">
        <f>F340</f>
        <v>15000</v>
      </c>
      <c r="G339" s="188">
        <f t="shared" ref="G339:G341" si="118">E339+F339</f>
        <v>15000</v>
      </c>
    </row>
    <row r="340" spans="2:7" ht="13.5" thickBot="1" x14ac:dyDescent="0.25">
      <c r="B340" s="230">
        <f t="shared" si="116"/>
        <v>9</v>
      </c>
      <c r="C340" s="131">
        <v>231</v>
      </c>
      <c r="D340" s="131" t="s">
        <v>708</v>
      </c>
      <c r="E340" s="22">
        <v>0</v>
      </c>
      <c r="F340" s="22">
        <v>15000</v>
      </c>
      <c r="G340" s="22">
        <f t="shared" si="118"/>
        <v>15000</v>
      </c>
    </row>
    <row r="341" spans="2:7" ht="15.75" thickBot="1" x14ac:dyDescent="0.3">
      <c r="B341" s="230"/>
      <c r="C341" s="196">
        <v>5</v>
      </c>
      <c r="D341" s="196" t="s">
        <v>104</v>
      </c>
      <c r="E341" s="197">
        <f>E342</f>
        <v>0</v>
      </c>
      <c r="F341" s="197">
        <f>F342</f>
        <v>500</v>
      </c>
      <c r="G341" s="197">
        <f t="shared" si="118"/>
        <v>500</v>
      </c>
    </row>
    <row r="342" spans="2:7" x14ac:dyDescent="0.2">
      <c r="B342" s="230"/>
      <c r="C342" s="187">
        <v>230</v>
      </c>
      <c r="D342" s="187" t="s">
        <v>160</v>
      </c>
      <c r="E342" s="188">
        <f>E343</f>
        <v>0</v>
      </c>
      <c r="F342" s="188">
        <f>F343</f>
        <v>500</v>
      </c>
      <c r="G342" s="188">
        <f t="shared" ref="G342:G343" si="119">E342+F342</f>
        <v>500</v>
      </c>
    </row>
    <row r="343" spans="2:7" x14ac:dyDescent="0.2">
      <c r="B343" s="230"/>
      <c r="C343" s="131">
        <v>231</v>
      </c>
      <c r="D343" s="131" t="s">
        <v>708</v>
      </c>
      <c r="E343" s="22">
        <v>0</v>
      </c>
      <c r="F343" s="22">
        <v>500</v>
      </c>
      <c r="G343" s="22">
        <f t="shared" si="119"/>
        <v>500</v>
      </c>
    </row>
    <row r="344" spans="2:7" ht="16.5" thickBot="1" x14ac:dyDescent="0.3">
      <c r="B344" s="230">
        <f>B340+1</f>
        <v>10</v>
      </c>
      <c r="C344" s="233">
        <v>300</v>
      </c>
      <c r="D344" s="233" t="s">
        <v>209</v>
      </c>
      <c r="E344" s="234">
        <f>E345+E376</f>
        <v>48030605</v>
      </c>
      <c r="F344" s="234">
        <f t="shared" ref="F344" si="120">F345+F376</f>
        <v>0</v>
      </c>
      <c r="G344" s="234">
        <f t="shared" si="115"/>
        <v>48030605</v>
      </c>
    </row>
    <row r="345" spans="2:7" ht="15.75" thickBot="1" x14ac:dyDescent="0.3">
      <c r="B345" s="230">
        <f t="shared" si="116"/>
        <v>11</v>
      </c>
      <c r="C345" s="231"/>
      <c r="D345" s="231" t="s">
        <v>38</v>
      </c>
      <c r="E345" s="232">
        <f>E346</f>
        <v>47980605</v>
      </c>
      <c r="F345" s="232">
        <f t="shared" ref="F345" si="121">F346</f>
        <v>0</v>
      </c>
      <c r="G345" s="232">
        <f t="shared" si="115"/>
        <v>47980605</v>
      </c>
    </row>
    <row r="346" spans="2:7" x14ac:dyDescent="0.2">
      <c r="B346" s="230">
        <f t="shared" si="116"/>
        <v>12</v>
      </c>
      <c r="C346" s="187">
        <v>320</v>
      </c>
      <c r="D346" s="187" t="s">
        <v>257</v>
      </c>
      <c r="E346" s="188">
        <f>E349+E347</f>
        <v>47980605</v>
      </c>
      <c r="F346" s="188">
        <f t="shared" ref="F346" si="122">F349+F347</f>
        <v>0</v>
      </c>
      <c r="G346" s="188">
        <f t="shared" si="115"/>
        <v>47980605</v>
      </c>
    </row>
    <row r="347" spans="2:7" x14ac:dyDescent="0.2">
      <c r="B347" s="230">
        <f t="shared" si="116"/>
        <v>13</v>
      </c>
      <c r="C347" s="235">
        <v>321</v>
      </c>
      <c r="D347" s="235" t="s">
        <v>714</v>
      </c>
      <c r="E347" s="236">
        <f>E348</f>
        <v>37930</v>
      </c>
      <c r="F347" s="236">
        <f t="shared" ref="F347" si="123">F348</f>
        <v>0</v>
      </c>
      <c r="G347" s="236">
        <f t="shared" si="115"/>
        <v>37930</v>
      </c>
    </row>
    <row r="348" spans="2:7" x14ac:dyDescent="0.2">
      <c r="B348" s="230">
        <f t="shared" si="116"/>
        <v>14</v>
      </c>
      <c r="C348" s="24"/>
      <c r="D348" s="60" t="s">
        <v>713</v>
      </c>
      <c r="E348" s="61">
        <v>37930</v>
      </c>
      <c r="F348" s="61"/>
      <c r="G348" s="61">
        <f t="shared" si="115"/>
        <v>37930</v>
      </c>
    </row>
    <row r="349" spans="2:7" x14ac:dyDescent="0.2">
      <c r="B349" s="230">
        <f t="shared" si="116"/>
        <v>15</v>
      </c>
      <c r="C349" s="235">
        <v>322001</v>
      </c>
      <c r="D349" s="235" t="s">
        <v>258</v>
      </c>
      <c r="E349" s="236">
        <f>SUM(E350:E375)</f>
        <v>47942675</v>
      </c>
      <c r="F349" s="236">
        <f t="shared" ref="F349" si="124">SUM(F350:F375)</f>
        <v>0</v>
      </c>
      <c r="G349" s="236">
        <f t="shared" si="115"/>
        <v>47942675</v>
      </c>
    </row>
    <row r="350" spans="2:7" x14ac:dyDescent="0.2">
      <c r="B350" s="230">
        <f t="shared" si="116"/>
        <v>16</v>
      </c>
      <c r="C350" s="24"/>
      <c r="D350" s="60" t="s">
        <v>528</v>
      </c>
      <c r="E350" s="61">
        <v>552000</v>
      </c>
      <c r="F350" s="61"/>
      <c r="G350" s="61">
        <f t="shared" si="115"/>
        <v>552000</v>
      </c>
    </row>
    <row r="351" spans="2:7" x14ac:dyDescent="0.2">
      <c r="B351" s="230">
        <f t="shared" si="116"/>
        <v>17</v>
      </c>
      <c r="C351" s="24"/>
      <c r="D351" s="60" t="s">
        <v>417</v>
      </c>
      <c r="E351" s="61">
        <f>6223763+632985</f>
        <v>6856748</v>
      </c>
      <c r="F351" s="61"/>
      <c r="G351" s="61">
        <f t="shared" si="115"/>
        <v>6856748</v>
      </c>
    </row>
    <row r="352" spans="2:7" x14ac:dyDescent="0.2">
      <c r="B352" s="230">
        <f t="shared" ref="B352:B380" si="125">B351+1</f>
        <v>18</v>
      </c>
      <c r="C352" s="24"/>
      <c r="D352" s="60" t="s">
        <v>418</v>
      </c>
      <c r="E352" s="61">
        <f>386096+32571</f>
        <v>418667</v>
      </c>
      <c r="F352" s="61"/>
      <c r="G352" s="61">
        <f t="shared" si="115"/>
        <v>418667</v>
      </c>
    </row>
    <row r="353" spans="2:7" ht="24" x14ac:dyDescent="0.2">
      <c r="B353" s="230">
        <f t="shared" si="125"/>
        <v>19</v>
      </c>
      <c r="C353" s="24"/>
      <c r="D353" s="60" t="s">
        <v>524</v>
      </c>
      <c r="E353" s="61">
        <v>540000</v>
      </c>
      <c r="F353" s="61"/>
      <c r="G353" s="61">
        <f t="shared" si="115"/>
        <v>540000</v>
      </c>
    </row>
    <row r="354" spans="2:7" x14ac:dyDescent="0.2">
      <c r="B354" s="230">
        <f t="shared" si="125"/>
        <v>20</v>
      </c>
      <c r="C354" s="24"/>
      <c r="D354" s="60" t="s">
        <v>525</v>
      </c>
      <c r="E354" s="61">
        <v>4232000</v>
      </c>
      <c r="F354" s="61"/>
      <c r="G354" s="61">
        <f t="shared" si="115"/>
        <v>4232000</v>
      </c>
    </row>
    <row r="355" spans="2:7" x14ac:dyDescent="0.2">
      <c r="B355" s="230">
        <f t="shared" si="125"/>
        <v>21</v>
      </c>
      <c r="C355" s="24"/>
      <c r="D355" s="60" t="s">
        <v>467</v>
      </c>
      <c r="E355" s="61">
        <f>396930+168721</f>
        <v>565651</v>
      </c>
      <c r="F355" s="61"/>
      <c r="G355" s="61">
        <f t="shared" si="115"/>
        <v>565651</v>
      </c>
    </row>
    <row r="356" spans="2:7" x14ac:dyDescent="0.2">
      <c r="B356" s="230">
        <f t="shared" si="125"/>
        <v>22</v>
      </c>
      <c r="C356" s="24"/>
      <c r="D356" s="290" t="s">
        <v>468</v>
      </c>
      <c r="E356" s="61">
        <v>679245</v>
      </c>
      <c r="F356" s="61"/>
      <c r="G356" s="61">
        <f t="shared" si="115"/>
        <v>679245</v>
      </c>
    </row>
    <row r="357" spans="2:7" ht="24" x14ac:dyDescent="0.2">
      <c r="B357" s="230">
        <f t="shared" si="125"/>
        <v>23</v>
      </c>
      <c r="C357" s="24"/>
      <c r="D357" s="291" t="s">
        <v>538</v>
      </c>
      <c r="E357" s="61">
        <v>6500000</v>
      </c>
      <c r="F357" s="61"/>
      <c r="G357" s="61">
        <f t="shared" si="115"/>
        <v>6500000</v>
      </c>
    </row>
    <row r="358" spans="2:7" x14ac:dyDescent="0.2">
      <c r="B358" s="230">
        <f t="shared" si="125"/>
        <v>24</v>
      </c>
      <c r="C358" s="24"/>
      <c r="D358" s="60" t="s">
        <v>419</v>
      </c>
      <c r="E358" s="61">
        <v>358800</v>
      </c>
      <c r="F358" s="61"/>
      <c r="G358" s="61">
        <f t="shared" si="115"/>
        <v>358800</v>
      </c>
    </row>
    <row r="359" spans="2:7" x14ac:dyDescent="0.2">
      <c r="B359" s="230">
        <f t="shared" si="125"/>
        <v>25</v>
      </c>
      <c r="C359" s="24"/>
      <c r="D359" s="60" t="s">
        <v>548</v>
      </c>
      <c r="E359" s="61">
        <v>214020</v>
      </c>
      <c r="F359" s="61"/>
      <c r="G359" s="61">
        <f t="shared" si="115"/>
        <v>214020</v>
      </c>
    </row>
    <row r="360" spans="2:7" x14ac:dyDescent="0.2">
      <c r="B360" s="230">
        <f t="shared" si="125"/>
        <v>26</v>
      </c>
      <c r="C360" s="24"/>
      <c r="D360" s="60" t="s">
        <v>500</v>
      </c>
      <c r="E360" s="61">
        <f>2377300+27939</f>
        <v>2405239</v>
      </c>
      <c r="F360" s="61"/>
      <c r="G360" s="61">
        <f t="shared" si="115"/>
        <v>2405239</v>
      </c>
    </row>
    <row r="361" spans="2:7" ht="20.25" customHeight="1" x14ac:dyDescent="0.2">
      <c r="B361" s="230">
        <f t="shared" si="125"/>
        <v>27</v>
      </c>
      <c r="C361" s="24"/>
      <c r="D361" s="60" t="s">
        <v>420</v>
      </c>
      <c r="E361" s="61">
        <v>662400</v>
      </c>
      <c r="F361" s="61"/>
      <c r="G361" s="61">
        <f t="shared" si="115"/>
        <v>662400</v>
      </c>
    </row>
    <row r="362" spans="2:7" x14ac:dyDescent="0.2">
      <c r="B362" s="230">
        <f t="shared" si="125"/>
        <v>28</v>
      </c>
      <c r="C362" s="24"/>
      <c r="D362" s="60" t="s">
        <v>422</v>
      </c>
      <c r="E362" s="61">
        <v>1701168</v>
      </c>
      <c r="F362" s="61"/>
      <c r="G362" s="61">
        <f t="shared" si="115"/>
        <v>1701168</v>
      </c>
    </row>
    <row r="363" spans="2:7" x14ac:dyDescent="0.2">
      <c r="B363" s="230">
        <f t="shared" si="125"/>
        <v>29</v>
      </c>
      <c r="C363" s="24"/>
      <c r="D363" s="60" t="s">
        <v>421</v>
      </c>
      <c r="E363" s="61">
        <f>736000+408520</f>
        <v>1144520</v>
      </c>
      <c r="F363" s="61"/>
      <c r="G363" s="61">
        <f t="shared" si="115"/>
        <v>1144520</v>
      </c>
    </row>
    <row r="364" spans="2:7" x14ac:dyDescent="0.2">
      <c r="B364" s="230">
        <f t="shared" si="125"/>
        <v>30</v>
      </c>
      <c r="C364" s="24"/>
      <c r="D364" s="60" t="s">
        <v>626</v>
      </c>
      <c r="E364" s="61">
        <f>829000+178800</f>
        <v>1007800</v>
      </c>
      <c r="F364" s="61"/>
      <c r="G364" s="61">
        <f t="shared" si="115"/>
        <v>1007800</v>
      </c>
    </row>
    <row r="365" spans="2:7" ht="24" x14ac:dyDescent="0.2">
      <c r="B365" s="230">
        <f t="shared" si="125"/>
        <v>31</v>
      </c>
      <c r="C365" s="24"/>
      <c r="D365" s="60" t="s">
        <v>290</v>
      </c>
      <c r="E365" s="61">
        <f>1020280+759000</f>
        <v>1779280</v>
      </c>
      <c r="F365" s="61"/>
      <c r="G365" s="61">
        <f t="shared" si="115"/>
        <v>1779280</v>
      </c>
    </row>
    <row r="366" spans="2:7" x14ac:dyDescent="0.2">
      <c r="B366" s="230">
        <f t="shared" si="125"/>
        <v>32</v>
      </c>
      <c r="C366" s="24"/>
      <c r="D366" s="64" t="s">
        <v>539</v>
      </c>
      <c r="E366" s="61">
        <v>1443480</v>
      </c>
      <c r="F366" s="61"/>
      <c r="G366" s="61">
        <f t="shared" si="115"/>
        <v>1443480</v>
      </c>
    </row>
    <row r="367" spans="2:7" ht="13.5" customHeight="1" x14ac:dyDescent="0.2">
      <c r="B367" s="230">
        <f t="shared" si="125"/>
        <v>33</v>
      </c>
      <c r="C367" s="24"/>
      <c r="D367" s="64" t="s">
        <v>681</v>
      </c>
      <c r="E367" s="61">
        <v>189262</v>
      </c>
      <c r="F367" s="61"/>
      <c r="G367" s="61">
        <f t="shared" si="115"/>
        <v>189262</v>
      </c>
    </row>
    <row r="368" spans="2:7" ht="23.25" customHeight="1" x14ac:dyDescent="0.2">
      <c r="B368" s="230">
        <f t="shared" si="125"/>
        <v>34</v>
      </c>
      <c r="C368" s="24"/>
      <c r="D368" s="60" t="s">
        <v>403</v>
      </c>
      <c r="E368" s="61">
        <v>920000</v>
      </c>
      <c r="F368" s="61"/>
      <c r="G368" s="61">
        <f t="shared" si="115"/>
        <v>920000</v>
      </c>
    </row>
    <row r="369" spans="2:7" x14ac:dyDescent="0.2">
      <c r="B369" s="230">
        <f t="shared" si="125"/>
        <v>35</v>
      </c>
      <c r="C369" s="24"/>
      <c r="D369" s="60" t="s">
        <v>469</v>
      </c>
      <c r="E369" s="61">
        <v>1702000</v>
      </c>
      <c r="F369" s="61"/>
      <c r="G369" s="61">
        <f t="shared" si="115"/>
        <v>1702000</v>
      </c>
    </row>
    <row r="370" spans="2:7" x14ac:dyDescent="0.2">
      <c r="B370" s="230">
        <f t="shared" si="125"/>
        <v>36</v>
      </c>
      <c r="C370" s="24"/>
      <c r="D370" s="60" t="s">
        <v>287</v>
      </c>
      <c r="E370" s="61">
        <v>515200</v>
      </c>
      <c r="F370" s="61"/>
      <c r="G370" s="61">
        <f t="shared" si="115"/>
        <v>515200</v>
      </c>
    </row>
    <row r="371" spans="2:7" x14ac:dyDescent="0.2">
      <c r="B371" s="230">
        <f t="shared" si="125"/>
        <v>37</v>
      </c>
      <c r="C371" s="24"/>
      <c r="D371" s="19" t="s">
        <v>423</v>
      </c>
      <c r="E371" s="61">
        <f>4600000+5140000</f>
        <v>9740000</v>
      </c>
      <c r="F371" s="61"/>
      <c r="G371" s="61">
        <f t="shared" si="115"/>
        <v>9740000</v>
      </c>
    </row>
    <row r="372" spans="2:7" ht="24" x14ac:dyDescent="0.2">
      <c r="B372" s="230">
        <f t="shared" si="125"/>
        <v>38</v>
      </c>
      <c r="C372" s="237"/>
      <c r="D372" s="60" t="s">
        <v>643</v>
      </c>
      <c r="E372" s="239">
        <v>35193</v>
      </c>
      <c r="F372" s="239"/>
      <c r="G372" s="239">
        <f t="shared" si="115"/>
        <v>35193</v>
      </c>
    </row>
    <row r="373" spans="2:7" ht="24" x14ac:dyDescent="0.2">
      <c r="B373" s="230">
        <f t="shared" si="125"/>
        <v>39</v>
      </c>
      <c r="C373" s="237"/>
      <c r="D373" s="238" t="s">
        <v>537</v>
      </c>
      <c r="E373" s="239">
        <v>185569</v>
      </c>
      <c r="F373" s="239"/>
      <c r="G373" s="239">
        <f t="shared" si="115"/>
        <v>185569</v>
      </c>
    </row>
    <row r="374" spans="2:7" ht="21.75" customHeight="1" x14ac:dyDescent="0.2">
      <c r="B374" s="230">
        <f t="shared" si="125"/>
        <v>40</v>
      </c>
      <c r="C374" s="237"/>
      <c r="D374" s="238" t="s">
        <v>651</v>
      </c>
      <c r="E374" s="239">
        <v>3494433</v>
      </c>
      <c r="F374" s="239"/>
      <c r="G374" s="239">
        <f t="shared" si="115"/>
        <v>3494433</v>
      </c>
    </row>
    <row r="375" spans="2:7" ht="24.75" thickBot="1" x14ac:dyDescent="0.25">
      <c r="B375" s="230">
        <f t="shared" si="125"/>
        <v>41</v>
      </c>
      <c r="C375" s="237"/>
      <c r="D375" s="238" t="s">
        <v>706</v>
      </c>
      <c r="E375" s="239">
        <v>100000</v>
      </c>
      <c r="F375" s="239"/>
      <c r="G375" s="239">
        <f t="shared" si="115"/>
        <v>100000</v>
      </c>
    </row>
    <row r="376" spans="2:7" ht="15.75" thickBot="1" x14ac:dyDescent="0.3">
      <c r="B376" s="230">
        <f t="shared" si="125"/>
        <v>42</v>
      </c>
      <c r="C376" s="196">
        <v>2</v>
      </c>
      <c r="D376" s="196" t="s">
        <v>463</v>
      </c>
      <c r="E376" s="197">
        <f>E377</f>
        <v>50000</v>
      </c>
      <c r="F376" s="197">
        <f t="shared" ref="F376:F378" si="126">F377</f>
        <v>0</v>
      </c>
      <c r="G376" s="197">
        <f t="shared" si="115"/>
        <v>50000</v>
      </c>
    </row>
    <row r="377" spans="2:7" x14ac:dyDescent="0.2">
      <c r="B377" s="230">
        <f t="shared" si="125"/>
        <v>43</v>
      </c>
      <c r="C377" s="187">
        <v>320</v>
      </c>
      <c r="D377" s="187" t="s">
        <v>257</v>
      </c>
      <c r="E377" s="188">
        <f>E378</f>
        <v>50000</v>
      </c>
      <c r="F377" s="188">
        <f t="shared" si="126"/>
        <v>0</v>
      </c>
      <c r="G377" s="188">
        <f t="shared" si="115"/>
        <v>50000</v>
      </c>
    </row>
    <row r="378" spans="2:7" x14ac:dyDescent="0.2">
      <c r="B378" s="230">
        <f t="shared" si="125"/>
        <v>44</v>
      </c>
      <c r="C378" s="235">
        <v>322001</v>
      </c>
      <c r="D378" s="235" t="s">
        <v>258</v>
      </c>
      <c r="E378" s="236">
        <f>E379</f>
        <v>50000</v>
      </c>
      <c r="F378" s="236">
        <f t="shared" si="126"/>
        <v>0</v>
      </c>
      <c r="G378" s="236">
        <f t="shared" si="115"/>
        <v>50000</v>
      </c>
    </row>
    <row r="379" spans="2:7" ht="36" x14ac:dyDescent="0.2">
      <c r="B379" s="230">
        <f t="shared" si="125"/>
        <v>45</v>
      </c>
      <c r="C379" s="24"/>
      <c r="D379" s="60" t="s">
        <v>636</v>
      </c>
      <c r="E379" s="61">
        <v>50000</v>
      </c>
      <c r="F379" s="61"/>
      <c r="G379" s="61">
        <f t="shared" si="115"/>
        <v>50000</v>
      </c>
    </row>
    <row r="380" spans="2:7" ht="15" x14ac:dyDescent="0.2">
      <c r="B380" s="230">
        <f t="shared" si="125"/>
        <v>46</v>
      </c>
      <c r="C380" s="240"/>
      <c r="D380" s="240" t="s">
        <v>40</v>
      </c>
      <c r="E380" s="241">
        <f>E332+E344</f>
        <v>49540152</v>
      </c>
      <c r="F380" s="241">
        <f>F332+F344</f>
        <v>15500</v>
      </c>
      <c r="G380" s="241">
        <f t="shared" si="115"/>
        <v>49555652</v>
      </c>
    </row>
    <row r="381" spans="2:7" x14ac:dyDescent="0.2">
      <c r="F381" s="5"/>
      <c r="G381" s="5"/>
    </row>
    <row r="382" spans="2:7" ht="12.75" customHeight="1" x14ac:dyDescent="0.2">
      <c r="B382" s="398" t="s">
        <v>291</v>
      </c>
      <c r="C382" s="399"/>
      <c r="D382" s="399"/>
      <c r="E382" s="402" t="s">
        <v>732</v>
      </c>
      <c r="F382" s="402" t="s">
        <v>733</v>
      </c>
      <c r="G382" s="402" t="s">
        <v>734</v>
      </c>
    </row>
    <row r="383" spans="2:7" ht="12.75" customHeight="1" x14ac:dyDescent="0.2">
      <c r="B383" s="400"/>
      <c r="C383" s="401"/>
      <c r="D383" s="401"/>
      <c r="E383" s="403"/>
      <c r="F383" s="403"/>
      <c r="G383" s="403"/>
    </row>
    <row r="384" spans="2:7" ht="10.5" customHeight="1" x14ac:dyDescent="0.2">
      <c r="B384" s="419" t="s">
        <v>108</v>
      </c>
      <c r="C384" s="406" t="s">
        <v>110</v>
      </c>
      <c r="D384" s="417" t="s">
        <v>109</v>
      </c>
      <c r="E384" s="403"/>
      <c r="F384" s="403"/>
      <c r="G384" s="403"/>
    </row>
    <row r="385" spans="2:7" ht="17.25" customHeight="1" x14ac:dyDescent="0.2">
      <c r="B385" s="419"/>
      <c r="C385" s="406"/>
      <c r="D385" s="417"/>
      <c r="E385" s="404"/>
      <c r="F385" s="404"/>
      <c r="G385" s="404"/>
    </row>
    <row r="386" spans="2:7" ht="13.5" customHeight="1" x14ac:dyDescent="0.2">
      <c r="B386" s="242">
        <v>1</v>
      </c>
      <c r="C386" s="243"/>
      <c r="D386" s="243" t="s">
        <v>111</v>
      </c>
      <c r="E386" s="244">
        <f>E314</f>
        <v>83634657</v>
      </c>
      <c r="F386" s="244">
        <f>F314</f>
        <v>36044</v>
      </c>
      <c r="G386" s="244">
        <f>E386+F386</f>
        <v>83670701</v>
      </c>
    </row>
    <row r="387" spans="2:7" ht="15" x14ac:dyDescent="0.2">
      <c r="B387" s="242">
        <v>2</v>
      </c>
      <c r="C387" s="243"/>
      <c r="D387" s="243" t="s">
        <v>40</v>
      </c>
      <c r="E387" s="244">
        <f>E380</f>
        <v>49540152</v>
      </c>
      <c r="F387" s="244">
        <f t="shared" ref="F387" si="127">F380</f>
        <v>15500</v>
      </c>
      <c r="G387" s="244">
        <f t="shared" ref="G387:G388" si="128">E387+F387</f>
        <v>49555652</v>
      </c>
    </row>
    <row r="388" spans="2:7" ht="15" x14ac:dyDescent="0.2">
      <c r="B388" s="245">
        <v>3</v>
      </c>
      <c r="C388" s="246"/>
      <c r="D388" s="246" t="s">
        <v>41</v>
      </c>
      <c r="E388" s="247">
        <f>E387+E386</f>
        <v>133174809</v>
      </c>
      <c r="F388" s="247">
        <f t="shared" ref="F388" si="129">F387+F386</f>
        <v>51544</v>
      </c>
      <c r="G388" s="247">
        <f t="shared" si="128"/>
        <v>133226353</v>
      </c>
    </row>
  </sheetData>
  <mergeCells count="23">
    <mergeCell ref="F382:F385"/>
    <mergeCell ref="G382:G385"/>
    <mergeCell ref="D5:D6"/>
    <mergeCell ref="B330:B331"/>
    <mergeCell ref="B3:D4"/>
    <mergeCell ref="B5:B6"/>
    <mergeCell ref="D330:D331"/>
    <mergeCell ref="E382:E385"/>
    <mergeCell ref="B384:B385"/>
    <mergeCell ref="C384:C385"/>
    <mergeCell ref="D384:D385"/>
    <mergeCell ref="B382:D383"/>
    <mergeCell ref="B2:E2"/>
    <mergeCell ref="C5:C6"/>
    <mergeCell ref="B328:D329"/>
    <mergeCell ref="E3:E6"/>
    <mergeCell ref="B1:G1"/>
    <mergeCell ref="F3:F6"/>
    <mergeCell ref="G3:G6"/>
    <mergeCell ref="F328:F331"/>
    <mergeCell ref="G328:G331"/>
    <mergeCell ref="C330:C331"/>
    <mergeCell ref="E328:E331"/>
  </mergeCells>
  <phoneticPr fontId="1" type="noConversion"/>
  <pageMargins left="0.19685039370078741" right="0.31496062992125984" top="0.15748031496062992" bottom="0.11811023622047245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EF546-F086-4C28-8DDD-68BBD49283AC}">
  <sheetPr codeName="Sheet13"/>
  <dimension ref="B1:S3598"/>
  <sheetViews>
    <sheetView showWhiteSpace="0" zoomScale="90" zoomScaleNormal="90" zoomScaleSheetLayoutView="90" workbookViewId="0"/>
  </sheetViews>
  <sheetFormatPr defaultRowHeight="12.75" x14ac:dyDescent="0.2"/>
  <cols>
    <col min="1" max="1" width="4.85546875" style="3" customWidth="1"/>
    <col min="2" max="2" width="5.28515625" style="2" customWidth="1"/>
    <col min="3" max="3" width="4.140625" style="3" customWidth="1"/>
    <col min="4" max="4" width="3.42578125" style="3" customWidth="1"/>
    <col min="5" max="5" width="4.42578125" style="3" customWidth="1"/>
    <col min="6" max="6" width="5.5703125" style="4" customWidth="1"/>
    <col min="7" max="7" width="5" style="4" customWidth="1"/>
    <col min="8" max="8" width="37.7109375" style="3" customWidth="1"/>
    <col min="9" max="11" width="13.140625" style="5" customWidth="1"/>
    <col min="12" max="12" width="1.85546875" style="5" customWidth="1"/>
    <col min="13" max="15" width="12.85546875" style="5" customWidth="1"/>
    <col min="16" max="16" width="2.140625" style="5" customWidth="1"/>
    <col min="17" max="17" width="13" style="5" customWidth="1"/>
    <col min="18" max="18" width="14.85546875" style="3" customWidth="1"/>
    <col min="19" max="19" width="14.42578125" style="3" customWidth="1"/>
    <col min="20" max="16384" width="9.140625" style="3"/>
  </cols>
  <sheetData>
    <row r="1" spans="2:19" ht="17.25" customHeight="1" x14ac:dyDescent="0.4">
      <c r="I1" s="6"/>
      <c r="J1" s="6"/>
      <c r="K1" s="6"/>
      <c r="L1" s="6"/>
    </row>
    <row r="2" spans="2:19" ht="27.75" x14ac:dyDescent="0.4">
      <c r="B2" s="429" t="s">
        <v>37</v>
      </c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</row>
    <row r="3" spans="2:19" ht="13.5" customHeight="1" x14ac:dyDescent="0.2">
      <c r="B3" s="431" t="s">
        <v>464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3" t="s">
        <v>735</v>
      </c>
      <c r="R3" s="433" t="s">
        <v>733</v>
      </c>
      <c r="S3" s="433" t="s">
        <v>736</v>
      </c>
    </row>
    <row r="4" spans="2:19" ht="19.5" customHeight="1" x14ac:dyDescent="0.2">
      <c r="B4" s="436"/>
      <c r="C4" s="422" t="s">
        <v>112</v>
      </c>
      <c r="D4" s="422" t="s">
        <v>113</v>
      </c>
      <c r="E4" s="422"/>
      <c r="F4" s="422" t="s">
        <v>114</v>
      </c>
      <c r="G4" s="423" t="s">
        <v>115</v>
      </c>
      <c r="H4" s="424" t="s">
        <v>116</v>
      </c>
      <c r="I4" s="435" t="s">
        <v>737</v>
      </c>
      <c r="J4" s="455" t="s">
        <v>733</v>
      </c>
      <c r="K4" s="435" t="s">
        <v>738</v>
      </c>
      <c r="L4" s="318"/>
      <c r="M4" s="435" t="s">
        <v>739</v>
      </c>
      <c r="N4" s="455" t="s">
        <v>733</v>
      </c>
      <c r="O4" s="435" t="s">
        <v>740</v>
      </c>
      <c r="P4" s="318"/>
      <c r="Q4" s="434"/>
      <c r="R4" s="434"/>
      <c r="S4" s="434"/>
    </row>
    <row r="5" spans="2:19" ht="15.75" customHeight="1" x14ac:dyDescent="0.2">
      <c r="B5" s="436"/>
      <c r="C5" s="422"/>
      <c r="D5" s="422"/>
      <c r="E5" s="422"/>
      <c r="F5" s="422"/>
      <c r="G5" s="423"/>
      <c r="H5" s="424"/>
      <c r="I5" s="435"/>
      <c r="J5" s="456"/>
      <c r="K5" s="435"/>
      <c r="L5" s="318"/>
      <c r="M5" s="435"/>
      <c r="N5" s="456"/>
      <c r="O5" s="435"/>
      <c r="P5" s="318"/>
      <c r="Q5" s="434"/>
      <c r="R5" s="434"/>
      <c r="S5" s="434"/>
    </row>
    <row r="6" spans="2:19" ht="11.25" customHeight="1" x14ac:dyDescent="0.2">
      <c r="B6" s="436"/>
      <c r="C6" s="422"/>
      <c r="D6" s="422"/>
      <c r="E6" s="422"/>
      <c r="F6" s="422"/>
      <c r="G6" s="423"/>
      <c r="H6" s="424"/>
      <c r="I6" s="435"/>
      <c r="J6" s="456"/>
      <c r="K6" s="435"/>
      <c r="L6" s="318"/>
      <c r="M6" s="435"/>
      <c r="N6" s="456"/>
      <c r="O6" s="435"/>
      <c r="P6" s="318"/>
      <c r="Q6" s="434"/>
      <c r="R6" s="434"/>
      <c r="S6" s="434"/>
    </row>
    <row r="7" spans="2:19" ht="9.75" customHeight="1" x14ac:dyDescent="0.2">
      <c r="B7" s="436"/>
      <c r="C7" s="422"/>
      <c r="D7" s="422"/>
      <c r="E7" s="422"/>
      <c r="F7" s="422"/>
      <c r="G7" s="423"/>
      <c r="H7" s="424"/>
      <c r="I7" s="435"/>
      <c r="J7" s="457"/>
      <c r="K7" s="435"/>
      <c r="L7" s="318"/>
      <c r="M7" s="435"/>
      <c r="N7" s="457"/>
      <c r="O7" s="435"/>
      <c r="P7" s="318"/>
      <c r="Q7" s="434"/>
      <c r="R7" s="434"/>
      <c r="S7" s="434"/>
    </row>
    <row r="8" spans="2:19" ht="21.75" customHeight="1" x14ac:dyDescent="0.2">
      <c r="B8" s="7">
        <v>1</v>
      </c>
      <c r="C8" s="437" t="s">
        <v>37</v>
      </c>
      <c r="D8" s="438"/>
      <c r="E8" s="438"/>
      <c r="F8" s="438"/>
      <c r="G8" s="438"/>
      <c r="H8" s="438"/>
      <c r="I8" s="8">
        <f>I78+I75+I66+I44+I30+I9</f>
        <v>1585206</v>
      </c>
      <c r="J8" s="8">
        <f t="shared" ref="J8:K8" si="0">J78+J75+J66+J44+J30+J9</f>
        <v>0</v>
      </c>
      <c r="K8" s="8">
        <f t="shared" si="0"/>
        <v>1585206</v>
      </c>
      <c r="L8" s="319"/>
      <c r="M8" s="8">
        <f>M78+M75+M66+M44+M30+M9</f>
        <v>3190307</v>
      </c>
      <c r="N8" s="8">
        <f t="shared" ref="N8" si="1">N78+N75+N66+N44+N30+N9</f>
        <v>0</v>
      </c>
      <c r="O8" s="8">
        <f>M8+N8</f>
        <v>3190307</v>
      </c>
      <c r="P8" s="333"/>
      <c r="Q8" s="9">
        <f t="shared" ref="Q8:Q39" si="2">M8+I8</f>
        <v>4775513</v>
      </c>
      <c r="R8" s="9">
        <f t="shared" ref="R8:R71" si="3">N8+J8</f>
        <v>0</v>
      </c>
      <c r="S8" s="9">
        <f t="shared" ref="S8:S71" si="4">O8+K8</f>
        <v>4775513</v>
      </c>
    </row>
    <row r="9" spans="2:19" ht="15" x14ac:dyDescent="0.2">
      <c r="B9" s="7">
        <f t="shared" ref="B9:B40" si="5">B8+1</f>
        <v>2</v>
      </c>
      <c r="C9" s="10">
        <v>1</v>
      </c>
      <c r="D9" s="420" t="s">
        <v>186</v>
      </c>
      <c r="E9" s="421"/>
      <c r="F9" s="421"/>
      <c r="G9" s="421"/>
      <c r="H9" s="421"/>
      <c r="I9" s="11">
        <f>I23+I20+I17+I10</f>
        <v>288200</v>
      </c>
      <c r="J9" s="11">
        <f t="shared" ref="J9" si="6">J23+J20+J17+J10</f>
        <v>0</v>
      </c>
      <c r="K9" s="11">
        <f>I9+J9</f>
        <v>288200</v>
      </c>
      <c r="L9" s="320"/>
      <c r="M9" s="11"/>
      <c r="N9" s="11"/>
      <c r="O9" s="11">
        <f t="shared" ref="O9:O72" si="7">M9+N9</f>
        <v>0</v>
      </c>
      <c r="P9" s="320"/>
      <c r="Q9" s="12">
        <f t="shared" si="2"/>
        <v>288200</v>
      </c>
      <c r="R9" s="12">
        <f t="shared" si="3"/>
        <v>0</v>
      </c>
      <c r="S9" s="12">
        <f t="shared" si="4"/>
        <v>288200</v>
      </c>
    </row>
    <row r="10" spans="2:19" ht="15" x14ac:dyDescent="0.25">
      <c r="B10" s="7">
        <f t="shared" si="5"/>
        <v>3</v>
      </c>
      <c r="C10" s="29"/>
      <c r="D10" s="29">
        <v>1</v>
      </c>
      <c r="E10" s="441" t="s">
        <v>200</v>
      </c>
      <c r="F10" s="442"/>
      <c r="G10" s="442"/>
      <c r="H10" s="442"/>
      <c r="I10" s="30">
        <f>I11</f>
        <v>88750</v>
      </c>
      <c r="J10" s="30">
        <f t="shared" ref="J10" si="8">J11</f>
        <v>0</v>
      </c>
      <c r="K10" s="30">
        <f t="shared" ref="K10:K73" si="9">I10+J10</f>
        <v>88750</v>
      </c>
      <c r="L10" s="321"/>
      <c r="M10" s="30"/>
      <c r="N10" s="30"/>
      <c r="O10" s="30">
        <f t="shared" si="7"/>
        <v>0</v>
      </c>
      <c r="P10" s="321"/>
      <c r="Q10" s="32">
        <f t="shared" si="2"/>
        <v>88750</v>
      </c>
      <c r="R10" s="32">
        <f t="shared" si="3"/>
        <v>0</v>
      </c>
      <c r="S10" s="32">
        <f t="shared" si="4"/>
        <v>88750</v>
      </c>
    </row>
    <row r="11" spans="2:19" x14ac:dyDescent="0.2">
      <c r="B11" s="7">
        <f t="shared" si="5"/>
        <v>4</v>
      </c>
      <c r="C11" s="13"/>
      <c r="D11" s="13"/>
      <c r="E11" s="13"/>
      <c r="F11" s="14" t="s">
        <v>74</v>
      </c>
      <c r="G11" s="15">
        <v>630</v>
      </c>
      <c r="H11" s="13" t="s">
        <v>119</v>
      </c>
      <c r="I11" s="16">
        <f>SUM(I12:I16)</f>
        <v>88750</v>
      </c>
      <c r="J11" s="16">
        <f t="shared" ref="J11" si="10">SUM(J12:J16)</f>
        <v>0</v>
      </c>
      <c r="K11" s="16">
        <f t="shared" si="9"/>
        <v>88750</v>
      </c>
      <c r="L11" s="16"/>
      <c r="M11" s="16"/>
      <c r="N11" s="16"/>
      <c r="O11" s="16">
        <f t="shared" si="7"/>
        <v>0</v>
      </c>
      <c r="P11" s="16"/>
      <c r="Q11" s="18">
        <f t="shared" si="2"/>
        <v>88750</v>
      </c>
      <c r="R11" s="18">
        <f t="shared" si="3"/>
        <v>0</v>
      </c>
      <c r="S11" s="18">
        <f t="shared" si="4"/>
        <v>88750</v>
      </c>
    </row>
    <row r="12" spans="2:19" x14ac:dyDescent="0.2">
      <c r="B12" s="7">
        <f t="shared" si="5"/>
        <v>5</v>
      </c>
      <c r="C12" s="19"/>
      <c r="D12" s="19"/>
      <c r="E12" s="19"/>
      <c r="F12" s="20"/>
      <c r="G12" s="21">
        <v>631</v>
      </c>
      <c r="H12" s="19" t="s">
        <v>125</v>
      </c>
      <c r="I12" s="22">
        <v>30000</v>
      </c>
      <c r="J12" s="22"/>
      <c r="K12" s="22">
        <f t="shared" si="9"/>
        <v>30000</v>
      </c>
      <c r="L12" s="22"/>
      <c r="M12" s="22"/>
      <c r="N12" s="22"/>
      <c r="O12" s="22">
        <f t="shared" si="7"/>
        <v>0</v>
      </c>
      <c r="P12" s="22"/>
      <c r="Q12" s="23">
        <f t="shared" si="2"/>
        <v>30000</v>
      </c>
      <c r="R12" s="23">
        <f t="shared" si="3"/>
        <v>0</v>
      </c>
      <c r="S12" s="23">
        <f t="shared" si="4"/>
        <v>30000</v>
      </c>
    </row>
    <row r="13" spans="2:19" x14ac:dyDescent="0.2">
      <c r="B13" s="7">
        <f t="shared" si="5"/>
        <v>6</v>
      </c>
      <c r="C13" s="19"/>
      <c r="D13" s="19"/>
      <c r="E13" s="19"/>
      <c r="F13" s="20"/>
      <c r="G13" s="21">
        <v>633</v>
      </c>
      <c r="H13" s="19" t="s">
        <v>123</v>
      </c>
      <c r="I13" s="22">
        <v>28000</v>
      </c>
      <c r="J13" s="22"/>
      <c r="K13" s="22">
        <f t="shared" si="9"/>
        <v>28000</v>
      </c>
      <c r="L13" s="22"/>
      <c r="M13" s="22"/>
      <c r="N13" s="22"/>
      <c r="O13" s="22">
        <f t="shared" si="7"/>
        <v>0</v>
      </c>
      <c r="P13" s="22"/>
      <c r="Q13" s="23">
        <f t="shared" si="2"/>
        <v>28000</v>
      </c>
      <c r="R13" s="23">
        <f t="shared" si="3"/>
        <v>0</v>
      </c>
      <c r="S13" s="23">
        <f t="shared" si="4"/>
        <v>28000</v>
      </c>
    </row>
    <row r="14" spans="2:19" x14ac:dyDescent="0.2">
      <c r="B14" s="7">
        <f t="shared" si="5"/>
        <v>7</v>
      </c>
      <c r="C14" s="19"/>
      <c r="D14" s="19"/>
      <c r="E14" s="19"/>
      <c r="F14" s="20"/>
      <c r="G14" s="21">
        <v>634</v>
      </c>
      <c r="H14" s="19" t="s">
        <v>129</v>
      </c>
      <c r="I14" s="22">
        <v>2000</v>
      </c>
      <c r="J14" s="22"/>
      <c r="K14" s="22">
        <f t="shared" si="9"/>
        <v>2000</v>
      </c>
      <c r="L14" s="22"/>
      <c r="M14" s="22"/>
      <c r="N14" s="22"/>
      <c r="O14" s="22">
        <f t="shared" si="7"/>
        <v>0</v>
      </c>
      <c r="P14" s="22"/>
      <c r="Q14" s="23">
        <f t="shared" si="2"/>
        <v>2000</v>
      </c>
      <c r="R14" s="23">
        <f t="shared" si="3"/>
        <v>0</v>
      </c>
      <c r="S14" s="23">
        <f t="shared" si="4"/>
        <v>2000</v>
      </c>
    </row>
    <row r="15" spans="2:19" x14ac:dyDescent="0.2">
      <c r="B15" s="7">
        <f t="shared" si="5"/>
        <v>8</v>
      </c>
      <c r="C15" s="19"/>
      <c r="D15" s="19"/>
      <c r="E15" s="19"/>
      <c r="F15" s="20"/>
      <c r="G15" s="21">
        <v>636</v>
      </c>
      <c r="H15" s="19" t="s">
        <v>124</v>
      </c>
      <c r="I15" s="22">
        <v>5000</v>
      </c>
      <c r="J15" s="22"/>
      <c r="K15" s="22">
        <f t="shared" si="9"/>
        <v>5000</v>
      </c>
      <c r="L15" s="22"/>
      <c r="M15" s="22"/>
      <c r="N15" s="22"/>
      <c r="O15" s="22">
        <f t="shared" si="7"/>
        <v>0</v>
      </c>
      <c r="P15" s="22"/>
      <c r="Q15" s="23">
        <f t="shared" si="2"/>
        <v>5000</v>
      </c>
      <c r="R15" s="23">
        <f t="shared" si="3"/>
        <v>0</v>
      </c>
      <c r="S15" s="23">
        <f t="shared" si="4"/>
        <v>5000</v>
      </c>
    </row>
    <row r="16" spans="2:19" x14ac:dyDescent="0.2">
      <c r="B16" s="7">
        <f t="shared" si="5"/>
        <v>9</v>
      </c>
      <c r="C16" s="19"/>
      <c r="D16" s="19"/>
      <c r="E16" s="19"/>
      <c r="F16" s="20"/>
      <c r="G16" s="21">
        <v>637</v>
      </c>
      <c r="H16" s="19" t="s">
        <v>120</v>
      </c>
      <c r="I16" s="22">
        <v>23750</v>
      </c>
      <c r="J16" s="22"/>
      <c r="K16" s="22">
        <f t="shared" si="9"/>
        <v>23750</v>
      </c>
      <c r="L16" s="22"/>
      <c r="M16" s="22"/>
      <c r="N16" s="22"/>
      <c r="O16" s="22">
        <f t="shared" si="7"/>
        <v>0</v>
      </c>
      <c r="P16" s="22"/>
      <c r="Q16" s="23">
        <f t="shared" si="2"/>
        <v>23750</v>
      </c>
      <c r="R16" s="23">
        <f t="shared" si="3"/>
        <v>0</v>
      </c>
      <c r="S16" s="23">
        <f t="shared" si="4"/>
        <v>23750</v>
      </c>
    </row>
    <row r="17" spans="2:19" ht="15" x14ac:dyDescent="0.25">
      <c r="B17" s="7">
        <f t="shared" si="5"/>
        <v>10</v>
      </c>
      <c r="C17" s="29"/>
      <c r="D17" s="29">
        <v>2</v>
      </c>
      <c r="E17" s="441" t="s">
        <v>229</v>
      </c>
      <c r="F17" s="442"/>
      <c r="G17" s="442"/>
      <c r="H17" s="442"/>
      <c r="I17" s="30">
        <f>I18</f>
        <v>5700</v>
      </c>
      <c r="J17" s="30">
        <f t="shared" ref="J17:J18" si="11">J18</f>
        <v>0</v>
      </c>
      <c r="K17" s="30">
        <f t="shared" si="9"/>
        <v>5700</v>
      </c>
      <c r="L17" s="321"/>
      <c r="M17" s="30"/>
      <c r="N17" s="30"/>
      <c r="O17" s="30">
        <f t="shared" si="7"/>
        <v>0</v>
      </c>
      <c r="P17" s="321"/>
      <c r="Q17" s="32">
        <f t="shared" si="2"/>
        <v>5700</v>
      </c>
      <c r="R17" s="32">
        <f t="shared" si="3"/>
        <v>0</v>
      </c>
      <c r="S17" s="32">
        <f t="shared" si="4"/>
        <v>5700</v>
      </c>
    </row>
    <row r="18" spans="2:19" x14ac:dyDescent="0.2">
      <c r="B18" s="7">
        <f t="shared" si="5"/>
        <v>11</v>
      </c>
      <c r="C18" s="13"/>
      <c r="D18" s="13"/>
      <c r="E18" s="13"/>
      <c r="F18" s="14" t="s">
        <v>74</v>
      </c>
      <c r="G18" s="15">
        <v>630</v>
      </c>
      <c r="H18" s="13" t="s">
        <v>119</v>
      </c>
      <c r="I18" s="16">
        <f>I19</f>
        <v>5700</v>
      </c>
      <c r="J18" s="16">
        <f t="shared" si="11"/>
        <v>0</v>
      </c>
      <c r="K18" s="16">
        <f t="shared" si="9"/>
        <v>5700</v>
      </c>
      <c r="L18" s="16"/>
      <c r="M18" s="16"/>
      <c r="N18" s="16"/>
      <c r="O18" s="16">
        <f t="shared" si="7"/>
        <v>0</v>
      </c>
      <c r="P18" s="16"/>
      <c r="Q18" s="18">
        <f t="shared" si="2"/>
        <v>5700</v>
      </c>
      <c r="R18" s="18">
        <f t="shared" si="3"/>
        <v>0</v>
      </c>
      <c r="S18" s="18">
        <f t="shared" si="4"/>
        <v>5700</v>
      </c>
    </row>
    <row r="19" spans="2:19" x14ac:dyDescent="0.2">
      <c r="B19" s="7">
        <f t="shared" si="5"/>
        <v>12</v>
      </c>
      <c r="C19" s="19"/>
      <c r="D19" s="19"/>
      <c r="E19" s="19"/>
      <c r="F19" s="20"/>
      <c r="G19" s="21">
        <v>633</v>
      </c>
      <c r="H19" s="19" t="s">
        <v>123</v>
      </c>
      <c r="I19" s="22">
        <v>5700</v>
      </c>
      <c r="J19" s="22"/>
      <c r="K19" s="22">
        <f t="shared" si="9"/>
        <v>5700</v>
      </c>
      <c r="L19" s="22"/>
      <c r="M19" s="22"/>
      <c r="N19" s="22"/>
      <c r="O19" s="22">
        <f t="shared" si="7"/>
        <v>0</v>
      </c>
      <c r="P19" s="22"/>
      <c r="Q19" s="23">
        <f t="shared" si="2"/>
        <v>5700</v>
      </c>
      <c r="R19" s="23">
        <f t="shared" si="3"/>
        <v>0</v>
      </c>
      <c r="S19" s="23">
        <f t="shared" si="4"/>
        <v>5700</v>
      </c>
    </row>
    <row r="20" spans="2:19" ht="15" x14ac:dyDescent="0.25">
      <c r="B20" s="7">
        <f t="shared" si="5"/>
        <v>13</v>
      </c>
      <c r="C20" s="29"/>
      <c r="D20" s="29">
        <v>3</v>
      </c>
      <c r="E20" s="441" t="s">
        <v>230</v>
      </c>
      <c r="F20" s="442"/>
      <c r="G20" s="442"/>
      <c r="H20" s="442"/>
      <c r="I20" s="30">
        <f>I21</f>
        <v>2850</v>
      </c>
      <c r="J20" s="30">
        <f t="shared" ref="J20:J21" si="12">J21</f>
        <v>0</v>
      </c>
      <c r="K20" s="30">
        <f t="shared" si="9"/>
        <v>2850</v>
      </c>
      <c r="L20" s="321"/>
      <c r="M20" s="30"/>
      <c r="N20" s="30"/>
      <c r="O20" s="30">
        <f t="shared" si="7"/>
        <v>0</v>
      </c>
      <c r="P20" s="321"/>
      <c r="Q20" s="32">
        <f t="shared" si="2"/>
        <v>2850</v>
      </c>
      <c r="R20" s="32">
        <f t="shared" si="3"/>
        <v>0</v>
      </c>
      <c r="S20" s="32">
        <f t="shared" si="4"/>
        <v>2850</v>
      </c>
    </row>
    <row r="21" spans="2:19" x14ac:dyDescent="0.2">
      <c r="B21" s="7">
        <f t="shared" si="5"/>
        <v>14</v>
      </c>
      <c r="C21" s="13"/>
      <c r="D21" s="13"/>
      <c r="E21" s="13"/>
      <c r="F21" s="14" t="s">
        <v>74</v>
      </c>
      <c r="G21" s="15">
        <v>630</v>
      </c>
      <c r="H21" s="13" t="s">
        <v>119</v>
      </c>
      <c r="I21" s="16">
        <f>I22</f>
        <v>2850</v>
      </c>
      <c r="J21" s="16">
        <f t="shared" si="12"/>
        <v>0</v>
      </c>
      <c r="K21" s="16">
        <f t="shared" si="9"/>
        <v>2850</v>
      </c>
      <c r="L21" s="16"/>
      <c r="M21" s="16"/>
      <c r="N21" s="16"/>
      <c r="O21" s="16">
        <f t="shared" si="7"/>
        <v>0</v>
      </c>
      <c r="P21" s="16"/>
      <c r="Q21" s="18">
        <f t="shared" si="2"/>
        <v>2850</v>
      </c>
      <c r="R21" s="18">
        <f t="shared" si="3"/>
        <v>0</v>
      </c>
      <c r="S21" s="18">
        <f t="shared" si="4"/>
        <v>2850</v>
      </c>
    </row>
    <row r="22" spans="2:19" x14ac:dyDescent="0.2">
      <c r="B22" s="7">
        <f t="shared" si="5"/>
        <v>15</v>
      </c>
      <c r="C22" s="19"/>
      <c r="D22" s="19"/>
      <c r="E22" s="19"/>
      <c r="F22" s="20"/>
      <c r="G22" s="21">
        <v>633</v>
      </c>
      <c r="H22" s="19" t="s">
        <v>123</v>
      </c>
      <c r="I22" s="22">
        <v>2850</v>
      </c>
      <c r="J22" s="22"/>
      <c r="K22" s="22">
        <f t="shared" si="9"/>
        <v>2850</v>
      </c>
      <c r="L22" s="22"/>
      <c r="M22" s="22"/>
      <c r="N22" s="22"/>
      <c r="O22" s="22">
        <f t="shared" si="7"/>
        <v>0</v>
      </c>
      <c r="P22" s="22"/>
      <c r="Q22" s="23">
        <f t="shared" si="2"/>
        <v>2850</v>
      </c>
      <c r="R22" s="23">
        <f t="shared" si="3"/>
        <v>0</v>
      </c>
      <c r="S22" s="23">
        <f t="shared" si="4"/>
        <v>2850</v>
      </c>
    </row>
    <row r="23" spans="2:19" ht="15" x14ac:dyDescent="0.25">
      <c r="B23" s="7">
        <f t="shared" si="5"/>
        <v>16</v>
      </c>
      <c r="C23" s="29"/>
      <c r="D23" s="29">
        <v>4</v>
      </c>
      <c r="E23" s="441" t="s">
        <v>185</v>
      </c>
      <c r="F23" s="442"/>
      <c r="G23" s="442"/>
      <c r="H23" s="442"/>
      <c r="I23" s="30">
        <f>I24+I25+I29</f>
        <v>190900</v>
      </c>
      <c r="J23" s="30">
        <f t="shared" ref="J23" si="13">J24+J25+J29</f>
        <v>0</v>
      </c>
      <c r="K23" s="30">
        <f t="shared" si="9"/>
        <v>190900</v>
      </c>
      <c r="L23" s="321"/>
      <c r="M23" s="30"/>
      <c r="N23" s="30"/>
      <c r="O23" s="30">
        <f t="shared" si="7"/>
        <v>0</v>
      </c>
      <c r="P23" s="321"/>
      <c r="Q23" s="32">
        <f t="shared" si="2"/>
        <v>190900</v>
      </c>
      <c r="R23" s="32">
        <f t="shared" si="3"/>
        <v>0</v>
      </c>
      <c r="S23" s="32">
        <f t="shared" si="4"/>
        <v>190900</v>
      </c>
    </row>
    <row r="24" spans="2:19" x14ac:dyDescent="0.2">
      <c r="B24" s="7">
        <f t="shared" si="5"/>
        <v>17</v>
      </c>
      <c r="C24" s="13"/>
      <c r="D24" s="13"/>
      <c r="E24" s="13"/>
      <c r="F24" s="14" t="s">
        <v>74</v>
      </c>
      <c r="G24" s="15">
        <v>620</v>
      </c>
      <c r="H24" s="13" t="s">
        <v>122</v>
      </c>
      <c r="I24" s="16">
        <v>42700</v>
      </c>
      <c r="J24" s="16"/>
      <c r="K24" s="16">
        <f t="shared" si="9"/>
        <v>42700</v>
      </c>
      <c r="L24" s="16"/>
      <c r="M24" s="16"/>
      <c r="N24" s="16"/>
      <c r="O24" s="16">
        <f t="shared" si="7"/>
        <v>0</v>
      </c>
      <c r="P24" s="16"/>
      <c r="Q24" s="18">
        <f t="shared" si="2"/>
        <v>42700</v>
      </c>
      <c r="R24" s="18">
        <f t="shared" si="3"/>
        <v>0</v>
      </c>
      <c r="S24" s="18">
        <f t="shared" si="4"/>
        <v>42700</v>
      </c>
    </row>
    <row r="25" spans="2:19" x14ac:dyDescent="0.2">
      <c r="B25" s="7">
        <f t="shared" si="5"/>
        <v>18</v>
      </c>
      <c r="C25" s="13"/>
      <c r="D25" s="13"/>
      <c r="E25" s="13"/>
      <c r="F25" s="14" t="s">
        <v>74</v>
      </c>
      <c r="G25" s="15">
        <v>630</v>
      </c>
      <c r="H25" s="13" t="s">
        <v>119</v>
      </c>
      <c r="I25" s="16">
        <f>SUM(I26:I28)</f>
        <v>147700</v>
      </c>
      <c r="J25" s="16">
        <f t="shared" ref="J25" si="14">SUM(J26:J28)</f>
        <v>0</v>
      </c>
      <c r="K25" s="16">
        <f t="shared" si="9"/>
        <v>147700</v>
      </c>
      <c r="L25" s="16"/>
      <c r="M25" s="16"/>
      <c r="N25" s="16"/>
      <c r="O25" s="16">
        <f t="shared" si="7"/>
        <v>0</v>
      </c>
      <c r="P25" s="16"/>
      <c r="Q25" s="18">
        <f t="shared" si="2"/>
        <v>147700</v>
      </c>
      <c r="R25" s="18">
        <f t="shared" si="3"/>
        <v>0</v>
      </c>
      <c r="S25" s="18">
        <f t="shared" si="4"/>
        <v>147700</v>
      </c>
    </row>
    <row r="26" spans="2:19" x14ac:dyDescent="0.2">
      <c r="B26" s="7">
        <f t="shared" si="5"/>
        <v>19</v>
      </c>
      <c r="C26" s="19"/>
      <c r="D26" s="19"/>
      <c r="E26" s="19"/>
      <c r="F26" s="20"/>
      <c r="G26" s="21">
        <v>632</v>
      </c>
      <c r="H26" s="19" t="s">
        <v>131</v>
      </c>
      <c r="I26" s="22">
        <v>10500</v>
      </c>
      <c r="J26" s="22"/>
      <c r="K26" s="22">
        <f t="shared" si="9"/>
        <v>10500</v>
      </c>
      <c r="L26" s="22"/>
      <c r="M26" s="22"/>
      <c r="N26" s="22"/>
      <c r="O26" s="22">
        <f t="shared" si="7"/>
        <v>0</v>
      </c>
      <c r="P26" s="22"/>
      <c r="Q26" s="23">
        <f t="shared" si="2"/>
        <v>10500</v>
      </c>
      <c r="R26" s="23">
        <f t="shared" si="3"/>
        <v>0</v>
      </c>
      <c r="S26" s="23">
        <f t="shared" si="4"/>
        <v>10500</v>
      </c>
    </row>
    <row r="27" spans="2:19" x14ac:dyDescent="0.2">
      <c r="B27" s="7">
        <f t="shared" si="5"/>
        <v>20</v>
      </c>
      <c r="C27" s="19"/>
      <c r="D27" s="19"/>
      <c r="E27" s="19"/>
      <c r="F27" s="20"/>
      <c r="G27" s="21">
        <v>633</v>
      </c>
      <c r="H27" s="19" t="s">
        <v>123</v>
      </c>
      <c r="I27" s="22">
        <v>1200</v>
      </c>
      <c r="J27" s="22"/>
      <c r="K27" s="22">
        <f t="shared" si="9"/>
        <v>1200</v>
      </c>
      <c r="L27" s="22"/>
      <c r="M27" s="22"/>
      <c r="N27" s="22"/>
      <c r="O27" s="22">
        <f t="shared" si="7"/>
        <v>0</v>
      </c>
      <c r="P27" s="22"/>
      <c r="Q27" s="23">
        <f t="shared" si="2"/>
        <v>1200</v>
      </c>
      <c r="R27" s="23">
        <f t="shared" si="3"/>
        <v>0</v>
      </c>
      <c r="S27" s="23">
        <f t="shared" si="4"/>
        <v>1200</v>
      </c>
    </row>
    <row r="28" spans="2:19" x14ac:dyDescent="0.2">
      <c r="B28" s="7">
        <f t="shared" si="5"/>
        <v>21</v>
      </c>
      <c r="C28" s="19"/>
      <c r="D28" s="19"/>
      <c r="E28" s="19"/>
      <c r="F28" s="20"/>
      <c r="G28" s="21">
        <v>637</v>
      </c>
      <c r="H28" s="19" t="s">
        <v>120</v>
      </c>
      <c r="I28" s="22">
        <v>136000</v>
      </c>
      <c r="J28" s="22"/>
      <c r="K28" s="22">
        <f t="shared" si="9"/>
        <v>136000</v>
      </c>
      <c r="L28" s="22"/>
      <c r="M28" s="22"/>
      <c r="N28" s="22"/>
      <c r="O28" s="22">
        <f t="shared" si="7"/>
        <v>0</v>
      </c>
      <c r="P28" s="22"/>
      <c r="Q28" s="23">
        <f t="shared" si="2"/>
        <v>136000</v>
      </c>
      <c r="R28" s="23">
        <f t="shared" si="3"/>
        <v>0</v>
      </c>
      <c r="S28" s="23">
        <f t="shared" si="4"/>
        <v>136000</v>
      </c>
    </row>
    <row r="29" spans="2:19" x14ac:dyDescent="0.2">
      <c r="B29" s="7">
        <f t="shared" si="5"/>
        <v>22</v>
      </c>
      <c r="C29" s="13"/>
      <c r="D29" s="13"/>
      <c r="E29" s="13"/>
      <c r="F29" s="14" t="s">
        <v>74</v>
      </c>
      <c r="G29" s="15">
        <v>640</v>
      </c>
      <c r="H29" s="13" t="s">
        <v>127</v>
      </c>
      <c r="I29" s="16">
        <v>500</v>
      </c>
      <c r="J29" s="16"/>
      <c r="K29" s="16">
        <f t="shared" si="9"/>
        <v>500</v>
      </c>
      <c r="L29" s="16"/>
      <c r="M29" s="16"/>
      <c r="N29" s="16"/>
      <c r="O29" s="16">
        <f t="shared" si="7"/>
        <v>0</v>
      </c>
      <c r="P29" s="16"/>
      <c r="Q29" s="18">
        <f t="shared" si="2"/>
        <v>500</v>
      </c>
      <c r="R29" s="18">
        <f t="shared" si="3"/>
        <v>0</v>
      </c>
      <c r="S29" s="18">
        <f t="shared" si="4"/>
        <v>500</v>
      </c>
    </row>
    <row r="30" spans="2:19" ht="15" x14ac:dyDescent="0.2">
      <c r="B30" s="7">
        <f t="shared" si="5"/>
        <v>23</v>
      </c>
      <c r="C30" s="10">
        <v>2</v>
      </c>
      <c r="D30" s="420" t="s">
        <v>199</v>
      </c>
      <c r="E30" s="421"/>
      <c r="F30" s="421"/>
      <c r="G30" s="421"/>
      <c r="H30" s="421"/>
      <c r="I30" s="11">
        <f>I31+I32</f>
        <v>153000</v>
      </c>
      <c r="J30" s="11">
        <f t="shared" ref="J30" si="15">J31+J32</f>
        <v>0</v>
      </c>
      <c r="K30" s="11">
        <f t="shared" si="9"/>
        <v>153000</v>
      </c>
      <c r="L30" s="320"/>
      <c r="M30" s="11">
        <f>M37</f>
        <v>108500</v>
      </c>
      <c r="N30" s="11">
        <f t="shared" ref="N30" si="16">N37</f>
        <v>0</v>
      </c>
      <c r="O30" s="11">
        <f t="shared" si="7"/>
        <v>108500</v>
      </c>
      <c r="P30" s="320"/>
      <c r="Q30" s="35">
        <f t="shared" si="2"/>
        <v>261500</v>
      </c>
      <c r="R30" s="35">
        <f t="shared" si="3"/>
        <v>0</v>
      </c>
      <c r="S30" s="35">
        <f t="shared" si="4"/>
        <v>261500</v>
      </c>
    </row>
    <row r="31" spans="2:19" x14ac:dyDescent="0.2">
      <c r="B31" s="7">
        <f t="shared" si="5"/>
        <v>24</v>
      </c>
      <c r="C31" s="13"/>
      <c r="D31" s="13"/>
      <c r="E31" s="13"/>
      <c r="F31" s="14" t="s">
        <v>198</v>
      </c>
      <c r="G31" s="15">
        <v>620</v>
      </c>
      <c r="H31" s="13" t="s">
        <v>122</v>
      </c>
      <c r="I31" s="16">
        <f>1000+1000</f>
        <v>2000</v>
      </c>
      <c r="J31" s="16"/>
      <c r="K31" s="16">
        <f t="shared" si="9"/>
        <v>2000</v>
      </c>
      <c r="L31" s="16"/>
      <c r="M31" s="16"/>
      <c r="N31" s="16"/>
      <c r="O31" s="16">
        <f t="shared" si="7"/>
        <v>0</v>
      </c>
      <c r="P31" s="16"/>
      <c r="Q31" s="18">
        <f t="shared" si="2"/>
        <v>2000</v>
      </c>
      <c r="R31" s="18">
        <f t="shared" si="3"/>
        <v>0</v>
      </c>
      <c r="S31" s="18">
        <f t="shared" si="4"/>
        <v>2000</v>
      </c>
    </row>
    <row r="32" spans="2:19" x14ac:dyDescent="0.2">
      <c r="B32" s="7">
        <f t="shared" si="5"/>
        <v>25</v>
      </c>
      <c r="C32" s="13"/>
      <c r="D32" s="13"/>
      <c r="E32" s="13"/>
      <c r="F32" s="14" t="s">
        <v>198</v>
      </c>
      <c r="G32" s="15">
        <v>630</v>
      </c>
      <c r="H32" s="13" t="s">
        <v>119</v>
      </c>
      <c r="I32" s="16">
        <f>SUM(I33:I36)</f>
        <v>151000</v>
      </c>
      <c r="J32" s="16">
        <f t="shared" ref="J32" si="17">SUM(J33:J36)</f>
        <v>0</v>
      </c>
      <c r="K32" s="16">
        <f t="shared" si="9"/>
        <v>151000</v>
      </c>
      <c r="L32" s="16"/>
      <c r="M32" s="16"/>
      <c r="N32" s="16"/>
      <c r="O32" s="16">
        <f t="shared" si="7"/>
        <v>0</v>
      </c>
      <c r="P32" s="16"/>
      <c r="Q32" s="18">
        <f t="shared" si="2"/>
        <v>151000</v>
      </c>
      <c r="R32" s="18">
        <f t="shared" si="3"/>
        <v>0</v>
      </c>
      <c r="S32" s="18">
        <f t="shared" si="4"/>
        <v>151000</v>
      </c>
    </row>
    <row r="33" spans="2:19" x14ac:dyDescent="0.2">
      <c r="B33" s="7">
        <f t="shared" si="5"/>
        <v>26</v>
      </c>
      <c r="C33" s="19"/>
      <c r="D33" s="19"/>
      <c r="E33" s="19"/>
      <c r="F33" s="20"/>
      <c r="G33" s="21">
        <v>631</v>
      </c>
      <c r="H33" s="19" t="s">
        <v>125</v>
      </c>
      <c r="I33" s="22">
        <v>1000</v>
      </c>
      <c r="J33" s="22"/>
      <c r="K33" s="22">
        <f t="shared" si="9"/>
        <v>1000</v>
      </c>
      <c r="L33" s="22"/>
      <c r="M33" s="22"/>
      <c r="N33" s="22"/>
      <c r="O33" s="22">
        <f t="shared" si="7"/>
        <v>0</v>
      </c>
      <c r="P33" s="22"/>
      <c r="Q33" s="23">
        <f t="shared" si="2"/>
        <v>1000</v>
      </c>
      <c r="R33" s="23">
        <f t="shared" si="3"/>
        <v>0</v>
      </c>
      <c r="S33" s="23">
        <f t="shared" si="4"/>
        <v>1000</v>
      </c>
    </row>
    <row r="34" spans="2:19" x14ac:dyDescent="0.2">
      <c r="B34" s="7">
        <f t="shared" si="5"/>
        <v>27</v>
      </c>
      <c r="C34" s="19"/>
      <c r="D34" s="19"/>
      <c r="E34" s="19"/>
      <c r="F34" s="20"/>
      <c r="G34" s="21">
        <v>633</v>
      </c>
      <c r="H34" s="19" t="s">
        <v>123</v>
      </c>
      <c r="I34" s="22">
        <v>13000</v>
      </c>
      <c r="J34" s="22"/>
      <c r="K34" s="22">
        <f t="shared" si="9"/>
        <v>13000</v>
      </c>
      <c r="L34" s="22"/>
      <c r="M34" s="22"/>
      <c r="N34" s="22"/>
      <c r="O34" s="22">
        <f t="shared" si="7"/>
        <v>0</v>
      </c>
      <c r="P34" s="22"/>
      <c r="Q34" s="23">
        <f t="shared" si="2"/>
        <v>13000</v>
      </c>
      <c r="R34" s="23">
        <f t="shared" si="3"/>
        <v>0</v>
      </c>
      <c r="S34" s="23">
        <f t="shared" si="4"/>
        <v>13000</v>
      </c>
    </row>
    <row r="35" spans="2:19" x14ac:dyDescent="0.2">
      <c r="B35" s="7">
        <f t="shared" si="5"/>
        <v>28</v>
      </c>
      <c r="C35" s="19"/>
      <c r="D35" s="19"/>
      <c r="E35" s="19"/>
      <c r="F35" s="20"/>
      <c r="G35" s="21">
        <v>635</v>
      </c>
      <c r="H35" s="19" t="s">
        <v>130</v>
      </c>
      <c r="I35" s="22">
        <v>17000</v>
      </c>
      <c r="J35" s="22"/>
      <c r="K35" s="22">
        <f t="shared" si="9"/>
        <v>17000</v>
      </c>
      <c r="L35" s="22"/>
      <c r="M35" s="22"/>
      <c r="N35" s="22"/>
      <c r="O35" s="22">
        <f t="shared" si="7"/>
        <v>0</v>
      </c>
      <c r="P35" s="22"/>
      <c r="Q35" s="23">
        <f t="shared" si="2"/>
        <v>17000</v>
      </c>
      <c r="R35" s="23">
        <f t="shared" si="3"/>
        <v>0</v>
      </c>
      <c r="S35" s="23">
        <f t="shared" si="4"/>
        <v>17000</v>
      </c>
    </row>
    <row r="36" spans="2:19" x14ac:dyDescent="0.2">
      <c r="B36" s="7">
        <f t="shared" si="5"/>
        <v>29</v>
      </c>
      <c r="C36" s="19"/>
      <c r="D36" s="19"/>
      <c r="E36" s="19"/>
      <c r="F36" s="20"/>
      <c r="G36" s="21">
        <v>637</v>
      </c>
      <c r="H36" s="19" t="s">
        <v>120</v>
      </c>
      <c r="I36" s="22">
        <f>171000-1000-50000</f>
        <v>120000</v>
      </c>
      <c r="J36" s="22"/>
      <c r="K36" s="22">
        <f t="shared" si="9"/>
        <v>120000</v>
      </c>
      <c r="L36" s="22"/>
      <c r="M36" s="22"/>
      <c r="N36" s="22"/>
      <c r="O36" s="22">
        <f t="shared" si="7"/>
        <v>0</v>
      </c>
      <c r="P36" s="22"/>
      <c r="Q36" s="23">
        <f t="shared" si="2"/>
        <v>120000</v>
      </c>
      <c r="R36" s="23">
        <f t="shared" si="3"/>
        <v>0</v>
      </c>
      <c r="S36" s="23">
        <f t="shared" si="4"/>
        <v>120000</v>
      </c>
    </row>
    <row r="37" spans="2:19" x14ac:dyDescent="0.2">
      <c r="B37" s="7">
        <f t="shared" si="5"/>
        <v>30</v>
      </c>
      <c r="C37" s="13"/>
      <c r="D37" s="13"/>
      <c r="E37" s="13"/>
      <c r="F37" s="14" t="s">
        <v>198</v>
      </c>
      <c r="G37" s="15">
        <v>710</v>
      </c>
      <c r="H37" s="13" t="s">
        <v>171</v>
      </c>
      <c r="I37" s="16"/>
      <c r="J37" s="16"/>
      <c r="K37" s="16">
        <f t="shared" si="9"/>
        <v>0</v>
      </c>
      <c r="L37" s="16"/>
      <c r="M37" s="16">
        <f>M38+M40+M42</f>
        <v>108500</v>
      </c>
      <c r="N37" s="16">
        <f t="shared" ref="N37" si="18">N38+N40+N42</f>
        <v>0</v>
      </c>
      <c r="O37" s="16">
        <f t="shared" si="7"/>
        <v>108500</v>
      </c>
      <c r="P37" s="16"/>
      <c r="Q37" s="18">
        <f t="shared" si="2"/>
        <v>108500</v>
      </c>
      <c r="R37" s="18">
        <f t="shared" si="3"/>
        <v>0</v>
      </c>
      <c r="S37" s="18">
        <f t="shared" si="4"/>
        <v>108500</v>
      </c>
    </row>
    <row r="38" spans="2:19" x14ac:dyDescent="0.2">
      <c r="B38" s="7">
        <f t="shared" si="5"/>
        <v>31</v>
      </c>
      <c r="C38" s="19"/>
      <c r="D38" s="19"/>
      <c r="E38" s="19"/>
      <c r="F38" s="20"/>
      <c r="G38" s="21">
        <v>711</v>
      </c>
      <c r="H38" s="19" t="s">
        <v>205</v>
      </c>
      <c r="I38" s="22"/>
      <c r="J38" s="22"/>
      <c r="K38" s="22">
        <f t="shared" si="9"/>
        <v>0</v>
      </c>
      <c r="L38" s="22"/>
      <c r="M38" s="22">
        <f>M39</f>
        <v>12000</v>
      </c>
      <c r="N38" s="22">
        <f t="shared" ref="N38" si="19">N39</f>
        <v>0</v>
      </c>
      <c r="O38" s="22">
        <f t="shared" si="7"/>
        <v>12000</v>
      </c>
      <c r="P38" s="22"/>
      <c r="Q38" s="23">
        <f t="shared" si="2"/>
        <v>12000</v>
      </c>
      <c r="R38" s="23">
        <f t="shared" si="3"/>
        <v>0</v>
      </c>
      <c r="S38" s="23">
        <f t="shared" si="4"/>
        <v>12000</v>
      </c>
    </row>
    <row r="39" spans="2:19" s="42" customFormat="1" ht="24" x14ac:dyDescent="0.2">
      <c r="B39" s="7">
        <f t="shared" si="5"/>
        <v>32</v>
      </c>
      <c r="C39" s="36"/>
      <c r="D39" s="36"/>
      <c r="E39" s="36"/>
      <c r="F39" s="37"/>
      <c r="G39" s="37"/>
      <c r="H39" s="38" t="s">
        <v>318</v>
      </c>
      <c r="I39" s="39"/>
      <c r="J39" s="39"/>
      <c r="K39" s="39">
        <f t="shared" si="9"/>
        <v>0</v>
      </c>
      <c r="L39" s="39"/>
      <c r="M39" s="39">
        <f>50000-17500-5000-15500</f>
        <v>12000</v>
      </c>
      <c r="N39" s="39"/>
      <c r="O39" s="39">
        <f t="shared" si="7"/>
        <v>12000</v>
      </c>
      <c r="P39" s="39"/>
      <c r="Q39" s="41">
        <f t="shared" si="2"/>
        <v>12000</v>
      </c>
      <c r="R39" s="41">
        <f t="shared" si="3"/>
        <v>0</v>
      </c>
      <c r="S39" s="41">
        <f t="shared" si="4"/>
        <v>12000</v>
      </c>
    </row>
    <row r="40" spans="2:19" x14ac:dyDescent="0.2">
      <c r="B40" s="7">
        <f t="shared" si="5"/>
        <v>33</v>
      </c>
      <c r="C40" s="19"/>
      <c r="D40" s="19"/>
      <c r="E40" s="19"/>
      <c r="F40" s="20"/>
      <c r="G40" s="21">
        <v>716</v>
      </c>
      <c r="H40" s="19" t="s">
        <v>211</v>
      </c>
      <c r="I40" s="22"/>
      <c r="J40" s="22"/>
      <c r="K40" s="22">
        <f t="shared" si="9"/>
        <v>0</v>
      </c>
      <c r="L40" s="22"/>
      <c r="M40" s="22">
        <f>M41</f>
        <v>81500</v>
      </c>
      <c r="N40" s="22">
        <f t="shared" ref="N40" si="20">N41</f>
        <v>0</v>
      </c>
      <c r="O40" s="22">
        <f t="shared" si="7"/>
        <v>81500</v>
      </c>
      <c r="P40" s="22"/>
      <c r="Q40" s="23">
        <f t="shared" ref="Q40:Q78" si="21">M40+I40</f>
        <v>81500</v>
      </c>
      <c r="R40" s="23">
        <f t="shared" si="3"/>
        <v>0</v>
      </c>
      <c r="S40" s="23">
        <f t="shared" si="4"/>
        <v>81500</v>
      </c>
    </row>
    <row r="41" spans="2:19" ht="12" customHeight="1" x14ac:dyDescent="0.2">
      <c r="B41" s="7">
        <f t="shared" ref="B41:B78" si="22">B40+1</f>
        <v>34</v>
      </c>
      <c r="C41" s="24"/>
      <c r="D41" s="24"/>
      <c r="E41" s="24"/>
      <c r="F41" s="25"/>
      <c r="G41" s="25"/>
      <c r="H41" s="1" t="s">
        <v>569</v>
      </c>
      <c r="I41" s="26"/>
      <c r="J41" s="26"/>
      <c r="K41" s="26">
        <f t="shared" si="9"/>
        <v>0</v>
      </c>
      <c r="L41" s="26"/>
      <c r="M41" s="26">
        <f>130000-15000-17000-7000-9500</f>
        <v>81500</v>
      </c>
      <c r="N41" s="26"/>
      <c r="O41" s="26">
        <f t="shared" si="7"/>
        <v>81500</v>
      </c>
      <c r="P41" s="26"/>
      <c r="Q41" s="28">
        <f t="shared" si="21"/>
        <v>81500</v>
      </c>
      <c r="R41" s="28">
        <f t="shared" si="3"/>
        <v>0</v>
      </c>
      <c r="S41" s="28">
        <f t="shared" si="4"/>
        <v>81500</v>
      </c>
    </row>
    <row r="42" spans="2:19" x14ac:dyDescent="0.2">
      <c r="B42" s="7">
        <f t="shared" si="22"/>
        <v>35</v>
      </c>
      <c r="C42" s="19"/>
      <c r="D42" s="19"/>
      <c r="E42" s="19"/>
      <c r="F42" s="20"/>
      <c r="G42" s="21">
        <v>719</v>
      </c>
      <c r="H42" s="19" t="s">
        <v>213</v>
      </c>
      <c r="I42" s="22"/>
      <c r="J42" s="22"/>
      <c r="K42" s="22">
        <f t="shared" si="9"/>
        <v>0</v>
      </c>
      <c r="L42" s="22"/>
      <c r="M42" s="22">
        <f>M43</f>
        <v>15000</v>
      </c>
      <c r="N42" s="22">
        <f t="shared" ref="N42" si="23">N43</f>
        <v>0</v>
      </c>
      <c r="O42" s="22">
        <f t="shared" si="7"/>
        <v>15000</v>
      </c>
      <c r="P42" s="22"/>
      <c r="Q42" s="23">
        <f t="shared" si="21"/>
        <v>15000</v>
      </c>
      <c r="R42" s="23">
        <f t="shared" si="3"/>
        <v>0</v>
      </c>
      <c r="S42" s="23">
        <f t="shared" si="4"/>
        <v>15000</v>
      </c>
    </row>
    <row r="43" spans="2:19" x14ac:dyDescent="0.2">
      <c r="B43" s="7">
        <f t="shared" si="22"/>
        <v>36</v>
      </c>
      <c r="C43" s="24"/>
      <c r="D43" s="24"/>
      <c r="E43" s="24"/>
      <c r="F43" s="25"/>
      <c r="G43" s="25"/>
      <c r="H43" s="1" t="s">
        <v>506</v>
      </c>
      <c r="I43" s="26"/>
      <c r="J43" s="26"/>
      <c r="K43" s="26">
        <f t="shared" si="9"/>
        <v>0</v>
      </c>
      <c r="L43" s="26"/>
      <c r="M43" s="26">
        <f>20000-5000</f>
        <v>15000</v>
      </c>
      <c r="N43" s="26"/>
      <c r="O43" s="26">
        <f t="shared" si="7"/>
        <v>15000</v>
      </c>
      <c r="P43" s="26"/>
      <c r="Q43" s="28">
        <f t="shared" si="21"/>
        <v>15000</v>
      </c>
      <c r="R43" s="28">
        <f t="shared" si="3"/>
        <v>0</v>
      </c>
      <c r="S43" s="28">
        <f t="shared" si="4"/>
        <v>15000</v>
      </c>
    </row>
    <row r="44" spans="2:19" ht="15" x14ac:dyDescent="0.2">
      <c r="B44" s="7">
        <f t="shared" si="22"/>
        <v>37</v>
      </c>
      <c r="C44" s="10">
        <v>3</v>
      </c>
      <c r="D44" s="420" t="s">
        <v>133</v>
      </c>
      <c r="E44" s="421"/>
      <c r="F44" s="421"/>
      <c r="G44" s="421"/>
      <c r="H44" s="421"/>
      <c r="I44" s="11">
        <f>I45+I46+I48+I49+I50</f>
        <v>876084</v>
      </c>
      <c r="J44" s="11">
        <f t="shared" ref="J44" si="24">J45+J46+J48+J49+J50</f>
        <v>0</v>
      </c>
      <c r="K44" s="11">
        <f t="shared" si="9"/>
        <v>876084</v>
      </c>
      <c r="L44" s="320"/>
      <c r="M44" s="11">
        <f>M51</f>
        <v>3081807</v>
      </c>
      <c r="N44" s="11">
        <f t="shared" ref="N44" si="25">N51</f>
        <v>0</v>
      </c>
      <c r="O44" s="11">
        <f t="shared" si="7"/>
        <v>3081807</v>
      </c>
      <c r="P44" s="320"/>
      <c r="Q44" s="35">
        <f t="shared" si="21"/>
        <v>3957891</v>
      </c>
      <c r="R44" s="35">
        <f t="shared" si="3"/>
        <v>0</v>
      </c>
      <c r="S44" s="35">
        <f t="shared" si="4"/>
        <v>3957891</v>
      </c>
    </row>
    <row r="45" spans="2:19" x14ac:dyDescent="0.2">
      <c r="B45" s="7">
        <f t="shared" si="22"/>
        <v>38</v>
      </c>
      <c r="C45" s="13"/>
      <c r="D45" s="13"/>
      <c r="E45" s="13"/>
      <c r="F45" s="14" t="s">
        <v>74</v>
      </c>
      <c r="G45" s="15">
        <v>620</v>
      </c>
      <c r="H45" s="13" t="s">
        <v>122</v>
      </c>
      <c r="I45" s="16">
        <v>5000</v>
      </c>
      <c r="J45" s="16"/>
      <c r="K45" s="16">
        <f t="shared" si="9"/>
        <v>5000</v>
      </c>
      <c r="L45" s="16"/>
      <c r="M45" s="16"/>
      <c r="N45" s="16"/>
      <c r="O45" s="16">
        <f t="shared" si="7"/>
        <v>0</v>
      </c>
      <c r="P45" s="16"/>
      <c r="Q45" s="18">
        <f t="shared" si="21"/>
        <v>5000</v>
      </c>
      <c r="R45" s="18">
        <f t="shared" si="3"/>
        <v>0</v>
      </c>
      <c r="S45" s="18">
        <f t="shared" si="4"/>
        <v>5000</v>
      </c>
    </row>
    <row r="46" spans="2:19" x14ac:dyDescent="0.2">
      <c r="B46" s="7">
        <f t="shared" si="22"/>
        <v>39</v>
      </c>
      <c r="C46" s="13"/>
      <c r="D46" s="13"/>
      <c r="E46" s="13"/>
      <c r="F46" s="14" t="s">
        <v>74</v>
      </c>
      <c r="G46" s="15">
        <v>630</v>
      </c>
      <c r="H46" s="13" t="s">
        <v>119</v>
      </c>
      <c r="I46" s="16">
        <f>I47</f>
        <v>95000</v>
      </c>
      <c r="J46" s="16">
        <f t="shared" ref="J46" si="26">J47</f>
        <v>0</v>
      </c>
      <c r="K46" s="16">
        <f t="shared" si="9"/>
        <v>95000</v>
      </c>
      <c r="L46" s="16"/>
      <c r="M46" s="16"/>
      <c r="N46" s="16"/>
      <c r="O46" s="16">
        <f t="shared" si="7"/>
        <v>0</v>
      </c>
      <c r="P46" s="16"/>
      <c r="Q46" s="18">
        <f t="shared" si="21"/>
        <v>95000</v>
      </c>
      <c r="R46" s="18">
        <f t="shared" si="3"/>
        <v>0</v>
      </c>
      <c r="S46" s="18">
        <f t="shared" si="4"/>
        <v>95000</v>
      </c>
    </row>
    <row r="47" spans="2:19" x14ac:dyDescent="0.2">
      <c r="B47" s="7">
        <f t="shared" si="22"/>
        <v>40</v>
      </c>
      <c r="C47" s="19"/>
      <c r="D47" s="19"/>
      <c r="E47" s="19"/>
      <c r="F47" s="20"/>
      <c r="G47" s="21">
        <v>637</v>
      </c>
      <c r="H47" s="19" t="s">
        <v>120</v>
      </c>
      <c r="I47" s="22">
        <v>95000</v>
      </c>
      <c r="J47" s="22"/>
      <c r="K47" s="22">
        <f t="shared" si="9"/>
        <v>95000</v>
      </c>
      <c r="L47" s="22"/>
      <c r="M47" s="22"/>
      <c r="N47" s="22"/>
      <c r="O47" s="22">
        <f t="shared" si="7"/>
        <v>0</v>
      </c>
      <c r="P47" s="22"/>
      <c r="Q47" s="23">
        <f t="shared" si="21"/>
        <v>95000</v>
      </c>
      <c r="R47" s="23">
        <f t="shared" si="3"/>
        <v>0</v>
      </c>
      <c r="S47" s="23">
        <f t="shared" si="4"/>
        <v>95000</v>
      </c>
    </row>
    <row r="48" spans="2:19" s="42" customFormat="1" ht="22.5" customHeight="1" x14ac:dyDescent="0.2">
      <c r="B48" s="7">
        <f t="shared" si="22"/>
        <v>41</v>
      </c>
      <c r="C48" s="57"/>
      <c r="D48" s="57"/>
      <c r="E48" s="57"/>
      <c r="F48" s="58"/>
      <c r="G48" s="380">
        <v>600</v>
      </c>
      <c r="H48" s="381" t="s">
        <v>499</v>
      </c>
      <c r="I48" s="382">
        <v>660480</v>
      </c>
      <c r="J48" s="382"/>
      <c r="K48" s="382">
        <f t="shared" si="9"/>
        <v>660480</v>
      </c>
      <c r="L48" s="382"/>
      <c r="M48" s="382"/>
      <c r="N48" s="382"/>
      <c r="O48" s="382">
        <f t="shared" si="7"/>
        <v>0</v>
      </c>
      <c r="P48" s="382"/>
      <c r="Q48" s="383">
        <f t="shared" si="21"/>
        <v>660480</v>
      </c>
      <c r="R48" s="383">
        <f t="shared" si="3"/>
        <v>0</v>
      </c>
      <c r="S48" s="383">
        <f t="shared" si="4"/>
        <v>660480</v>
      </c>
    </row>
    <row r="49" spans="2:19" s="42" customFormat="1" x14ac:dyDescent="0.2">
      <c r="B49" s="7">
        <f t="shared" si="22"/>
        <v>42</v>
      </c>
      <c r="C49" s="57"/>
      <c r="D49" s="57"/>
      <c r="E49" s="57"/>
      <c r="F49" s="58"/>
      <c r="G49" s="380">
        <v>600</v>
      </c>
      <c r="H49" s="381" t="s">
        <v>408</v>
      </c>
      <c r="I49" s="382">
        <v>59339</v>
      </c>
      <c r="J49" s="382"/>
      <c r="K49" s="382">
        <f t="shared" si="9"/>
        <v>59339</v>
      </c>
      <c r="L49" s="382"/>
      <c r="M49" s="382"/>
      <c r="N49" s="382"/>
      <c r="O49" s="382">
        <f t="shared" si="7"/>
        <v>0</v>
      </c>
      <c r="P49" s="382"/>
      <c r="Q49" s="383">
        <f t="shared" si="21"/>
        <v>59339</v>
      </c>
      <c r="R49" s="383">
        <f t="shared" si="3"/>
        <v>0</v>
      </c>
      <c r="S49" s="383">
        <f t="shared" si="4"/>
        <v>59339</v>
      </c>
    </row>
    <row r="50" spans="2:19" s="42" customFormat="1" ht="22.5" customHeight="1" x14ac:dyDescent="0.2">
      <c r="B50" s="7">
        <f t="shared" si="22"/>
        <v>43</v>
      </c>
      <c r="C50" s="57"/>
      <c r="D50" s="57"/>
      <c r="E50" s="57"/>
      <c r="F50" s="58"/>
      <c r="G50" s="380">
        <v>600</v>
      </c>
      <c r="H50" s="381" t="s">
        <v>718</v>
      </c>
      <c r="I50" s="382">
        <v>56265</v>
      </c>
      <c r="J50" s="382"/>
      <c r="K50" s="382">
        <f t="shared" si="9"/>
        <v>56265</v>
      </c>
      <c r="L50" s="382"/>
      <c r="M50" s="382"/>
      <c r="N50" s="382"/>
      <c r="O50" s="382">
        <f t="shared" si="7"/>
        <v>0</v>
      </c>
      <c r="P50" s="382"/>
      <c r="Q50" s="383">
        <f t="shared" si="21"/>
        <v>56265</v>
      </c>
      <c r="R50" s="383">
        <f t="shared" si="3"/>
        <v>0</v>
      </c>
      <c r="S50" s="383">
        <f t="shared" si="4"/>
        <v>56265</v>
      </c>
    </row>
    <row r="51" spans="2:19" x14ac:dyDescent="0.2">
      <c r="B51" s="7">
        <f t="shared" si="22"/>
        <v>44</v>
      </c>
      <c r="C51" s="13"/>
      <c r="D51" s="13"/>
      <c r="E51" s="13"/>
      <c r="F51" s="14" t="s">
        <v>74</v>
      </c>
      <c r="G51" s="15">
        <v>710</v>
      </c>
      <c r="H51" s="13" t="s">
        <v>171</v>
      </c>
      <c r="I51" s="16"/>
      <c r="J51" s="16"/>
      <c r="K51" s="16">
        <f t="shared" si="9"/>
        <v>0</v>
      </c>
      <c r="L51" s="16"/>
      <c r="M51" s="16">
        <f>M52+M54+M58</f>
        <v>3081807</v>
      </c>
      <c r="N51" s="16">
        <f t="shared" ref="N51" si="27">N52+N54+N58</f>
        <v>0</v>
      </c>
      <c r="O51" s="16">
        <f t="shared" si="7"/>
        <v>3081807</v>
      </c>
      <c r="P51" s="16"/>
      <c r="Q51" s="18">
        <f t="shared" si="21"/>
        <v>3081807</v>
      </c>
      <c r="R51" s="18">
        <f t="shared" si="3"/>
        <v>0</v>
      </c>
      <c r="S51" s="18">
        <f t="shared" si="4"/>
        <v>3081807</v>
      </c>
    </row>
    <row r="52" spans="2:19" x14ac:dyDescent="0.2">
      <c r="B52" s="7">
        <f t="shared" si="22"/>
        <v>45</v>
      </c>
      <c r="C52" s="19"/>
      <c r="D52" s="19"/>
      <c r="E52" s="19"/>
      <c r="F52" s="20"/>
      <c r="G52" s="21">
        <v>711</v>
      </c>
      <c r="H52" s="19" t="s">
        <v>205</v>
      </c>
      <c r="I52" s="22"/>
      <c r="J52" s="22"/>
      <c r="K52" s="22">
        <f t="shared" si="9"/>
        <v>0</v>
      </c>
      <c r="L52" s="22"/>
      <c r="M52" s="22">
        <f>M53</f>
        <v>2614390</v>
      </c>
      <c r="N52" s="22">
        <f t="shared" ref="N52" si="28">N53</f>
        <v>0</v>
      </c>
      <c r="O52" s="22">
        <f t="shared" si="7"/>
        <v>2614390</v>
      </c>
      <c r="P52" s="22"/>
      <c r="Q52" s="23">
        <f t="shared" si="21"/>
        <v>2614390</v>
      </c>
      <c r="R52" s="23">
        <f t="shared" si="3"/>
        <v>0</v>
      </c>
      <c r="S52" s="23">
        <f t="shared" si="4"/>
        <v>2614390</v>
      </c>
    </row>
    <row r="53" spans="2:19" x14ac:dyDescent="0.2">
      <c r="B53" s="7">
        <f t="shared" si="22"/>
        <v>46</v>
      </c>
      <c r="C53" s="24"/>
      <c r="D53" s="24"/>
      <c r="E53" s="24"/>
      <c r="F53" s="25"/>
      <c r="G53" s="25"/>
      <c r="H53" s="1" t="s">
        <v>500</v>
      </c>
      <c r="I53" s="26"/>
      <c r="J53" s="26"/>
      <c r="K53" s="26">
        <f t="shared" si="9"/>
        <v>0</v>
      </c>
      <c r="L53" s="26"/>
      <c r="M53" s="26">
        <f>2584050+30340</f>
        <v>2614390</v>
      </c>
      <c r="N53" s="26"/>
      <c r="O53" s="26">
        <f t="shared" si="7"/>
        <v>2614390</v>
      </c>
      <c r="P53" s="26"/>
      <c r="Q53" s="28">
        <f t="shared" si="21"/>
        <v>2614390</v>
      </c>
      <c r="R53" s="28">
        <f t="shared" si="3"/>
        <v>0</v>
      </c>
      <c r="S53" s="28">
        <f t="shared" si="4"/>
        <v>2614390</v>
      </c>
    </row>
    <row r="54" spans="2:19" x14ac:dyDescent="0.2">
      <c r="B54" s="7">
        <f t="shared" si="22"/>
        <v>47</v>
      </c>
      <c r="C54" s="19"/>
      <c r="D54" s="19"/>
      <c r="E54" s="19"/>
      <c r="F54" s="20"/>
      <c r="G54" s="21">
        <v>716</v>
      </c>
      <c r="H54" s="19" t="s">
        <v>211</v>
      </c>
      <c r="I54" s="22"/>
      <c r="J54" s="22"/>
      <c r="K54" s="22">
        <f t="shared" si="9"/>
        <v>0</v>
      </c>
      <c r="L54" s="22"/>
      <c r="M54" s="22">
        <f>SUM(M55:M57)</f>
        <v>246350</v>
      </c>
      <c r="N54" s="22">
        <f t="shared" ref="N54" si="29">SUM(N55:N57)</f>
        <v>0</v>
      </c>
      <c r="O54" s="22">
        <f t="shared" si="7"/>
        <v>246350</v>
      </c>
      <c r="P54" s="22"/>
      <c r="Q54" s="23">
        <f t="shared" si="21"/>
        <v>246350</v>
      </c>
      <c r="R54" s="23">
        <f t="shared" si="3"/>
        <v>0</v>
      </c>
      <c r="S54" s="23">
        <f t="shared" si="4"/>
        <v>246350</v>
      </c>
    </row>
    <row r="55" spans="2:19" x14ac:dyDescent="0.2">
      <c r="B55" s="7">
        <f t="shared" si="22"/>
        <v>48</v>
      </c>
      <c r="C55" s="24"/>
      <c r="D55" s="24"/>
      <c r="E55" s="24"/>
      <c r="F55" s="25"/>
      <c r="G55" s="25"/>
      <c r="H55" s="1" t="s">
        <v>368</v>
      </c>
      <c r="I55" s="26"/>
      <c r="J55" s="26"/>
      <c r="K55" s="26">
        <f t="shared" si="9"/>
        <v>0</v>
      </c>
      <c r="L55" s="26"/>
      <c r="M55" s="26">
        <f>300000-72000-100000-128000+200000-12500</f>
        <v>187500</v>
      </c>
      <c r="N55" s="26"/>
      <c r="O55" s="26">
        <f t="shared" si="7"/>
        <v>187500</v>
      </c>
      <c r="P55" s="26"/>
      <c r="Q55" s="28">
        <f t="shared" si="21"/>
        <v>187500</v>
      </c>
      <c r="R55" s="28">
        <f t="shared" si="3"/>
        <v>0</v>
      </c>
      <c r="S55" s="28">
        <f t="shared" si="4"/>
        <v>187500</v>
      </c>
    </row>
    <row r="56" spans="2:19" x14ac:dyDescent="0.2">
      <c r="B56" s="7">
        <f t="shared" si="22"/>
        <v>49</v>
      </c>
      <c r="C56" s="24"/>
      <c r="D56" s="24"/>
      <c r="E56" s="24"/>
      <c r="F56" s="25"/>
      <c r="G56" s="25"/>
      <c r="H56" s="1" t="s">
        <v>367</v>
      </c>
      <c r="I56" s="26"/>
      <c r="J56" s="26"/>
      <c r="K56" s="26">
        <f t="shared" si="9"/>
        <v>0</v>
      </c>
      <c r="L56" s="26"/>
      <c r="M56" s="26">
        <f>5000+4900+20000</f>
        <v>29900</v>
      </c>
      <c r="N56" s="26"/>
      <c r="O56" s="26">
        <f t="shared" si="7"/>
        <v>29900</v>
      </c>
      <c r="P56" s="26"/>
      <c r="Q56" s="28">
        <f t="shared" si="21"/>
        <v>29900</v>
      </c>
      <c r="R56" s="28">
        <f t="shared" si="3"/>
        <v>0</v>
      </c>
      <c r="S56" s="28">
        <f t="shared" si="4"/>
        <v>29900</v>
      </c>
    </row>
    <row r="57" spans="2:19" x14ac:dyDescent="0.2">
      <c r="B57" s="7">
        <f t="shared" si="22"/>
        <v>50</v>
      </c>
      <c r="C57" s="24"/>
      <c r="D57" s="24"/>
      <c r="E57" s="24"/>
      <c r="F57" s="25"/>
      <c r="G57" s="25"/>
      <c r="H57" s="1" t="s">
        <v>470</v>
      </c>
      <c r="I57" s="26"/>
      <c r="J57" s="26"/>
      <c r="K57" s="26">
        <f t="shared" si="9"/>
        <v>0</v>
      </c>
      <c r="L57" s="26"/>
      <c r="M57" s="26">
        <f>20000-4500-3950-2600+20000</f>
        <v>28950</v>
      </c>
      <c r="N57" s="26"/>
      <c r="O57" s="26">
        <f t="shared" si="7"/>
        <v>28950</v>
      </c>
      <c r="P57" s="26"/>
      <c r="Q57" s="28">
        <f t="shared" si="21"/>
        <v>28950</v>
      </c>
      <c r="R57" s="28">
        <f t="shared" si="3"/>
        <v>0</v>
      </c>
      <c r="S57" s="28">
        <f t="shared" si="4"/>
        <v>28950</v>
      </c>
    </row>
    <row r="58" spans="2:19" x14ac:dyDescent="0.2">
      <c r="B58" s="7">
        <f t="shared" si="22"/>
        <v>51</v>
      </c>
      <c r="C58" s="19"/>
      <c r="D58" s="19"/>
      <c r="E58" s="19"/>
      <c r="F58" s="20"/>
      <c r="G58" s="21">
        <v>717</v>
      </c>
      <c r="H58" s="19" t="s">
        <v>178</v>
      </c>
      <c r="I58" s="22"/>
      <c r="J58" s="22"/>
      <c r="K58" s="22">
        <f t="shared" si="9"/>
        <v>0</v>
      </c>
      <c r="L58" s="22"/>
      <c r="M58" s="22">
        <f>SUM(M59:M62)</f>
        <v>221067</v>
      </c>
      <c r="N58" s="22">
        <f t="shared" ref="N58" si="30">SUM(N59:N62)</f>
        <v>0</v>
      </c>
      <c r="O58" s="22">
        <f t="shared" si="7"/>
        <v>221067</v>
      </c>
      <c r="P58" s="22"/>
      <c r="Q58" s="23">
        <f t="shared" si="21"/>
        <v>221067</v>
      </c>
      <c r="R58" s="23">
        <f t="shared" si="3"/>
        <v>0</v>
      </c>
      <c r="S58" s="23">
        <f t="shared" si="4"/>
        <v>221067</v>
      </c>
    </row>
    <row r="59" spans="2:19" x14ac:dyDescent="0.2">
      <c r="B59" s="7">
        <f t="shared" si="22"/>
        <v>52</v>
      </c>
      <c r="C59" s="24"/>
      <c r="D59" s="24"/>
      <c r="E59" s="24"/>
      <c r="F59" s="25"/>
      <c r="G59" s="25"/>
      <c r="H59" s="1" t="s">
        <v>79</v>
      </c>
      <c r="I59" s="26"/>
      <c r="J59" s="26"/>
      <c r="K59" s="26">
        <f t="shared" si="9"/>
        <v>0</v>
      </c>
      <c r="L59" s="26"/>
      <c r="M59" s="26">
        <f>1705000-399720-5280-20000-175000-541150-13700-28500-35000-185558-9020-118764-65000-108308+300000-86701-1628-26000+129799-9000-5300-88103-12000</f>
        <v>201067</v>
      </c>
      <c r="N59" s="26"/>
      <c r="O59" s="26">
        <f t="shared" si="7"/>
        <v>201067</v>
      </c>
      <c r="P59" s="26"/>
      <c r="Q59" s="28">
        <f t="shared" si="21"/>
        <v>201067</v>
      </c>
      <c r="R59" s="28">
        <f t="shared" si="3"/>
        <v>0</v>
      </c>
      <c r="S59" s="28">
        <f t="shared" si="4"/>
        <v>201067</v>
      </c>
    </row>
    <row r="60" spans="2:19" x14ac:dyDescent="0.2">
      <c r="B60" s="7">
        <f t="shared" si="22"/>
        <v>53</v>
      </c>
      <c r="C60" s="315"/>
      <c r="D60" s="315"/>
      <c r="E60" s="315"/>
      <c r="F60" s="316"/>
      <c r="G60" s="316"/>
      <c r="H60" s="342" t="s">
        <v>581</v>
      </c>
      <c r="I60" s="322"/>
      <c r="J60" s="322"/>
      <c r="K60" s="322">
        <f t="shared" si="9"/>
        <v>0</v>
      </c>
      <c r="L60" s="322"/>
      <c r="M60" s="26">
        <f>230000-21700-208300</f>
        <v>0</v>
      </c>
      <c r="N60" s="26"/>
      <c r="O60" s="26">
        <f t="shared" si="7"/>
        <v>0</v>
      </c>
      <c r="P60" s="26"/>
      <c r="Q60" s="28">
        <f t="shared" si="21"/>
        <v>0</v>
      </c>
      <c r="R60" s="28">
        <f t="shared" si="3"/>
        <v>0</v>
      </c>
      <c r="S60" s="28">
        <f t="shared" si="4"/>
        <v>0</v>
      </c>
    </row>
    <row r="61" spans="2:19" x14ac:dyDescent="0.2">
      <c r="B61" s="7">
        <f t="shared" si="22"/>
        <v>54</v>
      </c>
      <c r="C61" s="215"/>
      <c r="D61" s="215"/>
      <c r="E61" s="215"/>
      <c r="F61" s="279"/>
      <c r="G61" s="279"/>
      <c r="H61" s="152" t="s">
        <v>534</v>
      </c>
      <c r="I61" s="323"/>
      <c r="J61" s="323"/>
      <c r="K61" s="323">
        <f t="shared" si="9"/>
        <v>0</v>
      </c>
      <c r="L61" s="323"/>
      <c r="M61" s="26">
        <f>1285000-685000-150000-150000-150000-150000</f>
        <v>0</v>
      </c>
      <c r="N61" s="26"/>
      <c r="O61" s="26">
        <f t="shared" si="7"/>
        <v>0</v>
      </c>
      <c r="P61" s="26"/>
      <c r="Q61" s="28">
        <f t="shared" si="21"/>
        <v>0</v>
      </c>
      <c r="R61" s="28">
        <f t="shared" si="3"/>
        <v>0</v>
      </c>
      <c r="S61" s="28">
        <f t="shared" si="4"/>
        <v>0</v>
      </c>
    </row>
    <row r="62" spans="2:19" x14ac:dyDescent="0.2">
      <c r="B62" s="7">
        <f t="shared" si="22"/>
        <v>55</v>
      </c>
      <c r="C62" s="215"/>
      <c r="D62" s="215"/>
      <c r="E62" s="215"/>
      <c r="F62" s="279"/>
      <c r="G62" s="279"/>
      <c r="H62" s="152" t="s">
        <v>542</v>
      </c>
      <c r="I62" s="323"/>
      <c r="J62" s="323"/>
      <c r="K62" s="323">
        <f t="shared" si="9"/>
        <v>0</v>
      </c>
      <c r="L62" s="323"/>
      <c r="M62" s="26">
        <f>800000-200000-200000-136000-200000-44000</f>
        <v>20000</v>
      </c>
      <c r="N62" s="26"/>
      <c r="O62" s="26">
        <f t="shared" si="7"/>
        <v>20000</v>
      </c>
      <c r="P62" s="26"/>
      <c r="Q62" s="28">
        <f t="shared" si="21"/>
        <v>20000</v>
      </c>
      <c r="R62" s="28">
        <f t="shared" si="3"/>
        <v>0</v>
      </c>
      <c r="S62" s="28">
        <f t="shared" si="4"/>
        <v>20000</v>
      </c>
    </row>
    <row r="63" spans="2:19" ht="15" x14ac:dyDescent="0.2">
      <c r="B63" s="7">
        <f t="shared" si="22"/>
        <v>56</v>
      </c>
      <c r="C63" s="292">
        <v>4</v>
      </c>
      <c r="D63" s="461" t="s">
        <v>373</v>
      </c>
      <c r="E63" s="462"/>
      <c r="F63" s="462"/>
      <c r="G63" s="462"/>
      <c r="H63" s="463"/>
      <c r="I63" s="293">
        <v>0</v>
      </c>
      <c r="J63" s="293">
        <v>0</v>
      </c>
      <c r="K63" s="293">
        <f t="shared" si="9"/>
        <v>0</v>
      </c>
      <c r="L63" s="324"/>
      <c r="M63" s="11"/>
      <c r="N63" s="11"/>
      <c r="O63" s="11">
        <f t="shared" si="7"/>
        <v>0</v>
      </c>
      <c r="P63" s="320"/>
      <c r="Q63" s="35">
        <f t="shared" si="21"/>
        <v>0</v>
      </c>
      <c r="R63" s="35">
        <f t="shared" si="3"/>
        <v>0</v>
      </c>
      <c r="S63" s="35">
        <f t="shared" si="4"/>
        <v>0</v>
      </c>
    </row>
    <row r="64" spans="2:19" ht="15" x14ac:dyDescent="0.2">
      <c r="B64" s="7">
        <f t="shared" si="22"/>
        <v>57</v>
      </c>
      <c r="C64" s="44">
        <v>5</v>
      </c>
      <c r="D64" s="458" t="s">
        <v>374</v>
      </c>
      <c r="E64" s="459"/>
      <c r="F64" s="459"/>
      <c r="G64" s="459"/>
      <c r="H64" s="460"/>
      <c r="I64" s="11">
        <v>0</v>
      </c>
      <c r="J64" s="11">
        <v>0</v>
      </c>
      <c r="K64" s="11">
        <f t="shared" si="9"/>
        <v>0</v>
      </c>
      <c r="L64" s="320"/>
      <c r="M64" s="11"/>
      <c r="N64" s="11"/>
      <c r="O64" s="11">
        <f t="shared" si="7"/>
        <v>0</v>
      </c>
      <c r="P64" s="320"/>
      <c r="Q64" s="35">
        <f t="shared" si="21"/>
        <v>0</v>
      </c>
      <c r="R64" s="35">
        <f t="shared" si="3"/>
        <v>0</v>
      </c>
      <c r="S64" s="35">
        <f t="shared" si="4"/>
        <v>0</v>
      </c>
    </row>
    <row r="65" spans="2:19" ht="15" x14ac:dyDescent="0.2">
      <c r="B65" s="7">
        <f t="shared" si="22"/>
        <v>58</v>
      </c>
      <c r="C65" s="44">
        <v>6</v>
      </c>
      <c r="D65" s="458" t="s">
        <v>375</v>
      </c>
      <c r="E65" s="459"/>
      <c r="F65" s="459"/>
      <c r="G65" s="459"/>
      <c r="H65" s="460"/>
      <c r="I65" s="11">
        <v>0</v>
      </c>
      <c r="J65" s="11">
        <v>0</v>
      </c>
      <c r="K65" s="11">
        <f t="shared" si="9"/>
        <v>0</v>
      </c>
      <c r="L65" s="320"/>
      <c r="M65" s="11"/>
      <c r="N65" s="11"/>
      <c r="O65" s="11">
        <f t="shared" si="7"/>
        <v>0</v>
      </c>
      <c r="P65" s="320"/>
      <c r="Q65" s="35">
        <f t="shared" si="21"/>
        <v>0</v>
      </c>
      <c r="R65" s="35">
        <f t="shared" si="3"/>
        <v>0</v>
      </c>
      <c r="S65" s="35">
        <f t="shared" si="4"/>
        <v>0</v>
      </c>
    </row>
    <row r="66" spans="2:19" ht="15" x14ac:dyDescent="0.2">
      <c r="B66" s="7">
        <f t="shared" si="22"/>
        <v>59</v>
      </c>
      <c r="C66" s="10">
        <v>7</v>
      </c>
      <c r="D66" s="425" t="s">
        <v>242</v>
      </c>
      <c r="E66" s="426"/>
      <c r="F66" s="426"/>
      <c r="G66" s="426"/>
      <c r="H66" s="426"/>
      <c r="I66" s="11">
        <f>I67+I68+I72+I73</f>
        <v>199241</v>
      </c>
      <c r="J66" s="11">
        <f t="shared" ref="J66" si="31">J67+J68+J72+J73</f>
        <v>0</v>
      </c>
      <c r="K66" s="11">
        <f t="shared" si="9"/>
        <v>199241</v>
      </c>
      <c r="L66" s="320"/>
      <c r="M66" s="11"/>
      <c r="N66" s="11"/>
      <c r="O66" s="11">
        <f t="shared" si="7"/>
        <v>0</v>
      </c>
      <c r="P66" s="320"/>
      <c r="Q66" s="35">
        <f t="shared" si="21"/>
        <v>199241</v>
      </c>
      <c r="R66" s="35">
        <f t="shared" si="3"/>
        <v>0</v>
      </c>
      <c r="S66" s="35">
        <f t="shared" si="4"/>
        <v>199241</v>
      </c>
    </row>
    <row r="67" spans="2:19" x14ac:dyDescent="0.2">
      <c r="B67" s="7">
        <f t="shared" si="22"/>
        <v>60</v>
      </c>
      <c r="C67" s="13"/>
      <c r="D67" s="13"/>
      <c r="E67" s="13"/>
      <c r="F67" s="14" t="s">
        <v>74</v>
      </c>
      <c r="G67" s="15">
        <v>620</v>
      </c>
      <c r="H67" s="13" t="s">
        <v>122</v>
      </c>
      <c r="I67" s="16">
        <v>2000</v>
      </c>
      <c r="J67" s="16"/>
      <c r="K67" s="16">
        <f t="shared" si="9"/>
        <v>2000</v>
      </c>
      <c r="L67" s="16"/>
      <c r="M67" s="16"/>
      <c r="N67" s="16"/>
      <c r="O67" s="16">
        <f t="shared" si="7"/>
        <v>0</v>
      </c>
      <c r="P67" s="16"/>
      <c r="Q67" s="18">
        <f t="shared" si="21"/>
        <v>2000</v>
      </c>
      <c r="R67" s="18">
        <f t="shared" si="3"/>
        <v>0</v>
      </c>
      <c r="S67" s="18">
        <f t="shared" si="4"/>
        <v>2000</v>
      </c>
    </row>
    <row r="68" spans="2:19" x14ac:dyDescent="0.2">
      <c r="B68" s="7">
        <f t="shared" si="22"/>
        <v>61</v>
      </c>
      <c r="C68" s="13"/>
      <c r="D68" s="13"/>
      <c r="E68" s="13"/>
      <c r="F68" s="14" t="s">
        <v>74</v>
      </c>
      <c r="G68" s="15">
        <v>630</v>
      </c>
      <c r="H68" s="13" t="s">
        <v>119</v>
      </c>
      <c r="I68" s="16">
        <f>SUM(I69:I71)</f>
        <v>179741</v>
      </c>
      <c r="J68" s="16">
        <f t="shared" ref="J68" si="32">SUM(J69:J71)</f>
        <v>0</v>
      </c>
      <c r="K68" s="16">
        <f t="shared" si="9"/>
        <v>179741</v>
      </c>
      <c r="L68" s="16"/>
      <c r="M68" s="16"/>
      <c r="N68" s="16"/>
      <c r="O68" s="16">
        <f t="shared" si="7"/>
        <v>0</v>
      </c>
      <c r="P68" s="16"/>
      <c r="Q68" s="18">
        <f t="shared" si="21"/>
        <v>179741</v>
      </c>
      <c r="R68" s="18">
        <f t="shared" si="3"/>
        <v>0</v>
      </c>
      <c r="S68" s="18">
        <f t="shared" si="4"/>
        <v>179741</v>
      </c>
    </row>
    <row r="69" spans="2:19" x14ac:dyDescent="0.2">
      <c r="B69" s="7">
        <f t="shared" si="22"/>
        <v>62</v>
      </c>
      <c r="C69" s="19"/>
      <c r="D69" s="19"/>
      <c r="E69" s="19"/>
      <c r="F69" s="20"/>
      <c r="G69" s="21">
        <v>632</v>
      </c>
      <c r="H69" s="19" t="s">
        <v>131</v>
      </c>
      <c r="I69" s="22">
        <f>191260-31260+16921-15300-2000</f>
        <v>159621</v>
      </c>
      <c r="J69" s="22"/>
      <c r="K69" s="22">
        <f t="shared" si="9"/>
        <v>159621</v>
      </c>
      <c r="L69" s="22"/>
      <c r="M69" s="22"/>
      <c r="N69" s="22"/>
      <c r="O69" s="22">
        <f t="shared" si="7"/>
        <v>0</v>
      </c>
      <c r="P69" s="22"/>
      <c r="Q69" s="23">
        <f t="shared" si="21"/>
        <v>159621</v>
      </c>
      <c r="R69" s="23">
        <f t="shared" si="3"/>
        <v>0</v>
      </c>
      <c r="S69" s="23">
        <f t="shared" si="4"/>
        <v>159621</v>
      </c>
    </row>
    <row r="70" spans="2:19" x14ac:dyDescent="0.2">
      <c r="B70" s="7">
        <f t="shared" si="22"/>
        <v>63</v>
      </c>
      <c r="C70" s="19"/>
      <c r="D70" s="19"/>
      <c r="E70" s="19"/>
      <c r="F70" s="20"/>
      <c r="G70" s="21">
        <v>633</v>
      </c>
      <c r="H70" s="19" t="s">
        <v>123</v>
      </c>
      <c r="I70" s="22">
        <v>5000</v>
      </c>
      <c r="J70" s="22"/>
      <c r="K70" s="22">
        <f t="shared" si="9"/>
        <v>5000</v>
      </c>
      <c r="L70" s="22"/>
      <c r="M70" s="22"/>
      <c r="N70" s="22"/>
      <c r="O70" s="22">
        <f t="shared" si="7"/>
        <v>0</v>
      </c>
      <c r="P70" s="22"/>
      <c r="Q70" s="23">
        <f t="shared" si="21"/>
        <v>5000</v>
      </c>
      <c r="R70" s="23">
        <f t="shared" si="3"/>
        <v>0</v>
      </c>
      <c r="S70" s="23">
        <f t="shared" si="4"/>
        <v>5000</v>
      </c>
    </row>
    <row r="71" spans="2:19" x14ac:dyDescent="0.2">
      <c r="B71" s="7">
        <f t="shared" si="22"/>
        <v>64</v>
      </c>
      <c r="C71" s="19"/>
      <c r="D71" s="19"/>
      <c r="E71" s="19"/>
      <c r="F71" s="20"/>
      <c r="G71" s="21">
        <v>637</v>
      </c>
      <c r="H71" s="19" t="s">
        <v>120</v>
      </c>
      <c r="I71" s="22">
        <v>15120</v>
      </c>
      <c r="J71" s="22"/>
      <c r="K71" s="22">
        <f t="shared" si="9"/>
        <v>15120</v>
      </c>
      <c r="L71" s="22"/>
      <c r="M71" s="22"/>
      <c r="N71" s="22"/>
      <c r="O71" s="22">
        <f t="shared" si="7"/>
        <v>0</v>
      </c>
      <c r="P71" s="22"/>
      <c r="Q71" s="23">
        <f t="shared" si="21"/>
        <v>15120</v>
      </c>
      <c r="R71" s="23">
        <f t="shared" si="3"/>
        <v>0</v>
      </c>
      <c r="S71" s="23">
        <f t="shared" si="4"/>
        <v>15120</v>
      </c>
    </row>
    <row r="72" spans="2:19" x14ac:dyDescent="0.2">
      <c r="B72" s="7">
        <f t="shared" si="22"/>
        <v>65</v>
      </c>
      <c r="C72" s="19"/>
      <c r="D72" s="19"/>
      <c r="E72" s="19"/>
      <c r="F72" s="14" t="s">
        <v>74</v>
      </c>
      <c r="G72" s="15">
        <v>640</v>
      </c>
      <c r="H72" s="13" t="s">
        <v>127</v>
      </c>
      <c r="I72" s="16">
        <v>500</v>
      </c>
      <c r="J72" s="16"/>
      <c r="K72" s="16">
        <f t="shared" si="9"/>
        <v>500</v>
      </c>
      <c r="L72" s="16"/>
      <c r="M72" s="16"/>
      <c r="N72" s="16"/>
      <c r="O72" s="16">
        <f t="shared" si="7"/>
        <v>0</v>
      </c>
      <c r="P72" s="16"/>
      <c r="Q72" s="18">
        <f t="shared" si="21"/>
        <v>500</v>
      </c>
      <c r="R72" s="18">
        <f t="shared" ref="R72:R78" si="33">N72+J72</f>
        <v>0</v>
      </c>
      <c r="S72" s="18">
        <f t="shared" ref="S72:S78" si="34">O72+K72</f>
        <v>500</v>
      </c>
    </row>
    <row r="73" spans="2:19" x14ac:dyDescent="0.2">
      <c r="B73" s="7">
        <f t="shared" si="22"/>
        <v>66</v>
      </c>
      <c r="C73" s="13"/>
      <c r="D73" s="13"/>
      <c r="E73" s="13"/>
      <c r="F73" s="14" t="s">
        <v>241</v>
      </c>
      <c r="G73" s="15">
        <v>630</v>
      </c>
      <c r="H73" s="13" t="s">
        <v>119</v>
      </c>
      <c r="I73" s="16">
        <f>I74</f>
        <v>17000</v>
      </c>
      <c r="J73" s="16">
        <f t="shared" ref="J73" si="35">J74</f>
        <v>0</v>
      </c>
      <c r="K73" s="16">
        <f t="shared" si="9"/>
        <v>17000</v>
      </c>
      <c r="L73" s="16"/>
      <c r="M73" s="16"/>
      <c r="N73" s="16"/>
      <c r="O73" s="16">
        <f t="shared" ref="O73:O78" si="36">M73+N73</f>
        <v>0</v>
      </c>
      <c r="P73" s="16"/>
      <c r="Q73" s="18">
        <f t="shared" si="21"/>
        <v>17000</v>
      </c>
      <c r="R73" s="18">
        <f t="shared" si="33"/>
        <v>0</v>
      </c>
      <c r="S73" s="18">
        <f t="shared" si="34"/>
        <v>17000</v>
      </c>
    </row>
    <row r="74" spans="2:19" x14ac:dyDescent="0.2">
      <c r="B74" s="7">
        <f t="shared" si="22"/>
        <v>67</v>
      </c>
      <c r="C74" s="19"/>
      <c r="D74" s="19"/>
      <c r="E74" s="19"/>
      <c r="F74" s="20"/>
      <c r="G74" s="21">
        <v>637</v>
      </c>
      <c r="H74" s="19" t="s">
        <v>120</v>
      </c>
      <c r="I74" s="22">
        <v>17000</v>
      </c>
      <c r="J74" s="22"/>
      <c r="K74" s="22">
        <f t="shared" ref="K74:K78" si="37">I74+J74</f>
        <v>17000</v>
      </c>
      <c r="L74" s="22"/>
      <c r="M74" s="22"/>
      <c r="N74" s="22"/>
      <c r="O74" s="22">
        <f t="shared" si="36"/>
        <v>0</v>
      </c>
      <c r="P74" s="22"/>
      <c r="Q74" s="23">
        <f t="shared" si="21"/>
        <v>17000</v>
      </c>
      <c r="R74" s="23">
        <f t="shared" si="33"/>
        <v>0</v>
      </c>
      <c r="S74" s="23">
        <f t="shared" si="34"/>
        <v>17000</v>
      </c>
    </row>
    <row r="75" spans="2:19" ht="15" x14ac:dyDescent="0.2">
      <c r="B75" s="7">
        <f t="shared" si="22"/>
        <v>68</v>
      </c>
      <c r="C75" s="10">
        <v>8</v>
      </c>
      <c r="D75" s="420" t="s">
        <v>259</v>
      </c>
      <c r="E75" s="421"/>
      <c r="F75" s="421"/>
      <c r="G75" s="421"/>
      <c r="H75" s="421"/>
      <c r="I75" s="11">
        <f>I76</f>
        <v>19100</v>
      </c>
      <c r="J75" s="11">
        <f t="shared" ref="J75:J76" si="38">J76</f>
        <v>0</v>
      </c>
      <c r="K75" s="11">
        <f t="shared" si="37"/>
        <v>19100</v>
      </c>
      <c r="L75" s="320"/>
      <c r="M75" s="11"/>
      <c r="N75" s="11"/>
      <c r="O75" s="11">
        <f t="shared" si="36"/>
        <v>0</v>
      </c>
      <c r="P75" s="320"/>
      <c r="Q75" s="35">
        <f t="shared" si="21"/>
        <v>19100</v>
      </c>
      <c r="R75" s="35">
        <f t="shared" si="33"/>
        <v>0</v>
      </c>
      <c r="S75" s="35">
        <f t="shared" si="34"/>
        <v>19100</v>
      </c>
    </row>
    <row r="76" spans="2:19" x14ac:dyDescent="0.2">
      <c r="B76" s="7">
        <f t="shared" si="22"/>
        <v>69</v>
      </c>
      <c r="C76" s="13"/>
      <c r="D76" s="13"/>
      <c r="E76" s="13"/>
      <c r="F76" s="14" t="s">
        <v>74</v>
      </c>
      <c r="G76" s="15">
        <v>640</v>
      </c>
      <c r="H76" s="13" t="s">
        <v>127</v>
      </c>
      <c r="I76" s="16">
        <f>I77</f>
        <v>19100</v>
      </c>
      <c r="J76" s="16">
        <f t="shared" si="38"/>
        <v>0</v>
      </c>
      <c r="K76" s="16">
        <f t="shared" si="37"/>
        <v>19100</v>
      </c>
      <c r="L76" s="16"/>
      <c r="M76" s="16"/>
      <c r="N76" s="16"/>
      <c r="O76" s="16">
        <f t="shared" si="36"/>
        <v>0</v>
      </c>
      <c r="P76" s="16"/>
      <c r="Q76" s="18">
        <f t="shared" si="21"/>
        <v>19100</v>
      </c>
      <c r="R76" s="18">
        <f t="shared" si="33"/>
        <v>0</v>
      </c>
      <c r="S76" s="18">
        <f t="shared" si="34"/>
        <v>19100</v>
      </c>
    </row>
    <row r="77" spans="2:19" x14ac:dyDescent="0.2">
      <c r="B77" s="7">
        <f t="shared" si="22"/>
        <v>70</v>
      </c>
      <c r="C77" s="19"/>
      <c r="D77" s="19"/>
      <c r="E77" s="19"/>
      <c r="F77" s="20"/>
      <c r="G77" s="21">
        <v>642</v>
      </c>
      <c r="H77" s="19" t="s">
        <v>507</v>
      </c>
      <c r="I77" s="22">
        <f>16500+100+2500</f>
        <v>19100</v>
      </c>
      <c r="J77" s="22"/>
      <c r="K77" s="22">
        <f t="shared" si="37"/>
        <v>19100</v>
      </c>
      <c r="L77" s="22"/>
      <c r="M77" s="22"/>
      <c r="N77" s="22"/>
      <c r="O77" s="22">
        <f t="shared" si="36"/>
        <v>0</v>
      </c>
      <c r="P77" s="22"/>
      <c r="Q77" s="23">
        <f t="shared" si="21"/>
        <v>19100</v>
      </c>
      <c r="R77" s="23">
        <f t="shared" si="33"/>
        <v>0</v>
      </c>
      <c r="S77" s="23">
        <f t="shared" si="34"/>
        <v>19100</v>
      </c>
    </row>
    <row r="78" spans="2:19" ht="15" x14ac:dyDescent="0.2">
      <c r="B78" s="7">
        <f t="shared" si="22"/>
        <v>71</v>
      </c>
      <c r="C78" s="46">
        <v>9</v>
      </c>
      <c r="D78" s="427" t="s">
        <v>174</v>
      </c>
      <c r="E78" s="428"/>
      <c r="F78" s="428"/>
      <c r="G78" s="428"/>
      <c r="H78" s="428"/>
      <c r="I78" s="47">
        <f>49581</f>
        <v>49581</v>
      </c>
      <c r="J78" s="47"/>
      <c r="K78" s="47">
        <f t="shared" si="37"/>
        <v>49581</v>
      </c>
      <c r="L78" s="325"/>
      <c r="M78" s="47"/>
      <c r="N78" s="47"/>
      <c r="O78" s="47">
        <f t="shared" si="36"/>
        <v>0</v>
      </c>
      <c r="P78" s="325"/>
      <c r="Q78" s="48">
        <f t="shared" si="21"/>
        <v>49581</v>
      </c>
      <c r="R78" s="48">
        <f t="shared" si="33"/>
        <v>0</v>
      </c>
      <c r="S78" s="48">
        <f t="shared" si="34"/>
        <v>49581</v>
      </c>
    </row>
    <row r="81" spans="2:19" ht="27.75" x14ac:dyDescent="0.4">
      <c r="B81" s="429" t="s">
        <v>15</v>
      </c>
      <c r="C81" s="430"/>
      <c r="D81" s="430"/>
      <c r="E81" s="430"/>
      <c r="F81" s="430"/>
      <c r="G81" s="430"/>
      <c r="H81" s="430"/>
      <c r="I81" s="430"/>
      <c r="J81" s="430"/>
      <c r="K81" s="430"/>
      <c r="L81" s="430"/>
      <c r="M81" s="430"/>
      <c r="N81" s="430"/>
      <c r="O81" s="430"/>
      <c r="P81" s="430"/>
      <c r="Q81" s="430"/>
    </row>
    <row r="82" spans="2:19" ht="12.75" customHeight="1" x14ac:dyDescent="0.2">
      <c r="B82" s="431" t="s">
        <v>464</v>
      </c>
      <c r="C82" s="432"/>
      <c r="D82" s="432"/>
      <c r="E82" s="432"/>
      <c r="F82" s="432"/>
      <c r="G82" s="432"/>
      <c r="H82" s="432"/>
      <c r="I82" s="432"/>
      <c r="J82" s="432"/>
      <c r="K82" s="432"/>
      <c r="L82" s="432"/>
      <c r="M82" s="432"/>
      <c r="N82" s="432"/>
      <c r="O82" s="432"/>
      <c r="P82" s="432"/>
      <c r="Q82" s="433" t="s">
        <v>735</v>
      </c>
      <c r="R82" s="433" t="s">
        <v>733</v>
      </c>
      <c r="S82" s="433" t="s">
        <v>736</v>
      </c>
    </row>
    <row r="83" spans="2:19" ht="12.75" customHeight="1" x14ac:dyDescent="0.2">
      <c r="B83" s="436"/>
      <c r="C83" s="422" t="s">
        <v>112</v>
      </c>
      <c r="D83" s="422" t="s">
        <v>113</v>
      </c>
      <c r="E83" s="422"/>
      <c r="F83" s="422" t="s">
        <v>114</v>
      </c>
      <c r="G83" s="423" t="s">
        <v>115</v>
      </c>
      <c r="H83" s="424" t="s">
        <v>116</v>
      </c>
      <c r="I83" s="435" t="s">
        <v>737</v>
      </c>
      <c r="J83" s="455" t="s">
        <v>733</v>
      </c>
      <c r="K83" s="435" t="s">
        <v>738</v>
      </c>
      <c r="L83" s="318"/>
      <c r="M83" s="435" t="s">
        <v>739</v>
      </c>
      <c r="N83" s="455" t="s">
        <v>733</v>
      </c>
      <c r="O83" s="435" t="s">
        <v>740</v>
      </c>
      <c r="P83" s="318"/>
      <c r="Q83" s="434"/>
      <c r="R83" s="434"/>
      <c r="S83" s="434"/>
    </row>
    <row r="84" spans="2:19" ht="13.5" customHeight="1" x14ac:dyDescent="0.2">
      <c r="B84" s="436"/>
      <c r="C84" s="422"/>
      <c r="D84" s="422"/>
      <c r="E84" s="422"/>
      <c r="F84" s="422"/>
      <c r="G84" s="423"/>
      <c r="H84" s="424"/>
      <c r="I84" s="435"/>
      <c r="J84" s="456"/>
      <c r="K84" s="435"/>
      <c r="L84" s="318"/>
      <c r="M84" s="435"/>
      <c r="N84" s="456"/>
      <c r="O84" s="435"/>
      <c r="P84" s="318"/>
      <c r="Q84" s="434"/>
      <c r="R84" s="434"/>
      <c r="S84" s="434"/>
    </row>
    <row r="85" spans="2:19" ht="13.5" customHeight="1" x14ac:dyDescent="0.2">
      <c r="B85" s="436"/>
      <c r="C85" s="422"/>
      <c r="D85" s="422"/>
      <c r="E85" s="422"/>
      <c r="F85" s="422"/>
      <c r="G85" s="423"/>
      <c r="H85" s="424"/>
      <c r="I85" s="435"/>
      <c r="J85" s="456"/>
      <c r="K85" s="435"/>
      <c r="L85" s="318"/>
      <c r="M85" s="435"/>
      <c r="N85" s="456"/>
      <c r="O85" s="435"/>
      <c r="P85" s="318"/>
      <c r="Q85" s="434"/>
      <c r="R85" s="434"/>
      <c r="S85" s="434"/>
    </row>
    <row r="86" spans="2:19" ht="12.75" customHeight="1" x14ac:dyDescent="0.2">
      <c r="B86" s="436"/>
      <c r="C86" s="422"/>
      <c r="D86" s="422"/>
      <c r="E86" s="422"/>
      <c r="F86" s="422"/>
      <c r="G86" s="423"/>
      <c r="H86" s="424"/>
      <c r="I86" s="435"/>
      <c r="J86" s="457"/>
      <c r="K86" s="435"/>
      <c r="L86" s="318"/>
      <c r="M86" s="435"/>
      <c r="N86" s="457"/>
      <c r="O86" s="435"/>
      <c r="P86" s="318"/>
      <c r="Q86" s="434"/>
      <c r="R86" s="434"/>
      <c r="S86" s="434"/>
    </row>
    <row r="87" spans="2:19" ht="15.75" x14ac:dyDescent="0.2">
      <c r="B87" s="7">
        <v>1</v>
      </c>
      <c r="C87" s="439" t="s">
        <v>15</v>
      </c>
      <c r="D87" s="440"/>
      <c r="E87" s="440"/>
      <c r="F87" s="440"/>
      <c r="G87" s="440"/>
      <c r="H87" s="440"/>
      <c r="I87" s="8">
        <f>I88+I101</f>
        <v>254970</v>
      </c>
      <c r="J87" s="8">
        <f t="shared" ref="J87" si="39">J88+J101</f>
        <v>0</v>
      </c>
      <c r="K87" s="8">
        <f>I87+J87</f>
        <v>254970</v>
      </c>
      <c r="L87" s="319"/>
      <c r="M87" s="8">
        <f>M88</f>
        <v>37930</v>
      </c>
      <c r="N87" s="8">
        <f t="shared" ref="N87" si="40">N88</f>
        <v>0</v>
      </c>
      <c r="O87" s="8">
        <f>M87+N87</f>
        <v>37930</v>
      </c>
      <c r="P87" s="319"/>
      <c r="Q87" s="9">
        <f t="shared" ref="Q87:Q105" si="41">M87+I87</f>
        <v>292900</v>
      </c>
      <c r="R87" s="9">
        <f t="shared" ref="R87:S102" si="42">N87+J87</f>
        <v>0</v>
      </c>
      <c r="S87" s="9">
        <f t="shared" si="42"/>
        <v>292900</v>
      </c>
    </row>
    <row r="88" spans="2:19" ht="18" customHeight="1" x14ac:dyDescent="0.2">
      <c r="B88" s="7">
        <f t="shared" ref="B88:B105" si="43">B87+1</f>
        <v>2</v>
      </c>
      <c r="C88" s="10">
        <v>1</v>
      </c>
      <c r="D88" s="420" t="s">
        <v>191</v>
      </c>
      <c r="E88" s="421"/>
      <c r="F88" s="421"/>
      <c r="G88" s="421"/>
      <c r="H88" s="421"/>
      <c r="I88" s="11">
        <f>I89+I91+I95+I96+I94</f>
        <v>172220</v>
      </c>
      <c r="J88" s="11">
        <f t="shared" ref="J88" si="44">J89+J91+J95+J96+J94</f>
        <v>0</v>
      </c>
      <c r="K88" s="11">
        <f t="shared" ref="K88:K105" si="45">I88+J88</f>
        <v>172220</v>
      </c>
      <c r="L88" s="320"/>
      <c r="M88" s="11">
        <f>M98</f>
        <v>37930</v>
      </c>
      <c r="N88" s="11">
        <f t="shared" ref="N88" si="46">N98</f>
        <v>0</v>
      </c>
      <c r="O88" s="11">
        <f t="shared" ref="O88:O105" si="47">M88+N88</f>
        <v>37930</v>
      </c>
      <c r="P88" s="320"/>
      <c r="Q88" s="35">
        <f t="shared" si="41"/>
        <v>210150</v>
      </c>
      <c r="R88" s="35">
        <f t="shared" si="42"/>
        <v>0</v>
      </c>
      <c r="S88" s="35">
        <f t="shared" si="42"/>
        <v>210150</v>
      </c>
    </row>
    <row r="89" spans="2:19" x14ac:dyDescent="0.2">
      <c r="B89" s="7">
        <f t="shared" si="43"/>
        <v>3</v>
      </c>
      <c r="C89" s="13"/>
      <c r="D89" s="13"/>
      <c r="E89" s="13"/>
      <c r="F89" s="14" t="s">
        <v>74</v>
      </c>
      <c r="G89" s="15">
        <v>630</v>
      </c>
      <c r="H89" s="13" t="s">
        <v>522</v>
      </c>
      <c r="I89" s="16">
        <f>I90</f>
        <v>23750</v>
      </c>
      <c r="J89" s="16">
        <f t="shared" ref="J89" si="48">J90</f>
        <v>0</v>
      </c>
      <c r="K89" s="16">
        <f t="shared" si="45"/>
        <v>23750</v>
      </c>
      <c r="L89" s="16"/>
      <c r="M89" s="16"/>
      <c r="N89" s="16"/>
      <c r="O89" s="16">
        <f t="shared" si="47"/>
        <v>0</v>
      </c>
      <c r="P89" s="16"/>
      <c r="Q89" s="18">
        <f t="shared" si="41"/>
        <v>23750</v>
      </c>
      <c r="R89" s="18">
        <f t="shared" si="42"/>
        <v>0</v>
      </c>
      <c r="S89" s="18">
        <f t="shared" si="42"/>
        <v>23750</v>
      </c>
    </row>
    <row r="90" spans="2:19" x14ac:dyDescent="0.2">
      <c r="B90" s="7">
        <f t="shared" si="43"/>
        <v>4</v>
      </c>
      <c r="C90" s="19"/>
      <c r="D90" s="19"/>
      <c r="E90" s="19"/>
      <c r="F90" s="20"/>
      <c r="G90" s="21">
        <v>637</v>
      </c>
      <c r="H90" s="19" t="s">
        <v>120</v>
      </c>
      <c r="I90" s="22">
        <v>23750</v>
      </c>
      <c r="J90" s="22"/>
      <c r="K90" s="22">
        <f t="shared" si="45"/>
        <v>23750</v>
      </c>
      <c r="L90" s="22"/>
      <c r="M90" s="22"/>
      <c r="N90" s="22"/>
      <c r="O90" s="22">
        <f t="shared" si="47"/>
        <v>0</v>
      </c>
      <c r="P90" s="22"/>
      <c r="Q90" s="23">
        <f t="shared" si="41"/>
        <v>23750</v>
      </c>
      <c r="R90" s="23">
        <f t="shared" si="42"/>
        <v>0</v>
      </c>
      <c r="S90" s="23">
        <f t="shared" si="42"/>
        <v>23750</v>
      </c>
    </row>
    <row r="91" spans="2:19" x14ac:dyDescent="0.2">
      <c r="B91" s="7">
        <f t="shared" si="43"/>
        <v>5</v>
      </c>
      <c r="C91" s="19"/>
      <c r="D91" s="19"/>
      <c r="E91" s="19"/>
      <c r="F91" s="14" t="s">
        <v>239</v>
      </c>
      <c r="G91" s="15">
        <v>630</v>
      </c>
      <c r="H91" s="13" t="s">
        <v>119</v>
      </c>
      <c r="I91" s="16">
        <f>SUM(I92:I93)</f>
        <v>49400</v>
      </c>
      <c r="J91" s="16">
        <f t="shared" ref="J91" si="49">SUM(J92:J93)</f>
        <v>0</v>
      </c>
      <c r="K91" s="16">
        <f t="shared" si="45"/>
        <v>49400</v>
      </c>
      <c r="L91" s="16"/>
      <c r="M91" s="16"/>
      <c r="N91" s="16"/>
      <c r="O91" s="16">
        <f t="shared" si="47"/>
        <v>0</v>
      </c>
      <c r="P91" s="16"/>
      <c r="Q91" s="18">
        <f t="shared" si="41"/>
        <v>49400</v>
      </c>
      <c r="R91" s="18">
        <f t="shared" si="42"/>
        <v>0</v>
      </c>
      <c r="S91" s="18">
        <f t="shared" si="42"/>
        <v>49400</v>
      </c>
    </row>
    <row r="92" spans="2:19" x14ac:dyDescent="0.2">
      <c r="B92" s="7">
        <f t="shared" si="43"/>
        <v>6</v>
      </c>
      <c r="C92" s="19"/>
      <c r="D92" s="19"/>
      <c r="E92" s="19"/>
      <c r="F92" s="20"/>
      <c r="G92" s="21">
        <v>637</v>
      </c>
      <c r="H92" s="19" t="s">
        <v>520</v>
      </c>
      <c r="I92" s="22">
        <f>44650-5000-8000</f>
        <v>31650</v>
      </c>
      <c r="J92" s="22"/>
      <c r="K92" s="22">
        <f t="shared" si="45"/>
        <v>31650</v>
      </c>
      <c r="L92" s="22"/>
      <c r="M92" s="22"/>
      <c r="N92" s="22"/>
      <c r="O92" s="22">
        <f t="shared" si="47"/>
        <v>0</v>
      </c>
      <c r="P92" s="22"/>
      <c r="Q92" s="23">
        <f t="shared" si="41"/>
        <v>31650</v>
      </c>
      <c r="R92" s="23">
        <f t="shared" si="42"/>
        <v>0</v>
      </c>
      <c r="S92" s="23">
        <f t="shared" si="42"/>
        <v>31650</v>
      </c>
    </row>
    <row r="93" spans="2:19" x14ac:dyDescent="0.2">
      <c r="B93" s="7">
        <f t="shared" si="43"/>
        <v>7</v>
      </c>
      <c r="C93" s="19"/>
      <c r="D93" s="19"/>
      <c r="E93" s="19"/>
      <c r="F93" s="20"/>
      <c r="G93" s="21">
        <v>633</v>
      </c>
      <c r="H93" s="19" t="s">
        <v>521</v>
      </c>
      <c r="I93" s="22">
        <f>4750+5000+8000</f>
        <v>17750</v>
      </c>
      <c r="J93" s="22"/>
      <c r="K93" s="22">
        <f t="shared" si="45"/>
        <v>17750</v>
      </c>
      <c r="L93" s="22"/>
      <c r="M93" s="22"/>
      <c r="N93" s="22"/>
      <c r="O93" s="22">
        <f t="shared" si="47"/>
        <v>0</v>
      </c>
      <c r="P93" s="22"/>
      <c r="Q93" s="23">
        <f t="shared" si="41"/>
        <v>17750</v>
      </c>
      <c r="R93" s="23">
        <f t="shared" si="42"/>
        <v>0</v>
      </c>
      <c r="S93" s="23">
        <f t="shared" si="42"/>
        <v>17750</v>
      </c>
    </row>
    <row r="94" spans="2:19" x14ac:dyDescent="0.2">
      <c r="B94" s="7">
        <f t="shared" si="43"/>
        <v>8</v>
      </c>
      <c r="C94" s="19"/>
      <c r="D94" s="19"/>
      <c r="E94" s="19"/>
      <c r="F94" s="14" t="s">
        <v>239</v>
      </c>
      <c r="G94" s="15">
        <v>600</v>
      </c>
      <c r="H94" s="13" t="s">
        <v>713</v>
      </c>
      <c r="I94" s="16">
        <v>11070</v>
      </c>
      <c r="J94" s="16"/>
      <c r="K94" s="16">
        <f t="shared" si="45"/>
        <v>11070</v>
      </c>
      <c r="L94" s="16"/>
      <c r="M94" s="16"/>
      <c r="N94" s="16"/>
      <c r="O94" s="16">
        <f t="shared" si="47"/>
        <v>0</v>
      </c>
      <c r="P94" s="16"/>
      <c r="Q94" s="23">
        <f t="shared" si="41"/>
        <v>11070</v>
      </c>
      <c r="R94" s="23">
        <f t="shared" si="42"/>
        <v>0</v>
      </c>
      <c r="S94" s="23">
        <f t="shared" si="42"/>
        <v>11070</v>
      </c>
    </row>
    <row r="95" spans="2:19" x14ac:dyDescent="0.2">
      <c r="B95" s="7">
        <f t="shared" si="43"/>
        <v>9</v>
      </c>
      <c r="C95" s="13"/>
      <c r="D95" s="13"/>
      <c r="E95" s="13"/>
      <c r="F95" s="14" t="s">
        <v>75</v>
      </c>
      <c r="G95" s="15">
        <v>600</v>
      </c>
      <c r="H95" s="13" t="s">
        <v>331</v>
      </c>
      <c r="I95" s="16">
        <v>28000</v>
      </c>
      <c r="J95" s="16"/>
      <c r="K95" s="16">
        <f t="shared" si="45"/>
        <v>28000</v>
      </c>
      <c r="L95" s="16"/>
      <c r="M95" s="16"/>
      <c r="N95" s="16"/>
      <c r="O95" s="16">
        <f t="shared" si="47"/>
        <v>0</v>
      </c>
      <c r="P95" s="16"/>
      <c r="Q95" s="18">
        <f t="shared" si="41"/>
        <v>28000</v>
      </c>
      <c r="R95" s="18">
        <f t="shared" si="42"/>
        <v>0</v>
      </c>
      <c r="S95" s="18">
        <f t="shared" si="42"/>
        <v>28000</v>
      </c>
    </row>
    <row r="96" spans="2:19" s="49" customFormat="1" x14ac:dyDescent="0.2">
      <c r="B96" s="7">
        <f t="shared" si="43"/>
        <v>10</v>
      </c>
      <c r="C96" s="13"/>
      <c r="D96" s="13"/>
      <c r="E96" s="13"/>
      <c r="F96" s="14" t="s">
        <v>214</v>
      </c>
      <c r="G96" s="15">
        <v>630</v>
      </c>
      <c r="H96" s="13" t="s">
        <v>339</v>
      </c>
      <c r="I96" s="16">
        <f>I97</f>
        <v>60000</v>
      </c>
      <c r="J96" s="16">
        <f t="shared" ref="J96" si="50">J97</f>
        <v>0</v>
      </c>
      <c r="K96" s="16">
        <f t="shared" si="45"/>
        <v>60000</v>
      </c>
      <c r="L96" s="16"/>
      <c r="M96" s="16"/>
      <c r="N96" s="16"/>
      <c r="O96" s="16">
        <f t="shared" si="47"/>
        <v>0</v>
      </c>
      <c r="P96" s="16"/>
      <c r="Q96" s="18">
        <f t="shared" si="41"/>
        <v>60000</v>
      </c>
      <c r="R96" s="18">
        <f t="shared" si="42"/>
        <v>0</v>
      </c>
      <c r="S96" s="18">
        <f t="shared" si="42"/>
        <v>60000</v>
      </c>
    </row>
    <row r="97" spans="2:19" s="49" customFormat="1" x14ac:dyDescent="0.2">
      <c r="B97" s="7">
        <f t="shared" si="43"/>
        <v>11</v>
      </c>
      <c r="C97" s="13"/>
      <c r="D97" s="13"/>
      <c r="E97" s="13"/>
      <c r="F97" s="20"/>
      <c r="G97" s="21">
        <v>637</v>
      </c>
      <c r="H97" s="19" t="s">
        <v>120</v>
      </c>
      <c r="I97" s="22">
        <f>43200+15000+1800</f>
        <v>60000</v>
      </c>
      <c r="J97" s="22"/>
      <c r="K97" s="22">
        <f t="shared" si="45"/>
        <v>60000</v>
      </c>
      <c r="L97" s="22"/>
      <c r="M97" s="16"/>
      <c r="N97" s="16"/>
      <c r="O97" s="16">
        <f t="shared" si="47"/>
        <v>0</v>
      </c>
      <c r="P97" s="16"/>
      <c r="Q97" s="18">
        <f t="shared" si="41"/>
        <v>60000</v>
      </c>
      <c r="R97" s="18">
        <f t="shared" si="42"/>
        <v>0</v>
      </c>
      <c r="S97" s="18">
        <f t="shared" si="42"/>
        <v>60000</v>
      </c>
    </row>
    <row r="98" spans="2:19" s="49" customFormat="1" x14ac:dyDescent="0.2">
      <c r="B98" s="7">
        <f t="shared" si="43"/>
        <v>12</v>
      </c>
      <c r="C98" s="13"/>
      <c r="D98" s="13"/>
      <c r="E98" s="13"/>
      <c r="F98" s="14" t="s">
        <v>239</v>
      </c>
      <c r="G98" s="15">
        <v>710</v>
      </c>
      <c r="H98" s="13" t="s">
        <v>171</v>
      </c>
      <c r="I98" s="16"/>
      <c r="J98" s="16"/>
      <c r="K98" s="16">
        <f t="shared" si="45"/>
        <v>0</v>
      </c>
      <c r="L98" s="16"/>
      <c r="M98" s="16">
        <f>M99</f>
        <v>37930</v>
      </c>
      <c r="N98" s="16">
        <f t="shared" ref="N98" si="51">N99</f>
        <v>0</v>
      </c>
      <c r="O98" s="16">
        <f t="shared" si="47"/>
        <v>37930</v>
      </c>
      <c r="P98" s="16"/>
      <c r="Q98" s="18">
        <f t="shared" si="41"/>
        <v>37930</v>
      </c>
      <c r="R98" s="18">
        <f t="shared" si="42"/>
        <v>0</v>
      </c>
      <c r="S98" s="18">
        <f t="shared" si="42"/>
        <v>37930</v>
      </c>
    </row>
    <row r="99" spans="2:19" x14ac:dyDescent="0.2">
      <c r="B99" s="7">
        <f t="shared" si="43"/>
        <v>13</v>
      </c>
      <c r="C99" s="13"/>
      <c r="D99" s="13"/>
      <c r="E99" s="13"/>
      <c r="F99" s="20"/>
      <c r="G99" s="21">
        <v>717</v>
      </c>
      <c r="H99" s="81" t="s">
        <v>178</v>
      </c>
      <c r="I99" s="22"/>
      <c r="J99" s="22"/>
      <c r="K99" s="22">
        <f t="shared" si="45"/>
        <v>0</v>
      </c>
      <c r="L99" s="22"/>
      <c r="M99" s="22">
        <f>M100+M101</f>
        <v>37930</v>
      </c>
      <c r="N99" s="22">
        <f t="shared" ref="N99" si="52">N100+N101</f>
        <v>0</v>
      </c>
      <c r="O99" s="22">
        <f t="shared" si="47"/>
        <v>37930</v>
      </c>
      <c r="P99" s="22"/>
      <c r="Q99" s="23">
        <f t="shared" si="41"/>
        <v>37930</v>
      </c>
      <c r="R99" s="23">
        <f t="shared" si="42"/>
        <v>0</v>
      </c>
      <c r="S99" s="23">
        <f t="shared" si="42"/>
        <v>37930</v>
      </c>
    </row>
    <row r="100" spans="2:19" x14ac:dyDescent="0.2">
      <c r="B100" s="7">
        <f t="shared" si="43"/>
        <v>14</v>
      </c>
      <c r="C100" s="13"/>
      <c r="D100" s="13"/>
      <c r="E100" s="13"/>
      <c r="F100" s="25"/>
      <c r="G100" s="25"/>
      <c r="H100" s="1" t="s">
        <v>713</v>
      </c>
      <c r="I100" s="26"/>
      <c r="J100" s="26"/>
      <c r="K100" s="26">
        <f t="shared" si="45"/>
        <v>0</v>
      </c>
      <c r="L100" s="26"/>
      <c r="M100" s="26">
        <v>37930</v>
      </c>
      <c r="N100" s="26"/>
      <c r="O100" s="26">
        <f t="shared" si="47"/>
        <v>37930</v>
      </c>
      <c r="P100" s="26"/>
      <c r="Q100" s="28">
        <f t="shared" si="41"/>
        <v>37930</v>
      </c>
      <c r="R100" s="28">
        <f t="shared" si="42"/>
        <v>0</v>
      </c>
      <c r="S100" s="28">
        <f t="shared" si="42"/>
        <v>37930</v>
      </c>
    </row>
    <row r="101" spans="2:19" ht="15" x14ac:dyDescent="0.2">
      <c r="B101" s="7">
        <f t="shared" si="43"/>
        <v>15</v>
      </c>
      <c r="C101" s="10">
        <v>2</v>
      </c>
      <c r="D101" s="420" t="s">
        <v>240</v>
      </c>
      <c r="E101" s="421"/>
      <c r="F101" s="421"/>
      <c r="G101" s="421"/>
      <c r="H101" s="421"/>
      <c r="I101" s="11">
        <f>I102+I104</f>
        <v>82750</v>
      </c>
      <c r="J101" s="11">
        <f t="shared" ref="J101" si="53">J102+J104</f>
        <v>0</v>
      </c>
      <c r="K101" s="11">
        <f t="shared" si="45"/>
        <v>82750</v>
      </c>
      <c r="L101" s="320"/>
      <c r="M101" s="11"/>
      <c r="N101" s="11"/>
      <c r="O101" s="11">
        <f t="shared" si="47"/>
        <v>0</v>
      </c>
      <c r="P101" s="320"/>
      <c r="Q101" s="35">
        <f t="shared" si="41"/>
        <v>82750</v>
      </c>
      <c r="R101" s="35">
        <f t="shared" si="42"/>
        <v>0</v>
      </c>
      <c r="S101" s="35">
        <f t="shared" si="42"/>
        <v>82750</v>
      </c>
    </row>
    <row r="102" spans="2:19" x14ac:dyDescent="0.2">
      <c r="B102" s="7">
        <f t="shared" si="43"/>
        <v>16</v>
      </c>
      <c r="C102" s="13"/>
      <c r="D102" s="13"/>
      <c r="E102" s="13"/>
      <c r="F102" s="14" t="s">
        <v>239</v>
      </c>
      <c r="G102" s="15">
        <v>630</v>
      </c>
      <c r="H102" s="13" t="s">
        <v>119</v>
      </c>
      <c r="I102" s="16">
        <f>I103</f>
        <v>4750</v>
      </c>
      <c r="J102" s="16">
        <f t="shared" ref="J102" si="54">J103</f>
        <v>0</v>
      </c>
      <c r="K102" s="16">
        <f t="shared" si="45"/>
        <v>4750</v>
      </c>
      <c r="L102" s="16"/>
      <c r="M102" s="16"/>
      <c r="N102" s="16"/>
      <c r="O102" s="16">
        <f t="shared" si="47"/>
        <v>0</v>
      </c>
      <c r="P102" s="16"/>
      <c r="Q102" s="18">
        <f t="shared" si="41"/>
        <v>4750</v>
      </c>
      <c r="R102" s="18">
        <f t="shared" si="42"/>
        <v>0</v>
      </c>
      <c r="S102" s="18">
        <f t="shared" si="42"/>
        <v>4750</v>
      </c>
    </row>
    <row r="103" spans="2:19" x14ac:dyDescent="0.2">
      <c r="B103" s="7">
        <f t="shared" si="43"/>
        <v>17</v>
      </c>
      <c r="C103" s="19"/>
      <c r="D103" s="19"/>
      <c r="E103" s="19"/>
      <c r="F103" s="20"/>
      <c r="G103" s="21">
        <v>637</v>
      </c>
      <c r="H103" s="19" t="s">
        <v>120</v>
      </c>
      <c r="I103" s="22">
        <v>4750</v>
      </c>
      <c r="J103" s="22"/>
      <c r="K103" s="22">
        <f t="shared" si="45"/>
        <v>4750</v>
      </c>
      <c r="L103" s="22"/>
      <c r="M103" s="22"/>
      <c r="N103" s="22"/>
      <c r="O103" s="22">
        <f t="shared" si="47"/>
        <v>0</v>
      </c>
      <c r="P103" s="22"/>
      <c r="Q103" s="23">
        <f t="shared" si="41"/>
        <v>4750</v>
      </c>
      <c r="R103" s="23">
        <f t="shared" ref="R103:S105" si="55">N103+J103</f>
        <v>0</v>
      </c>
      <c r="S103" s="23">
        <f t="shared" si="55"/>
        <v>4750</v>
      </c>
    </row>
    <row r="104" spans="2:19" x14ac:dyDescent="0.2">
      <c r="B104" s="7">
        <f t="shared" si="43"/>
        <v>18</v>
      </c>
      <c r="C104" s="13"/>
      <c r="D104" s="13"/>
      <c r="E104" s="13"/>
      <c r="F104" s="14" t="s">
        <v>239</v>
      </c>
      <c r="G104" s="15">
        <v>640</v>
      </c>
      <c r="H104" s="13" t="s">
        <v>127</v>
      </c>
      <c r="I104" s="16">
        <f>I105</f>
        <v>78000</v>
      </c>
      <c r="J104" s="16">
        <f t="shared" ref="J104" si="56">J105</f>
        <v>0</v>
      </c>
      <c r="K104" s="16">
        <f t="shared" si="45"/>
        <v>78000</v>
      </c>
      <c r="L104" s="16"/>
      <c r="M104" s="16"/>
      <c r="N104" s="16"/>
      <c r="O104" s="16">
        <f t="shared" si="47"/>
        <v>0</v>
      </c>
      <c r="P104" s="16"/>
      <c r="Q104" s="18">
        <f t="shared" si="41"/>
        <v>78000</v>
      </c>
      <c r="R104" s="18">
        <f t="shared" si="55"/>
        <v>0</v>
      </c>
      <c r="S104" s="18">
        <f t="shared" si="55"/>
        <v>78000</v>
      </c>
    </row>
    <row r="105" spans="2:19" x14ac:dyDescent="0.2">
      <c r="B105" s="7">
        <f t="shared" si="43"/>
        <v>19</v>
      </c>
      <c r="C105" s="51"/>
      <c r="D105" s="51"/>
      <c r="E105" s="51"/>
      <c r="F105" s="52"/>
      <c r="G105" s="52"/>
      <c r="H105" s="53" t="s">
        <v>319</v>
      </c>
      <c r="I105" s="54">
        <f>40000+38000</f>
        <v>78000</v>
      </c>
      <c r="J105" s="54"/>
      <c r="K105" s="54">
        <f t="shared" si="45"/>
        <v>78000</v>
      </c>
      <c r="L105" s="54"/>
      <c r="M105" s="55"/>
      <c r="N105" s="55"/>
      <c r="O105" s="55">
        <f t="shared" si="47"/>
        <v>0</v>
      </c>
      <c r="P105" s="55"/>
      <c r="Q105" s="56">
        <f t="shared" si="41"/>
        <v>78000</v>
      </c>
      <c r="R105" s="56">
        <f t="shared" si="55"/>
        <v>0</v>
      </c>
      <c r="S105" s="56">
        <f t="shared" si="55"/>
        <v>78000</v>
      </c>
    </row>
    <row r="106" spans="2:19" x14ac:dyDescent="0.2">
      <c r="B106" s="3"/>
      <c r="F106" s="3"/>
      <c r="G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2:19" x14ac:dyDescent="0.2">
      <c r="B107" s="3"/>
      <c r="F107" s="3"/>
      <c r="G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2:19" x14ac:dyDescent="0.2">
      <c r="B108" s="3"/>
      <c r="F108" s="3"/>
      <c r="G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2:19" x14ac:dyDescent="0.2">
      <c r="B109" s="3"/>
      <c r="F109" s="3"/>
      <c r="G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2:19" x14ac:dyDescent="0.2">
      <c r="B110" s="3"/>
      <c r="F110" s="3"/>
      <c r="G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2:19" ht="27.75" x14ac:dyDescent="0.4">
      <c r="B111" s="429" t="s">
        <v>16</v>
      </c>
      <c r="C111" s="430"/>
      <c r="D111" s="430"/>
      <c r="E111" s="430"/>
      <c r="F111" s="430"/>
      <c r="G111" s="430"/>
      <c r="H111" s="430"/>
      <c r="I111" s="430"/>
      <c r="J111" s="430"/>
      <c r="K111" s="430"/>
      <c r="L111" s="430"/>
      <c r="M111" s="430"/>
      <c r="N111" s="430"/>
      <c r="O111" s="430"/>
      <c r="P111" s="430"/>
      <c r="Q111" s="430"/>
    </row>
    <row r="112" spans="2:19" ht="13.5" customHeight="1" x14ac:dyDescent="0.2">
      <c r="B112" s="431" t="s">
        <v>464</v>
      </c>
      <c r="C112" s="432"/>
      <c r="D112" s="432"/>
      <c r="E112" s="432"/>
      <c r="F112" s="432"/>
      <c r="G112" s="432"/>
      <c r="H112" s="432"/>
      <c r="I112" s="432"/>
      <c r="J112" s="432"/>
      <c r="K112" s="432"/>
      <c r="L112" s="432"/>
      <c r="M112" s="432"/>
      <c r="N112" s="432"/>
      <c r="O112" s="432"/>
      <c r="P112" s="432"/>
      <c r="Q112" s="433" t="s">
        <v>735</v>
      </c>
      <c r="R112" s="433" t="s">
        <v>733</v>
      </c>
      <c r="S112" s="433" t="s">
        <v>736</v>
      </c>
    </row>
    <row r="113" spans="2:19" ht="12.75" customHeight="1" x14ac:dyDescent="0.2">
      <c r="B113" s="436"/>
      <c r="C113" s="422" t="s">
        <v>112</v>
      </c>
      <c r="D113" s="422" t="s">
        <v>113</v>
      </c>
      <c r="E113" s="422"/>
      <c r="F113" s="422" t="s">
        <v>114</v>
      </c>
      <c r="G113" s="423" t="s">
        <v>115</v>
      </c>
      <c r="H113" s="424" t="s">
        <v>116</v>
      </c>
      <c r="I113" s="435" t="s">
        <v>737</v>
      </c>
      <c r="J113" s="455" t="s">
        <v>733</v>
      </c>
      <c r="K113" s="435" t="s">
        <v>738</v>
      </c>
      <c r="L113" s="318"/>
      <c r="M113" s="435" t="s">
        <v>739</v>
      </c>
      <c r="N113" s="455" t="s">
        <v>733</v>
      </c>
      <c r="O113" s="435" t="s">
        <v>740</v>
      </c>
      <c r="P113" s="318"/>
      <c r="Q113" s="434"/>
      <c r="R113" s="434"/>
      <c r="S113" s="434"/>
    </row>
    <row r="114" spans="2:19" x14ac:dyDescent="0.2">
      <c r="B114" s="436"/>
      <c r="C114" s="422"/>
      <c r="D114" s="422"/>
      <c r="E114" s="422"/>
      <c r="F114" s="422"/>
      <c r="G114" s="423"/>
      <c r="H114" s="424"/>
      <c r="I114" s="435"/>
      <c r="J114" s="456"/>
      <c r="K114" s="435"/>
      <c r="L114" s="318"/>
      <c r="M114" s="435"/>
      <c r="N114" s="456"/>
      <c r="O114" s="435"/>
      <c r="P114" s="318"/>
      <c r="Q114" s="434"/>
      <c r="R114" s="434"/>
      <c r="S114" s="434"/>
    </row>
    <row r="115" spans="2:19" ht="21" customHeight="1" x14ac:dyDescent="0.2">
      <c r="B115" s="436"/>
      <c r="C115" s="422"/>
      <c r="D115" s="422"/>
      <c r="E115" s="422"/>
      <c r="F115" s="422"/>
      <c r="G115" s="423"/>
      <c r="H115" s="424"/>
      <c r="I115" s="435"/>
      <c r="J115" s="456"/>
      <c r="K115" s="435"/>
      <c r="L115" s="318"/>
      <c r="M115" s="435"/>
      <c r="N115" s="456"/>
      <c r="O115" s="435"/>
      <c r="P115" s="318"/>
      <c r="Q115" s="434"/>
      <c r="R115" s="434"/>
      <c r="S115" s="434"/>
    </row>
    <row r="116" spans="2:19" x14ac:dyDescent="0.2">
      <c r="B116" s="436"/>
      <c r="C116" s="422"/>
      <c r="D116" s="422"/>
      <c r="E116" s="422"/>
      <c r="F116" s="422"/>
      <c r="G116" s="423"/>
      <c r="H116" s="424"/>
      <c r="I116" s="435"/>
      <c r="J116" s="457"/>
      <c r="K116" s="435"/>
      <c r="L116" s="318"/>
      <c r="M116" s="435"/>
      <c r="N116" s="457"/>
      <c r="O116" s="435"/>
      <c r="P116" s="318"/>
      <c r="Q116" s="434"/>
      <c r="R116" s="434"/>
      <c r="S116" s="434"/>
    </row>
    <row r="117" spans="2:19" ht="15.75" x14ac:dyDescent="0.2">
      <c r="B117" s="7">
        <v>1</v>
      </c>
      <c r="C117" s="439" t="s">
        <v>16</v>
      </c>
      <c r="D117" s="440"/>
      <c r="E117" s="440"/>
      <c r="F117" s="440"/>
      <c r="G117" s="440"/>
      <c r="H117" s="440"/>
      <c r="I117" s="8">
        <f>I195+I183+I178+I163+I144+I140+I121+I118</f>
        <v>8574602</v>
      </c>
      <c r="J117" s="8">
        <f t="shared" ref="J117" si="57">J195+J183+J178+J163+J144+J140+J121+J118</f>
        <v>-15000</v>
      </c>
      <c r="K117" s="8">
        <f>I117+J117</f>
        <v>8559602</v>
      </c>
      <c r="L117" s="319"/>
      <c r="M117" s="8">
        <f>M195+M183+M178+M163+M144+M140+M121+M118</f>
        <v>6307504</v>
      </c>
      <c r="N117" s="8">
        <f t="shared" ref="N117" si="58">N195+N183+N178+N163+N144+N140+N121+N118</f>
        <v>15000</v>
      </c>
      <c r="O117" s="8">
        <f>M117+N117</f>
        <v>6322504</v>
      </c>
      <c r="P117" s="319"/>
      <c r="Q117" s="9">
        <f t="shared" ref="Q117:Q148" si="59">M117+I117</f>
        <v>14882106</v>
      </c>
      <c r="R117" s="9">
        <f t="shared" ref="R117:S132" si="60">N117+J117</f>
        <v>0</v>
      </c>
      <c r="S117" s="9">
        <f t="shared" si="60"/>
        <v>14882106</v>
      </c>
    </row>
    <row r="118" spans="2:19" ht="15" x14ac:dyDescent="0.2">
      <c r="B118" s="7">
        <f t="shared" ref="B118:B149" si="61">B117+1</f>
        <v>2</v>
      </c>
      <c r="C118" s="10">
        <v>1</v>
      </c>
      <c r="D118" s="420" t="s">
        <v>140</v>
      </c>
      <c r="E118" s="421"/>
      <c r="F118" s="421"/>
      <c r="G118" s="421"/>
      <c r="H118" s="421"/>
      <c r="I118" s="11">
        <f>I119</f>
        <v>199950</v>
      </c>
      <c r="J118" s="11">
        <f t="shared" ref="J118:J119" si="62">J119</f>
        <v>0</v>
      </c>
      <c r="K118" s="11">
        <f t="shared" ref="K118:K181" si="63">I118+J118</f>
        <v>199950</v>
      </c>
      <c r="L118" s="320"/>
      <c r="M118" s="11"/>
      <c r="N118" s="11"/>
      <c r="O118" s="11">
        <f t="shared" ref="O118:O181" si="64">M118+N118</f>
        <v>0</v>
      </c>
      <c r="P118" s="320"/>
      <c r="Q118" s="35">
        <f t="shared" si="59"/>
        <v>199950</v>
      </c>
      <c r="R118" s="35">
        <f t="shared" si="60"/>
        <v>0</v>
      </c>
      <c r="S118" s="35">
        <f t="shared" si="60"/>
        <v>199950</v>
      </c>
    </row>
    <row r="119" spans="2:19" x14ac:dyDescent="0.2">
      <c r="B119" s="7">
        <f t="shared" si="61"/>
        <v>3</v>
      </c>
      <c r="C119" s="13"/>
      <c r="D119" s="13"/>
      <c r="E119" s="13"/>
      <c r="F119" s="14" t="s">
        <v>74</v>
      </c>
      <c r="G119" s="15">
        <v>630</v>
      </c>
      <c r="H119" s="13" t="s">
        <v>119</v>
      </c>
      <c r="I119" s="16">
        <f>I120</f>
        <v>199950</v>
      </c>
      <c r="J119" s="16">
        <f t="shared" si="62"/>
        <v>0</v>
      </c>
      <c r="K119" s="16">
        <f t="shared" si="63"/>
        <v>199950</v>
      </c>
      <c r="L119" s="16"/>
      <c r="M119" s="16"/>
      <c r="N119" s="16"/>
      <c r="O119" s="16">
        <f t="shared" si="64"/>
        <v>0</v>
      </c>
      <c r="P119" s="16"/>
      <c r="Q119" s="18">
        <f t="shared" si="59"/>
        <v>199950</v>
      </c>
      <c r="R119" s="18">
        <f t="shared" si="60"/>
        <v>0</v>
      </c>
      <c r="S119" s="18">
        <f t="shared" si="60"/>
        <v>199950</v>
      </c>
    </row>
    <row r="120" spans="2:19" x14ac:dyDescent="0.2">
      <c r="B120" s="7">
        <f t="shared" si="61"/>
        <v>4</v>
      </c>
      <c r="C120" s="19"/>
      <c r="D120" s="19"/>
      <c r="E120" s="19"/>
      <c r="F120" s="20"/>
      <c r="G120" s="21">
        <v>637</v>
      </c>
      <c r="H120" s="19" t="s">
        <v>120</v>
      </c>
      <c r="I120" s="22">
        <f>143450+56500</f>
        <v>199950</v>
      </c>
      <c r="J120" s="22"/>
      <c r="K120" s="22">
        <f t="shared" si="63"/>
        <v>199950</v>
      </c>
      <c r="L120" s="22"/>
      <c r="M120" s="22"/>
      <c r="N120" s="22"/>
      <c r="O120" s="22">
        <f t="shared" si="64"/>
        <v>0</v>
      </c>
      <c r="P120" s="22"/>
      <c r="Q120" s="23">
        <f t="shared" si="59"/>
        <v>199950</v>
      </c>
      <c r="R120" s="23">
        <f t="shared" si="60"/>
        <v>0</v>
      </c>
      <c r="S120" s="23">
        <f t="shared" si="60"/>
        <v>199950</v>
      </c>
    </row>
    <row r="121" spans="2:19" ht="15" x14ac:dyDescent="0.2">
      <c r="B121" s="7">
        <f t="shared" si="61"/>
        <v>5</v>
      </c>
      <c r="C121" s="10">
        <v>2</v>
      </c>
      <c r="D121" s="420" t="s">
        <v>139</v>
      </c>
      <c r="E121" s="421"/>
      <c r="F121" s="421"/>
      <c r="G121" s="421"/>
      <c r="H121" s="421"/>
      <c r="I121" s="11">
        <f>I122+I125+I132</f>
        <v>145930</v>
      </c>
      <c r="J121" s="11">
        <f t="shared" ref="J121" si="65">J122+J125+J132</f>
        <v>0</v>
      </c>
      <c r="K121" s="11">
        <f t="shared" si="63"/>
        <v>145930</v>
      </c>
      <c r="L121" s="320"/>
      <c r="M121" s="11">
        <f>M125+M122+M132</f>
        <v>1316539</v>
      </c>
      <c r="N121" s="11">
        <f t="shared" ref="N121" si="66">N125+N122+N132</f>
        <v>0</v>
      </c>
      <c r="O121" s="11">
        <f t="shared" si="64"/>
        <v>1316539</v>
      </c>
      <c r="P121" s="320"/>
      <c r="Q121" s="35">
        <f t="shared" si="59"/>
        <v>1462469</v>
      </c>
      <c r="R121" s="35">
        <f t="shared" si="60"/>
        <v>0</v>
      </c>
      <c r="S121" s="35">
        <f t="shared" si="60"/>
        <v>1462469</v>
      </c>
    </row>
    <row r="122" spans="2:19" ht="15" x14ac:dyDescent="0.25">
      <c r="B122" s="7">
        <f t="shared" si="61"/>
        <v>6</v>
      </c>
      <c r="C122" s="29"/>
      <c r="D122" s="29">
        <v>1</v>
      </c>
      <c r="E122" s="441" t="s">
        <v>145</v>
      </c>
      <c r="F122" s="442"/>
      <c r="G122" s="442"/>
      <c r="H122" s="442"/>
      <c r="I122" s="30">
        <f>I123</f>
        <v>15850</v>
      </c>
      <c r="J122" s="30">
        <f t="shared" ref="J122:J123" si="67">J123</f>
        <v>0</v>
      </c>
      <c r="K122" s="30">
        <f t="shared" si="63"/>
        <v>15850</v>
      </c>
      <c r="L122" s="321"/>
      <c r="M122" s="30"/>
      <c r="N122" s="30"/>
      <c r="O122" s="30">
        <f t="shared" si="64"/>
        <v>0</v>
      </c>
      <c r="P122" s="321"/>
      <c r="Q122" s="32">
        <f t="shared" si="59"/>
        <v>15850</v>
      </c>
      <c r="R122" s="32">
        <f t="shared" si="60"/>
        <v>0</v>
      </c>
      <c r="S122" s="32">
        <f t="shared" si="60"/>
        <v>15850</v>
      </c>
    </row>
    <row r="123" spans="2:19" x14ac:dyDescent="0.2">
      <c r="B123" s="7">
        <f t="shared" si="61"/>
        <v>7</v>
      </c>
      <c r="C123" s="13"/>
      <c r="D123" s="13"/>
      <c r="E123" s="13"/>
      <c r="F123" s="14" t="s">
        <v>74</v>
      </c>
      <c r="G123" s="15">
        <v>630</v>
      </c>
      <c r="H123" s="13" t="s">
        <v>119</v>
      </c>
      <c r="I123" s="16">
        <f>I124</f>
        <v>15850</v>
      </c>
      <c r="J123" s="16">
        <f t="shared" si="67"/>
        <v>0</v>
      </c>
      <c r="K123" s="16">
        <f t="shared" si="63"/>
        <v>15850</v>
      </c>
      <c r="L123" s="16"/>
      <c r="M123" s="16"/>
      <c r="N123" s="16"/>
      <c r="O123" s="16">
        <f t="shared" si="64"/>
        <v>0</v>
      </c>
      <c r="P123" s="16"/>
      <c r="Q123" s="18">
        <f t="shared" si="59"/>
        <v>15850</v>
      </c>
      <c r="R123" s="18">
        <f t="shared" si="60"/>
        <v>0</v>
      </c>
      <c r="S123" s="18">
        <f t="shared" si="60"/>
        <v>15850</v>
      </c>
    </row>
    <row r="124" spans="2:19" x14ac:dyDescent="0.2">
      <c r="B124" s="7">
        <f t="shared" si="61"/>
        <v>8</v>
      </c>
      <c r="C124" s="19"/>
      <c r="D124" s="19"/>
      <c r="E124" s="19"/>
      <c r="F124" s="20"/>
      <c r="G124" s="21">
        <v>637</v>
      </c>
      <c r="H124" s="19" t="s">
        <v>120</v>
      </c>
      <c r="I124" s="22">
        <v>15850</v>
      </c>
      <c r="J124" s="22"/>
      <c r="K124" s="22">
        <f t="shared" si="63"/>
        <v>15850</v>
      </c>
      <c r="L124" s="22"/>
      <c r="M124" s="22"/>
      <c r="N124" s="22"/>
      <c r="O124" s="22">
        <f t="shared" si="64"/>
        <v>0</v>
      </c>
      <c r="P124" s="22"/>
      <c r="Q124" s="23">
        <f t="shared" si="59"/>
        <v>15850</v>
      </c>
      <c r="R124" s="23">
        <f t="shared" si="60"/>
        <v>0</v>
      </c>
      <c r="S124" s="23">
        <f t="shared" si="60"/>
        <v>15850</v>
      </c>
    </row>
    <row r="125" spans="2:19" ht="15" x14ac:dyDescent="0.25">
      <c r="B125" s="7">
        <f t="shared" si="61"/>
        <v>9</v>
      </c>
      <c r="C125" s="29"/>
      <c r="D125" s="29">
        <v>2</v>
      </c>
      <c r="E125" s="441" t="s">
        <v>138</v>
      </c>
      <c r="F125" s="442"/>
      <c r="G125" s="442"/>
      <c r="H125" s="442"/>
      <c r="I125" s="30">
        <f>I126</f>
        <v>34580</v>
      </c>
      <c r="J125" s="30">
        <f t="shared" ref="J125" si="68">J126</f>
        <v>0</v>
      </c>
      <c r="K125" s="30">
        <f t="shared" si="63"/>
        <v>34580</v>
      </c>
      <c r="L125" s="321"/>
      <c r="M125" s="30">
        <f>M129</f>
        <v>100</v>
      </c>
      <c r="N125" s="30">
        <f t="shared" ref="N125" si="69">N129</f>
        <v>0</v>
      </c>
      <c r="O125" s="30">
        <f t="shared" si="64"/>
        <v>100</v>
      </c>
      <c r="P125" s="321"/>
      <c r="Q125" s="32">
        <f t="shared" si="59"/>
        <v>34680</v>
      </c>
      <c r="R125" s="32">
        <f t="shared" si="60"/>
        <v>0</v>
      </c>
      <c r="S125" s="32">
        <f t="shared" si="60"/>
        <v>34680</v>
      </c>
    </row>
    <row r="126" spans="2:19" x14ac:dyDescent="0.2">
      <c r="B126" s="7">
        <f t="shared" si="61"/>
        <v>10</v>
      </c>
      <c r="C126" s="13"/>
      <c r="D126" s="13"/>
      <c r="E126" s="13"/>
      <c r="F126" s="14" t="s">
        <v>74</v>
      </c>
      <c r="G126" s="15">
        <v>630</v>
      </c>
      <c r="H126" s="13" t="s">
        <v>119</v>
      </c>
      <c r="I126" s="16">
        <f>I127+I128</f>
        <v>34580</v>
      </c>
      <c r="J126" s="16">
        <f t="shared" ref="J126" si="70">J127+J128</f>
        <v>0</v>
      </c>
      <c r="K126" s="16">
        <f t="shared" si="63"/>
        <v>34580</v>
      </c>
      <c r="L126" s="16"/>
      <c r="M126" s="16"/>
      <c r="N126" s="16"/>
      <c r="O126" s="16">
        <f t="shared" si="64"/>
        <v>0</v>
      </c>
      <c r="P126" s="16"/>
      <c r="Q126" s="18">
        <f t="shared" si="59"/>
        <v>34580</v>
      </c>
      <c r="R126" s="18">
        <f t="shared" si="60"/>
        <v>0</v>
      </c>
      <c r="S126" s="18">
        <f t="shared" si="60"/>
        <v>34580</v>
      </c>
    </row>
    <row r="127" spans="2:19" x14ac:dyDescent="0.2">
      <c r="B127" s="7">
        <f t="shared" si="61"/>
        <v>11</v>
      </c>
      <c r="C127" s="19"/>
      <c r="D127" s="19"/>
      <c r="E127" s="19"/>
      <c r="F127" s="20"/>
      <c r="G127" s="21">
        <v>636</v>
      </c>
      <c r="H127" s="19" t="s">
        <v>124</v>
      </c>
      <c r="I127" s="22">
        <v>9410</v>
      </c>
      <c r="J127" s="22"/>
      <c r="K127" s="22">
        <f t="shared" si="63"/>
        <v>9410</v>
      </c>
      <c r="L127" s="22"/>
      <c r="M127" s="22"/>
      <c r="N127" s="22"/>
      <c r="O127" s="22">
        <f t="shared" si="64"/>
        <v>0</v>
      </c>
      <c r="P127" s="22"/>
      <c r="Q127" s="23">
        <f t="shared" si="59"/>
        <v>9410</v>
      </c>
      <c r="R127" s="23">
        <f t="shared" si="60"/>
        <v>0</v>
      </c>
      <c r="S127" s="23">
        <f t="shared" si="60"/>
        <v>9410</v>
      </c>
    </row>
    <row r="128" spans="2:19" x14ac:dyDescent="0.2">
      <c r="B128" s="7">
        <f t="shared" si="61"/>
        <v>12</v>
      </c>
      <c r="C128" s="19"/>
      <c r="D128" s="19"/>
      <c r="E128" s="19"/>
      <c r="F128" s="20"/>
      <c r="G128" s="21">
        <v>637</v>
      </c>
      <c r="H128" s="19" t="s">
        <v>120</v>
      </c>
      <c r="I128" s="22">
        <v>25170</v>
      </c>
      <c r="J128" s="22"/>
      <c r="K128" s="22">
        <f t="shared" si="63"/>
        <v>25170</v>
      </c>
      <c r="L128" s="22"/>
      <c r="M128" s="22"/>
      <c r="N128" s="22"/>
      <c r="O128" s="22">
        <f t="shared" si="64"/>
        <v>0</v>
      </c>
      <c r="P128" s="22"/>
      <c r="Q128" s="23">
        <f t="shared" si="59"/>
        <v>25170</v>
      </c>
      <c r="R128" s="23">
        <f t="shared" si="60"/>
        <v>0</v>
      </c>
      <c r="S128" s="23">
        <f t="shared" si="60"/>
        <v>25170</v>
      </c>
    </row>
    <row r="129" spans="2:19" x14ac:dyDescent="0.2">
      <c r="B129" s="7">
        <f t="shared" si="61"/>
        <v>13</v>
      </c>
      <c r="C129" s="13"/>
      <c r="D129" s="13"/>
      <c r="E129" s="13"/>
      <c r="F129" s="14" t="s">
        <v>74</v>
      </c>
      <c r="G129" s="15">
        <v>710</v>
      </c>
      <c r="H129" s="13" t="s">
        <v>171</v>
      </c>
      <c r="I129" s="16"/>
      <c r="J129" s="16"/>
      <c r="K129" s="16">
        <f t="shared" si="63"/>
        <v>0</v>
      </c>
      <c r="L129" s="16"/>
      <c r="M129" s="16">
        <f>M130</f>
        <v>100</v>
      </c>
      <c r="N129" s="16">
        <f t="shared" ref="N129:N130" si="71">N130</f>
        <v>0</v>
      </c>
      <c r="O129" s="16">
        <f t="shared" si="64"/>
        <v>100</v>
      </c>
      <c r="P129" s="16"/>
      <c r="Q129" s="18">
        <f t="shared" si="59"/>
        <v>100</v>
      </c>
      <c r="R129" s="18">
        <f t="shared" si="60"/>
        <v>0</v>
      </c>
      <c r="S129" s="18">
        <f t="shared" si="60"/>
        <v>100</v>
      </c>
    </row>
    <row r="130" spans="2:19" x14ac:dyDescent="0.2">
      <c r="B130" s="7">
        <f t="shared" si="61"/>
        <v>14</v>
      </c>
      <c r="C130" s="19"/>
      <c r="D130" s="19"/>
      <c r="E130" s="19"/>
      <c r="F130" s="20"/>
      <c r="G130" s="21">
        <v>712</v>
      </c>
      <c r="H130" s="19" t="s">
        <v>58</v>
      </c>
      <c r="I130" s="22"/>
      <c r="J130" s="22"/>
      <c r="K130" s="22">
        <f t="shared" si="63"/>
        <v>0</v>
      </c>
      <c r="L130" s="22"/>
      <c r="M130" s="22">
        <f>M131</f>
        <v>100</v>
      </c>
      <c r="N130" s="22">
        <f t="shared" si="71"/>
        <v>0</v>
      </c>
      <c r="O130" s="22">
        <f t="shared" si="64"/>
        <v>100</v>
      </c>
      <c r="P130" s="22"/>
      <c r="Q130" s="23">
        <f t="shared" si="59"/>
        <v>100</v>
      </c>
      <c r="R130" s="23">
        <f t="shared" si="60"/>
        <v>0</v>
      </c>
      <c r="S130" s="23">
        <f t="shared" si="60"/>
        <v>100</v>
      </c>
    </row>
    <row r="131" spans="2:19" x14ac:dyDescent="0.2">
      <c r="B131" s="7">
        <f t="shared" si="61"/>
        <v>15</v>
      </c>
      <c r="C131" s="24"/>
      <c r="D131" s="24"/>
      <c r="E131" s="1"/>
      <c r="F131" s="25"/>
      <c r="G131" s="25"/>
      <c r="H131" s="1" t="s">
        <v>320</v>
      </c>
      <c r="I131" s="26"/>
      <c r="J131" s="26"/>
      <c r="K131" s="26">
        <f t="shared" si="63"/>
        <v>0</v>
      </c>
      <c r="L131" s="26"/>
      <c r="M131" s="26">
        <v>100</v>
      </c>
      <c r="N131" s="26"/>
      <c r="O131" s="26">
        <f t="shared" si="64"/>
        <v>100</v>
      </c>
      <c r="P131" s="26"/>
      <c r="Q131" s="28">
        <f t="shared" si="59"/>
        <v>100</v>
      </c>
      <c r="R131" s="28">
        <f t="shared" si="60"/>
        <v>0</v>
      </c>
      <c r="S131" s="28">
        <f t="shared" si="60"/>
        <v>100</v>
      </c>
    </row>
    <row r="132" spans="2:19" ht="15" x14ac:dyDescent="0.25">
      <c r="B132" s="7">
        <f t="shared" si="61"/>
        <v>16</v>
      </c>
      <c r="C132" s="29"/>
      <c r="D132" s="29">
        <v>3</v>
      </c>
      <c r="E132" s="441" t="s">
        <v>203</v>
      </c>
      <c r="F132" s="443"/>
      <c r="G132" s="443"/>
      <c r="H132" s="443"/>
      <c r="I132" s="30">
        <f>I133</f>
        <v>95500</v>
      </c>
      <c r="J132" s="30">
        <f t="shared" ref="J132" si="72">J133</f>
        <v>0</v>
      </c>
      <c r="K132" s="30">
        <f t="shared" si="63"/>
        <v>95500</v>
      </c>
      <c r="L132" s="321"/>
      <c r="M132" s="30">
        <f>M136</f>
        <v>1316439</v>
      </c>
      <c r="N132" s="30">
        <f t="shared" ref="N132" si="73">N136</f>
        <v>0</v>
      </c>
      <c r="O132" s="30">
        <f t="shared" si="64"/>
        <v>1316439</v>
      </c>
      <c r="P132" s="321"/>
      <c r="Q132" s="32">
        <f t="shared" si="59"/>
        <v>1411939</v>
      </c>
      <c r="R132" s="32">
        <f t="shared" si="60"/>
        <v>0</v>
      </c>
      <c r="S132" s="32">
        <f t="shared" si="60"/>
        <v>1411939</v>
      </c>
    </row>
    <row r="133" spans="2:19" x14ac:dyDescent="0.2">
      <c r="B133" s="7">
        <f t="shared" si="61"/>
        <v>17</v>
      </c>
      <c r="C133" s="13"/>
      <c r="D133" s="13"/>
      <c r="E133" s="13"/>
      <c r="F133" s="14" t="s">
        <v>74</v>
      </c>
      <c r="G133" s="15">
        <v>630</v>
      </c>
      <c r="H133" s="13" t="s">
        <v>119</v>
      </c>
      <c r="I133" s="16">
        <f>I134+I135</f>
        <v>95500</v>
      </c>
      <c r="J133" s="16">
        <f t="shared" ref="J133" si="74">J134+J135</f>
        <v>0</v>
      </c>
      <c r="K133" s="16">
        <f t="shared" si="63"/>
        <v>95500</v>
      </c>
      <c r="L133" s="16"/>
      <c r="M133" s="16"/>
      <c r="N133" s="16"/>
      <c r="O133" s="16">
        <f t="shared" si="64"/>
        <v>0</v>
      </c>
      <c r="P133" s="16"/>
      <c r="Q133" s="18">
        <f t="shared" si="59"/>
        <v>95500</v>
      </c>
      <c r="R133" s="18">
        <f t="shared" ref="R133:S148" si="75">N133+J133</f>
        <v>0</v>
      </c>
      <c r="S133" s="18">
        <f t="shared" si="75"/>
        <v>95500</v>
      </c>
    </row>
    <row r="134" spans="2:19" x14ac:dyDescent="0.2">
      <c r="B134" s="7">
        <f t="shared" si="61"/>
        <v>18</v>
      </c>
      <c r="C134" s="19"/>
      <c r="D134" s="19"/>
      <c r="E134" s="19"/>
      <c r="F134" s="20"/>
      <c r="G134" s="21">
        <v>636</v>
      </c>
      <c r="H134" s="19" t="s">
        <v>124</v>
      </c>
      <c r="I134" s="22">
        <v>71900</v>
      </c>
      <c r="J134" s="22"/>
      <c r="K134" s="22">
        <f t="shared" si="63"/>
        <v>71900</v>
      </c>
      <c r="L134" s="22"/>
      <c r="M134" s="22"/>
      <c r="N134" s="22"/>
      <c r="O134" s="22">
        <f t="shared" si="64"/>
        <v>0</v>
      </c>
      <c r="P134" s="22"/>
      <c r="Q134" s="23">
        <f t="shared" si="59"/>
        <v>71900</v>
      </c>
      <c r="R134" s="23">
        <f t="shared" si="75"/>
        <v>0</v>
      </c>
      <c r="S134" s="23">
        <f t="shared" si="75"/>
        <v>71900</v>
      </c>
    </row>
    <row r="135" spans="2:19" x14ac:dyDescent="0.2">
      <c r="B135" s="7">
        <f t="shared" si="61"/>
        <v>19</v>
      </c>
      <c r="C135" s="19"/>
      <c r="D135" s="19"/>
      <c r="E135" s="19"/>
      <c r="F135" s="20"/>
      <c r="G135" s="21">
        <v>637</v>
      </c>
      <c r="H135" s="19" t="s">
        <v>120</v>
      </c>
      <c r="I135" s="22">
        <v>23600</v>
      </c>
      <c r="J135" s="22"/>
      <c r="K135" s="22">
        <f t="shared" si="63"/>
        <v>23600</v>
      </c>
      <c r="L135" s="22"/>
      <c r="M135" s="22"/>
      <c r="N135" s="22"/>
      <c r="O135" s="22">
        <f t="shared" si="64"/>
        <v>0</v>
      </c>
      <c r="P135" s="22"/>
      <c r="Q135" s="23">
        <f t="shared" si="59"/>
        <v>23600</v>
      </c>
      <c r="R135" s="23">
        <f t="shared" si="75"/>
        <v>0</v>
      </c>
      <c r="S135" s="23">
        <f t="shared" si="75"/>
        <v>23600</v>
      </c>
    </row>
    <row r="136" spans="2:19" x14ac:dyDescent="0.2">
      <c r="B136" s="7">
        <f t="shared" si="61"/>
        <v>20</v>
      </c>
      <c r="C136" s="13"/>
      <c r="D136" s="13"/>
      <c r="E136" s="13"/>
      <c r="F136" s="14" t="s">
        <v>74</v>
      </c>
      <c r="G136" s="15">
        <v>710</v>
      </c>
      <c r="H136" s="13" t="s">
        <v>171</v>
      </c>
      <c r="I136" s="16"/>
      <c r="J136" s="16"/>
      <c r="K136" s="16">
        <f t="shared" si="63"/>
        <v>0</v>
      </c>
      <c r="L136" s="16"/>
      <c r="M136" s="16">
        <f>M137</f>
        <v>1316439</v>
      </c>
      <c r="N136" s="16">
        <f t="shared" ref="N136" si="76">N137</f>
        <v>0</v>
      </c>
      <c r="O136" s="16">
        <f t="shared" si="64"/>
        <v>1316439</v>
      </c>
      <c r="P136" s="16"/>
      <c r="Q136" s="18">
        <f t="shared" si="59"/>
        <v>1316439</v>
      </c>
      <c r="R136" s="18">
        <f t="shared" si="75"/>
        <v>0</v>
      </c>
      <c r="S136" s="18">
        <f t="shared" si="75"/>
        <v>1316439</v>
      </c>
    </row>
    <row r="137" spans="2:19" x14ac:dyDescent="0.2">
      <c r="B137" s="7">
        <f t="shared" si="61"/>
        <v>21</v>
      </c>
      <c r="C137" s="19"/>
      <c r="D137" s="19"/>
      <c r="E137" s="19"/>
      <c r="F137" s="20"/>
      <c r="G137" s="21">
        <v>711</v>
      </c>
      <c r="H137" s="19" t="s">
        <v>205</v>
      </c>
      <c r="I137" s="22"/>
      <c r="J137" s="22"/>
      <c r="K137" s="22">
        <f t="shared" si="63"/>
        <v>0</v>
      </c>
      <c r="L137" s="22"/>
      <c r="M137" s="22">
        <f>M138+M139</f>
        <v>1316439</v>
      </c>
      <c r="N137" s="22">
        <f t="shared" ref="N137" si="77">N138+N139</f>
        <v>0</v>
      </c>
      <c r="O137" s="22">
        <f t="shared" si="64"/>
        <v>1316439</v>
      </c>
      <c r="P137" s="22"/>
      <c r="Q137" s="23">
        <f t="shared" si="59"/>
        <v>1316439</v>
      </c>
      <c r="R137" s="23">
        <f t="shared" si="75"/>
        <v>0</v>
      </c>
      <c r="S137" s="23">
        <f t="shared" si="75"/>
        <v>1316439</v>
      </c>
    </row>
    <row r="138" spans="2:19" x14ac:dyDescent="0.2">
      <c r="B138" s="7">
        <f t="shared" si="61"/>
        <v>22</v>
      </c>
      <c r="C138" s="24"/>
      <c r="D138" s="24"/>
      <c r="E138" s="1"/>
      <c r="F138" s="25"/>
      <c r="G138" s="25"/>
      <c r="H138" s="1" t="s">
        <v>321</v>
      </c>
      <c r="I138" s="26"/>
      <c r="J138" s="26"/>
      <c r="K138" s="26">
        <f t="shared" si="63"/>
        <v>0</v>
      </c>
      <c r="L138" s="26"/>
      <c r="M138" s="26">
        <f>1200000-30000-41692+163131-40000</f>
        <v>1251439</v>
      </c>
      <c r="N138" s="26"/>
      <c r="O138" s="26">
        <f t="shared" si="64"/>
        <v>1251439</v>
      </c>
      <c r="P138" s="26"/>
      <c r="Q138" s="28">
        <f t="shared" si="59"/>
        <v>1251439</v>
      </c>
      <c r="R138" s="28">
        <f t="shared" si="75"/>
        <v>0</v>
      </c>
      <c r="S138" s="28">
        <f t="shared" si="75"/>
        <v>1251439</v>
      </c>
    </row>
    <row r="139" spans="2:19" x14ac:dyDescent="0.2">
      <c r="B139" s="7">
        <f t="shared" si="61"/>
        <v>23</v>
      </c>
      <c r="C139" s="24"/>
      <c r="D139" s="24"/>
      <c r="E139" s="1"/>
      <c r="F139" s="25"/>
      <c r="G139" s="25"/>
      <c r="H139" s="1" t="s">
        <v>424</v>
      </c>
      <c r="I139" s="26"/>
      <c r="J139" s="26"/>
      <c r="K139" s="26">
        <f t="shared" si="63"/>
        <v>0</v>
      </c>
      <c r="L139" s="26"/>
      <c r="M139" s="26">
        <f>25000+40000</f>
        <v>65000</v>
      </c>
      <c r="N139" s="26"/>
      <c r="O139" s="26">
        <f t="shared" si="64"/>
        <v>65000</v>
      </c>
      <c r="P139" s="26"/>
      <c r="Q139" s="28">
        <f t="shared" si="59"/>
        <v>65000</v>
      </c>
      <c r="R139" s="28">
        <f t="shared" si="75"/>
        <v>0</v>
      </c>
      <c r="S139" s="28">
        <f t="shared" si="75"/>
        <v>65000</v>
      </c>
    </row>
    <row r="140" spans="2:19" ht="15" x14ac:dyDescent="0.2">
      <c r="B140" s="7">
        <f t="shared" si="61"/>
        <v>24</v>
      </c>
      <c r="C140" s="10">
        <v>3</v>
      </c>
      <c r="D140" s="420" t="s">
        <v>146</v>
      </c>
      <c r="E140" s="421"/>
      <c r="F140" s="421"/>
      <c r="G140" s="421"/>
      <c r="H140" s="421"/>
      <c r="I140" s="11">
        <f>I141</f>
        <v>7600</v>
      </c>
      <c r="J140" s="11">
        <f t="shared" ref="J140" si="78">J141</f>
        <v>0</v>
      </c>
      <c r="K140" s="11">
        <f t="shared" si="63"/>
        <v>7600</v>
      </c>
      <c r="L140" s="320"/>
      <c r="M140" s="11"/>
      <c r="N140" s="11"/>
      <c r="O140" s="11">
        <f t="shared" si="64"/>
        <v>0</v>
      </c>
      <c r="P140" s="320"/>
      <c r="Q140" s="35">
        <f t="shared" si="59"/>
        <v>7600</v>
      </c>
      <c r="R140" s="35">
        <f t="shared" si="75"/>
        <v>0</v>
      </c>
      <c r="S140" s="35">
        <f t="shared" si="75"/>
        <v>7600</v>
      </c>
    </row>
    <row r="141" spans="2:19" x14ac:dyDescent="0.2">
      <c r="B141" s="7">
        <f t="shared" si="61"/>
        <v>25</v>
      </c>
      <c r="C141" s="13"/>
      <c r="D141" s="13"/>
      <c r="E141" s="13"/>
      <c r="F141" s="14"/>
      <c r="G141" s="15">
        <v>630</v>
      </c>
      <c r="H141" s="13" t="s">
        <v>119</v>
      </c>
      <c r="I141" s="16">
        <f>I142+I143</f>
        <v>7600</v>
      </c>
      <c r="J141" s="16">
        <f t="shared" ref="J141" si="79">J142+J143</f>
        <v>0</v>
      </c>
      <c r="K141" s="16">
        <f t="shared" si="63"/>
        <v>7600</v>
      </c>
      <c r="L141" s="16"/>
      <c r="M141" s="16"/>
      <c r="N141" s="16"/>
      <c r="O141" s="16">
        <f t="shared" si="64"/>
        <v>0</v>
      </c>
      <c r="P141" s="16"/>
      <c r="Q141" s="18">
        <f t="shared" si="59"/>
        <v>7600</v>
      </c>
      <c r="R141" s="18">
        <f t="shared" si="75"/>
        <v>0</v>
      </c>
      <c r="S141" s="18">
        <f t="shared" si="75"/>
        <v>7600</v>
      </c>
    </row>
    <row r="142" spans="2:19" x14ac:dyDescent="0.2">
      <c r="B142" s="7">
        <f t="shared" si="61"/>
        <v>26</v>
      </c>
      <c r="C142" s="19"/>
      <c r="D142" s="19"/>
      <c r="E142" s="19"/>
      <c r="F142" s="14" t="s">
        <v>74</v>
      </c>
      <c r="G142" s="21">
        <v>633</v>
      </c>
      <c r="H142" s="19" t="s">
        <v>123</v>
      </c>
      <c r="I142" s="22">
        <v>800</v>
      </c>
      <c r="J142" s="22"/>
      <c r="K142" s="22">
        <f t="shared" si="63"/>
        <v>800</v>
      </c>
      <c r="L142" s="22"/>
      <c r="M142" s="22"/>
      <c r="N142" s="22"/>
      <c r="O142" s="22">
        <f t="shared" si="64"/>
        <v>0</v>
      </c>
      <c r="P142" s="22"/>
      <c r="Q142" s="23">
        <f t="shared" si="59"/>
        <v>800</v>
      </c>
      <c r="R142" s="23">
        <f t="shared" si="75"/>
        <v>0</v>
      </c>
      <c r="S142" s="23">
        <f t="shared" si="75"/>
        <v>800</v>
      </c>
    </row>
    <row r="143" spans="2:19" x14ac:dyDescent="0.2">
      <c r="B143" s="7">
        <f t="shared" si="61"/>
        <v>27</v>
      </c>
      <c r="C143" s="19"/>
      <c r="D143" s="19"/>
      <c r="E143" s="19"/>
      <c r="F143" s="14" t="s">
        <v>384</v>
      </c>
      <c r="G143" s="21">
        <v>637</v>
      </c>
      <c r="H143" s="19" t="s">
        <v>120</v>
      </c>
      <c r="I143" s="22">
        <v>6800</v>
      </c>
      <c r="J143" s="22"/>
      <c r="K143" s="22">
        <f t="shared" si="63"/>
        <v>6800</v>
      </c>
      <c r="L143" s="22"/>
      <c r="M143" s="22"/>
      <c r="N143" s="22"/>
      <c r="O143" s="22">
        <f t="shared" si="64"/>
        <v>0</v>
      </c>
      <c r="P143" s="22"/>
      <c r="Q143" s="23">
        <f t="shared" si="59"/>
        <v>6800</v>
      </c>
      <c r="R143" s="23">
        <f t="shared" si="75"/>
        <v>0</v>
      </c>
      <c r="S143" s="23">
        <f t="shared" si="75"/>
        <v>6800</v>
      </c>
    </row>
    <row r="144" spans="2:19" ht="15" x14ac:dyDescent="0.2">
      <c r="B144" s="7">
        <f t="shared" si="61"/>
        <v>28</v>
      </c>
      <c r="C144" s="10">
        <v>4</v>
      </c>
      <c r="D144" s="420" t="s">
        <v>187</v>
      </c>
      <c r="E144" s="421"/>
      <c r="F144" s="421"/>
      <c r="G144" s="421"/>
      <c r="H144" s="421"/>
      <c r="I144" s="11">
        <f>I145</f>
        <v>309800</v>
      </c>
      <c r="J144" s="11">
        <f t="shared" ref="J144" si="80">J145</f>
        <v>0</v>
      </c>
      <c r="K144" s="11">
        <f t="shared" si="63"/>
        <v>309800</v>
      </c>
      <c r="L144" s="320"/>
      <c r="M144" s="11">
        <f>M150</f>
        <v>4880565</v>
      </c>
      <c r="N144" s="11">
        <f t="shared" ref="N144" si="81">N150</f>
        <v>0</v>
      </c>
      <c r="O144" s="11">
        <f t="shared" si="64"/>
        <v>4880565</v>
      </c>
      <c r="P144" s="320"/>
      <c r="Q144" s="35">
        <f t="shared" si="59"/>
        <v>5190365</v>
      </c>
      <c r="R144" s="35">
        <f t="shared" si="75"/>
        <v>0</v>
      </c>
      <c r="S144" s="35">
        <f t="shared" si="75"/>
        <v>5190365</v>
      </c>
    </row>
    <row r="145" spans="2:19" x14ac:dyDescent="0.2">
      <c r="B145" s="7">
        <f t="shared" si="61"/>
        <v>29</v>
      </c>
      <c r="C145" s="13"/>
      <c r="D145" s="13"/>
      <c r="E145" s="13"/>
      <c r="F145" s="14" t="s">
        <v>150</v>
      </c>
      <c r="G145" s="15">
        <v>630</v>
      </c>
      <c r="H145" s="13" t="s">
        <v>119</v>
      </c>
      <c r="I145" s="16">
        <f>SUM(I146:I149)</f>
        <v>309800</v>
      </c>
      <c r="J145" s="16">
        <f t="shared" ref="J145" si="82">SUM(J146:J149)</f>
        <v>0</v>
      </c>
      <c r="K145" s="16">
        <f t="shared" si="63"/>
        <v>309800</v>
      </c>
      <c r="L145" s="16"/>
      <c r="M145" s="16"/>
      <c r="N145" s="16"/>
      <c r="O145" s="16">
        <f t="shared" si="64"/>
        <v>0</v>
      </c>
      <c r="P145" s="16"/>
      <c r="Q145" s="18">
        <f t="shared" si="59"/>
        <v>309800</v>
      </c>
      <c r="R145" s="18">
        <f t="shared" si="75"/>
        <v>0</v>
      </c>
      <c r="S145" s="18">
        <f t="shared" si="75"/>
        <v>309800</v>
      </c>
    </row>
    <row r="146" spans="2:19" x14ac:dyDescent="0.2">
      <c r="B146" s="7">
        <f t="shared" si="61"/>
        <v>30</v>
      </c>
      <c r="C146" s="19"/>
      <c r="D146" s="19"/>
      <c r="E146" s="19"/>
      <c r="F146" s="20"/>
      <c r="G146" s="21">
        <v>632</v>
      </c>
      <c r="H146" s="19" t="s">
        <v>131</v>
      </c>
      <c r="I146" s="22">
        <v>94500</v>
      </c>
      <c r="J146" s="22"/>
      <c r="K146" s="22">
        <f t="shared" si="63"/>
        <v>94500</v>
      </c>
      <c r="L146" s="22"/>
      <c r="M146" s="22"/>
      <c r="N146" s="22"/>
      <c r="O146" s="22">
        <f t="shared" si="64"/>
        <v>0</v>
      </c>
      <c r="P146" s="22"/>
      <c r="Q146" s="23">
        <f t="shared" si="59"/>
        <v>94500</v>
      </c>
      <c r="R146" s="23">
        <f t="shared" si="75"/>
        <v>0</v>
      </c>
      <c r="S146" s="23">
        <f t="shared" si="75"/>
        <v>94500</v>
      </c>
    </row>
    <row r="147" spans="2:19" x14ac:dyDescent="0.2">
      <c r="B147" s="7">
        <f t="shared" si="61"/>
        <v>31</v>
      </c>
      <c r="C147" s="19"/>
      <c r="D147" s="19"/>
      <c r="E147" s="19"/>
      <c r="F147" s="20"/>
      <c r="G147" s="21">
        <v>633</v>
      </c>
      <c r="H147" s="19" t="s">
        <v>123</v>
      </c>
      <c r="I147" s="22">
        <v>19500</v>
      </c>
      <c r="J147" s="22"/>
      <c r="K147" s="22">
        <f t="shared" si="63"/>
        <v>19500</v>
      </c>
      <c r="L147" s="22"/>
      <c r="M147" s="22"/>
      <c r="N147" s="22"/>
      <c r="O147" s="22">
        <f t="shared" si="64"/>
        <v>0</v>
      </c>
      <c r="P147" s="22"/>
      <c r="Q147" s="23">
        <f t="shared" si="59"/>
        <v>19500</v>
      </c>
      <c r="R147" s="23">
        <f t="shared" si="75"/>
        <v>0</v>
      </c>
      <c r="S147" s="23">
        <f t="shared" si="75"/>
        <v>19500</v>
      </c>
    </row>
    <row r="148" spans="2:19" x14ac:dyDescent="0.2">
      <c r="B148" s="7">
        <f t="shared" si="61"/>
        <v>32</v>
      </c>
      <c r="C148" s="19"/>
      <c r="D148" s="19"/>
      <c r="E148" s="19"/>
      <c r="F148" s="20"/>
      <c r="G148" s="21">
        <v>635</v>
      </c>
      <c r="H148" s="19" t="s">
        <v>130</v>
      </c>
      <c r="I148" s="22">
        <f>100000-15500</f>
        <v>84500</v>
      </c>
      <c r="J148" s="22"/>
      <c r="K148" s="22">
        <f t="shared" si="63"/>
        <v>84500</v>
      </c>
      <c r="L148" s="22"/>
      <c r="M148" s="22"/>
      <c r="N148" s="22"/>
      <c r="O148" s="22">
        <f t="shared" si="64"/>
        <v>0</v>
      </c>
      <c r="P148" s="22"/>
      <c r="Q148" s="23">
        <f t="shared" si="59"/>
        <v>84500</v>
      </c>
      <c r="R148" s="23">
        <f t="shared" si="75"/>
        <v>0</v>
      </c>
      <c r="S148" s="23">
        <f t="shared" si="75"/>
        <v>84500</v>
      </c>
    </row>
    <row r="149" spans="2:19" x14ac:dyDescent="0.2">
      <c r="B149" s="7">
        <f t="shared" si="61"/>
        <v>33</v>
      </c>
      <c r="C149" s="19"/>
      <c r="D149" s="19"/>
      <c r="E149" s="19"/>
      <c r="F149" s="20"/>
      <c r="G149" s="21">
        <v>637</v>
      </c>
      <c r="H149" s="19" t="s">
        <v>120</v>
      </c>
      <c r="I149" s="22">
        <f>96000+15300</f>
        <v>111300</v>
      </c>
      <c r="J149" s="22"/>
      <c r="K149" s="22">
        <f t="shared" si="63"/>
        <v>111300</v>
      </c>
      <c r="L149" s="22"/>
      <c r="M149" s="22"/>
      <c r="N149" s="22"/>
      <c r="O149" s="22">
        <f t="shared" si="64"/>
        <v>0</v>
      </c>
      <c r="P149" s="22"/>
      <c r="Q149" s="23">
        <f t="shared" ref="Q149:Q180" si="83">M149+I149</f>
        <v>111300</v>
      </c>
      <c r="R149" s="23">
        <f t="shared" ref="R149:S164" si="84">N149+J149</f>
        <v>0</v>
      </c>
      <c r="S149" s="23">
        <f t="shared" si="84"/>
        <v>111300</v>
      </c>
    </row>
    <row r="150" spans="2:19" x14ac:dyDescent="0.2">
      <c r="B150" s="7">
        <f t="shared" ref="B150:B181" si="85">B149+1</f>
        <v>34</v>
      </c>
      <c r="C150" s="13"/>
      <c r="D150" s="13"/>
      <c r="E150" s="13"/>
      <c r="F150" s="14" t="s">
        <v>188</v>
      </c>
      <c r="G150" s="15">
        <v>710</v>
      </c>
      <c r="H150" s="13" t="s">
        <v>171</v>
      </c>
      <c r="I150" s="16"/>
      <c r="J150" s="16"/>
      <c r="K150" s="16">
        <f t="shared" si="63"/>
        <v>0</v>
      </c>
      <c r="L150" s="16"/>
      <c r="M150" s="16">
        <f>M151+M153+M157</f>
        <v>4880565</v>
      </c>
      <c r="N150" s="16">
        <f t="shared" ref="N150" si="86">N151+N153+N157</f>
        <v>0</v>
      </c>
      <c r="O150" s="16">
        <f t="shared" si="64"/>
        <v>4880565</v>
      </c>
      <c r="P150" s="16"/>
      <c r="Q150" s="18">
        <f t="shared" si="83"/>
        <v>4880565</v>
      </c>
      <c r="R150" s="18">
        <f t="shared" si="84"/>
        <v>0</v>
      </c>
      <c r="S150" s="18">
        <f t="shared" si="84"/>
        <v>4880565</v>
      </c>
    </row>
    <row r="151" spans="2:19" x14ac:dyDescent="0.2">
      <c r="B151" s="7">
        <f t="shared" si="85"/>
        <v>35</v>
      </c>
      <c r="C151" s="19"/>
      <c r="D151" s="19"/>
      <c r="E151" s="19"/>
      <c r="F151" s="20"/>
      <c r="G151" s="21">
        <v>713</v>
      </c>
      <c r="H151" s="19" t="s">
        <v>215</v>
      </c>
      <c r="I151" s="22"/>
      <c r="J151" s="22"/>
      <c r="K151" s="22">
        <f t="shared" si="63"/>
        <v>0</v>
      </c>
      <c r="L151" s="22"/>
      <c r="M151" s="22">
        <f>M152</f>
        <v>233000</v>
      </c>
      <c r="N151" s="22">
        <f t="shared" ref="N151" si="87">N152</f>
        <v>0</v>
      </c>
      <c r="O151" s="22">
        <f t="shared" si="64"/>
        <v>233000</v>
      </c>
      <c r="P151" s="22"/>
      <c r="Q151" s="23">
        <f t="shared" si="83"/>
        <v>233000</v>
      </c>
      <c r="R151" s="23">
        <f t="shared" si="84"/>
        <v>0</v>
      </c>
      <c r="S151" s="23">
        <f t="shared" si="84"/>
        <v>233000</v>
      </c>
    </row>
    <row r="152" spans="2:19" x14ac:dyDescent="0.2">
      <c r="B152" s="7">
        <f t="shared" si="85"/>
        <v>36</v>
      </c>
      <c r="C152" s="24"/>
      <c r="D152" s="24"/>
      <c r="E152" s="1"/>
      <c r="F152" s="25"/>
      <c r="G152" s="25"/>
      <c r="H152" s="1" t="s">
        <v>501</v>
      </c>
      <c r="I152" s="26"/>
      <c r="J152" s="26"/>
      <c r="K152" s="26">
        <f t="shared" si="63"/>
        <v>0</v>
      </c>
      <c r="L152" s="26"/>
      <c r="M152" s="26">
        <f>201705+31295</f>
        <v>233000</v>
      </c>
      <c r="N152" s="26"/>
      <c r="O152" s="26">
        <f t="shared" si="64"/>
        <v>233000</v>
      </c>
      <c r="P152" s="26"/>
      <c r="Q152" s="28">
        <f t="shared" si="83"/>
        <v>233000</v>
      </c>
      <c r="R152" s="28">
        <f t="shared" si="84"/>
        <v>0</v>
      </c>
      <c r="S152" s="28">
        <f t="shared" si="84"/>
        <v>233000</v>
      </c>
    </row>
    <row r="153" spans="2:19" x14ac:dyDescent="0.2">
      <c r="B153" s="7">
        <f t="shared" si="85"/>
        <v>37</v>
      </c>
      <c r="C153" s="19"/>
      <c r="D153" s="19"/>
      <c r="E153" s="19"/>
      <c r="F153" s="20"/>
      <c r="G153" s="21">
        <v>716</v>
      </c>
      <c r="H153" s="19" t="s">
        <v>211</v>
      </c>
      <c r="I153" s="22"/>
      <c r="J153" s="22"/>
      <c r="K153" s="22">
        <f t="shared" si="63"/>
        <v>0</v>
      </c>
      <c r="L153" s="22"/>
      <c r="M153" s="22">
        <f>SUM(M154:M156)</f>
        <v>76198</v>
      </c>
      <c r="N153" s="22">
        <f t="shared" ref="N153" si="88">SUM(N154:N156)</f>
        <v>0</v>
      </c>
      <c r="O153" s="22">
        <f t="shared" si="64"/>
        <v>76198</v>
      </c>
      <c r="P153" s="22"/>
      <c r="Q153" s="23">
        <f t="shared" si="83"/>
        <v>76198</v>
      </c>
      <c r="R153" s="23">
        <f t="shared" si="84"/>
        <v>0</v>
      </c>
      <c r="S153" s="23">
        <f t="shared" si="84"/>
        <v>76198</v>
      </c>
    </row>
    <row r="154" spans="2:19" x14ac:dyDescent="0.2">
      <c r="B154" s="7">
        <f t="shared" si="85"/>
        <v>38</v>
      </c>
      <c r="C154" s="24"/>
      <c r="D154" s="24"/>
      <c r="E154" s="1"/>
      <c r="F154" s="25"/>
      <c r="G154" s="25"/>
      <c r="H154" s="1" t="s">
        <v>471</v>
      </c>
      <c r="I154" s="26"/>
      <c r="J154" s="26"/>
      <c r="K154" s="26">
        <f t="shared" si="63"/>
        <v>0</v>
      </c>
      <c r="L154" s="26"/>
      <c r="M154" s="26">
        <v>39198</v>
      </c>
      <c r="N154" s="26"/>
      <c r="O154" s="26">
        <f t="shared" si="64"/>
        <v>39198</v>
      </c>
      <c r="P154" s="26"/>
      <c r="Q154" s="28">
        <f t="shared" si="83"/>
        <v>39198</v>
      </c>
      <c r="R154" s="28">
        <f t="shared" si="84"/>
        <v>0</v>
      </c>
      <c r="S154" s="28">
        <f t="shared" si="84"/>
        <v>39198</v>
      </c>
    </row>
    <row r="155" spans="2:19" x14ac:dyDescent="0.2">
      <c r="B155" s="7">
        <f t="shared" si="85"/>
        <v>39</v>
      </c>
      <c r="C155" s="24"/>
      <c r="D155" s="24"/>
      <c r="E155" s="1"/>
      <c r="F155" s="25"/>
      <c r="G155" s="25"/>
      <c r="H155" s="1" t="s">
        <v>543</v>
      </c>
      <c r="I155" s="26"/>
      <c r="J155" s="26"/>
      <c r="K155" s="26">
        <f t="shared" si="63"/>
        <v>0</v>
      </c>
      <c r="L155" s="26"/>
      <c r="M155" s="26">
        <v>10000</v>
      </c>
      <c r="N155" s="26"/>
      <c r="O155" s="26">
        <f t="shared" si="64"/>
        <v>10000</v>
      </c>
      <c r="P155" s="26"/>
      <c r="Q155" s="28">
        <f t="shared" si="83"/>
        <v>10000</v>
      </c>
      <c r="R155" s="28">
        <f t="shared" si="84"/>
        <v>0</v>
      </c>
      <c r="S155" s="28">
        <f t="shared" si="84"/>
        <v>10000</v>
      </c>
    </row>
    <row r="156" spans="2:19" x14ac:dyDescent="0.2">
      <c r="B156" s="7">
        <f t="shared" si="85"/>
        <v>40</v>
      </c>
      <c r="C156" s="24"/>
      <c r="D156" s="24"/>
      <c r="E156" s="1"/>
      <c r="F156" s="25"/>
      <c r="G156" s="25"/>
      <c r="H156" s="1" t="s">
        <v>401</v>
      </c>
      <c r="I156" s="26"/>
      <c r="J156" s="26"/>
      <c r="K156" s="26">
        <f t="shared" si="63"/>
        <v>0</v>
      </c>
      <c r="L156" s="26"/>
      <c r="M156" s="26">
        <f>10000+17000</f>
        <v>27000</v>
      </c>
      <c r="N156" s="26"/>
      <c r="O156" s="26">
        <f t="shared" si="64"/>
        <v>27000</v>
      </c>
      <c r="P156" s="26"/>
      <c r="Q156" s="28">
        <f t="shared" si="83"/>
        <v>27000</v>
      </c>
      <c r="R156" s="28">
        <f t="shared" si="84"/>
        <v>0</v>
      </c>
      <c r="S156" s="28">
        <f t="shared" si="84"/>
        <v>27000</v>
      </c>
    </row>
    <row r="157" spans="2:19" x14ac:dyDescent="0.2">
      <c r="B157" s="7">
        <f t="shared" si="85"/>
        <v>41</v>
      </c>
      <c r="C157" s="19"/>
      <c r="D157" s="19"/>
      <c r="E157" s="19"/>
      <c r="F157" s="20"/>
      <c r="G157" s="21">
        <v>717</v>
      </c>
      <c r="H157" s="19" t="s">
        <v>178</v>
      </c>
      <c r="I157" s="22"/>
      <c r="J157" s="22"/>
      <c r="K157" s="22">
        <f t="shared" si="63"/>
        <v>0</v>
      </c>
      <c r="L157" s="22"/>
      <c r="M157" s="22">
        <f>SUM(M158:M162)</f>
        <v>4571367</v>
      </c>
      <c r="N157" s="22">
        <f t="shared" ref="N157" si="89">SUM(N158:N162)</f>
        <v>0</v>
      </c>
      <c r="O157" s="22">
        <f t="shared" si="64"/>
        <v>4571367</v>
      </c>
      <c r="P157" s="107"/>
      <c r="Q157" s="23">
        <f t="shared" si="83"/>
        <v>4571367</v>
      </c>
      <c r="R157" s="23">
        <f t="shared" si="84"/>
        <v>0</v>
      </c>
      <c r="S157" s="23">
        <f t="shared" si="84"/>
        <v>4571367</v>
      </c>
    </row>
    <row r="158" spans="2:19" x14ac:dyDescent="0.2">
      <c r="B158" s="7">
        <f t="shared" si="85"/>
        <v>42</v>
      </c>
      <c r="C158" s="24"/>
      <c r="D158" s="24"/>
      <c r="E158" s="1"/>
      <c r="F158" s="25"/>
      <c r="G158" s="25"/>
      <c r="H158" s="1" t="s">
        <v>527</v>
      </c>
      <c r="I158" s="26"/>
      <c r="J158" s="26"/>
      <c r="K158" s="26">
        <f t="shared" si="63"/>
        <v>0</v>
      </c>
      <c r="L158" s="26"/>
      <c r="M158" s="26">
        <f>13000-1410</f>
        <v>11590</v>
      </c>
      <c r="N158" s="26"/>
      <c r="O158" s="26">
        <f t="shared" si="64"/>
        <v>11590</v>
      </c>
      <c r="P158" s="26"/>
      <c r="Q158" s="28">
        <f t="shared" si="83"/>
        <v>11590</v>
      </c>
      <c r="R158" s="28">
        <f t="shared" si="84"/>
        <v>0</v>
      </c>
      <c r="S158" s="28">
        <f t="shared" si="84"/>
        <v>11590</v>
      </c>
    </row>
    <row r="159" spans="2:19" x14ac:dyDescent="0.2">
      <c r="B159" s="7">
        <f t="shared" si="85"/>
        <v>43</v>
      </c>
      <c r="C159" s="24"/>
      <c r="D159" s="24"/>
      <c r="E159" s="1"/>
      <c r="F159" s="25"/>
      <c r="G159" s="25"/>
      <c r="H159" s="1" t="s">
        <v>472</v>
      </c>
      <c r="I159" s="26"/>
      <c r="J159" s="26"/>
      <c r="K159" s="26">
        <f t="shared" si="63"/>
        <v>0</v>
      </c>
      <c r="L159" s="26"/>
      <c r="M159" s="26">
        <v>16477</v>
      </c>
      <c r="N159" s="26"/>
      <c r="O159" s="26">
        <f t="shared" si="64"/>
        <v>16477</v>
      </c>
      <c r="P159" s="26"/>
      <c r="Q159" s="28">
        <f t="shared" si="83"/>
        <v>16477</v>
      </c>
      <c r="R159" s="28">
        <f t="shared" si="84"/>
        <v>0</v>
      </c>
      <c r="S159" s="28">
        <f t="shared" si="84"/>
        <v>16477</v>
      </c>
    </row>
    <row r="160" spans="2:19" x14ac:dyDescent="0.2">
      <c r="B160" s="7">
        <f t="shared" si="85"/>
        <v>44</v>
      </c>
      <c r="C160" s="24"/>
      <c r="D160" s="24"/>
      <c r="E160" s="1"/>
      <c r="F160" s="25"/>
      <c r="G160" s="25"/>
      <c r="H160" s="1" t="s">
        <v>544</v>
      </c>
      <c r="I160" s="26"/>
      <c r="J160" s="26"/>
      <c r="K160" s="26">
        <f t="shared" si="63"/>
        <v>0</v>
      </c>
      <c r="L160" s="26"/>
      <c r="M160" s="26">
        <v>25000</v>
      </c>
      <c r="N160" s="26"/>
      <c r="O160" s="26">
        <f t="shared" si="64"/>
        <v>25000</v>
      </c>
      <c r="P160" s="26"/>
      <c r="Q160" s="28">
        <f t="shared" si="83"/>
        <v>25000</v>
      </c>
      <c r="R160" s="28">
        <f t="shared" si="84"/>
        <v>0</v>
      </c>
      <c r="S160" s="28">
        <f t="shared" si="84"/>
        <v>25000</v>
      </c>
    </row>
    <row r="161" spans="2:19" x14ac:dyDescent="0.2">
      <c r="B161" s="7">
        <f t="shared" si="85"/>
        <v>45</v>
      </c>
      <c r="C161" s="24"/>
      <c r="D161" s="24"/>
      <c r="E161" s="1"/>
      <c r="F161" s="25"/>
      <c r="G161" s="25"/>
      <c r="H161" s="1" t="s">
        <v>682</v>
      </c>
      <c r="I161" s="26"/>
      <c r="J161" s="26"/>
      <c r="K161" s="26">
        <f t="shared" si="63"/>
        <v>0</v>
      </c>
      <c r="L161" s="26"/>
      <c r="M161" s="26">
        <v>67000</v>
      </c>
      <c r="N161" s="26"/>
      <c r="O161" s="26">
        <f t="shared" si="64"/>
        <v>67000</v>
      </c>
      <c r="P161" s="26"/>
      <c r="Q161" s="28">
        <f t="shared" si="83"/>
        <v>67000</v>
      </c>
      <c r="R161" s="28">
        <f t="shared" si="84"/>
        <v>0</v>
      </c>
      <c r="S161" s="28">
        <f t="shared" si="84"/>
        <v>67000</v>
      </c>
    </row>
    <row r="162" spans="2:19" x14ac:dyDescent="0.2">
      <c r="B162" s="7">
        <f t="shared" si="85"/>
        <v>46</v>
      </c>
      <c r="C162" s="24"/>
      <c r="D162" s="24"/>
      <c r="E162" s="1"/>
      <c r="F162" s="25"/>
      <c r="G162" s="25"/>
      <c r="H162" s="1" t="s">
        <v>651</v>
      </c>
      <c r="I162" s="26"/>
      <c r="J162" s="26"/>
      <c r="K162" s="26">
        <f t="shared" si="63"/>
        <v>0</v>
      </c>
      <c r="L162" s="26"/>
      <c r="M162" s="26">
        <f>3873300+278000+10000+290000</f>
        <v>4451300</v>
      </c>
      <c r="N162" s="26"/>
      <c r="O162" s="26">
        <f t="shared" si="64"/>
        <v>4451300</v>
      </c>
      <c r="P162" s="26"/>
      <c r="Q162" s="28">
        <f t="shared" si="83"/>
        <v>4451300</v>
      </c>
      <c r="R162" s="28">
        <f t="shared" si="84"/>
        <v>0</v>
      </c>
      <c r="S162" s="28">
        <f t="shared" si="84"/>
        <v>4451300</v>
      </c>
    </row>
    <row r="163" spans="2:19" ht="15" x14ac:dyDescent="0.2">
      <c r="B163" s="7">
        <f t="shared" si="85"/>
        <v>47</v>
      </c>
      <c r="C163" s="10">
        <v>5</v>
      </c>
      <c r="D163" s="420" t="s">
        <v>149</v>
      </c>
      <c r="E163" s="421"/>
      <c r="F163" s="421"/>
      <c r="G163" s="421"/>
      <c r="H163" s="421"/>
      <c r="I163" s="11">
        <f>I164+I165+I166+I171+I173+I174</f>
        <v>7270512</v>
      </c>
      <c r="J163" s="11">
        <f t="shared" ref="J163" si="90">J164+J165+J166+J171+J173+J174</f>
        <v>0</v>
      </c>
      <c r="K163" s="11">
        <f t="shared" si="63"/>
        <v>7270512</v>
      </c>
      <c r="L163" s="320"/>
      <c r="M163" s="11">
        <f>M175</f>
        <v>10400</v>
      </c>
      <c r="N163" s="11">
        <f t="shared" ref="N163" si="91">N175</f>
        <v>0</v>
      </c>
      <c r="O163" s="11">
        <f t="shared" si="64"/>
        <v>10400</v>
      </c>
      <c r="P163" s="272"/>
      <c r="Q163" s="35">
        <f t="shared" si="83"/>
        <v>7280912</v>
      </c>
      <c r="R163" s="35">
        <f t="shared" si="84"/>
        <v>0</v>
      </c>
      <c r="S163" s="35">
        <f t="shared" si="84"/>
        <v>7280912</v>
      </c>
    </row>
    <row r="164" spans="2:19" x14ac:dyDescent="0.2">
      <c r="B164" s="7">
        <f t="shared" si="85"/>
        <v>48</v>
      </c>
      <c r="C164" s="13"/>
      <c r="D164" s="13"/>
      <c r="E164" s="13"/>
      <c r="F164" s="14" t="s">
        <v>74</v>
      </c>
      <c r="G164" s="15">
        <v>610</v>
      </c>
      <c r="H164" s="13" t="s">
        <v>510</v>
      </c>
      <c r="I164" s="16">
        <v>4140000</v>
      </c>
      <c r="J164" s="16"/>
      <c r="K164" s="16">
        <f t="shared" si="63"/>
        <v>4140000</v>
      </c>
      <c r="L164" s="16"/>
      <c r="M164" s="16"/>
      <c r="N164" s="16"/>
      <c r="O164" s="16">
        <f t="shared" si="64"/>
        <v>0</v>
      </c>
      <c r="P164" s="16"/>
      <c r="Q164" s="18">
        <f t="shared" si="83"/>
        <v>4140000</v>
      </c>
      <c r="R164" s="18">
        <f t="shared" si="84"/>
        <v>0</v>
      </c>
      <c r="S164" s="18">
        <f t="shared" si="84"/>
        <v>4140000</v>
      </c>
    </row>
    <row r="165" spans="2:19" x14ac:dyDescent="0.2">
      <c r="B165" s="7">
        <f t="shared" si="85"/>
        <v>49</v>
      </c>
      <c r="C165" s="13"/>
      <c r="D165" s="13"/>
      <c r="E165" s="13"/>
      <c r="F165" s="14" t="s">
        <v>74</v>
      </c>
      <c r="G165" s="15">
        <v>620</v>
      </c>
      <c r="H165" s="13" t="s">
        <v>122</v>
      </c>
      <c r="I165" s="16">
        <v>1650000</v>
      </c>
      <c r="J165" s="16"/>
      <c r="K165" s="16">
        <f t="shared" si="63"/>
        <v>1650000</v>
      </c>
      <c r="L165" s="16"/>
      <c r="M165" s="16"/>
      <c r="N165" s="16"/>
      <c r="O165" s="16">
        <f t="shared" si="64"/>
        <v>0</v>
      </c>
      <c r="P165" s="16"/>
      <c r="Q165" s="18">
        <f t="shared" si="83"/>
        <v>1650000</v>
      </c>
      <c r="R165" s="18">
        <f t="shared" ref="R165:S180" si="92">N165+J165</f>
        <v>0</v>
      </c>
      <c r="S165" s="18">
        <f t="shared" si="92"/>
        <v>1650000</v>
      </c>
    </row>
    <row r="166" spans="2:19" x14ac:dyDescent="0.2">
      <c r="B166" s="7">
        <f t="shared" si="85"/>
        <v>50</v>
      </c>
      <c r="C166" s="13"/>
      <c r="D166" s="13"/>
      <c r="E166" s="13"/>
      <c r="F166" s="14" t="s">
        <v>74</v>
      </c>
      <c r="G166" s="15">
        <v>630</v>
      </c>
      <c r="H166" s="13" t="s">
        <v>119</v>
      </c>
      <c r="I166" s="16">
        <f>SUM(I167:I170)</f>
        <v>746280</v>
      </c>
      <c r="J166" s="16">
        <f t="shared" ref="J166" si="93">SUM(J167:J170)</f>
        <v>0</v>
      </c>
      <c r="K166" s="16">
        <f t="shared" si="63"/>
        <v>746280</v>
      </c>
      <c r="L166" s="16"/>
      <c r="M166" s="16"/>
      <c r="N166" s="16"/>
      <c r="O166" s="16">
        <f t="shared" si="64"/>
        <v>0</v>
      </c>
      <c r="P166" s="16"/>
      <c r="Q166" s="18">
        <f t="shared" si="83"/>
        <v>746280</v>
      </c>
      <c r="R166" s="18">
        <f t="shared" si="92"/>
        <v>0</v>
      </c>
      <c r="S166" s="18">
        <f t="shared" si="92"/>
        <v>746280</v>
      </c>
    </row>
    <row r="167" spans="2:19" x14ac:dyDescent="0.2">
      <c r="B167" s="7">
        <f t="shared" si="85"/>
        <v>51</v>
      </c>
      <c r="C167" s="19"/>
      <c r="D167" s="19"/>
      <c r="E167" s="19"/>
      <c r="F167" s="20"/>
      <c r="G167" s="21">
        <v>632</v>
      </c>
      <c r="H167" s="19" t="s">
        <v>131</v>
      </c>
      <c r="I167" s="22">
        <f>234060-780-5000-15000</f>
        <v>213280</v>
      </c>
      <c r="J167" s="22"/>
      <c r="K167" s="22">
        <f t="shared" si="63"/>
        <v>213280</v>
      </c>
      <c r="L167" s="22"/>
      <c r="M167" s="22"/>
      <c r="N167" s="22"/>
      <c r="O167" s="22">
        <f t="shared" si="64"/>
        <v>0</v>
      </c>
      <c r="P167" s="22"/>
      <c r="Q167" s="23">
        <f t="shared" si="83"/>
        <v>213280</v>
      </c>
      <c r="R167" s="23">
        <f t="shared" si="92"/>
        <v>0</v>
      </c>
      <c r="S167" s="23">
        <f t="shared" si="92"/>
        <v>213280</v>
      </c>
    </row>
    <row r="168" spans="2:19" x14ac:dyDescent="0.2">
      <c r="B168" s="7">
        <f t="shared" si="85"/>
        <v>52</v>
      </c>
      <c r="C168" s="19"/>
      <c r="D168" s="19"/>
      <c r="E168" s="19"/>
      <c r="F168" s="20"/>
      <c r="G168" s="21">
        <v>633</v>
      </c>
      <c r="H168" s="19" t="s">
        <v>123</v>
      </c>
      <c r="I168" s="22">
        <v>62500</v>
      </c>
      <c r="J168" s="22"/>
      <c r="K168" s="22">
        <f t="shared" si="63"/>
        <v>62500</v>
      </c>
      <c r="L168" s="22"/>
      <c r="M168" s="22"/>
      <c r="N168" s="22"/>
      <c r="O168" s="22">
        <f t="shared" si="64"/>
        <v>0</v>
      </c>
      <c r="P168" s="22"/>
      <c r="Q168" s="23">
        <f t="shared" si="83"/>
        <v>62500</v>
      </c>
      <c r="R168" s="23">
        <f t="shared" si="92"/>
        <v>0</v>
      </c>
      <c r="S168" s="23">
        <f t="shared" si="92"/>
        <v>62500</v>
      </c>
    </row>
    <row r="169" spans="2:19" x14ac:dyDescent="0.2">
      <c r="B169" s="7">
        <f t="shared" si="85"/>
        <v>53</v>
      </c>
      <c r="C169" s="19"/>
      <c r="D169" s="19"/>
      <c r="E169" s="19"/>
      <c r="F169" s="20"/>
      <c r="G169" s="21">
        <v>635</v>
      </c>
      <c r="H169" s="19" t="s">
        <v>130</v>
      </c>
      <c r="I169" s="22">
        <v>67500</v>
      </c>
      <c r="J169" s="22"/>
      <c r="K169" s="22">
        <f t="shared" si="63"/>
        <v>67500</v>
      </c>
      <c r="L169" s="22"/>
      <c r="M169" s="22"/>
      <c r="N169" s="22"/>
      <c r="O169" s="22">
        <f t="shared" si="64"/>
        <v>0</v>
      </c>
      <c r="P169" s="22"/>
      <c r="Q169" s="23">
        <f t="shared" si="83"/>
        <v>67500</v>
      </c>
      <c r="R169" s="23">
        <f t="shared" si="92"/>
        <v>0</v>
      </c>
      <c r="S169" s="23">
        <f t="shared" si="92"/>
        <v>67500</v>
      </c>
    </row>
    <row r="170" spans="2:19" x14ac:dyDescent="0.2">
      <c r="B170" s="7">
        <f t="shared" si="85"/>
        <v>54</v>
      </c>
      <c r="C170" s="19"/>
      <c r="D170" s="19"/>
      <c r="E170" s="19"/>
      <c r="F170" s="20"/>
      <c r="G170" s="21">
        <v>637</v>
      </c>
      <c r="H170" s="19" t="s">
        <v>120</v>
      </c>
      <c r="I170" s="22">
        <f>390500+12500</f>
        <v>403000</v>
      </c>
      <c r="J170" s="22"/>
      <c r="K170" s="22">
        <f t="shared" si="63"/>
        <v>403000</v>
      </c>
      <c r="L170" s="22"/>
      <c r="M170" s="22"/>
      <c r="N170" s="22"/>
      <c r="O170" s="22">
        <f t="shared" si="64"/>
        <v>0</v>
      </c>
      <c r="P170" s="22"/>
      <c r="Q170" s="23">
        <f t="shared" si="83"/>
        <v>403000</v>
      </c>
      <c r="R170" s="23">
        <f t="shared" si="92"/>
        <v>0</v>
      </c>
      <c r="S170" s="23">
        <f t="shared" si="92"/>
        <v>403000</v>
      </c>
    </row>
    <row r="171" spans="2:19" x14ac:dyDescent="0.2">
      <c r="B171" s="7">
        <f t="shared" si="85"/>
        <v>55</v>
      </c>
      <c r="C171" s="13"/>
      <c r="D171" s="13"/>
      <c r="E171" s="13"/>
      <c r="F171" s="14" t="s">
        <v>241</v>
      </c>
      <c r="G171" s="15">
        <v>630</v>
      </c>
      <c r="H171" s="13" t="s">
        <v>119</v>
      </c>
      <c r="I171" s="16">
        <f>I172</f>
        <v>25000</v>
      </c>
      <c r="J171" s="16">
        <f t="shared" ref="J171" si="94">J172</f>
        <v>0</v>
      </c>
      <c r="K171" s="16">
        <f t="shared" si="63"/>
        <v>25000</v>
      </c>
      <c r="L171" s="16"/>
      <c r="M171" s="16"/>
      <c r="N171" s="16"/>
      <c r="O171" s="16">
        <f t="shared" si="64"/>
        <v>0</v>
      </c>
      <c r="P171" s="16"/>
      <c r="Q171" s="18">
        <f t="shared" si="83"/>
        <v>25000</v>
      </c>
      <c r="R171" s="18">
        <f t="shared" si="92"/>
        <v>0</v>
      </c>
      <c r="S171" s="18">
        <f t="shared" si="92"/>
        <v>25000</v>
      </c>
    </row>
    <row r="172" spans="2:19" x14ac:dyDescent="0.2">
      <c r="B172" s="7">
        <f t="shared" si="85"/>
        <v>56</v>
      </c>
      <c r="C172" s="19"/>
      <c r="D172" s="19"/>
      <c r="E172" s="19"/>
      <c r="F172" s="20"/>
      <c r="G172" s="21">
        <v>637</v>
      </c>
      <c r="H172" s="19" t="s">
        <v>120</v>
      </c>
      <c r="I172" s="22">
        <v>25000</v>
      </c>
      <c r="J172" s="22"/>
      <c r="K172" s="22">
        <f t="shared" si="63"/>
        <v>25000</v>
      </c>
      <c r="L172" s="22"/>
      <c r="M172" s="22"/>
      <c r="N172" s="22"/>
      <c r="O172" s="22">
        <f t="shared" si="64"/>
        <v>0</v>
      </c>
      <c r="P172" s="22"/>
      <c r="Q172" s="23">
        <f t="shared" si="83"/>
        <v>25000</v>
      </c>
      <c r="R172" s="23">
        <f t="shared" si="92"/>
        <v>0</v>
      </c>
      <c r="S172" s="23">
        <f t="shared" si="92"/>
        <v>25000</v>
      </c>
    </row>
    <row r="173" spans="2:19" x14ac:dyDescent="0.2">
      <c r="B173" s="7">
        <f t="shared" si="85"/>
        <v>57</v>
      </c>
      <c r="C173" s="13"/>
      <c r="D173" s="13"/>
      <c r="E173" s="13"/>
      <c r="F173" s="14" t="s">
        <v>204</v>
      </c>
      <c r="G173" s="15">
        <v>650</v>
      </c>
      <c r="H173" s="13" t="s">
        <v>399</v>
      </c>
      <c r="I173" s="16">
        <f>450000-4068-16700-3000-5000</f>
        <v>421232</v>
      </c>
      <c r="J173" s="16"/>
      <c r="K173" s="16">
        <f t="shared" si="63"/>
        <v>421232</v>
      </c>
      <c r="L173" s="326"/>
      <c r="M173" s="16"/>
      <c r="N173" s="16"/>
      <c r="O173" s="16">
        <f t="shared" si="64"/>
        <v>0</v>
      </c>
      <c r="P173" s="16"/>
      <c r="Q173" s="18">
        <f t="shared" si="83"/>
        <v>421232</v>
      </c>
      <c r="R173" s="18">
        <f t="shared" si="92"/>
        <v>0</v>
      </c>
      <c r="S173" s="18">
        <f t="shared" si="92"/>
        <v>421232</v>
      </c>
    </row>
    <row r="174" spans="2:19" x14ac:dyDescent="0.2">
      <c r="B174" s="7">
        <f t="shared" si="85"/>
        <v>58</v>
      </c>
      <c r="C174" s="13"/>
      <c r="D174" s="13"/>
      <c r="E174" s="13"/>
      <c r="F174" s="14" t="s">
        <v>74</v>
      </c>
      <c r="G174" s="15">
        <v>640</v>
      </c>
      <c r="H174" s="13" t="s">
        <v>127</v>
      </c>
      <c r="I174" s="16">
        <v>288000</v>
      </c>
      <c r="J174" s="16"/>
      <c r="K174" s="16">
        <f t="shared" si="63"/>
        <v>288000</v>
      </c>
      <c r="L174" s="16"/>
      <c r="M174" s="16"/>
      <c r="N174" s="16"/>
      <c r="O174" s="16">
        <f t="shared" si="64"/>
        <v>0</v>
      </c>
      <c r="P174" s="16"/>
      <c r="Q174" s="18">
        <f t="shared" si="83"/>
        <v>288000</v>
      </c>
      <c r="R174" s="18">
        <f t="shared" si="92"/>
        <v>0</v>
      </c>
      <c r="S174" s="18">
        <f t="shared" si="92"/>
        <v>288000</v>
      </c>
    </row>
    <row r="175" spans="2:19" x14ac:dyDescent="0.2">
      <c r="B175" s="7">
        <f t="shared" si="85"/>
        <v>59</v>
      </c>
      <c r="C175" s="13"/>
      <c r="D175" s="13"/>
      <c r="E175" s="13"/>
      <c r="F175" s="14" t="s">
        <v>74</v>
      </c>
      <c r="G175" s="15">
        <v>710</v>
      </c>
      <c r="H175" s="13" t="s">
        <v>171</v>
      </c>
      <c r="I175" s="16"/>
      <c r="J175" s="16"/>
      <c r="K175" s="16">
        <f t="shared" si="63"/>
        <v>0</v>
      </c>
      <c r="L175" s="16"/>
      <c r="M175" s="16">
        <f>M176</f>
        <v>10400</v>
      </c>
      <c r="N175" s="16">
        <f t="shared" ref="N175" si="95">N176</f>
        <v>0</v>
      </c>
      <c r="O175" s="16">
        <f t="shared" si="64"/>
        <v>10400</v>
      </c>
      <c r="P175" s="16"/>
      <c r="Q175" s="18">
        <f t="shared" si="83"/>
        <v>10400</v>
      </c>
      <c r="R175" s="18">
        <f t="shared" si="92"/>
        <v>0</v>
      </c>
      <c r="S175" s="18">
        <f t="shared" si="92"/>
        <v>10400</v>
      </c>
    </row>
    <row r="176" spans="2:19" x14ac:dyDescent="0.2">
      <c r="B176" s="7">
        <f t="shared" si="85"/>
        <v>60</v>
      </c>
      <c r="C176" s="13"/>
      <c r="D176" s="13"/>
      <c r="E176" s="13"/>
      <c r="F176" s="14"/>
      <c r="G176" s="21">
        <v>717</v>
      </c>
      <c r="H176" s="19" t="s">
        <v>178</v>
      </c>
      <c r="I176" s="22"/>
      <c r="J176" s="22"/>
      <c r="K176" s="22">
        <f t="shared" si="63"/>
        <v>0</v>
      </c>
      <c r="L176" s="22"/>
      <c r="M176" s="22">
        <f>SUM(M177:M180)</f>
        <v>10400</v>
      </c>
      <c r="N176" s="22">
        <f t="shared" ref="N176" si="96">SUM(N177:N180)</f>
        <v>0</v>
      </c>
      <c r="O176" s="22">
        <f t="shared" si="64"/>
        <v>10400</v>
      </c>
      <c r="P176" s="107">
        <f>SUM(P177:P180)</f>
        <v>0</v>
      </c>
      <c r="Q176" s="23">
        <f t="shared" si="83"/>
        <v>10400</v>
      </c>
      <c r="R176" s="23">
        <f t="shared" si="92"/>
        <v>0</v>
      </c>
      <c r="S176" s="23">
        <f t="shared" si="92"/>
        <v>10400</v>
      </c>
    </row>
    <row r="177" spans="2:19" x14ac:dyDescent="0.2">
      <c r="B177" s="7">
        <f t="shared" si="85"/>
        <v>61</v>
      </c>
      <c r="C177" s="13"/>
      <c r="D177" s="13"/>
      <c r="E177" s="13"/>
      <c r="F177" s="14"/>
      <c r="G177" s="25"/>
      <c r="H177" s="1" t="s">
        <v>622</v>
      </c>
      <c r="I177" s="26"/>
      <c r="J177" s="26"/>
      <c r="K177" s="26">
        <f t="shared" si="63"/>
        <v>0</v>
      </c>
      <c r="L177" s="26"/>
      <c r="M177" s="26">
        <v>10400</v>
      </c>
      <c r="N177" s="26"/>
      <c r="O177" s="26">
        <f t="shared" si="64"/>
        <v>10400</v>
      </c>
      <c r="P177" s="26"/>
      <c r="Q177" s="28">
        <f t="shared" si="83"/>
        <v>10400</v>
      </c>
      <c r="R177" s="28">
        <f t="shared" si="92"/>
        <v>0</v>
      </c>
      <c r="S177" s="28">
        <f t="shared" si="92"/>
        <v>10400</v>
      </c>
    </row>
    <row r="178" spans="2:19" ht="15" x14ac:dyDescent="0.2">
      <c r="B178" s="7">
        <f t="shared" si="85"/>
        <v>62</v>
      </c>
      <c r="C178" s="10">
        <v>6</v>
      </c>
      <c r="D178" s="420" t="s">
        <v>254</v>
      </c>
      <c r="E178" s="421"/>
      <c r="F178" s="421"/>
      <c r="G178" s="421"/>
      <c r="H178" s="421"/>
      <c r="I178" s="11">
        <f>I179+I181</f>
        <v>16530</v>
      </c>
      <c r="J178" s="11">
        <f t="shared" ref="J178" si="97">J179+J181</f>
        <v>0</v>
      </c>
      <c r="K178" s="11">
        <f t="shared" si="63"/>
        <v>16530</v>
      </c>
      <c r="L178" s="320"/>
      <c r="M178" s="11"/>
      <c r="N178" s="11"/>
      <c r="O178" s="11">
        <f t="shared" si="64"/>
        <v>0</v>
      </c>
      <c r="P178" s="320"/>
      <c r="Q178" s="35">
        <f t="shared" si="83"/>
        <v>16530</v>
      </c>
      <c r="R178" s="35">
        <f t="shared" si="92"/>
        <v>0</v>
      </c>
      <c r="S178" s="35">
        <f t="shared" si="92"/>
        <v>16530</v>
      </c>
    </row>
    <row r="179" spans="2:19" x14ac:dyDescent="0.2">
      <c r="B179" s="7">
        <f t="shared" si="85"/>
        <v>63</v>
      </c>
      <c r="C179" s="13"/>
      <c r="D179" s="13"/>
      <c r="E179" s="13"/>
      <c r="F179" s="14" t="s">
        <v>74</v>
      </c>
      <c r="G179" s="15">
        <v>630</v>
      </c>
      <c r="H179" s="13" t="s">
        <v>119</v>
      </c>
      <c r="I179" s="16">
        <f>I180</f>
        <v>5100</v>
      </c>
      <c r="J179" s="16">
        <f t="shared" ref="J179" si="98">J180</f>
        <v>0</v>
      </c>
      <c r="K179" s="16">
        <f t="shared" si="63"/>
        <v>5100</v>
      </c>
      <c r="L179" s="16"/>
      <c r="M179" s="16"/>
      <c r="N179" s="16"/>
      <c r="O179" s="16">
        <f t="shared" si="64"/>
        <v>0</v>
      </c>
      <c r="P179" s="16"/>
      <c r="Q179" s="18">
        <f t="shared" si="83"/>
        <v>5100</v>
      </c>
      <c r="R179" s="18">
        <f t="shared" si="92"/>
        <v>0</v>
      </c>
      <c r="S179" s="18">
        <f t="shared" si="92"/>
        <v>5100</v>
      </c>
    </row>
    <row r="180" spans="2:19" x14ac:dyDescent="0.2">
      <c r="B180" s="7">
        <f t="shared" si="85"/>
        <v>64</v>
      </c>
      <c r="C180" s="19"/>
      <c r="D180" s="19"/>
      <c r="E180" s="19"/>
      <c r="F180" s="20"/>
      <c r="G180" s="21">
        <v>631</v>
      </c>
      <c r="H180" s="19" t="s">
        <v>125</v>
      </c>
      <c r="I180" s="22">
        <v>5100</v>
      </c>
      <c r="J180" s="22"/>
      <c r="K180" s="22">
        <f t="shared" si="63"/>
        <v>5100</v>
      </c>
      <c r="L180" s="22"/>
      <c r="M180" s="22"/>
      <c r="N180" s="22"/>
      <c r="O180" s="22">
        <f t="shared" si="64"/>
        <v>0</v>
      </c>
      <c r="P180" s="22"/>
      <c r="Q180" s="23">
        <f t="shared" si="83"/>
        <v>5100</v>
      </c>
      <c r="R180" s="23">
        <f t="shared" si="92"/>
        <v>0</v>
      </c>
      <c r="S180" s="23">
        <f t="shared" si="92"/>
        <v>5100</v>
      </c>
    </row>
    <row r="181" spans="2:19" x14ac:dyDescent="0.2">
      <c r="B181" s="7">
        <f t="shared" si="85"/>
        <v>65</v>
      </c>
      <c r="C181" s="13"/>
      <c r="D181" s="13"/>
      <c r="E181" s="13"/>
      <c r="F181" s="14" t="s">
        <v>155</v>
      </c>
      <c r="G181" s="15">
        <v>630</v>
      </c>
      <c r="H181" s="13" t="s">
        <v>119</v>
      </c>
      <c r="I181" s="16">
        <f>I182</f>
        <v>11430</v>
      </c>
      <c r="J181" s="16">
        <f t="shared" ref="J181" si="99">J182</f>
        <v>0</v>
      </c>
      <c r="K181" s="16">
        <f t="shared" si="63"/>
        <v>11430</v>
      </c>
      <c r="L181" s="16"/>
      <c r="M181" s="16"/>
      <c r="N181" s="16"/>
      <c r="O181" s="16">
        <f t="shared" si="64"/>
        <v>0</v>
      </c>
      <c r="P181" s="16"/>
      <c r="Q181" s="18">
        <f t="shared" ref="Q181:Q201" si="100">M181+I181</f>
        <v>11430</v>
      </c>
      <c r="R181" s="18">
        <f t="shared" ref="R181:S196" si="101">N181+J181</f>
        <v>0</v>
      </c>
      <c r="S181" s="18">
        <f t="shared" si="101"/>
        <v>11430</v>
      </c>
    </row>
    <row r="182" spans="2:19" x14ac:dyDescent="0.2">
      <c r="B182" s="7">
        <f t="shared" ref="B182:B201" si="102">B181+1</f>
        <v>66</v>
      </c>
      <c r="C182" s="19"/>
      <c r="D182" s="19"/>
      <c r="E182" s="19"/>
      <c r="F182" s="20"/>
      <c r="G182" s="21">
        <v>637</v>
      </c>
      <c r="H182" s="19" t="s">
        <v>120</v>
      </c>
      <c r="I182" s="22">
        <f>13430-2000</f>
        <v>11430</v>
      </c>
      <c r="J182" s="22"/>
      <c r="K182" s="22">
        <f t="shared" ref="K182:K201" si="103">I182+J182</f>
        <v>11430</v>
      </c>
      <c r="L182" s="22"/>
      <c r="M182" s="22"/>
      <c r="N182" s="22"/>
      <c r="O182" s="22">
        <f t="shared" ref="O182:O201" si="104">M182+N182</f>
        <v>0</v>
      </c>
      <c r="P182" s="22"/>
      <c r="Q182" s="23">
        <f t="shared" si="100"/>
        <v>11430</v>
      </c>
      <c r="R182" s="23">
        <f t="shared" si="101"/>
        <v>0</v>
      </c>
      <c r="S182" s="23">
        <f t="shared" si="101"/>
        <v>11430</v>
      </c>
    </row>
    <row r="183" spans="2:19" ht="15" x14ac:dyDescent="0.2">
      <c r="B183" s="7">
        <f t="shared" si="102"/>
        <v>67</v>
      </c>
      <c r="C183" s="10">
        <v>7</v>
      </c>
      <c r="D183" s="420" t="s">
        <v>132</v>
      </c>
      <c r="E183" s="421"/>
      <c r="F183" s="421"/>
      <c r="G183" s="421"/>
      <c r="H183" s="421"/>
      <c r="I183" s="11">
        <f>I184</f>
        <v>570000</v>
      </c>
      <c r="J183" s="11">
        <f t="shared" ref="J183" si="105">J184</f>
        <v>-15000</v>
      </c>
      <c r="K183" s="11">
        <f t="shared" si="103"/>
        <v>555000</v>
      </c>
      <c r="L183" s="320"/>
      <c r="M183" s="11">
        <f>M190</f>
        <v>35000</v>
      </c>
      <c r="N183" s="11">
        <f t="shared" ref="N183" si="106">N190</f>
        <v>15000</v>
      </c>
      <c r="O183" s="11">
        <f t="shared" si="104"/>
        <v>50000</v>
      </c>
      <c r="P183" s="320"/>
      <c r="Q183" s="35">
        <f t="shared" si="100"/>
        <v>605000</v>
      </c>
      <c r="R183" s="35">
        <f t="shared" si="101"/>
        <v>0</v>
      </c>
      <c r="S183" s="35">
        <f t="shared" si="101"/>
        <v>605000</v>
      </c>
    </row>
    <row r="184" spans="2:19" x14ac:dyDescent="0.2">
      <c r="B184" s="7">
        <f t="shared" si="102"/>
        <v>68</v>
      </c>
      <c r="C184" s="13"/>
      <c r="D184" s="13"/>
      <c r="E184" s="13"/>
      <c r="F184" s="14" t="s">
        <v>74</v>
      </c>
      <c r="G184" s="15">
        <v>630</v>
      </c>
      <c r="H184" s="13" t="s">
        <v>119</v>
      </c>
      <c r="I184" s="16">
        <f>SUM(I185:I189)</f>
        <v>570000</v>
      </c>
      <c r="J184" s="16">
        <f t="shared" ref="J184" si="107">SUM(J185:J189)</f>
        <v>-15000</v>
      </c>
      <c r="K184" s="16">
        <f t="shared" si="103"/>
        <v>555000</v>
      </c>
      <c r="L184" s="16"/>
      <c r="M184" s="16"/>
      <c r="N184" s="16"/>
      <c r="O184" s="16">
        <f t="shared" si="104"/>
        <v>0</v>
      </c>
      <c r="P184" s="16"/>
      <c r="Q184" s="18">
        <f t="shared" si="100"/>
        <v>570000</v>
      </c>
      <c r="R184" s="18">
        <f t="shared" si="101"/>
        <v>-15000</v>
      </c>
      <c r="S184" s="18">
        <f t="shared" si="101"/>
        <v>555000</v>
      </c>
    </row>
    <row r="185" spans="2:19" x14ac:dyDescent="0.2">
      <c r="B185" s="7">
        <f t="shared" si="102"/>
        <v>69</v>
      </c>
      <c r="C185" s="19"/>
      <c r="D185" s="19"/>
      <c r="E185" s="19"/>
      <c r="F185" s="20"/>
      <c r="G185" s="21">
        <v>632</v>
      </c>
      <c r="H185" s="19" t="s">
        <v>131</v>
      </c>
      <c r="I185" s="22">
        <v>9400</v>
      </c>
      <c r="J185" s="22"/>
      <c r="K185" s="22">
        <f t="shared" si="103"/>
        <v>9400</v>
      </c>
      <c r="L185" s="22"/>
      <c r="M185" s="22"/>
      <c r="N185" s="22"/>
      <c r="O185" s="22">
        <f t="shared" si="104"/>
        <v>0</v>
      </c>
      <c r="P185" s="22"/>
      <c r="Q185" s="23">
        <f t="shared" si="100"/>
        <v>9400</v>
      </c>
      <c r="R185" s="23">
        <f t="shared" si="101"/>
        <v>0</v>
      </c>
      <c r="S185" s="23">
        <f t="shared" si="101"/>
        <v>9400</v>
      </c>
    </row>
    <row r="186" spans="2:19" x14ac:dyDescent="0.2">
      <c r="B186" s="7">
        <f t="shared" si="102"/>
        <v>70</v>
      </c>
      <c r="C186" s="19"/>
      <c r="D186" s="19"/>
      <c r="E186" s="19"/>
      <c r="F186" s="20"/>
      <c r="G186" s="21">
        <v>633</v>
      </c>
      <c r="H186" s="19" t="s">
        <v>123</v>
      </c>
      <c r="I186" s="22">
        <v>114500</v>
      </c>
      <c r="J186" s="22">
        <f>10000+5000</f>
        <v>15000</v>
      </c>
      <c r="K186" s="22">
        <f t="shared" si="103"/>
        <v>129500</v>
      </c>
      <c r="L186" s="22"/>
      <c r="M186" s="22"/>
      <c r="N186" s="22"/>
      <c r="O186" s="22">
        <f t="shared" si="104"/>
        <v>0</v>
      </c>
      <c r="P186" s="22"/>
      <c r="Q186" s="23">
        <f t="shared" si="100"/>
        <v>114500</v>
      </c>
      <c r="R186" s="23">
        <f t="shared" si="101"/>
        <v>15000</v>
      </c>
      <c r="S186" s="23">
        <f t="shared" si="101"/>
        <v>129500</v>
      </c>
    </row>
    <row r="187" spans="2:19" x14ac:dyDescent="0.2">
      <c r="B187" s="7">
        <f t="shared" si="102"/>
        <v>71</v>
      </c>
      <c r="C187" s="19"/>
      <c r="D187" s="19"/>
      <c r="E187" s="19"/>
      <c r="F187" s="20"/>
      <c r="G187" s="21">
        <v>635</v>
      </c>
      <c r="H187" s="19" t="s">
        <v>130</v>
      </c>
      <c r="I187" s="22">
        <v>339500</v>
      </c>
      <c r="J187" s="22">
        <f>-15000-10000</f>
        <v>-25000</v>
      </c>
      <c r="K187" s="22">
        <f t="shared" si="103"/>
        <v>314500</v>
      </c>
      <c r="L187" s="22"/>
      <c r="M187" s="22"/>
      <c r="N187" s="22"/>
      <c r="O187" s="22">
        <f t="shared" si="104"/>
        <v>0</v>
      </c>
      <c r="P187" s="22"/>
      <c r="Q187" s="23">
        <f t="shared" si="100"/>
        <v>339500</v>
      </c>
      <c r="R187" s="23">
        <f t="shared" si="101"/>
        <v>-25000</v>
      </c>
      <c r="S187" s="23">
        <f t="shared" si="101"/>
        <v>314500</v>
      </c>
    </row>
    <row r="188" spans="2:19" x14ac:dyDescent="0.2">
      <c r="B188" s="7">
        <f t="shared" si="102"/>
        <v>72</v>
      </c>
      <c r="C188" s="19"/>
      <c r="D188" s="19"/>
      <c r="E188" s="19"/>
      <c r="F188" s="20"/>
      <c r="G188" s="21">
        <v>636</v>
      </c>
      <c r="H188" s="19" t="s">
        <v>124</v>
      </c>
      <c r="I188" s="22">
        <v>46500</v>
      </c>
      <c r="J188" s="22"/>
      <c r="K188" s="22">
        <f t="shared" si="103"/>
        <v>46500</v>
      </c>
      <c r="L188" s="22"/>
      <c r="M188" s="22"/>
      <c r="N188" s="22"/>
      <c r="O188" s="22">
        <f t="shared" si="104"/>
        <v>0</v>
      </c>
      <c r="P188" s="22"/>
      <c r="Q188" s="23">
        <f t="shared" si="100"/>
        <v>46500</v>
      </c>
      <c r="R188" s="23">
        <f t="shared" si="101"/>
        <v>0</v>
      </c>
      <c r="S188" s="23">
        <f t="shared" si="101"/>
        <v>46500</v>
      </c>
    </row>
    <row r="189" spans="2:19" x14ac:dyDescent="0.2">
      <c r="B189" s="7">
        <f t="shared" si="102"/>
        <v>73</v>
      </c>
      <c r="C189" s="19"/>
      <c r="D189" s="19"/>
      <c r="E189" s="19"/>
      <c r="F189" s="20"/>
      <c r="G189" s="21">
        <v>637</v>
      </c>
      <c r="H189" s="19" t="s">
        <v>120</v>
      </c>
      <c r="I189" s="22">
        <v>60100</v>
      </c>
      <c r="J189" s="22">
        <v>-5000</v>
      </c>
      <c r="K189" s="22">
        <f t="shared" si="103"/>
        <v>55100</v>
      </c>
      <c r="L189" s="22"/>
      <c r="M189" s="22"/>
      <c r="N189" s="22"/>
      <c r="O189" s="22">
        <f t="shared" si="104"/>
        <v>0</v>
      </c>
      <c r="P189" s="22"/>
      <c r="Q189" s="23">
        <f t="shared" si="100"/>
        <v>60100</v>
      </c>
      <c r="R189" s="23">
        <f t="shared" si="101"/>
        <v>-5000</v>
      </c>
      <c r="S189" s="23">
        <f t="shared" si="101"/>
        <v>55100</v>
      </c>
    </row>
    <row r="190" spans="2:19" x14ac:dyDescent="0.2">
      <c r="B190" s="7">
        <f t="shared" si="102"/>
        <v>74</v>
      </c>
      <c r="C190" s="13"/>
      <c r="D190" s="13"/>
      <c r="E190" s="13"/>
      <c r="F190" s="14" t="s">
        <v>74</v>
      </c>
      <c r="G190" s="15">
        <v>710</v>
      </c>
      <c r="H190" s="13" t="s">
        <v>171</v>
      </c>
      <c r="I190" s="16"/>
      <c r="J190" s="16"/>
      <c r="K190" s="16">
        <f t="shared" si="103"/>
        <v>0</v>
      </c>
      <c r="L190" s="16"/>
      <c r="M190" s="16">
        <f>M191+M193</f>
        <v>35000</v>
      </c>
      <c r="N190" s="16">
        <f t="shared" ref="N190" si="108">N191+N193</f>
        <v>15000</v>
      </c>
      <c r="O190" s="16">
        <f t="shared" si="104"/>
        <v>50000</v>
      </c>
      <c r="P190" s="16"/>
      <c r="Q190" s="18">
        <f t="shared" si="100"/>
        <v>35000</v>
      </c>
      <c r="R190" s="18">
        <f t="shared" si="101"/>
        <v>15000</v>
      </c>
      <c r="S190" s="18">
        <f t="shared" si="101"/>
        <v>50000</v>
      </c>
    </row>
    <row r="191" spans="2:19" x14ac:dyDescent="0.2">
      <c r="B191" s="7">
        <f t="shared" si="102"/>
        <v>75</v>
      </c>
      <c r="C191" s="19"/>
      <c r="D191" s="19"/>
      <c r="E191" s="19"/>
      <c r="F191" s="20"/>
      <c r="G191" s="21">
        <v>711</v>
      </c>
      <c r="H191" s="19" t="s">
        <v>205</v>
      </c>
      <c r="I191" s="22"/>
      <c r="J191" s="22"/>
      <c r="K191" s="22">
        <f t="shared" si="103"/>
        <v>0</v>
      </c>
      <c r="L191" s="22"/>
      <c r="M191" s="22">
        <f>M192</f>
        <v>15000</v>
      </c>
      <c r="N191" s="22">
        <f t="shared" ref="N191" si="109">N192</f>
        <v>15000</v>
      </c>
      <c r="O191" s="22">
        <f t="shared" si="104"/>
        <v>30000</v>
      </c>
      <c r="P191" s="22"/>
      <c r="Q191" s="23">
        <f t="shared" si="100"/>
        <v>15000</v>
      </c>
      <c r="R191" s="23">
        <f t="shared" si="101"/>
        <v>15000</v>
      </c>
      <c r="S191" s="23">
        <f t="shared" si="101"/>
        <v>30000</v>
      </c>
    </row>
    <row r="192" spans="2:19" x14ac:dyDescent="0.2">
      <c r="B192" s="7">
        <f t="shared" si="102"/>
        <v>76</v>
      </c>
      <c r="C192" s="24"/>
      <c r="D192" s="24"/>
      <c r="E192" s="1"/>
      <c r="F192" s="25"/>
      <c r="G192" s="25"/>
      <c r="H192" s="1" t="s">
        <v>322</v>
      </c>
      <c r="I192" s="26"/>
      <c r="J192" s="26"/>
      <c r="K192" s="26">
        <f t="shared" si="103"/>
        <v>0</v>
      </c>
      <c r="L192" s="26"/>
      <c r="M192" s="26">
        <v>15000</v>
      </c>
      <c r="N192" s="26">
        <v>15000</v>
      </c>
      <c r="O192" s="26">
        <f t="shared" si="104"/>
        <v>30000</v>
      </c>
      <c r="P192" s="26"/>
      <c r="Q192" s="28">
        <f t="shared" si="100"/>
        <v>15000</v>
      </c>
      <c r="R192" s="28">
        <f t="shared" si="101"/>
        <v>15000</v>
      </c>
      <c r="S192" s="28">
        <f t="shared" si="101"/>
        <v>30000</v>
      </c>
    </row>
    <row r="193" spans="2:19" x14ac:dyDescent="0.2">
      <c r="B193" s="7">
        <f t="shared" si="102"/>
        <v>77</v>
      </c>
      <c r="C193" s="19"/>
      <c r="D193" s="19"/>
      <c r="E193" s="19"/>
      <c r="F193" s="277"/>
      <c r="G193" s="150">
        <v>713</v>
      </c>
      <c r="H193" s="149" t="s">
        <v>215</v>
      </c>
      <c r="I193" s="22"/>
      <c r="J193" s="22"/>
      <c r="K193" s="22">
        <f t="shared" si="103"/>
        <v>0</v>
      </c>
      <c r="L193" s="22"/>
      <c r="M193" s="22">
        <f>M194</f>
        <v>20000</v>
      </c>
      <c r="N193" s="22">
        <f t="shared" ref="N193" si="110">N194</f>
        <v>0</v>
      </c>
      <c r="O193" s="22">
        <f t="shared" si="104"/>
        <v>20000</v>
      </c>
      <c r="P193" s="22"/>
      <c r="Q193" s="23">
        <f t="shared" si="100"/>
        <v>20000</v>
      </c>
      <c r="R193" s="23">
        <f t="shared" si="101"/>
        <v>0</v>
      </c>
      <c r="S193" s="23">
        <f t="shared" si="101"/>
        <v>20000</v>
      </c>
    </row>
    <row r="194" spans="2:19" x14ac:dyDescent="0.2">
      <c r="B194" s="7">
        <f t="shared" si="102"/>
        <v>78</v>
      </c>
      <c r="C194" s="24"/>
      <c r="D194" s="24"/>
      <c r="E194" s="1"/>
      <c r="F194" s="278"/>
      <c r="G194" s="279"/>
      <c r="H194" s="152" t="s">
        <v>323</v>
      </c>
      <c r="I194" s="26"/>
      <c r="J194" s="26"/>
      <c r="K194" s="26">
        <f t="shared" si="103"/>
        <v>0</v>
      </c>
      <c r="L194" s="26"/>
      <c r="M194" s="26">
        <v>20000</v>
      </c>
      <c r="N194" s="26"/>
      <c r="O194" s="26">
        <f t="shared" si="104"/>
        <v>20000</v>
      </c>
      <c r="P194" s="329"/>
      <c r="Q194" s="28">
        <f t="shared" si="100"/>
        <v>20000</v>
      </c>
      <c r="R194" s="28">
        <f t="shared" si="101"/>
        <v>0</v>
      </c>
      <c r="S194" s="28">
        <f t="shared" si="101"/>
        <v>20000</v>
      </c>
    </row>
    <row r="195" spans="2:19" ht="15" x14ac:dyDescent="0.2">
      <c r="B195" s="7">
        <f t="shared" si="102"/>
        <v>79</v>
      </c>
      <c r="C195" s="10">
        <v>8</v>
      </c>
      <c r="D195" s="420" t="s">
        <v>243</v>
      </c>
      <c r="E195" s="421"/>
      <c r="F195" s="421"/>
      <c r="G195" s="421"/>
      <c r="H195" s="421"/>
      <c r="I195" s="11">
        <f>I196</f>
        <v>54280</v>
      </c>
      <c r="J195" s="11">
        <f t="shared" ref="J195" si="111">J196</f>
        <v>0</v>
      </c>
      <c r="K195" s="11">
        <f t="shared" si="103"/>
        <v>54280</v>
      </c>
      <c r="L195" s="320"/>
      <c r="M195" s="11">
        <f>M199</f>
        <v>65000</v>
      </c>
      <c r="N195" s="11">
        <f t="shared" ref="N195" si="112">N199</f>
        <v>0</v>
      </c>
      <c r="O195" s="11">
        <f t="shared" si="104"/>
        <v>65000</v>
      </c>
      <c r="P195" s="320"/>
      <c r="Q195" s="35">
        <f t="shared" si="100"/>
        <v>119280</v>
      </c>
      <c r="R195" s="35">
        <f t="shared" si="101"/>
        <v>0</v>
      </c>
      <c r="S195" s="35">
        <f t="shared" si="101"/>
        <v>119280</v>
      </c>
    </row>
    <row r="196" spans="2:19" x14ac:dyDescent="0.2">
      <c r="B196" s="7">
        <f t="shared" si="102"/>
        <v>80</v>
      </c>
      <c r="C196" s="13"/>
      <c r="D196" s="13"/>
      <c r="E196" s="13"/>
      <c r="F196" s="14" t="s">
        <v>74</v>
      </c>
      <c r="G196" s="15">
        <v>630</v>
      </c>
      <c r="H196" s="13" t="s">
        <v>119</v>
      </c>
      <c r="I196" s="16">
        <f>SUM(I197:I198)</f>
        <v>54280</v>
      </c>
      <c r="J196" s="16">
        <f t="shared" ref="J196" si="113">SUM(J197:J198)</f>
        <v>0</v>
      </c>
      <c r="K196" s="16">
        <f t="shared" si="103"/>
        <v>54280</v>
      </c>
      <c r="L196" s="16"/>
      <c r="M196" s="16"/>
      <c r="N196" s="16"/>
      <c r="O196" s="16">
        <f t="shared" si="104"/>
        <v>0</v>
      </c>
      <c r="P196" s="16"/>
      <c r="Q196" s="18">
        <f t="shared" si="100"/>
        <v>54280</v>
      </c>
      <c r="R196" s="18">
        <f t="shared" si="101"/>
        <v>0</v>
      </c>
      <c r="S196" s="18">
        <f t="shared" si="101"/>
        <v>54280</v>
      </c>
    </row>
    <row r="197" spans="2:19" x14ac:dyDescent="0.2">
      <c r="B197" s="7">
        <f t="shared" si="102"/>
        <v>81</v>
      </c>
      <c r="C197" s="19"/>
      <c r="D197" s="19"/>
      <c r="E197" s="19"/>
      <c r="F197" s="20"/>
      <c r="G197" s="21">
        <v>634</v>
      </c>
      <c r="H197" s="19" t="s">
        <v>129</v>
      </c>
      <c r="I197" s="22">
        <v>53350</v>
      </c>
      <c r="J197" s="22"/>
      <c r="K197" s="22">
        <f t="shared" si="103"/>
        <v>53350</v>
      </c>
      <c r="L197" s="22"/>
      <c r="M197" s="22"/>
      <c r="N197" s="22"/>
      <c r="O197" s="22">
        <f t="shared" si="104"/>
        <v>0</v>
      </c>
      <c r="P197" s="22"/>
      <c r="Q197" s="23">
        <f t="shared" si="100"/>
        <v>53350</v>
      </c>
      <c r="R197" s="23">
        <f t="shared" ref="R197:S201" si="114">N197+J197</f>
        <v>0</v>
      </c>
      <c r="S197" s="23">
        <f t="shared" si="114"/>
        <v>53350</v>
      </c>
    </row>
    <row r="198" spans="2:19" x14ac:dyDescent="0.2">
      <c r="B198" s="7">
        <f t="shared" si="102"/>
        <v>82</v>
      </c>
      <c r="C198" s="19"/>
      <c r="D198" s="19"/>
      <c r="E198" s="19"/>
      <c r="F198" s="20"/>
      <c r="G198" s="21">
        <v>637</v>
      </c>
      <c r="H198" s="19" t="s">
        <v>120</v>
      </c>
      <c r="I198" s="22">
        <v>930</v>
      </c>
      <c r="J198" s="22"/>
      <c r="K198" s="22">
        <f t="shared" si="103"/>
        <v>930</v>
      </c>
      <c r="L198" s="22"/>
      <c r="M198" s="22"/>
      <c r="N198" s="22"/>
      <c r="O198" s="22">
        <f t="shared" si="104"/>
        <v>0</v>
      </c>
      <c r="P198" s="22"/>
      <c r="Q198" s="23">
        <f t="shared" si="100"/>
        <v>930</v>
      </c>
      <c r="R198" s="23">
        <f t="shared" si="114"/>
        <v>0</v>
      </c>
      <c r="S198" s="23">
        <f t="shared" si="114"/>
        <v>930</v>
      </c>
    </row>
    <row r="199" spans="2:19" x14ac:dyDescent="0.2">
      <c r="B199" s="7">
        <f t="shared" si="102"/>
        <v>83</v>
      </c>
      <c r="C199" s="13"/>
      <c r="D199" s="13"/>
      <c r="E199" s="13"/>
      <c r="F199" s="14" t="s">
        <v>74</v>
      </c>
      <c r="G199" s="15">
        <v>710</v>
      </c>
      <c r="H199" s="13" t="s">
        <v>171</v>
      </c>
      <c r="I199" s="16"/>
      <c r="J199" s="16"/>
      <c r="K199" s="16">
        <f t="shared" si="103"/>
        <v>0</v>
      </c>
      <c r="L199" s="16"/>
      <c r="M199" s="16">
        <f>M200</f>
        <v>65000</v>
      </c>
      <c r="N199" s="16">
        <f t="shared" ref="N199:N200" si="115">N200</f>
        <v>0</v>
      </c>
      <c r="O199" s="16">
        <f t="shared" si="104"/>
        <v>65000</v>
      </c>
      <c r="P199" s="16"/>
      <c r="Q199" s="18">
        <f t="shared" si="100"/>
        <v>65000</v>
      </c>
      <c r="R199" s="18">
        <f t="shared" si="114"/>
        <v>0</v>
      </c>
      <c r="S199" s="18">
        <f t="shared" si="114"/>
        <v>65000</v>
      </c>
    </row>
    <row r="200" spans="2:19" x14ac:dyDescent="0.2">
      <c r="B200" s="7">
        <f t="shared" si="102"/>
        <v>84</v>
      </c>
      <c r="C200" s="19"/>
      <c r="D200" s="19"/>
      <c r="E200" s="19"/>
      <c r="F200" s="20"/>
      <c r="G200" s="21">
        <v>714</v>
      </c>
      <c r="H200" s="19" t="s">
        <v>172</v>
      </c>
      <c r="I200" s="22"/>
      <c r="J200" s="22"/>
      <c r="K200" s="22">
        <f t="shared" si="103"/>
        <v>0</v>
      </c>
      <c r="L200" s="22"/>
      <c r="M200" s="22">
        <f>M201</f>
        <v>65000</v>
      </c>
      <c r="N200" s="22">
        <f t="shared" si="115"/>
        <v>0</v>
      </c>
      <c r="O200" s="22">
        <f t="shared" si="104"/>
        <v>65000</v>
      </c>
      <c r="P200" s="22"/>
      <c r="Q200" s="23">
        <f t="shared" si="100"/>
        <v>65000</v>
      </c>
      <c r="R200" s="23">
        <f t="shared" si="114"/>
        <v>0</v>
      </c>
      <c r="S200" s="23">
        <f t="shared" si="114"/>
        <v>65000</v>
      </c>
    </row>
    <row r="201" spans="2:19" x14ac:dyDescent="0.2">
      <c r="B201" s="45">
        <f t="shared" si="102"/>
        <v>85</v>
      </c>
      <c r="C201" s="51"/>
      <c r="D201" s="51"/>
      <c r="E201" s="53"/>
      <c r="F201" s="67"/>
      <c r="G201" s="67"/>
      <c r="H201" s="53" t="s">
        <v>570</v>
      </c>
      <c r="I201" s="54"/>
      <c r="J201" s="54"/>
      <c r="K201" s="54">
        <f t="shared" si="103"/>
        <v>0</v>
      </c>
      <c r="L201" s="54"/>
      <c r="M201" s="54">
        <v>65000</v>
      </c>
      <c r="N201" s="54"/>
      <c r="O201" s="54">
        <f t="shared" si="104"/>
        <v>65000</v>
      </c>
      <c r="P201" s="54"/>
      <c r="Q201" s="68">
        <f t="shared" si="100"/>
        <v>65000</v>
      </c>
      <c r="R201" s="68">
        <f t="shared" si="114"/>
        <v>0</v>
      </c>
      <c r="S201" s="68">
        <f t="shared" si="114"/>
        <v>65000</v>
      </c>
    </row>
    <row r="202" spans="2:19" x14ac:dyDescent="0.2">
      <c r="B202" s="3"/>
      <c r="F202" s="3"/>
      <c r="G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2:19" x14ac:dyDescent="0.2">
      <c r="B203" s="3"/>
      <c r="F203" s="3"/>
      <c r="G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2:19" ht="13.5" customHeight="1" x14ac:dyDescent="0.2">
      <c r="B204" s="3"/>
      <c r="F204" s="3"/>
      <c r="G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2:19" ht="41.25" customHeight="1" x14ac:dyDescent="0.4">
      <c r="B205" s="448" t="s">
        <v>17</v>
      </c>
      <c r="C205" s="449"/>
      <c r="D205" s="449"/>
      <c r="E205" s="449"/>
      <c r="F205" s="449"/>
      <c r="G205" s="449"/>
      <c r="H205" s="449"/>
      <c r="I205" s="449"/>
      <c r="J205" s="449"/>
      <c r="K205" s="449"/>
      <c r="L205" s="449"/>
      <c r="M205" s="449"/>
      <c r="N205" s="449"/>
      <c r="O205" s="449"/>
      <c r="P205" s="449"/>
      <c r="Q205" s="450"/>
    </row>
    <row r="206" spans="2:19" ht="12.75" customHeight="1" x14ac:dyDescent="0.2">
      <c r="B206" s="431" t="s">
        <v>464</v>
      </c>
      <c r="C206" s="432"/>
      <c r="D206" s="432"/>
      <c r="E206" s="432"/>
      <c r="F206" s="432"/>
      <c r="G206" s="432"/>
      <c r="H206" s="432"/>
      <c r="I206" s="432"/>
      <c r="J206" s="432"/>
      <c r="K206" s="432"/>
      <c r="L206" s="432"/>
      <c r="M206" s="432"/>
      <c r="N206" s="432"/>
      <c r="O206" s="432"/>
      <c r="P206" s="432"/>
      <c r="Q206" s="433" t="s">
        <v>735</v>
      </c>
      <c r="R206" s="433" t="s">
        <v>733</v>
      </c>
      <c r="S206" s="433" t="s">
        <v>736</v>
      </c>
    </row>
    <row r="207" spans="2:19" ht="12.75" customHeight="1" x14ac:dyDescent="0.2">
      <c r="B207" s="436"/>
      <c r="C207" s="422" t="s">
        <v>112</v>
      </c>
      <c r="D207" s="422" t="s">
        <v>113</v>
      </c>
      <c r="E207" s="422"/>
      <c r="F207" s="422" t="s">
        <v>114</v>
      </c>
      <c r="G207" s="423" t="s">
        <v>115</v>
      </c>
      <c r="H207" s="424" t="s">
        <v>116</v>
      </c>
      <c r="I207" s="435" t="s">
        <v>737</v>
      </c>
      <c r="J207" s="455" t="s">
        <v>733</v>
      </c>
      <c r="K207" s="435" t="s">
        <v>738</v>
      </c>
      <c r="L207" s="318"/>
      <c r="M207" s="435" t="s">
        <v>739</v>
      </c>
      <c r="N207" s="455" t="s">
        <v>733</v>
      </c>
      <c r="O207" s="435" t="s">
        <v>740</v>
      </c>
      <c r="P207" s="318"/>
      <c r="Q207" s="434"/>
      <c r="R207" s="434"/>
      <c r="S207" s="434"/>
    </row>
    <row r="208" spans="2:19" ht="16.5" customHeight="1" x14ac:dyDescent="0.2">
      <c r="B208" s="436"/>
      <c r="C208" s="422"/>
      <c r="D208" s="422"/>
      <c r="E208" s="422"/>
      <c r="F208" s="422"/>
      <c r="G208" s="423"/>
      <c r="H208" s="424"/>
      <c r="I208" s="435"/>
      <c r="J208" s="456"/>
      <c r="K208" s="435"/>
      <c r="L208" s="318"/>
      <c r="M208" s="435"/>
      <c r="N208" s="456"/>
      <c r="O208" s="435"/>
      <c r="P208" s="318"/>
      <c r="Q208" s="434"/>
      <c r="R208" s="434"/>
      <c r="S208" s="434"/>
    </row>
    <row r="209" spans="2:19" x14ac:dyDescent="0.2">
      <c r="B209" s="436"/>
      <c r="C209" s="422"/>
      <c r="D209" s="422"/>
      <c r="E209" s="422"/>
      <c r="F209" s="422"/>
      <c r="G209" s="423"/>
      <c r="H209" s="424"/>
      <c r="I209" s="435"/>
      <c r="J209" s="456"/>
      <c r="K209" s="435"/>
      <c r="L209" s="318"/>
      <c r="M209" s="435"/>
      <c r="N209" s="456"/>
      <c r="O209" s="435"/>
      <c r="P209" s="318"/>
      <c r="Q209" s="434"/>
      <c r="R209" s="434"/>
      <c r="S209" s="434"/>
    </row>
    <row r="210" spans="2:19" x14ac:dyDescent="0.2">
      <c r="B210" s="436"/>
      <c r="C210" s="422"/>
      <c r="D210" s="422"/>
      <c r="E210" s="422"/>
      <c r="F210" s="422"/>
      <c r="G210" s="423"/>
      <c r="H210" s="424"/>
      <c r="I210" s="435"/>
      <c r="J210" s="457"/>
      <c r="K210" s="435"/>
      <c r="L210" s="318"/>
      <c r="M210" s="435"/>
      <c r="N210" s="457"/>
      <c r="O210" s="435"/>
      <c r="P210" s="318"/>
      <c r="Q210" s="434"/>
      <c r="R210" s="434"/>
      <c r="S210" s="434"/>
    </row>
    <row r="211" spans="2:19" ht="15.75" x14ac:dyDescent="0.2">
      <c r="B211" s="69">
        <v>1</v>
      </c>
      <c r="C211" s="446" t="s">
        <v>17</v>
      </c>
      <c r="D211" s="447"/>
      <c r="E211" s="447"/>
      <c r="F211" s="447"/>
      <c r="G211" s="447"/>
      <c r="H211" s="447"/>
      <c r="I211" s="70">
        <f>I287+I270+I251+I238+I229+I219+I212</f>
        <v>1083820</v>
      </c>
      <c r="J211" s="70">
        <f>J287+J270+J251+J238+J229+J219+J212</f>
        <v>1500</v>
      </c>
      <c r="K211" s="70">
        <f>I211+J211</f>
        <v>1085320</v>
      </c>
      <c r="L211" s="327"/>
      <c r="M211" s="70">
        <f>M287+M270+M251+M238+M229+M219+M212</f>
        <v>1079332</v>
      </c>
      <c r="N211" s="70">
        <f>N287+N270+N251+N238+N229+N219+N212</f>
        <v>0</v>
      </c>
      <c r="O211" s="70">
        <f>M211+N211</f>
        <v>1079332</v>
      </c>
      <c r="P211" s="327"/>
      <c r="Q211" s="71">
        <f t="shared" ref="Q211:Q242" si="116">M211+I211</f>
        <v>2163152</v>
      </c>
      <c r="R211" s="71">
        <f t="shared" ref="R211:S226" si="117">N211+J211</f>
        <v>1500</v>
      </c>
      <c r="S211" s="71">
        <f t="shared" si="117"/>
        <v>2164652</v>
      </c>
    </row>
    <row r="212" spans="2:19" ht="15" x14ac:dyDescent="0.2">
      <c r="B212" s="69">
        <f t="shared" ref="B212:B243" si="118">B211+1</f>
        <v>2</v>
      </c>
      <c r="C212" s="360">
        <v>1</v>
      </c>
      <c r="D212" s="444" t="s">
        <v>176</v>
      </c>
      <c r="E212" s="445"/>
      <c r="F212" s="445"/>
      <c r="G212" s="445"/>
      <c r="H212" s="445"/>
      <c r="I212" s="72">
        <f>I213+I214+I215+I218</f>
        <v>51650</v>
      </c>
      <c r="J212" s="72">
        <f t="shared" ref="J212" si="119">J213+J214+J215+J218</f>
        <v>0</v>
      </c>
      <c r="K212" s="72">
        <f t="shared" ref="K212:K275" si="120">I212+J212</f>
        <v>51650</v>
      </c>
      <c r="L212" s="328"/>
      <c r="M212" s="72"/>
      <c r="N212" s="72"/>
      <c r="O212" s="72">
        <f t="shared" ref="O212:O275" si="121">M212+N212</f>
        <v>0</v>
      </c>
      <c r="P212" s="328"/>
      <c r="Q212" s="74">
        <f t="shared" si="116"/>
        <v>51650</v>
      </c>
      <c r="R212" s="74">
        <f t="shared" si="117"/>
        <v>0</v>
      </c>
      <c r="S212" s="74">
        <f t="shared" si="117"/>
        <v>51650</v>
      </c>
    </row>
    <row r="213" spans="2:19" x14ac:dyDescent="0.2">
      <c r="B213" s="69">
        <f t="shared" si="118"/>
        <v>3</v>
      </c>
      <c r="C213" s="75"/>
      <c r="D213" s="75"/>
      <c r="E213" s="75"/>
      <c r="F213" s="76" t="s">
        <v>75</v>
      </c>
      <c r="G213" s="77">
        <v>610</v>
      </c>
      <c r="H213" s="13" t="s">
        <v>510</v>
      </c>
      <c r="I213" s="78">
        <v>1000</v>
      </c>
      <c r="J213" s="78"/>
      <c r="K213" s="78">
        <f t="shared" si="120"/>
        <v>1000</v>
      </c>
      <c r="L213" s="78"/>
      <c r="M213" s="78"/>
      <c r="N213" s="78"/>
      <c r="O213" s="78">
        <f t="shared" si="121"/>
        <v>0</v>
      </c>
      <c r="P213" s="78"/>
      <c r="Q213" s="80">
        <f t="shared" si="116"/>
        <v>1000</v>
      </c>
      <c r="R213" s="80">
        <f t="shared" si="117"/>
        <v>0</v>
      </c>
      <c r="S213" s="80">
        <f t="shared" si="117"/>
        <v>1000</v>
      </c>
    </row>
    <row r="214" spans="2:19" x14ac:dyDescent="0.2">
      <c r="B214" s="69">
        <f t="shared" si="118"/>
        <v>4</v>
      </c>
      <c r="C214" s="75"/>
      <c r="D214" s="75"/>
      <c r="E214" s="75"/>
      <c r="F214" s="76" t="s">
        <v>75</v>
      </c>
      <c r="G214" s="77">
        <v>620</v>
      </c>
      <c r="H214" s="75" t="s">
        <v>122</v>
      </c>
      <c r="I214" s="78">
        <v>9120</v>
      </c>
      <c r="J214" s="78"/>
      <c r="K214" s="78">
        <f t="shared" si="120"/>
        <v>9120</v>
      </c>
      <c r="L214" s="78"/>
      <c r="M214" s="78"/>
      <c r="N214" s="78"/>
      <c r="O214" s="78">
        <f t="shared" si="121"/>
        <v>0</v>
      </c>
      <c r="P214" s="78"/>
      <c r="Q214" s="80">
        <f t="shared" si="116"/>
        <v>9120</v>
      </c>
      <c r="R214" s="80">
        <f t="shared" si="117"/>
        <v>0</v>
      </c>
      <c r="S214" s="80">
        <f t="shared" si="117"/>
        <v>9120</v>
      </c>
    </row>
    <row r="215" spans="2:19" x14ac:dyDescent="0.2">
      <c r="B215" s="69">
        <f t="shared" si="118"/>
        <v>5</v>
      </c>
      <c r="C215" s="75"/>
      <c r="D215" s="75"/>
      <c r="E215" s="75"/>
      <c r="F215" s="76" t="s">
        <v>75</v>
      </c>
      <c r="G215" s="77">
        <v>630</v>
      </c>
      <c r="H215" s="75" t="s">
        <v>119</v>
      </c>
      <c r="I215" s="78">
        <f>SUM(I216:I217)</f>
        <v>41330</v>
      </c>
      <c r="J215" s="78">
        <f t="shared" ref="J215" si="122">SUM(J216:J217)</f>
        <v>0</v>
      </c>
      <c r="K215" s="78">
        <f t="shared" si="120"/>
        <v>41330</v>
      </c>
      <c r="L215" s="78"/>
      <c r="M215" s="78"/>
      <c r="N215" s="78"/>
      <c r="O215" s="78">
        <f t="shared" si="121"/>
        <v>0</v>
      </c>
      <c r="P215" s="78"/>
      <c r="Q215" s="80">
        <f t="shared" si="116"/>
        <v>41330</v>
      </c>
      <c r="R215" s="80">
        <f t="shared" si="117"/>
        <v>0</v>
      </c>
      <c r="S215" s="80">
        <f t="shared" si="117"/>
        <v>41330</v>
      </c>
    </row>
    <row r="216" spans="2:19" x14ac:dyDescent="0.2">
      <c r="B216" s="69">
        <f t="shared" si="118"/>
        <v>6</v>
      </c>
      <c r="C216" s="81"/>
      <c r="D216" s="81"/>
      <c r="E216" s="81"/>
      <c r="F216" s="82"/>
      <c r="G216" s="83">
        <v>633</v>
      </c>
      <c r="H216" s="81" t="s">
        <v>123</v>
      </c>
      <c r="I216" s="84">
        <v>7000</v>
      </c>
      <c r="J216" s="84"/>
      <c r="K216" s="84">
        <f t="shared" si="120"/>
        <v>7000</v>
      </c>
      <c r="L216" s="84"/>
      <c r="M216" s="84"/>
      <c r="N216" s="84"/>
      <c r="O216" s="84">
        <f t="shared" si="121"/>
        <v>0</v>
      </c>
      <c r="P216" s="84"/>
      <c r="Q216" s="86">
        <f t="shared" si="116"/>
        <v>7000</v>
      </c>
      <c r="R216" s="86">
        <f t="shared" si="117"/>
        <v>0</v>
      </c>
      <c r="S216" s="86">
        <f t="shared" si="117"/>
        <v>7000</v>
      </c>
    </row>
    <row r="217" spans="2:19" x14ac:dyDescent="0.2">
      <c r="B217" s="69">
        <f t="shared" si="118"/>
        <v>7</v>
      </c>
      <c r="C217" s="81"/>
      <c r="D217" s="81"/>
      <c r="E217" s="81"/>
      <c r="F217" s="82"/>
      <c r="G217" s="83">
        <v>637</v>
      </c>
      <c r="H217" s="81" t="s">
        <v>120</v>
      </c>
      <c r="I217" s="84">
        <v>34330</v>
      </c>
      <c r="J217" s="84"/>
      <c r="K217" s="84">
        <f t="shared" si="120"/>
        <v>34330</v>
      </c>
      <c r="L217" s="84"/>
      <c r="M217" s="84"/>
      <c r="N217" s="84"/>
      <c r="O217" s="84">
        <f t="shared" si="121"/>
        <v>0</v>
      </c>
      <c r="P217" s="84"/>
      <c r="Q217" s="86">
        <f t="shared" si="116"/>
        <v>34330</v>
      </c>
      <c r="R217" s="86">
        <f t="shared" si="117"/>
        <v>0</v>
      </c>
      <c r="S217" s="86">
        <f t="shared" si="117"/>
        <v>34330</v>
      </c>
    </row>
    <row r="218" spans="2:19" x14ac:dyDescent="0.2">
      <c r="B218" s="69">
        <f t="shared" si="118"/>
        <v>8</v>
      </c>
      <c r="C218" s="75"/>
      <c r="D218" s="75"/>
      <c r="E218" s="75"/>
      <c r="F218" s="76" t="s">
        <v>75</v>
      </c>
      <c r="G218" s="77">
        <v>640</v>
      </c>
      <c r="H218" s="75" t="s">
        <v>127</v>
      </c>
      <c r="I218" s="78">
        <v>200</v>
      </c>
      <c r="J218" s="78"/>
      <c r="K218" s="78">
        <f t="shared" si="120"/>
        <v>200</v>
      </c>
      <c r="L218" s="78"/>
      <c r="M218" s="78"/>
      <c r="N218" s="78"/>
      <c r="O218" s="78">
        <f t="shared" si="121"/>
        <v>0</v>
      </c>
      <c r="P218" s="78"/>
      <c r="Q218" s="80">
        <f t="shared" si="116"/>
        <v>200</v>
      </c>
      <c r="R218" s="80">
        <f t="shared" si="117"/>
        <v>0</v>
      </c>
      <c r="S218" s="80">
        <f t="shared" si="117"/>
        <v>200</v>
      </c>
    </row>
    <row r="219" spans="2:19" ht="15" x14ac:dyDescent="0.2">
      <c r="B219" s="69">
        <f t="shared" si="118"/>
        <v>9</v>
      </c>
      <c r="C219" s="360">
        <v>2</v>
      </c>
      <c r="D219" s="444" t="s">
        <v>180</v>
      </c>
      <c r="E219" s="445"/>
      <c r="F219" s="445"/>
      <c r="G219" s="445"/>
      <c r="H219" s="445"/>
      <c r="I219" s="72">
        <f>I220+I221+I222+I228</f>
        <v>196000</v>
      </c>
      <c r="J219" s="72">
        <f t="shared" ref="J219" si="123">J220+J221+J222+J228</f>
        <v>0</v>
      </c>
      <c r="K219" s="72">
        <f t="shared" si="120"/>
        <v>196000</v>
      </c>
      <c r="L219" s="328"/>
      <c r="M219" s="73"/>
      <c r="N219" s="73"/>
      <c r="O219" s="73">
        <f t="shared" si="121"/>
        <v>0</v>
      </c>
      <c r="P219" s="334"/>
      <c r="Q219" s="74">
        <f t="shared" si="116"/>
        <v>196000</v>
      </c>
      <c r="R219" s="74">
        <f t="shared" si="117"/>
        <v>0</v>
      </c>
      <c r="S219" s="74">
        <f t="shared" si="117"/>
        <v>196000</v>
      </c>
    </row>
    <row r="220" spans="2:19" x14ac:dyDescent="0.2">
      <c r="B220" s="69">
        <f t="shared" si="118"/>
        <v>10</v>
      </c>
      <c r="C220" s="75"/>
      <c r="D220" s="75"/>
      <c r="E220" s="75"/>
      <c r="F220" s="76" t="s">
        <v>179</v>
      </c>
      <c r="G220" s="77">
        <v>610</v>
      </c>
      <c r="H220" s="13" t="s">
        <v>510</v>
      </c>
      <c r="I220" s="78">
        <v>122000</v>
      </c>
      <c r="J220" s="78"/>
      <c r="K220" s="78">
        <f t="shared" si="120"/>
        <v>122000</v>
      </c>
      <c r="L220" s="78"/>
      <c r="M220" s="78"/>
      <c r="N220" s="78"/>
      <c r="O220" s="78">
        <f t="shared" si="121"/>
        <v>0</v>
      </c>
      <c r="P220" s="78"/>
      <c r="Q220" s="80">
        <f t="shared" si="116"/>
        <v>122000</v>
      </c>
      <c r="R220" s="80">
        <f t="shared" si="117"/>
        <v>0</v>
      </c>
      <c r="S220" s="80">
        <f t="shared" si="117"/>
        <v>122000</v>
      </c>
    </row>
    <row r="221" spans="2:19" x14ac:dyDescent="0.2">
      <c r="B221" s="69">
        <f t="shared" si="118"/>
        <v>11</v>
      </c>
      <c r="C221" s="75"/>
      <c r="D221" s="75"/>
      <c r="E221" s="75"/>
      <c r="F221" s="76" t="s">
        <v>179</v>
      </c>
      <c r="G221" s="77">
        <v>620</v>
      </c>
      <c r="H221" s="75" t="s">
        <v>122</v>
      </c>
      <c r="I221" s="78">
        <v>47000</v>
      </c>
      <c r="J221" s="78"/>
      <c r="K221" s="78">
        <f t="shared" si="120"/>
        <v>47000</v>
      </c>
      <c r="L221" s="78"/>
      <c r="M221" s="78"/>
      <c r="N221" s="78"/>
      <c r="O221" s="78">
        <f t="shared" si="121"/>
        <v>0</v>
      </c>
      <c r="P221" s="78"/>
      <c r="Q221" s="80">
        <f t="shared" si="116"/>
        <v>47000</v>
      </c>
      <c r="R221" s="80">
        <f t="shared" si="117"/>
        <v>0</v>
      </c>
      <c r="S221" s="80">
        <f t="shared" si="117"/>
        <v>47000</v>
      </c>
    </row>
    <row r="222" spans="2:19" x14ac:dyDescent="0.2">
      <c r="B222" s="69">
        <f t="shared" si="118"/>
        <v>12</v>
      </c>
      <c r="C222" s="75"/>
      <c r="D222" s="75"/>
      <c r="E222" s="75"/>
      <c r="F222" s="76" t="s">
        <v>179</v>
      </c>
      <c r="G222" s="77">
        <v>630</v>
      </c>
      <c r="H222" s="75" t="s">
        <v>119</v>
      </c>
      <c r="I222" s="78">
        <f>SUM(I223:I227)</f>
        <v>21300</v>
      </c>
      <c r="J222" s="78">
        <f t="shared" ref="J222" si="124">SUM(J223:J227)</f>
        <v>0</v>
      </c>
      <c r="K222" s="78">
        <f t="shared" si="120"/>
        <v>21300</v>
      </c>
      <c r="L222" s="78"/>
      <c r="M222" s="78"/>
      <c r="N222" s="78"/>
      <c r="O222" s="78">
        <f t="shared" si="121"/>
        <v>0</v>
      </c>
      <c r="P222" s="78"/>
      <c r="Q222" s="80">
        <f t="shared" si="116"/>
        <v>21300</v>
      </c>
      <c r="R222" s="80">
        <f t="shared" si="117"/>
        <v>0</v>
      </c>
      <c r="S222" s="80">
        <f t="shared" si="117"/>
        <v>21300</v>
      </c>
    </row>
    <row r="223" spans="2:19" x14ac:dyDescent="0.2">
      <c r="B223" s="69">
        <f t="shared" si="118"/>
        <v>13</v>
      </c>
      <c r="C223" s="81"/>
      <c r="D223" s="81"/>
      <c r="E223" s="81"/>
      <c r="F223" s="82"/>
      <c r="G223" s="83">
        <v>631</v>
      </c>
      <c r="H223" s="81" t="s">
        <v>125</v>
      </c>
      <c r="I223" s="84">
        <v>300</v>
      </c>
      <c r="J223" s="84"/>
      <c r="K223" s="84">
        <f t="shared" si="120"/>
        <v>300</v>
      </c>
      <c r="L223" s="84"/>
      <c r="M223" s="84"/>
      <c r="N223" s="84"/>
      <c r="O223" s="84">
        <f t="shared" si="121"/>
        <v>0</v>
      </c>
      <c r="P223" s="84"/>
      <c r="Q223" s="86">
        <f t="shared" si="116"/>
        <v>300</v>
      </c>
      <c r="R223" s="86">
        <f t="shared" si="117"/>
        <v>0</v>
      </c>
      <c r="S223" s="86">
        <f t="shared" si="117"/>
        <v>300</v>
      </c>
    </row>
    <row r="224" spans="2:19" x14ac:dyDescent="0.2">
      <c r="B224" s="69">
        <f t="shared" si="118"/>
        <v>14</v>
      </c>
      <c r="C224" s="81"/>
      <c r="D224" s="81"/>
      <c r="E224" s="81"/>
      <c r="F224" s="82"/>
      <c r="G224" s="83">
        <v>632</v>
      </c>
      <c r="H224" s="81" t="s">
        <v>131</v>
      </c>
      <c r="I224" s="84">
        <v>4000</v>
      </c>
      <c r="J224" s="84"/>
      <c r="K224" s="84">
        <f t="shared" si="120"/>
        <v>4000</v>
      </c>
      <c r="L224" s="84"/>
      <c r="M224" s="84"/>
      <c r="N224" s="84"/>
      <c r="O224" s="84">
        <f t="shared" si="121"/>
        <v>0</v>
      </c>
      <c r="P224" s="84"/>
      <c r="Q224" s="86">
        <f t="shared" si="116"/>
        <v>4000</v>
      </c>
      <c r="R224" s="86">
        <f t="shared" si="117"/>
        <v>0</v>
      </c>
      <c r="S224" s="86">
        <f t="shared" si="117"/>
        <v>4000</v>
      </c>
    </row>
    <row r="225" spans="2:19" x14ac:dyDescent="0.2">
      <c r="B225" s="69">
        <f t="shared" si="118"/>
        <v>15</v>
      </c>
      <c r="C225" s="81"/>
      <c r="D225" s="81"/>
      <c r="E225" s="81"/>
      <c r="F225" s="82"/>
      <c r="G225" s="83">
        <v>633</v>
      </c>
      <c r="H225" s="81" t="s">
        <v>123</v>
      </c>
      <c r="I225" s="84">
        <v>5000</v>
      </c>
      <c r="J225" s="84"/>
      <c r="K225" s="84">
        <f t="shared" si="120"/>
        <v>5000</v>
      </c>
      <c r="L225" s="84"/>
      <c r="M225" s="84"/>
      <c r="N225" s="84"/>
      <c r="O225" s="84">
        <f t="shared" si="121"/>
        <v>0</v>
      </c>
      <c r="P225" s="84"/>
      <c r="Q225" s="86">
        <f t="shared" si="116"/>
        <v>5000</v>
      </c>
      <c r="R225" s="86">
        <f t="shared" si="117"/>
        <v>0</v>
      </c>
      <c r="S225" s="86">
        <f t="shared" si="117"/>
        <v>5000</v>
      </c>
    </row>
    <row r="226" spans="2:19" x14ac:dyDescent="0.2">
      <c r="B226" s="69">
        <f t="shared" si="118"/>
        <v>16</v>
      </c>
      <c r="C226" s="81"/>
      <c r="D226" s="81"/>
      <c r="E226" s="81"/>
      <c r="F226" s="82"/>
      <c r="G226" s="83">
        <v>635</v>
      </c>
      <c r="H226" s="81" t="s">
        <v>130</v>
      </c>
      <c r="I226" s="84">
        <v>300</v>
      </c>
      <c r="J226" s="84"/>
      <c r="K226" s="84">
        <f t="shared" si="120"/>
        <v>300</v>
      </c>
      <c r="L226" s="84"/>
      <c r="M226" s="84"/>
      <c r="N226" s="84"/>
      <c r="O226" s="84">
        <f t="shared" si="121"/>
        <v>0</v>
      </c>
      <c r="P226" s="84"/>
      <c r="Q226" s="86">
        <f t="shared" si="116"/>
        <v>300</v>
      </c>
      <c r="R226" s="86">
        <f t="shared" si="117"/>
        <v>0</v>
      </c>
      <c r="S226" s="86">
        <f t="shared" si="117"/>
        <v>300</v>
      </c>
    </row>
    <row r="227" spans="2:19" x14ac:dyDescent="0.2">
      <c r="B227" s="69">
        <f t="shared" si="118"/>
        <v>17</v>
      </c>
      <c r="C227" s="81"/>
      <c r="D227" s="81"/>
      <c r="E227" s="81"/>
      <c r="F227" s="82"/>
      <c r="G227" s="83">
        <v>637</v>
      </c>
      <c r="H227" s="81" t="s">
        <v>120</v>
      </c>
      <c r="I227" s="84">
        <v>11700</v>
      </c>
      <c r="J227" s="84"/>
      <c r="K227" s="84">
        <f t="shared" si="120"/>
        <v>11700</v>
      </c>
      <c r="L227" s="84"/>
      <c r="M227" s="84"/>
      <c r="N227" s="84"/>
      <c r="O227" s="84">
        <f t="shared" si="121"/>
        <v>0</v>
      </c>
      <c r="P227" s="84"/>
      <c r="Q227" s="86">
        <f t="shared" si="116"/>
        <v>11700</v>
      </c>
      <c r="R227" s="86">
        <f t="shared" ref="R227:S242" si="125">N227+J227</f>
        <v>0</v>
      </c>
      <c r="S227" s="86">
        <f t="shared" si="125"/>
        <v>11700</v>
      </c>
    </row>
    <row r="228" spans="2:19" x14ac:dyDescent="0.2">
      <c r="B228" s="69">
        <f t="shared" si="118"/>
        <v>18</v>
      </c>
      <c r="C228" s="75"/>
      <c r="D228" s="75"/>
      <c r="E228" s="75"/>
      <c r="F228" s="76" t="s">
        <v>179</v>
      </c>
      <c r="G228" s="77">
        <v>640</v>
      </c>
      <c r="H228" s="75" t="s">
        <v>127</v>
      </c>
      <c r="I228" s="78">
        <v>5700</v>
      </c>
      <c r="J228" s="78"/>
      <c r="K228" s="78">
        <f t="shared" si="120"/>
        <v>5700</v>
      </c>
      <c r="L228" s="78"/>
      <c r="M228" s="78"/>
      <c r="N228" s="78"/>
      <c r="O228" s="78">
        <f t="shared" si="121"/>
        <v>0</v>
      </c>
      <c r="P228" s="78"/>
      <c r="Q228" s="80">
        <f t="shared" si="116"/>
        <v>5700</v>
      </c>
      <c r="R228" s="80">
        <f t="shared" si="125"/>
        <v>0</v>
      </c>
      <c r="S228" s="80">
        <f t="shared" si="125"/>
        <v>5700</v>
      </c>
    </row>
    <row r="229" spans="2:19" ht="15" x14ac:dyDescent="0.2">
      <c r="B229" s="69">
        <f t="shared" si="118"/>
        <v>19</v>
      </c>
      <c r="C229" s="360">
        <v>3</v>
      </c>
      <c r="D229" s="444" t="s">
        <v>166</v>
      </c>
      <c r="E229" s="445"/>
      <c r="F229" s="445"/>
      <c r="G229" s="445"/>
      <c r="H229" s="445"/>
      <c r="I229" s="72">
        <f>I230+I231+I232+I237</f>
        <v>398085</v>
      </c>
      <c r="J229" s="72">
        <f t="shared" ref="J229" si="126">J230+J231+J232+J237</f>
        <v>0</v>
      </c>
      <c r="K229" s="72">
        <f t="shared" si="120"/>
        <v>398085</v>
      </c>
      <c r="L229" s="328"/>
      <c r="M229" s="72"/>
      <c r="N229" s="72"/>
      <c r="O229" s="72">
        <f t="shared" si="121"/>
        <v>0</v>
      </c>
      <c r="P229" s="328"/>
      <c r="Q229" s="74">
        <f t="shared" si="116"/>
        <v>398085</v>
      </c>
      <c r="R229" s="74">
        <f t="shared" si="125"/>
        <v>0</v>
      </c>
      <c r="S229" s="74">
        <f t="shared" si="125"/>
        <v>398085</v>
      </c>
    </row>
    <row r="230" spans="2:19" x14ac:dyDescent="0.2">
      <c r="B230" s="69">
        <f t="shared" si="118"/>
        <v>20</v>
      </c>
      <c r="C230" s="75"/>
      <c r="D230" s="75"/>
      <c r="E230" s="75"/>
      <c r="F230" s="76" t="s">
        <v>74</v>
      </c>
      <c r="G230" s="77">
        <v>610</v>
      </c>
      <c r="H230" s="13" t="s">
        <v>510</v>
      </c>
      <c r="I230" s="78">
        <v>267000</v>
      </c>
      <c r="J230" s="78"/>
      <c r="K230" s="78">
        <f t="shared" si="120"/>
        <v>267000</v>
      </c>
      <c r="L230" s="78"/>
      <c r="M230" s="78"/>
      <c r="N230" s="78"/>
      <c r="O230" s="78">
        <f t="shared" si="121"/>
        <v>0</v>
      </c>
      <c r="P230" s="78"/>
      <c r="Q230" s="80">
        <f t="shared" si="116"/>
        <v>267000</v>
      </c>
      <c r="R230" s="80">
        <f t="shared" si="125"/>
        <v>0</v>
      </c>
      <c r="S230" s="80">
        <f t="shared" si="125"/>
        <v>267000</v>
      </c>
    </row>
    <row r="231" spans="2:19" x14ac:dyDescent="0.2">
      <c r="B231" s="69">
        <f t="shared" si="118"/>
        <v>21</v>
      </c>
      <c r="C231" s="75"/>
      <c r="D231" s="75"/>
      <c r="E231" s="75"/>
      <c r="F231" s="76" t="s">
        <v>74</v>
      </c>
      <c r="G231" s="77">
        <v>620</v>
      </c>
      <c r="H231" s="75" t="s">
        <v>122</v>
      </c>
      <c r="I231" s="78">
        <v>102000</v>
      </c>
      <c r="J231" s="78"/>
      <c r="K231" s="78">
        <f t="shared" si="120"/>
        <v>102000</v>
      </c>
      <c r="L231" s="78"/>
      <c r="M231" s="78"/>
      <c r="N231" s="78"/>
      <c r="O231" s="78">
        <f t="shared" si="121"/>
        <v>0</v>
      </c>
      <c r="P231" s="78"/>
      <c r="Q231" s="80">
        <f t="shared" si="116"/>
        <v>102000</v>
      </c>
      <c r="R231" s="80">
        <f t="shared" si="125"/>
        <v>0</v>
      </c>
      <c r="S231" s="80">
        <f t="shared" si="125"/>
        <v>102000</v>
      </c>
    </row>
    <row r="232" spans="2:19" x14ac:dyDescent="0.2">
      <c r="B232" s="69">
        <f t="shared" si="118"/>
        <v>22</v>
      </c>
      <c r="C232" s="75"/>
      <c r="D232" s="75"/>
      <c r="E232" s="75"/>
      <c r="F232" s="76" t="s">
        <v>74</v>
      </c>
      <c r="G232" s="77">
        <v>630</v>
      </c>
      <c r="H232" s="75" t="s">
        <v>119</v>
      </c>
      <c r="I232" s="78">
        <f>SUM(I233:I236)</f>
        <v>18385</v>
      </c>
      <c r="J232" s="78">
        <f t="shared" ref="J232" si="127">SUM(J233:J236)</f>
        <v>0</v>
      </c>
      <c r="K232" s="78">
        <f t="shared" si="120"/>
        <v>18385</v>
      </c>
      <c r="L232" s="78"/>
      <c r="M232" s="78"/>
      <c r="N232" s="78"/>
      <c r="O232" s="78">
        <f t="shared" si="121"/>
        <v>0</v>
      </c>
      <c r="P232" s="78"/>
      <c r="Q232" s="80">
        <f t="shared" si="116"/>
        <v>18385</v>
      </c>
      <c r="R232" s="80">
        <f t="shared" si="125"/>
        <v>0</v>
      </c>
      <c r="S232" s="80">
        <f t="shared" si="125"/>
        <v>18385</v>
      </c>
    </row>
    <row r="233" spans="2:19" x14ac:dyDescent="0.2">
      <c r="B233" s="69">
        <f t="shared" si="118"/>
        <v>23</v>
      </c>
      <c r="C233" s="81"/>
      <c r="D233" s="81"/>
      <c r="E233" s="81"/>
      <c r="F233" s="82"/>
      <c r="G233" s="83">
        <v>631</v>
      </c>
      <c r="H233" s="81" t="s">
        <v>125</v>
      </c>
      <c r="I233" s="84">
        <v>100</v>
      </c>
      <c r="J233" s="84"/>
      <c r="K233" s="84">
        <f t="shared" si="120"/>
        <v>100</v>
      </c>
      <c r="L233" s="84"/>
      <c r="M233" s="84"/>
      <c r="N233" s="84"/>
      <c r="O233" s="84">
        <f t="shared" si="121"/>
        <v>0</v>
      </c>
      <c r="P233" s="84"/>
      <c r="Q233" s="86">
        <f t="shared" si="116"/>
        <v>100</v>
      </c>
      <c r="R233" s="86">
        <f t="shared" si="125"/>
        <v>0</v>
      </c>
      <c r="S233" s="86">
        <f t="shared" si="125"/>
        <v>100</v>
      </c>
    </row>
    <row r="234" spans="2:19" x14ac:dyDescent="0.2">
      <c r="B234" s="69">
        <f t="shared" si="118"/>
        <v>24</v>
      </c>
      <c r="C234" s="81"/>
      <c r="D234" s="81"/>
      <c r="E234" s="81"/>
      <c r="F234" s="82"/>
      <c r="G234" s="83">
        <v>632</v>
      </c>
      <c r="H234" s="81" t="s">
        <v>131</v>
      </c>
      <c r="I234" s="84">
        <v>2000</v>
      </c>
      <c r="J234" s="84"/>
      <c r="K234" s="84">
        <f t="shared" si="120"/>
        <v>2000</v>
      </c>
      <c r="L234" s="84"/>
      <c r="M234" s="84"/>
      <c r="N234" s="84"/>
      <c r="O234" s="84">
        <f t="shared" si="121"/>
        <v>0</v>
      </c>
      <c r="P234" s="84"/>
      <c r="Q234" s="86">
        <f t="shared" si="116"/>
        <v>2000</v>
      </c>
      <c r="R234" s="86">
        <f t="shared" si="125"/>
        <v>0</v>
      </c>
      <c r="S234" s="86">
        <f t="shared" si="125"/>
        <v>2000</v>
      </c>
    </row>
    <row r="235" spans="2:19" x14ac:dyDescent="0.2">
      <c r="B235" s="69">
        <f t="shared" si="118"/>
        <v>25</v>
      </c>
      <c r="C235" s="81"/>
      <c r="D235" s="81"/>
      <c r="E235" s="81"/>
      <c r="F235" s="82"/>
      <c r="G235" s="83">
        <v>633</v>
      </c>
      <c r="H235" s="81" t="s">
        <v>123</v>
      </c>
      <c r="I235" s="84">
        <f>5040-500</f>
        <v>4540</v>
      </c>
      <c r="J235" s="84"/>
      <c r="K235" s="84">
        <f t="shared" si="120"/>
        <v>4540</v>
      </c>
      <c r="L235" s="84"/>
      <c r="M235" s="84"/>
      <c r="N235" s="84"/>
      <c r="O235" s="84">
        <f t="shared" si="121"/>
        <v>0</v>
      </c>
      <c r="P235" s="84"/>
      <c r="Q235" s="86">
        <f t="shared" si="116"/>
        <v>4540</v>
      </c>
      <c r="R235" s="86">
        <f t="shared" si="125"/>
        <v>0</v>
      </c>
      <c r="S235" s="86">
        <f t="shared" si="125"/>
        <v>4540</v>
      </c>
    </row>
    <row r="236" spans="2:19" x14ac:dyDescent="0.2">
      <c r="B236" s="69">
        <f t="shared" si="118"/>
        <v>26</v>
      </c>
      <c r="C236" s="81"/>
      <c r="D236" s="81"/>
      <c r="E236" s="81"/>
      <c r="F236" s="82"/>
      <c r="G236" s="83">
        <v>637</v>
      </c>
      <c r="H236" s="81" t="s">
        <v>120</v>
      </c>
      <c r="I236" s="84">
        <f>11245+500</f>
        <v>11745</v>
      </c>
      <c r="J236" s="84"/>
      <c r="K236" s="84">
        <f t="shared" si="120"/>
        <v>11745</v>
      </c>
      <c r="L236" s="84"/>
      <c r="M236" s="84"/>
      <c r="N236" s="84"/>
      <c r="O236" s="84">
        <f t="shared" si="121"/>
        <v>0</v>
      </c>
      <c r="P236" s="84"/>
      <c r="Q236" s="86">
        <f t="shared" si="116"/>
        <v>11745</v>
      </c>
      <c r="R236" s="86">
        <f t="shared" si="125"/>
        <v>0</v>
      </c>
      <c r="S236" s="86">
        <f t="shared" si="125"/>
        <v>11745</v>
      </c>
    </row>
    <row r="237" spans="2:19" x14ac:dyDescent="0.2">
      <c r="B237" s="69">
        <f t="shared" si="118"/>
        <v>27</v>
      </c>
      <c r="C237" s="75"/>
      <c r="D237" s="75"/>
      <c r="E237" s="75"/>
      <c r="F237" s="76" t="s">
        <v>74</v>
      </c>
      <c r="G237" s="77">
        <v>640</v>
      </c>
      <c r="H237" s="75" t="s">
        <v>127</v>
      </c>
      <c r="I237" s="78">
        <v>10700</v>
      </c>
      <c r="J237" s="78"/>
      <c r="K237" s="78">
        <f t="shared" si="120"/>
        <v>10700</v>
      </c>
      <c r="L237" s="78"/>
      <c r="M237" s="78"/>
      <c r="N237" s="78"/>
      <c r="O237" s="78">
        <f t="shared" si="121"/>
        <v>0</v>
      </c>
      <c r="P237" s="78"/>
      <c r="Q237" s="80">
        <f t="shared" si="116"/>
        <v>10700</v>
      </c>
      <c r="R237" s="80">
        <f t="shared" si="125"/>
        <v>0</v>
      </c>
      <c r="S237" s="80">
        <f t="shared" si="125"/>
        <v>10700</v>
      </c>
    </row>
    <row r="238" spans="2:19" ht="15" x14ac:dyDescent="0.2">
      <c r="B238" s="69">
        <f t="shared" si="118"/>
        <v>28</v>
      </c>
      <c r="C238" s="360">
        <v>4</v>
      </c>
      <c r="D238" s="444" t="s">
        <v>44</v>
      </c>
      <c r="E238" s="445"/>
      <c r="F238" s="445"/>
      <c r="G238" s="445"/>
      <c r="H238" s="445"/>
      <c r="I238" s="72">
        <f>I242</f>
        <v>91485</v>
      </c>
      <c r="J238" s="72">
        <f t="shared" ref="J238" si="128">J242</f>
        <v>1500</v>
      </c>
      <c r="K238" s="72">
        <f t="shared" si="120"/>
        <v>92985</v>
      </c>
      <c r="L238" s="328"/>
      <c r="M238" s="72">
        <f>M239</f>
        <v>10634</v>
      </c>
      <c r="N238" s="72">
        <f t="shared" ref="N238:N240" si="129">N239</f>
        <v>0</v>
      </c>
      <c r="O238" s="72">
        <f t="shared" si="121"/>
        <v>10634</v>
      </c>
      <c r="P238" s="328"/>
      <c r="Q238" s="74">
        <f t="shared" si="116"/>
        <v>102119</v>
      </c>
      <c r="R238" s="74">
        <f t="shared" si="125"/>
        <v>1500</v>
      </c>
      <c r="S238" s="74">
        <f t="shared" si="125"/>
        <v>103619</v>
      </c>
    </row>
    <row r="239" spans="2:19" x14ac:dyDescent="0.2">
      <c r="B239" s="69">
        <f t="shared" si="118"/>
        <v>29</v>
      </c>
      <c r="C239" s="75"/>
      <c r="D239" s="75"/>
      <c r="E239" s="75"/>
      <c r="F239" s="76"/>
      <c r="G239" s="77">
        <v>710</v>
      </c>
      <c r="H239" s="75" t="s">
        <v>171</v>
      </c>
      <c r="I239" s="78"/>
      <c r="J239" s="78"/>
      <c r="K239" s="78">
        <f t="shared" si="120"/>
        <v>0</v>
      </c>
      <c r="L239" s="78"/>
      <c r="M239" s="78">
        <f>M240</f>
        <v>10634</v>
      </c>
      <c r="N239" s="78">
        <f t="shared" si="129"/>
        <v>0</v>
      </c>
      <c r="O239" s="78">
        <f t="shared" si="121"/>
        <v>10634</v>
      </c>
      <c r="P239" s="78"/>
      <c r="Q239" s="80">
        <f t="shared" si="116"/>
        <v>10634</v>
      </c>
      <c r="R239" s="80">
        <f t="shared" si="125"/>
        <v>0</v>
      </c>
      <c r="S239" s="80">
        <f t="shared" si="125"/>
        <v>10634</v>
      </c>
    </row>
    <row r="240" spans="2:19" x14ac:dyDescent="0.2">
      <c r="B240" s="69">
        <f t="shared" si="118"/>
        <v>30</v>
      </c>
      <c r="C240" s="75"/>
      <c r="D240" s="75"/>
      <c r="E240" s="75"/>
      <c r="F240" s="76"/>
      <c r="G240" s="83">
        <v>717</v>
      </c>
      <c r="H240" s="81" t="s">
        <v>178</v>
      </c>
      <c r="I240" s="84"/>
      <c r="J240" s="84"/>
      <c r="K240" s="84">
        <f t="shared" si="120"/>
        <v>0</v>
      </c>
      <c r="L240" s="84"/>
      <c r="M240" s="84">
        <f>M241</f>
        <v>10634</v>
      </c>
      <c r="N240" s="84">
        <f t="shared" si="129"/>
        <v>0</v>
      </c>
      <c r="O240" s="84">
        <f t="shared" si="121"/>
        <v>10634</v>
      </c>
      <c r="P240" s="84"/>
      <c r="Q240" s="86">
        <f t="shared" si="116"/>
        <v>10634</v>
      </c>
      <c r="R240" s="86">
        <f t="shared" si="125"/>
        <v>0</v>
      </c>
      <c r="S240" s="86">
        <f t="shared" si="125"/>
        <v>10634</v>
      </c>
    </row>
    <row r="241" spans="2:19" x14ac:dyDescent="0.2">
      <c r="B241" s="69">
        <f t="shared" si="118"/>
        <v>31</v>
      </c>
      <c r="C241" s="75"/>
      <c r="D241" s="75"/>
      <c r="E241" s="75"/>
      <c r="F241" s="76"/>
      <c r="G241" s="93"/>
      <c r="H241" s="91" t="s">
        <v>637</v>
      </c>
      <c r="I241" s="94"/>
      <c r="J241" s="94"/>
      <c r="K241" s="94">
        <f t="shared" si="120"/>
        <v>0</v>
      </c>
      <c r="L241" s="94"/>
      <c r="M241" s="94">
        <v>10634</v>
      </c>
      <c r="N241" s="94"/>
      <c r="O241" s="94">
        <f t="shared" si="121"/>
        <v>10634</v>
      </c>
      <c r="P241" s="94"/>
      <c r="Q241" s="95">
        <f t="shared" si="116"/>
        <v>10634</v>
      </c>
      <c r="R241" s="95">
        <f t="shared" si="125"/>
        <v>0</v>
      </c>
      <c r="S241" s="95">
        <f t="shared" si="125"/>
        <v>10634</v>
      </c>
    </row>
    <row r="242" spans="2:19" ht="15" x14ac:dyDescent="0.25">
      <c r="B242" s="69">
        <f t="shared" si="118"/>
        <v>32</v>
      </c>
      <c r="C242" s="87"/>
      <c r="D242" s="87"/>
      <c r="E242" s="87">
        <v>2</v>
      </c>
      <c r="F242" s="88"/>
      <c r="G242" s="88"/>
      <c r="H242" s="87" t="s">
        <v>11</v>
      </c>
      <c r="I242" s="89">
        <f>I243+I244+I245+I250</f>
        <v>91485</v>
      </c>
      <c r="J242" s="89">
        <f t="shared" ref="J242" si="130">J243+J244+J245+J250</f>
        <v>1500</v>
      </c>
      <c r="K242" s="89">
        <f t="shared" si="120"/>
        <v>92985</v>
      </c>
      <c r="L242" s="255"/>
      <c r="M242" s="89"/>
      <c r="N242" s="89"/>
      <c r="O242" s="89">
        <f t="shared" si="121"/>
        <v>0</v>
      </c>
      <c r="P242" s="255"/>
      <c r="Q242" s="90">
        <f t="shared" si="116"/>
        <v>91485</v>
      </c>
      <c r="R242" s="90">
        <f t="shared" si="125"/>
        <v>1500</v>
      </c>
      <c r="S242" s="90">
        <f t="shared" si="125"/>
        <v>92985</v>
      </c>
    </row>
    <row r="243" spans="2:19" x14ac:dyDescent="0.2">
      <c r="B243" s="69">
        <f t="shared" si="118"/>
        <v>33</v>
      </c>
      <c r="C243" s="75"/>
      <c r="D243" s="75"/>
      <c r="E243" s="75"/>
      <c r="F243" s="76" t="s">
        <v>150</v>
      </c>
      <c r="G243" s="77">
        <v>610</v>
      </c>
      <c r="H243" s="13" t="s">
        <v>510</v>
      </c>
      <c r="I243" s="78">
        <v>42945</v>
      </c>
      <c r="J243" s="78"/>
      <c r="K243" s="78">
        <f t="shared" si="120"/>
        <v>42945</v>
      </c>
      <c r="L243" s="78"/>
      <c r="M243" s="78"/>
      <c r="N243" s="78"/>
      <c r="O243" s="78">
        <f t="shared" si="121"/>
        <v>0</v>
      </c>
      <c r="P243" s="78"/>
      <c r="Q243" s="80">
        <f t="shared" ref="Q243:Q274" si="131">M243+I243</f>
        <v>42945</v>
      </c>
      <c r="R243" s="80">
        <f t="shared" ref="R243:S258" si="132">N243+J243</f>
        <v>0</v>
      </c>
      <c r="S243" s="80">
        <f t="shared" si="132"/>
        <v>42945</v>
      </c>
    </row>
    <row r="244" spans="2:19" x14ac:dyDescent="0.2">
      <c r="B244" s="69">
        <f t="shared" ref="B244:B273" si="133">B243+1</f>
        <v>34</v>
      </c>
      <c r="C244" s="75"/>
      <c r="D244" s="75"/>
      <c r="E244" s="75"/>
      <c r="F244" s="76" t="s">
        <v>150</v>
      </c>
      <c r="G244" s="77">
        <v>620</v>
      </c>
      <c r="H244" s="75" t="s">
        <v>122</v>
      </c>
      <c r="I244" s="78">
        <v>16850</v>
      </c>
      <c r="J244" s="78"/>
      <c r="K244" s="78">
        <f t="shared" si="120"/>
        <v>16850</v>
      </c>
      <c r="L244" s="78"/>
      <c r="M244" s="78"/>
      <c r="N244" s="78"/>
      <c r="O244" s="78">
        <f t="shared" si="121"/>
        <v>0</v>
      </c>
      <c r="P244" s="78"/>
      <c r="Q244" s="80">
        <f t="shared" si="131"/>
        <v>16850</v>
      </c>
      <c r="R244" s="80">
        <f t="shared" si="132"/>
        <v>0</v>
      </c>
      <c r="S244" s="80">
        <f t="shared" si="132"/>
        <v>16850</v>
      </c>
    </row>
    <row r="245" spans="2:19" x14ac:dyDescent="0.2">
      <c r="B245" s="69">
        <f t="shared" si="133"/>
        <v>35</v>
      </c>
      <c r="C245" s="75"/>
      <c r="D245" s="75"/>
      <c r="E245" s="75"/>
      <c r="F245" s="76" t="s">
        <v>150</v>
      </c>
      <c r="G245" s="77">
        <v>630</v>
      </c>
      <c r="H245" s="75" t="s">
        <v>119</v>
      </c>
      <c r="I245" s="78">
        <f>SUM(I246:I249)</f>
        <v>26890</v>
      </c>
      <c r="J245" s="78">
        <f t="shared" ref="J245" si="134">SUM(J246:J249)</f>
        <v>1500</v>
      </c>
      <c r="K245" s="78">
        <f t="shared" si="120"/>
        <v>28390</v>
      </c>
      <c r="L245" s="78"/>
      <c r="M245" s="78"/>
      <c r="N245" s="78"/>
      <c r="O245" s="78">
        <f t="shared" si="121"/>
        <v>0</v>
      </c>
      <c r="P245" s="78"/>
      <c r="Q245" s="80">
        <f t="shared" si="131"/>
        <v>26890</v>
      </c>
      <c r="R245" s="80">
        <f t="shared" si="132"/>
        <v>1500</v>
      </c>
      <c r="S245" s="80">
        <f t="shared" si="132"/>
        <v>28390</v>
      </c>
    </row>
    <row r="246" spans="2:19" x14ac:dyDescent="0.2">
      <c r="B246" s="69">
        <f t="shared" si="133"/>
        <v>36</v>
      </c>
      <c r="C246" s="81"/>
      <c r="D246" s="81"/>
      <c r="E246" s="81"/>
      <c r="F246" s="82"/>
      <c r="G246" s="83">
        <v>632</v>
      </c>
      <c r="H246" s="81" t="s">
        <v>131</v>
      </c>
      <c r="I246" s="84">
        <f>10500+4500</f>
        <v>15000</v>
      </c>
      <c r="J246" s="84"/>
      <c r="K246" s="84">
        <f t="shared" si="120"/>
        <v>15000</v>
      </c>
      <c r="L246" s="84"/>
      <c r="M246" s="84"/>
      <c r="N246" s="84"/>
      <c r="O246" s="84">
        <f t="shared" si="121"/>
        <v>0</v>
      </c>
      <c r="P246" s="84"/>
      <c r="Q246" s="86">
        <f t="shared" si="131"/>
        <v>15000</v>
      </c>
      <c r="R246" s="86">
        <f t="shared" si="132"/>
        <v>0</v>
      </c>
      <c r="S246" s="86">
        <f t="shared" si="132"/>
        <v>15000</v>
      </c>
    </row>
    <row r="247" spans="2:19" x14ac:dyDescent="0.2">
      <c r="B247" s="69">
        <f t="shared" si="133"/>
        <v>37</v>
      </c>
      <c r="C247" s="81"/>
      <c r="D247" s="81"/>
      <c r="E247" s="81"/>
      <c r="F247" s="82"/>
      <c r="G247" s="83">
        <v>633</v>
      </c>
      <c r="H247" s="81" t="s">
        <v>123</v>
      </c>
      <c r="I247" s="84">
        <v>4300</v>
      </c>
      <c r="J247" s="84">
        <v>1500</v>
      </c>
      <c r="K247" s="84">
        <f t="shared" si="120"/>
        <v>5800</v>
      </c>
      <c r="L247" s="84"/>
      <c r="M247" s="84"/>
      <c r="N247" s="84"/>
      <c r="O247" s="84">
        <f t="shared" si="121"/>
        <v>0</v>
      </c>
      <c r="P247" s="84"/>
      <c r="Q247" s="86">
        <f t="shared" si="131"/>
        <v>4300</v>
      </c>
      <c r="R247" s="86">
        <f t="shared" si="132"/>
        <v>1500</v>
      </c>
      <c r="S247" s="86">
        <f t="shared" si="132"/>
        <v>5800</v>
      </c>
    </row>
    <row r="248" spans="2:19" x14ac:dyDescent="0.2">
      <c r="B248" s="69">
        <f t="shared" si="133"/>
        <v>38</v>
      </c>
      <c r="C248" s="81"/>
      <c r="D248" s="81"/>
      <c r="E248" s="81"/>
      <c r="F248" s="82"/>
      <c r="G248" s="83">
        <v>635</v>
      </c>
      <c r="H248" s="81" t="s">
        <v>130</v>
      </c>
      <c r="I248" s="84">
        <v>3830</v>
      </c>
      <c r="J248" s="84"/>
      <c r="K248" s="84">
        <f t="shared" si="120"/>
        <v>3830</v>
      </c>
      <c r="L248" s="84"/>
      <c r="M248" s="84"/>
      <c r="N248" s="84"/>
      <c r="O248" s="84">
        <f t="shared" si="121"/>
        <v>0</v>
      </c>
      <c r="P248" s="84"/>
      <c r="Q248" s="86">
        <f t="shared" si="131"/>
        <v>3830</v>
      </c>
      <c r="R248" s="86">
        <f t="shared" si="132"/>
        <v>0</v>
      </c>
      <c r="S248" s="86">
        <f t="shared" si="132"/>
        <v>3830</v>
      </c>
    </row>
    <row r="249" spans="2:19" x14ac:dyDescent="0.2">
      <c r="B249" s="69">
        <f t="shared" si="133"/>
        <v>39</v>
      </c>
      <c r="C249" s="81"/>
      <c r="D249" s="81"/>
      <c r="E249" s="81"/>
      <c r="F249" s="82"/>
      <c r="G249" s="83">
        <v>637</v>
      </c>
      <c r="H249" s="81" t="s">
        <v>120</v>
      </c>
      <c r="I249" s="84">
        <v>3760</v>
      </c>
      <c r="J249" s="84"/>
      <c r="K249" s="84">
        <f t="shared" si="120"/>
        <v>3760</v>
      </c>
      <c r="L249" s="84"/>
      <c r="M249" s="84"/>
      <c r="N249" s="84"/>
      <c r="O249" s="84">
        <f t="shared" si="121"/>
        <v>0</v>
      </c>
      <c r="P249" s="84"/>
      <c r="Q249" s="86">
        <f t="shared" si="131"/>
        <v>3760</v>
      </c>
      <c r="R249" s="86">
        <f t="shared" si="132"/>
        <v>0</v>
      </c>
      <c r="S249" s="86">
        <f t="shared" si="132"/>
        <v>3760</v>
      </c>
    </row>
    <row r="250" spans="2:19" x14ac:dyDescent="0.2">
      <c r="B250" s="69">
        <f t="shared" si="133"/>
        <v>40</v>
      </c>
      <c r="C250" s="75"/>
      <c r="D250" s="75"/>
      <c r="E250" s="75"/>
      <c r="F250" s="76" t="s">
        <v>150</v>
      </c>
      <c r="G250" s="77">
        <v>640</v>
      </c>
      <c r="H250" s="75" t="s">
        <v>127</v>
      </c>
      <c r="I250" s="78">
        <v>4800</v>
      </c>
      <c r="J250" s="78"/>
      <c r="K250" s="78">
        <f t="shared" si="120"/>
        <v>4800</v>
      </c>
      <c r="L250" s="78"/>
      <c r="M250" s="78"/>
      <c r="N250" s="78"/>
      <c r="O250" s="78">
        <f t="shared" si="121"/>
        <v>0</v>
      </c>
      <c r="P250" s="78"/>
      <c r="Q250" s="80">
        <f t="shared" si="131"/>
        <v>4800</v>
      </c>
      <c r="R250" s="80">
        <f t="shared" si="132"/>
        <v>0</v>
      </c>
      <c r="S250" s="80">
        <f t="shared" si="132"/>
        <v>4800</v>
      </c>
    </row>
    <row r="251" spans="2:19" ht="15" x14ac:dyDescent="0.2">
      <c r="B251" s="69">
        <f t="shared" si="133"/>
        <v>41</v>
      </c>
      <c r="C251" s="360">
        <v>5</v>
      </c>
      <c r="D251" s="444" t="s">
        <v>212</v>
      </c>
      <c r="E251" s="445"/>
      <c r="F251" s="445"/>
      <c r="G251" s="445"/>
      <c r="H251" s="445"/>
      <c r="I251" s="72">
        <f>I257</f>
        <v>88205</v>
      </c>
      <c r="J251" s="72">
        <f t="shared" ref="J251" si="135">J257</f>
        <v>0</v>
      </c>
      <c r="K251" s="72">
        <f t="shared" si="120"/>
        <v>88205</v>
      </c>
      <c r="L251" s="328"/>
      <c r="M251" s="72">
        <f>M257+M252</f>
        <v>590000</v>
      </c>
      <c r="N251" s="72">
        <f t="shared" ref="N251" si="136">N257+N252</f>
        <v>0</v>
      </c>
      <c r="O251" s="72">
        <f t="shared" si="121"/>
        <v>590000</v>
      </c>
      <c r="P251" s="328"/>
      <c r="Q251" s="74">
        <f t="shared" si="131"/>
        <v>678205</v>
      </c>
      <c r="R251" s="74">
        <f t="shared" si="132"/>
        <v>0</v>
      </c>
      <c r="S251" s="74">
        <f t="shared" si="132"/>
        <v>678205</v>
      </c>
    </row>
    <row r="252" spans="2:19" x14ac:dyDescent="0.2">
      <c r="B252" s="69">
        <f t="shared" si="133"/>
        <v>42</v>
      </c>
      <c r="C252" s="75"/>
      <c r="D252" s="75"/>
      <c r="E252" s="75"/>
      <c r="F252" s="76" t="s">
        <v>179</v>
      </c>
      <c r="G252" s="77">
        <v>710</v>
      </c>
      <c r="H252" s="75" t="s">
        <v>171</v>
      </c>
      <c r="I252" s="78"/>
      <c r="J252" s="78"/>
      <c r="K252" s="78">
        <f t="shared" si="120"/>
        <v>0</v>
      </c>
      <c r="L252" s="78"/>
      <c r="M252" s="78">
        <f>M255+M253</f>
        <v>560000</v>
      </c>
      <c r="N252" s="78">
        <f t="shared" ref="N252" si="137">N255+N253</f>
        <v>0</v>
      </c>
      <c r="O252" s="78">
        <f t="shared" si="121"/>
        <v>560000</v>
      </c>
      <c r="P252" s="78"/>
      <c r="Q252" s="80">
        <f t="shared" si="131"/>
        <v>560000</v>
      </c>
      <c r="R252" s="80">
        <f t="shared" si="132"/>
        <v>0</v>
      </c>
      <c r="S252" s="80">
        <f t="shared" si="132"/>
        <v>560000</v>
      </c>
    </row>
    <row r="253" spans="2:19" x14ac:dyDescent="0.2">
      <c r="B253" s="69">
        <f t="shared" si="133"/>
        <v>43</v>
      </c>
      <c r="C253" s="75"/>
      <c r="D253" s="75"/>
      <c r="E253" s="75"/>
      <c r="F253" s="76"/>
      <c r="G253" s="83">
        <v>713</v>
      </c>
      <c r="H253" s="81" t="s">
        <v>215</v>
      </c>
      <c r="I253" s="84"/>
      <c r="J253" s="84"/>
      <c r="K253" s="84">
        <f t="shared" si="120"/>
        <v>0</v>
      </c>
      <c r="L253" s="84"/>
      <c r="M253" s="84">
        <f>M254</f>
        <v>550000</v>
      </c>
      <c r="N253" s="84">
        <f t="shared" ref="N253" si="138">N254</f>
        <v>0</v>
      </c>
      <c r="O253" s="84">
        <f t="shared" si="121"/>
        <v>550000</v>
      </c>
      <c r="P253" s="84"/>
      <c r="Q253" s="86">
        <f t="shared" si="131"/>
        <v>550000</v>
      </c>
      <c r="R253" s="86">
        <f t="shared" si="132"/>
        <v>0</v>
      </c>
      <c r="S253" s="86">
        <f t="shared" si="132"/>
        <v>550000</v>
      </c>
    </row>
    <row r="254" spans="2:19" x14ac:dyDescent="0.2">
      <c r="B254" s="69">
        <f t="shared" si="133"/>
        <v>44</v>
      </c>
      <c r="C254" s="75"/>
      <c r="D254" s="75"/>
      <c r="E254" s="75"/>
      <c r="F254" s="76"/>
      <c r="G254" s="93"/>
      <c r="H254" s="91" t="s">
        <v>540</v>
      </c>
      <c r="I254" s="94"/>
      <c r="J254" s="94"/>
      <c r="K254" s="94">
        <f t="shared" si="120"/>
        <v>0</v>
      </c>
      <c r="L254" s="94"/>
      <c r="M254" s="94">
        <f>300000+250000</f>
        <v>550000</v>
      </c>
      <c r="N254" s="94"/>
      <c r="O254" s="94">
        <f t="shared" si="121"/>
        <v>550000</v>
      </c>
      <c r="P254" s="94"/>
      <c r="Q254" s="95">
        <f t="shared" si="131"/>
        <v>550000</v>
      </c>
      <c r="R254" s="95">
        <f t="shared" si="132"/>
        <v>0</v>
      </c>
      <c r="S254" s="95">
        <f t="shared" si="132"/>
        <v>550000</v>
      </c>
    </row>
    <row r="255" spans="2:19" x14ac:dyDescent="0.2">
      <c r="B255" s="69">
        <f t="shared" si="133"/>
        <v>45</v>
      </c>
      <c r="C255" s="81"/>
      <c r="D255" s="81"/>
      <c r="E255" s="81"/>
      <c r="F255" s="82"/>
      <c r="G255" s="83">
        <v>716</v>
      </c>
      <c r="H255" s="81" t="s">
        <v>211</v>
      </c>
      <c r="I255" s="84"/>
      <c r="J255" s="84"/>
      <c r="K255" s="84">
        <f t="shared" si="120"/>
        <v>0</v>
      </c>
      <c r="L255" s="84"/>
      <c r="M255" s="84">
        <f>M256</f>
        <v>10000</v>
      </c>
      <c r="N255" s="84">
        <f t="shared" ref="N255" si="139">N256</f>
        <v>0</v>
      </c>
      <c r="O255" s="84">
        <f t="shared" si="121"/>
        <v>10000</v>
      </c>
      <c r="P255" s="84"/>
      <c r="Q255" s="86">
        <f t="shared" si="131"/>
        <v>10000</v>
      </c>
      <c r="R255" s="86">
        <f t="shared" si="132"/>
        <v>0</v>
      </c>
      <c r="S255" s="86">
        <f t="shared" si="132"/>
        <v>10000</v>
      </c>
    </row>
    <row r="256" spans="2:19" x14ac:dyDescent="0.2">
      <c r="B256" s="69">
        <f t="shared" si="133"/>
        <v>46</v>
      </c>
      <c r="C256" s="91"/>
      <c r="D256" s="91"/>
      <c r="E256" s="91"/>
      <c r="F256" s="93"/>
      <c r="G256" s="93"/>
      <c r="H256" s="91" t="s">
        <v>560</v>
      </c>
      <c r="I256" s="94"/>
      <c r="J256" s="94"/>
      <c r="K256" s="94">
        <f t="shared" si="120"/>
        <v>0</v>
      </c>
      <c r="L256" s="94"/>
      <c r="M256" s="94">
        <v>10000</v>
      </c>
      <c r="N256" s="94"/>
      <c r="O256" s="94">
        <f t="shared" si="121"/>
        <v>10000</v>
      </c>
      <c r="P256" s="94"/>
      <c r="Q256" s="95">
        <f t="shared" si="131"/>
        <v>10000</v>
      </c>
      <c r="R256" s="95">
        <f t="shared" si="132"/>
        <v>0</v>
      </c>
      <c r="S256" s="95">
        <f t="shared" si="132"/>
        <v>10000</v>
      </c>
    </row>
    <row r="257" spans="2:19" ht="15" x14ac:dyDescent="0.25">
      <c r="B257" s="69">
        <f t="shared" si="133"/>
        <v>47</v>
      </c>
      <c r="C257" s="96"/>
      <c r="D257" s="96"/>
      <c r="E257" s="96">
        <v>2</v>
      </c>
      <c r="F257" s="97"/>
      <c r="G257" s="97"/>
      <c r="H257" s="87" t="s">
        <v>11</v>
      </c>
      <c r="I257" s="89">
        <f>I258+I259+I260+I266</f>
        <v>88205</v>
      </c>
      <c r="J257" s="89">
        <f t="shared" ref="J257" si="140">J258+J259+J260+J266</f>
        <v>0</v>
      </c>
      <c r="K257" s="89">
        <f t="shared" si="120"/>
        <v>88205</v>
      </c>
      <c r="L257" s="255"/>
      <c r="M257" s="98">
        <f>M267</f>
        <v>30000</v>
      </c>
      <c r="N257" s="98">
        <f t="shared" ref="N257" si="141">N267</f>
        <v>0</v>
      </c>
      <c r="O257" s="98">
        <f t="shared" si="121"/>
        <v>30000</v>
      </c>
      <c r="P257" s="255"/>
      <c r="Q257" s="99">
        <f t="shared" si="131"/>
        <v>118205</v>
      </c>
      <c r="R257" s="99">
        <f t="shared" si="132"/>
        <v>0</v>
      </c>
      <c r="S257" s="99">
        <f t="shared" si="132"/>
        <v>118205</v>
      </c>
    </row>
    <row r="258" spans="2:19" x14ac:dyDescent="0.2">
      <c r="B258" s="69">
        <f t="shared" si="133"/>
        <v>48</v>
      </c>
      <c r="C258" s="75"/>
      <c r="D258" s="75"/>
      <c r="E258" s="75"/>
      <c r="F258" s="76" t="s">
        <v>179</v>
      </c>
      <c r="G258" s="77">
        <v>610</v>
      </c>
      <c r="H258" s="13" t="s">
        <v>510</v>
      </c>
      <c r="I258" s="78">
        <v>32065</v>
      </c>
      <c r="J258" s="78"/>
      <c r="K258" s="78">
        <f t="shared" si="120"/>
        <v>32065</v>
      </c>
      <c r="L258" s="78"/>
      <c r="M258" s="78"/>
      <c r="N258" s="78"/>
      <c r="O258" s="78">
        <f t="shared" si="121"/>
        <v>0</v>
      </c>
      <c r="P258" s="78"/>
      <c r="Q258" s="80">
        <f t="shared" si="131"/>
        <v>32065</v>
      </c>
      <c r="R258" s="80">
        <f t="shared" si="132"/>
        <v>0</v>
      </c>
      <c r="S258" s="80">
        <f t="shared" si="132"/>
        <v>32065</v>
      </c>
    </row>
    <row r="259" spans="2:19" x14ac:dyDescent="0.2">
      <c r="B259" s="69">
        <f t="shared" si="133"/>
        <v>49</v>
      </c>
      <c r="C259" s="75"/>
      <c r="D259" s="75"/>
      <c r="E259" s="75"/>
      <c r="F259" s="76" t="s">
        <v>179</v>
      </c>
      <c r="G259" s="77">
        <v>620</v>
      </c>
      <c r="H259" s="75" t="s">
        <v>122</v>
      </c>
      <c r="I259" s="78">
        <v>12965</v>
      </c>
      <c r="J259" s="78"/>
      <c r="K259" s="78">
        <f t="shared" si="120"/>
        <v>12965</v>
      </c>
      <c r="L259" s="78"/>
      <c r="M259" s="78"/>
      <c r="N259" s="78"/>
      <c r="O259" s="78">
        <f t="shared" si="121"/>
        <v>0</v>
      </c>
      <c r="P259" s="78"/>
      <c r="Q259" s="80">
        <f t="shared" si="131"/>
        <v>12965</v>
      </c>
      <c r="R259" s="80">
        <f t="shared" ref="R259:S274" si="142">N259+J259</f>
        <v>0</v>
      </c>
      <c r="S259" s="80">
        <f t="shared" si="142"/>
        <v>12965</v>
      </c>
    </row>
    <row r="260" spans="2:19" x14ac:dyDescent="0.2">
      <c r="B260" s="69">
        <f t="shared" si="133"/>
        <v>50</v>
      </c>
      <c r="C260" s="75"/>
      <c r="D260" s="75"/>
      <c r="E260" s="75"/>
      <c r="F260" s="76" t="s">
        <v>179</v>
      </c>
      <c r="G260" s="77">
        <v>630</v>
      </c>
      <c r="H260" s="75" t="s">
        <v>119</v>
      </c>
      <c r="I260" s="78">
        <f>SUM(I261:I265)</f>
        <v>41075</v>
      </c>
      <c r="J260" s="78">
        <f t="shared" ref="J260" si="143">SUM(J261:J265)</f>
        <v>0</v>
      </c>
      <c r="K260" s="78">
        <f t="shared" si="120"/>
        <v>41075</v>
      </c>
      <c r="L260" s="78"/>
      <c r="M260" s="78"/>
      <c r="N260" s="78"/>
      <c r="O260" s="78">
        <f t="shared" si="121"/>
        <v>0</v>
      </c>
      <c r="P260" s="78"/>
      <c r="Q260" s="80">
        <f t="shared" si="131"/>
        <v>41075</v>
      </c>
      <c r="R260" s="80">
        <f t="shared" si="142"/>
        <v>0</v>
      </c>
      <c r="S260" s="80">
        <f t="shared" si="142"/>
        <v>41075</v>
      </c>
    </row>
    <row r="261" spans="2:19" x14ac:dyDescent="0.2">
      <c r="B261" s="69">
        <f t="shared" si="133"/>
        <v>51</v>
      </c>
      <c r="C261" s="81"/>
      <c r="D261" s="81"/>
      <c r="E261" s="81"/>
      <c r="F261" s="82"/>
      <c r="G261" s="83">
        <v>632</v>
      </c>
      <c r="H261" s="81" t="s">
        <v>131</v>
      </c>
      <c r="I261" s="84">
        <v>7200</v>
      </c>
      <c r="J261" s="84"/>
      <c r="K261" s="84">
        <f t="shared" si="120"/>
        <v>7200</v>
      </c>
      <c r="L261" s="84"/>
      <c r="M261" s="84"/>
      <c r="N261" s="84"/>
      <c r="O261" s="84">
        <f t="shared" si="121"/>
        <v>0</v>
      </c>
      <c r="P261" s="84"/>
      <c r="Q261" s="86">
        <f t="shared" si="131"/>
        <v>7200</v>
      </c>
      <c r="R261" s="86">
        <f t="shared" si="142"/>
        <v>0</v>
      </c>
      <c r="S261" s="86">
        <f t="shared" si="142"/>
        <v>7200</v>
      </c>
    </row>
    <row r="262" spans="2:19" x14ac:dyDescent="0.2">
      <c r="B262" s="69">
        <f t="shared" si="133"/>
        <v>52</v>
      </c>
      <c r="C262" s="81"/>
      <c r="D262" s="81"/>
      <c r="E262" s="81"/>
      <c r="F262" s="82"/>
      <c r="G262" s="83">
        <v>633</v>
      </c>
      <c r="H262" s="81" t="s">
        <v>123</v>
      </c>
      <c r="I262" s="84">
        <v>10940</v>
      </c>
      <c r="J262" s="84"/>
      <c r="K262" s="84">
        <f t="shared" si="120"/>
        <v>10940</v>
      </c>
      <c r="L262" s="84"/>
      <c r="M262" s="84"/>
      <c r="N262" s="84"/>
      <c r="O262" s="84">
        <f t="shared" si="121"/>
        <v>0</v>
      </c>
      <c r="P262" s="84"/>
      <c r="Q262" s="86">
        <f t="shared" si="131"/>
        <v>10940</v>
      </c>
      <c r="R262" s="86">
        <f t="shared" si="142"/>
        <v>0</v>
      </c>
      <c r="S262" s="86">
        <f t="shared" si="142"/>
        <v>10940</v>
      </c>
    </row>
    <row r="263" spans="2:19" x14ac:dyDescent="0.2">
      <c r="B263" s="69">
        <f t="shared" si="133"/>
        <v>53</v>
      </c>
      <c r="C263" s="81"/>
      <c r="D263" s="81"/>
      <c r="E263" s="81"/>
      <c r="F263" s="82"/>
      <c r="G263" s="83">
        <v>635</v>
      </c>
      <c r="H263" s="81" t="s">
        <v>130</v>
      </c>
      <c r="I263" s="84">
        <v>400</v>
      </c>
      <c r="J263" s="84"/>
      <c r="K263" s="84">
        <f t="shared" si="120"/>
        <v>400</v>
      </c>
      <c r="L263" s="84"/>
      <c r="M263" s="84"/>
      <c r="N263" s="84"/>
      <c r="O263" s="84">
        <f t="shared" si="121"/>
        <v>0</v>
      </c>
      <c r="P263" s="84"/>
      <c r="Q263" s="86">
        <f t="shared" si="131"/>
        <v>400</v>
      </c>
      <c r="R263" s="86">
        <f t="shared" si="142"/>
        <v>0</v>
      </c>
      <c r="S263" s="86">
        <f t="shared" si="142"/>
        <v>400</v>
      </c>
    </row>
    <row r="264" spans="2:19" x14ac:dyDescent="0.2">
      <c r="B264" s="69">
        <f t="shared" si="133"/>
        <v>54</v>
      </c>
      <c r="C264" s="81"/>
      <c r="D264" s="81"/>
      <c r="E264" s="81"/>
      <c r="F264" s="82"/>
      <c r="G264" s="83">
        <v>636</v>
      </c>
      <c r="H264" s="81" t="s">
        <v>124</v>
      </c>
      <c r="I264" s="84">
        <v>2700</v>
      </c>
      <c r="J264" s="84"/>
      <c r="K264" s="84">
        <f t="shared" si="120"/>
        <v>2700</v>
      </c>
      <c r="L264" s="84"/>
      <c r="M264" s="84"/>
      <c r="N264" s="84"/>
      <c r="O264" s="84">
        <f t="shared" si="121"/>
        <v>0</v>
      </c>
      <c r="P264" s="84"/>
      <c r="Q264" s="86">
        <f t="shared" si="131"/>
        <v>2700</v>
      </c>
      <c r="R264" s="86">
        <f t="shared" si="142"/>
        <v>0</v>
      </c>
      <c r="S264" s="86">
        <f t="shared" si="142"/>
        <v>2700</v>
      </c>
    </row>
    <row r="265" spans="2:19" x14ac:dyDescent="0.2">
      <c r="B265" s="69">
        <f t="shared" si="133"/>
        <v>55</v>
      </c>
      <c r="C265" s="81"/>
      <c r="D265" s="81"/>
      <c r="E265" s="81"/>
      <c r="F265" s="82"/>
      <c r="G265" s="83">
        <v>637</v>
      </c>
      <c r="H265" s="81" t="s">
        <v>120</v>
      </c>
      <c r="I265" s="84">
        <v>19835</v>
      </c>
      <c r="J265" s="84"/>
      <c r="K265" s="84">
        <f t="shared" si="120"/>
        <v>19835</v>
      </c>
      <c r="L265" s="84"/>
      <c r="M265" s="84"/>
      <c r="N265" s="84"/>
      <c r="O265" s="84">
        <f t="shared" si="121"/>
        <v>0</v>
      </c>
      <c r="P265" s="84"/>
      <c r="Q265" s="86">
        <f t="shared" si="131"/>
        <v>19835</v>
      </c>
      <c r="R265" s="86">
        <f t="shared" si="142"/>
        <v>0</v>
      </c>
      <c r="S265" s="86">
        <f t="shared" si="142"/>
        <v>19835</v>
      </c>
    </row>
    <row r="266" spans="2:19" x14ac:dyDescent="0.2">
      <c r="B266" s="69">
        <f t="shared" si="133"/>
        <v>56</v>
      </c>
      <c r="C266" s="75"/>
      <c r="D266" s="75"/>
      <c r="E266" s="75"/>
      <c r="F266" s="76" t="s">
        <v>179</v>
      </c>
      <c r="G266" s="77">
        <v>640</v>
      </c>
      <c r="H266" s="75" t="s">
        <v>127</v>
      </c>
      <c r="I266" s="78">
        <v>2100</v>
      </c>
      <c r="J266" s="78"/>
      <c r="K266" s="78">
        <f t="shared" si="120"/>
        <v>2100</v>
      </c>
      <c r="L266" s="78"/>
      <c r="M266" s="78"/>
      <c r="N266" s="78"/>
      <c r="O266" s="78">
        <f t="shared" si="121"/>
        <v>0</v>
      </c>
      <c r="P266" s="78"/>
      <c r="Q266" s="80">
        <f t="shared" si="131"/>
        <v>2100</v>
      </c>
      <c r="R266" s="80">
        <f t="shared" si="142"/>
        <v>0</v>
      </c>
      <c r="S266" s="80">
        <f t="shared" si="142"/>
        <v>2100</v>
      </c>
    </row>
    <row r="267" spans="2:19" x14ac:dyDescent="0.2">
      <c r="B267" s="69">
        <f t="shared" si="133"/>
        <v>57</v>
      </c>
      <c r="C267" s="75"/>
      <c r="D267" s="75"/>
      <c r="E267" s="75"/>
      <c r="F267" s="76" t="s">
        <v>179</v>
      </c>
      <c r="G267" s="77">
        <v>710</v>
      </c>
      <c r="H267" s="75" t="s">
        <v>171</v>
      </c>
      <c r="I267" s="78"/>
      <c r="J267" s="78"/>
      <c r="K267" s="78">
        <f t="shared" si="120"/>
        <v>0</v>
      </c>
      <c r="L267" s="78"/>
      <c r="M267" s="78">
        <f>M268</f>
        <v>30000</v>
      </c>
      <c r="N267" s="78">
        <f t="shared" ref="N267:N268" si="144">N268</f>
        <v>0</v>
      </c>
      <c r="O267" s="78">
        <f t="shared" si="121"/>
        <v>30000</v>
      </c>
      <c r="P267" s="78"/>
      <c r="Q267" s="80">
        <f t="shared" si="131"/>
        <v>30000</v>
      </c>
      <c r="R267" s="80">
        <f t="shared" si="142"/>
        <v>0</v>
      </c>
      <c r="S267" s="80">
        <f t="shared" si="142"/>
        <v>30000</v>
      </c>
    </row>
    <row r="268" spans="2:19" x14ac:dyDescent="0.2">
      <c r="B268" s="69">
        <f t="shared" si="133"/>
        <v>58</v>
      </c>
      <c r="C268" s="81"/>
      <c r="D268" s="81"/>
      <c r="E268" s="81"/>
      <c r="F268" s="82"/>
      <c r="G268" s="83">
        <v>717</v>
      </c>
      <c r="H268" s="81" t="s">
        <v>178</v>
      </c>
      <c r="I268" s="84"/>
      <c r="J268" s="84"/>
      <c r="K268" s="84">
        <f t="shared" si="120"/>
        <v>0</v>
      </c>
      <c r="L268" s="84"/>
      <c r="M268" s="84">
        <f>M269</f>
        <v>30000</v>
      </c>
      <c r="N268" s="84">
        <f t="shared" si="144"/>
        <v>0</v>
      </c>
      <c r="O268" s="84">
        <f t="shared" si="121"/>
        <v>30000</v>
      </c>
      <c r="P268" s="84"/>
      <c r="Q268" s="86">
        <f t="shared" si="131"/>
        <v>30000</v>
      </c>
      <c r="R268" s="86">
        <f t="shared" si="142"/>
        <v>0</v>
      </c>
      <c r="S268" s="86">
        <f t="shared" si="142"/>
        <v>30000</v>
      </c>
    </row>
    <row r="269" spans="2:19" x14ac:dyDescent="0.2">
      <c r="B269" s="69">
        <f t="shared" si="133"/>
        <v>59</v>
      </c>
      <c r="C269" s="91"/>
      <c r="D269" s="91"/>
      <c r="E269" s="91"/>
      <c r="F269" s="93"/>
      <c r="G269" s="93"/>
      <c r="H269" s="91" t="s">
        <v>531</v>
      </c>
      <c r="I269" s="94"/>
      <c r="J269" s="94"/>
      <c r="K269" s="94">
        <f t="shared" si="120"/>
        <v>0</v>
      </c>
      <c r="L269" s="94"/>
      <c r="M269" s="94">
        <v>30000</v>
      </c>
      <c r="N269" s="94"/>
      <c r="O269" s="94">
        <f t="shared" si="121"/>
        <v>30000</v>
      </c>
      <c r="P269" s="94"/>
      <c r="Q269" s="95">
        <f t="shared" si="131"/>
        <v>30000</v>
      </c>
      <c r="R269" s="95">
        <f t="shared" si="142"/>
        <v>0</v>
      </c>
      <c r="S269" s="95">
        <f t="shared" si="142"/>
        <v>30000</v>
      </c>
    </row>
    <row r="270" spans="2:19" ht="15" x14ac:dyDescent="0.2">
      <c r="B270" s="69">
        <f t="shared" si="133"/>
        <v>60</v>
      </c>
      <c r="C270" s="360">
        <v>6</v>
      </c>
      <c r="D270" s="444" t="s">
        <v>142</v>
      </c>
      <c r="E270" s="445"/>
      <c r="F270" s="445"/>
      <c r="G270" s="445"/>
      <c r="H270" s="445"/>
      <c r="I270" s="72">
        <f>I271</f>
        <v>256410</v>
      </c>
      <c r="J270" s="72">
        <f t="shared" ref="J270" si="145">J271</f>
        <v>0</v>
      </c>
      <c r="K270" s="72">
        <f t="shared" si="120"/>
        <v>256410</v>
      </c>
      <c r="L270" s="328"/>
      <c r="M270" s="72">
        <f>M275</f>
        <v>478698</v>
      </c>
      <c r="N270" s="72">
        <f t="shared" ref="N270" si="146">N275</f>
        <v>0</v>
      </c>
      <c r="O270" s="72">
        <f t="shared" si="121"/>
        <v>478698</v>
      </c>
      <c r="P270" s="334"/>
      <c r="Q270" s="74">
        <f t="shared" si="131"/>
        <v>735108</v>
      </c>
      <c r="R270" s="74">
        <f t="shared" si="142"/>
        <v>0</v>
      </c>
      <c r="S270" s="74">
        <f t="shared" si="142"/>
        <v>735108</v>
      </c>
    </row>
    <row r="271" spans="2:19" x14ac:dyDescent="0.2">
      <c r="B271" s="69">
        <f t="shared" si="133"/>
        <v>61</v>
      </c>
      <c r="C271" s="75"/>
      <c r="D271" s="75"/>
      <c r="E271" s="75"/>
      <c r="F271" s="76" t="s">
        <v>141</v>
      </c>
      <c r="G271" s="77">
        <v>630</v>
      </c>
      <c r="H271" s="75" t="s">
        <v>119</v>
      </c>
      <c r="I271" s="78">
        <f>SUM(I272:I274)</f>
        <v>256410</v>
      </c>
      <c r="J271" s="78">
        <f t="shared" ref="J271" si="147">SUM(J272:J274)</f>
        <v>0</v>
      </c>
      <c r="K271" s="78">
        <f t="shared" si="120"/>
        <v>256410</v>
      </c>
      <c r="L271" s="78"/>
      <c r="M271" s="79"/>
      <c r="N271" s="79"/>
      <c r="O271" s="79">
        <f t="shared" si="121"/>
        <v>0</v>
      </c>
      <c r="P271" s="79"/>
      <c r="Q271" s="80">
        <f t="shared" si="131"/>
        <v>256410</v>
      </c>
      <c r="R271" s="80">
        <f t="shared" si="142"/>
        <v>0</v>
      </c>
      <c r="S271" s="80">
        <f t="shared" si="142"/>
        <v>256410</v>
      </c>
    </row>
    <row r="272" spans="2:19" x14ac:dyDescent="0.2">
      <c r="B272" s="69">
        <f t="shared" si="133"/>
        <v>62</v>
      </c>
      <c r="C272" s="81"/>
      <c r="D272" s="81"/>
      <c r="E272" s="81"/>
      <c r="F272" s="82"/>
      <c r="G272" s="83">
        <v>632</v>
      </c>
      <c r="H272" s="81" t="s">
        <v>131</v>
      </c>
      <c r="I272" s="84">
        <v>40000</v>
      </c>
      <c r="J272" s="84"/>
      <c r="K272" s="84">
        <f t="shared" si="120"/>
        <v>40000</v>
      </c>
      <c r="L272" s="84"/>
      <c r="M272" s="84"/>
      <c r="N272" s="84"/>
      <c r="O272" s="84">
        <f t="shared" si="121"/>
        <v>0</v>
      </c>
      <c r="P272" s="84"/>
      <c r="Q272" s="86">
        <f t="shared" si="131"/>
        <v>40000</v>
      </c>
      <c r="R272" s="86">
        <f t="shared" si="142"/>
        <v>0</v>
      </c>
      <c r="S272" s="86">
        <f t="shared" si="142"/>
        <v>40000</v>
      </c>
    </row>
    <row r="273" spans="2:19" x14ac:dyDescent="0.2">
      <c r="B273" s="69">
        <f t="shared" si="133"/>
        <v>63</v>
      </c>
      <c r="C273" s="81"/>
      <c r="D273" s="81"/>
      <c r="E273" s="81"/>
      <c r="F273" s="82"/>
      <c r="G273" s="83">
        <v>635</v>
      </c>
      <c r="H273" s="81" t="s">
        <v>130</v>
      </c>
      <c r="I273" s="84">
        <f>35000-13490</f>
        <v>21510</v>
      </c>
      <c r="J273" s="84"/>
      <c r="K273" s="84">
        <f t="shared" si="120"/>
        <v>21510</v>
      </c>
      <c r="L273" s="84"/>
      <c r="M273" s="84"/>
      <c r="N273" s="84"/>
      <c r="O273" s="84">
        <f t="shared" si="121"/>
        <v>0</v>
      </c>
      <c r="P273" s="84"/>
      <c r="Q273" s="86">
        <f t="shared" si="131"/>
        <v>21510</v>
      </c>
      <c r="R273" s="86">
        <f t="shared" si="142"/>
        <v>0</v>
      </c>
      <c r="S273" s="86">
        <f t="shared" si="142"/>
        <v>21510</v>
      </c>
    </row>
    <row r="274" spans="2:19" x14ac:dyDescent="0.2">
      <c r="B274" s="69">
        <f t="shared" ref="B274:B283" si="148">B273+1</f>
        <v>64</v>
      </c>
      <c r="C274" s="81"/>
      <c r="D274" s="81"/>
      <c r="E274" s="81"/>
      <c r="F274" s="82"/>
      <c r="G274" s="83">
        <v>637</v>
      </c>
      <c r="H274" s="81" t="s">
        <v>120</v>
      </c>
      <c r="I274" s="84">
        <v>194900</v>
      </c>
      <c r="J274" s="84"/>
      <c r="K274" s="84">
        <f t="shared" si="120"/>
        <v>194900</v>
      </c>
      <c r="L274" s="84"/>
      <c r="M274" s="84"/>
      <c r="N274" s="84"/>
      <c r="O274" s="84">
        <f t="shared" si="121"/>
        <v>0</v>
      </c>
      <c r="P274" s="84"/>
      <c r="Q274" s="86">
        <f t="shared" si="131"/>
        <v>194900</v>
      </c>
      <c r="R274" s="86">
        <f t="shared" si="142"/>
        <v>0</v>
      </c>
      <c r="S274" s="86">
        <f t="shared" si="142"/>
        <v>194900</v>
      </c>
    </row>
    <row r="275" spans="2:19" x14ac:dyDescent="0.2">
      <c r="B275" s="69">
        <f t="shared" si="148"/>
        <v>65</v>
      </c>
      <c r="C275" s="75"/>
      <c r="D275" s="75"/>
      <c r="E275" s="75"/>
      <c r="F275" s="76" t="s">
        <v>141</v>
      </c>
      <c r="G275" s="77">
        <v>710</v>
      </c>
      <c r="H275" s="75" t="s">
        <v>171</v>
      </c>
      <c r="I275" s="78"/>
      <c r="J275" s="78"/>
      <c r="K275" s="78">
        <f t="shared" si="120"/>
        <v>0</v>
      </c>
      <c r="L275" s="78"/>
      <c r="M275" s="78">
        <f>M276+M278</f>
        <v>478698</v>
      </c>
      <c r="N275" s="78">
        <f>N276+N278</f>
        <v>0</v>
      </c>
      <c r="O275" s="78">
        <f t="shared" si="121"/>
        <v>478698</v>
      </c>
      <c r="P275" s="78"/>
      <c r="Q275" s="80">
        <f t="shared" ref="Q275:Q293" si="149">M275+I275</f>
        <v>478698</v>
      </c>
      <c r="R275" s="80">
        <f t="shared" ref="R275:S290" si="150">N275+J275</f>
        <v>0</v>
      </c>
      <c r="S275" s="80">
        <f t="shared" si="150"/>
        <v>478698</v>
      </c>
    </row>
    <row r="276" spans="2:19" x14ac:dyDescent="0.2">
      <c r="B276" s="69">
        <f t="shared" si="148"/>
        <v>66</v>
      </c>
      <c r="C276" s="81"/>
      <c r="D276" s="81"/>
      <c r="E276" s="81"/>
      <c r="F276" s="82"/>
      <c r="G276" s="83">
        <v>716</v>
      </c>
      <c r="H276" s="81" t="s">
        <v>211</v>
      </c>
      <c r="I276" s="84"/>
      <c r="J276" s="84"/>
      <c r="K276" s="84">
        <f t="shared" ref="K276:K293" si="151">I276+J276</f>
        <v>0</v>
      </c>
      <c r="L276" s="84"/>
      <c r="M276" s="84">
        <f>SUM(M277:M277)</f>
        <v>266660</v>
      </c>
      <c r="N276" s="84">
        <f>SUM(N277:N277)</f>
        <v>0</v>
      </c>
      <c r="O276" s="84">
        <f t="shared" ref="O276:O293" si="152">M276+N276</f>
        <v>266660</v>
      </c>
      <c r="P276" s="84"/>
      <c r="Q276" s="86">
        <f t="shared" si="149"/>
        <v>266660</v>
      </c>
      <c r="R276" s="86">
        <f t="shared" si="150"/>
        <v>0</v>
      </c>
      <c r="S276" s="86">
        <f t="shared" si="150"/>
        <v>266660</v>
      </c>
    </row>
    <row r="277" spans="2:19" x14ac:dyDescent="0.2">
      <c r="B277" s="69">
        <f t="shared" si="148"/>
        <v>67</v>
      </c>
      <c r="C277" s="91"/>
      <c r="D277" s="91"/>
      <c r="E277" s="91"/>
      <c r="F277" s="93"/>
      <c r="G277" s="93"/>
      <c r="H277" s="91" t="s">
        <v>369</v>
      </c>
      <c r="I277" s="94"/>
      <c r="J277" s="94"/>
      <c r="K277" s="94">
        <f t="shared" si="151"/>
        <v>0</v>
      </c>
      <c r="L277" s="94"/>
      <c r="M277" s="94">
        <v>266660</v>
      </c>
      <c r="N277" s="94"/>
      <c r="O277" s="94">
        <f t="shared" si="152"/>
        <v>266660</v>
      </c>
      <c r="P277" s="94"/>
      <c r="Q277" s="95">
        <f t="shared" si="149"/>
        <v>266660</v>
      </c>
      <c r="R277" s="95">
        <f t="shared" si="150"/>
        <v>0</v>
      </c>
      <c r="S277" s="95">
        <f t="shared" si="150"/>
        <v>266660</v>
      </c>
    </row>
    <row r="278" spans="2:19" x14ac:dyDescent="0.2">
      <c r="B278" s="69">
        <f t="shared" si="148"/>
        <v>68</v>
      </c>
      <c r="C278" s="81"/>
      <c r="D278" s="81"/>
      <c r="E278" s="81"/>
      <c r="F278" s="82"/>
      <c r="G278" s="83">
        <v>717</v>
      </c>
      <c r="H278" s="81" t="s">
        <v>178</v>
      </c>
      <c r="I278" s="84"/>
      <c r="J278" s="84"/>
      <c r="K278" s="84">
        <f t="shared" si="151"/>
        <v>0</v>
      </c>
      <c r="L278" s="84"/>
      <c r="M278" s="84">
        <f>SUM(M279:M286)</f>
        <v>212038</v>
      </c>
      <c r="N278" s="84">
        <f t="shared" ref="N278" si="153">SUM(N279:N286)</f>
        <v>0</v>
      </c>
      <c r="O278" s="84">
        <f t="shared" si="152"/>
        <v>212038</v>
      </c>
      <c r="P278" s="84"/>
      <c r="Q278" s="86">
        <f t="shared" si="149"/>
        <v>212038</v>
      </c>
      <c r="R278" s="86">
        <f t="shared" si="150"/>
        <v>0</v>
      </c>
      <c r="S278" s="86">
        <f t="shared" si="150"/>
        <v>212038</v>
      </c>
    </row>
    <row r="279" spans="2:19" x14ac:dyDescent="0.2">
      <c r="B279" s="69">
        <f t="shared" si="148"/>
        <v>69</v>
      </c>
      <c r="C279" s="91"/>
      <c r="D279" s="91"/>
      <c r="E279" s="91"/>
      <c r="F279" s="93"/>
      <c r="G279" s="93"/>
      <c r="H279" s="91" t="s">
        <v>546</v>
      </c>
      <c r="I279" s="94"/>
      <c r="J279" s="94"/>
      <c r="K279" s="94">
        <f t="shared" si="151"/>
        <v>0</v>
      </c>
      <c r="L279" s="94"/>
      <c r="M279" s="94">
        <v>40000</v>
      </c>
      <c r="N279" s="94"/>
      <c r="O279" s="94">
        <f t="shared" si="152"/>
        <v>40000</v>
      </c>
      <c r="P279" s="94"/>
      <c r="Q279" s="95">
        <f t="shared" si="149"/>
        <v>40000</v>
      </c>
      <c r="R279" s="95">
        <f t="shared" si="150"/>
        <v>0</v>
      </c>
      <c r="S279" s="95">
        <f t="shared" si="150"/>
        <v>40000</v>
      </c>
    </row>
    <row r="280" spans="2:19" x14ac:dyDescent="0.2">
      <c r="B280" s="69">
        <f t="shared" si="148"/>
        <v>70</v>
      </c>
      <c r="C280" s="91"/>
      <c r="D280" s="91"/>
      <c r="E280" s="91"/>
      <c r="F280" s="93"/>
      <c r="G280" s="93"/>
      <c r="H280" s="91" t="s">
        <v>627</v>
      </c>
      <c r="I280" s="94"/>
      <c r="J280" s="94"/>
      <c r="K280" s="94">
        <f t="shared" si="151"/>
        <v>0</v>
      </c>
      <c r="L280" s="94"/>
      <c r="M280" s="94">
        <f>17000-6000</f>
        <v>11000</v>
      </c>
      <c r="N280" s="94"/>
      <c r="O280" s="94">
        <f t="shared" si="152"/>
        <v>11000</v>
      </c>
      <c r="P280" s="94"/>
      <c r="Q280" s="95">
        <f t="shared" si="149"/>
        <v>11000</v>
      </c>
      <c r="R280" s="95">
        <f t="shared" si="150"/>
        <v>0</v>
      </c>
      <c r="S280" s="95">
        <f t="shared" si="150"/>
        <v>11000</v>
      </c>
    </row>
    <row r="281" spans="2:19" x14ac:dyDescent="0.2">
      <c r="B281" s="69">
        <f t="shared" si="148"/>
        <v>71</v>
      </c>
      <c r="C281" s="91"/>
      <c r="D281" s="91"/>
      <c r="E281" s="91"/>
      <c r="F281" s="93"/>
      <c r="G281" s="93"/>
      <c r="H281" s="91" t="s">
        <v>439</v>
      </c>
      <c r="I281" s="94"/>
      <c r="J281" s="94"/>
      <c r="K281" s="94">
        <f t="shared" si="151"/>
        <v>0</v>
      </c>
      <c r="L281" s="94"/>
      <c r="M281" s="94">
        <v>26500</v>
      </c>
      <c r="N281" s="94"/>
      <c r="O281" s="94">
        <f t="shared" si="152"/>
        <v>26500</v>
      </c>
      <c r="P281" s="94"/>
      <c r="Q281" s="95">
        <f t="shared" si="149"/>
        <v>26500</v>
      </c>
      <c r="R281" s="95">
        <f t="shared" si="150"/>
        <v>0</v>
      </c>
      <c r="S281" s="95">
        <f t="shared" si="150"/>
        <v>26500</v>
      </c>
    </row>
    <row r="282" spans="2:19" x14ac:dyDescent="0.2">
      <c r="B282" s="69">
        <f t="shared" si="148"/>
        <v>72</v>
      </c>
      <c r="C282" s="91"/>
      <c r="D282" s="91"/>
      <c r="E282" s="91"/>
      <c r="F282" s="93"/>
      <c r="G282" s="93"/>
      <c r="H282" s="91" t="s">
        <v>673</v>
      </c>
      <c r="I282" s="94"/>
      <c r="J282" s="94"/>
      <c r="K282" s="94">
        <f t="shared" si="151"/>
        <v>0</v>
      </c>
      <c r="L282" s="94"/>
      <c r="M282" s="94">
        <v>5000</v>
      </c>
      <c r="N282" s="94"/>
      <c r="O282" s="94">
        <f t="shared" si="152"/>
        <v>5000</v>
      </c>
      <c r="P282" s="94"/>
      <c r="Q282" s="95">
        <f t="shared" si="149"/>
        <v>5000</v>
      </c>
      <c r="R282" s="95">
        <f t="shared" si="150"/>
        <v>0</v>
      </c>
      <c r="S282" s="95">
        <f t="shared" si="150"/>
        <v>5000</v>
      </c>
    </row>
    <row r="283" spans="2:19" x14ac:dyDescent="0.2">
      <c r="B283" s="69">
        <f t="shared" si="148"/>
        <v>73</v>
      </c>
      <c r="C283" s="91"/>
      <c r="D283" s="91"/>
      <c r="E283" s="91"/>
      <c r="F283" s="93"/>
      <c r="G283" s="93"/>
      <c r="H283" s="43" t="s">
        <v>722</v>
      </c>
      <c r="I283" s="26"/>
      <c r="J283" s="26"/>
      <c r="K283" s="26">
        <f t="shared" si="151"/>
        <v>0</v>
      </c>
      <c r="L283" s="26"/>
      <c r="M283" s="26">
        <v>9500</v>
      </c>
      <c r="N283" s="26"/>
      <c r="O283" s="26">
        <f t="shared" si="152"/>
        <v>9500</v>
      </c>
      <c r="P283" s="26"/>
      <c r="Q283" s="28">
        <f t="shared" si="149"/>
        <v>9500</v>
      </c>
      <c r="R283" s="28">
        <f t="shared" si="150"/>
        <v>0</v>
      </c>
      <c r="S283" s="28">
        <f t="shared" si="150"/>
        <v>9500</v>
      </c>
    </row>
    <row r="284" spans="2:19" x14ac:dyDescent="0.2">
      <c r="B284" s="69">
        <f>B282+1</f>
        <v>73</v>
      </c>
      <c r="C284" s="91"/>
      <c r="D284" s="91"/>
      <c r="E284" s="91"/>
      <c r="F284" s="93"/>
      <c r="G284" s="93"/>
      <c r="H284" s="91" t="s">
        <v>700</v>
      </c>
      <c r="I284" s="94"/>
      <c r="J284" s="94"/>
      <c r="K284" s="94">
        <f t="shared" si="151"/>
        <v>0</v>
      </c>
      <c r="L284" s="94"/>
      <c r="M284" s="94">
        <v>27000</v>
      </c>
      <c r="N284" s="94"/>
      <c r="O284" s="94">
        <f t="shared" si="152"/>
        <v>27000</v>
      </c>
      <c r="P284" s="94"/>
      <c r="Q284" s="95">
        <f t="shared" si="149"/>
        <v>27000</v>
      </c>
      <c r="R284" s="95">
        <f t="shared" si="150"/>
        <v>0</v>
      </c>
      <c r="S284" s="95">
        <f t="shared" si="150"/>
        <v>27000</v>
      </c>
    </row>
    <row r="285" spans="2:19" x14ac:dyDescent="0.2">
      <c r="B285" s="69">
        <f t="shared" ref="B285:B293" si="154">B284+1</f>
        <v>74</v>
      </c>
      <c r="C285" s="91"/>
      <c r="D285" s="91"/>
      <c r="E285" s="91"/>
      <c r="F285" s="93"/>
      <c r="G285" s="93"/>
      <c r="H285" s="91" t="s">
        <v>545</v>
      </c>
      <c r="I285" s="94"/>
      <c r="J285" s="94"/>
      <c r="K285" s="94">
        <f t="shared" si="151"/>
        <v>0</v>
      </c>
      <c r="L285" s="94"/>
      <c r="M285" s="94">
        <f>75000-962</f>
        <v>74038</v>
      </c>
      <c r="N285" s="94"/>
      <c r="O285" s="94">
        <f t="shared" si="152"/>
        <v>74038</v>
      </c>
      <c r="P285" s="94"/>
      <c r="Q285" s="95">
        <f t="shared" si="149"/>
        <v>74038</v>
      </c>
      <c r="R285" s="95">
        <f t="shared" si="150"/>
        <v>0</v>
      </c>
      <c r="S285" s="95">
        <f t="shared" si="150"/>
        <v>74038</v>
      </c>
    </row>
    <row r="286" spans="2:19" x14ac:dyDescent="0.2">
      <c r="B286" s="69">
        <f t="shared" si="154"/>
        <v>75</v>
      </c>
      <c r="C286" s="91"/>
      <c r="D286" s="91"/>
      <c r="E286" s="91"/>
      <c r="F286" s="93"/>
      <c r="G286" s="93"/>
      <c r="H286" s="91" t="s">
        <v>620</v>
      </c>
      <c r="I286" s="94"/>
      <c r="J286" s="94"/>
      <c r="K286" s="94">
        <f t="shared" si="151"/>
        <v>0</v>
      </c>
      <c r="L286" s="94"/>
      <c r="M286" s="94">
        <v>19000</v>
      </c>
      <c r="N286" s="94"/>
      <c r="O286" s="94">
        <f t="shared" si="152"/>
        <v>19000</v>
      </c>
      <c r="P286" s="94"/>
      <c r="Q286" s="95">
        <f t="shared" si="149"/>
        <v>19000</v>
      </c>
      <c r="R286" s="95">
        <f t="shared" si="150"/>
        <v>0</v>
      </c>
      <c r="S286" s="95">
        <f t="shared" si="150"/>
        <v>19000</v>
      </c>
    </row>
    <row r="287" spans="2:19" ht="15" x14ac:dyDescent="0.2">
      <c r="B287" s="69">
        <f t="shared" si="154"/>
        <v>76</v>
      </c>
      <c r="C287" s="360">
        <v>7</v>
      </c>
      <c r="D287" s="444" t="s">
        <v>42</v>
      </c>
      <c r="E287" s="445"/>
      <c r="F287" s="445"/>
      <c r="G287" s="445"/>
      <c r="H287" s="445"/>
      <c r="I287" s="72">
        <f>I288</f>
        <v>1985</v>
      </c>
      <c r="J287" s="72">
        <f t="shared" ref="J287:J288" si="155">J288</f>
        <v>0</v>
      </c>
      <c r="K287" s="72">
        <f t="shared" si="151"/>
        <v>1985</v>
      </c>
      <c r="L287" s="328"/>
      <c r="M287" s="72"/>
      <c r="N287" s="72"/>
      <c r="O287" s="72">
        <f t="shared" si="152"/>
        <v>0</v>
      </c>
      <c r="P287" s="328"/>
      <c r="Q287" s="74">
        <f t="shared" si="149"/>
        <v>1985</v>
      </c>
      <c r="R287" s="74">
        <f t="shared" si="150"/>
        <v>0</v>
      </c>
      <c r="S287" s="74">
        <f t="shared" si="150"/>
        <v>1985</v>
      </c>
    </row>
    <row r="288" spans="2:19" ht="15" x14ac:dyDescent="0.25">
      <c r="B288" s="69">
        <f t="shared" si="154"/>
        <v>77</v>
      </c>
      <c r="C288" s="96"/>
      <c r="D288" s="96"/>
      <c r="E288" s="96">
        <v>2</v>
      </c>
      <c r="F288" s="97"/>
      <c r="G288" s="97"/>
      <c r="H288" s="96" t="s">
        <v>11</v>
      </c>
      <c r="I288" s="89">
        <f>I289</f>
        <v>1985</v>
      </c>
      <c r="J288" s="89">
        <f t="shared" si="155"/>
        <v>0</v>
      </c>
      <c r="K288" s="89">
        <f t="shared" si="151"/>
        <v>1985</v>
      </c>
      <c r="L288" s="255"/>
      <c r="M288" s="98"/>
      <c r="N288" s="98"/>
      <c r="O288" s="98">
        <f t="shared" si="152"/>
        <v>0</v>
      </c>
      <c r="P288" s="255"/>
      <c r="Q288" s="99">
        <f t="shared" si="149"/>
        <v>1985</v>
      </c>
      <c r="R288" s="99">
        <f t="shared" si="150"/>
        <v>0</v>
      </c>
      <c r="S288" s="99">
        <f t="shared" si="150"/>
        <v>1985</v>
      </c>
    </row>
    <row r="289" spans="2:19" ht="13.5" customHeight="1" x14ac:dyDescent="0.2">
      <c r="B289" s="69">
        <f t="shared" si="154"/>
        <v>78</v>
      </c>
      <c r="C289" s="75"/>
      <c r="D289" s="75"/>
      <c r="E289" s="75"/>
      <c r="F289" s="76" t="s">
        <v>214</v>
      </c>
      <c r="G289" s="77">
        <v>630</v>
      </c>
      <c r="H289" s="75" t="s">
        <v>119</v>
      </c>
      <c r="I289" s="78">
        <f>SUM(I290:I293)</f>
        <v>1985</v>
      </c>
      <c r="J289" s="78">
        <f t="shared" ref="J289" si="156">SUM(J290:J293)</f>
        <v>0</v>
      </c>
      <c r="K289" s="78">
        <f t="shared" si="151"/>
        <v>1985</v>
      </c>
      <c r="L289" s="78"/>
      <c r="M289" s="78"/>
      <c r="N289" s="78"/>
      <c r="O289" s="78">
        <f t="shared" si="152"/>
        <v>0</v>
      </c>
      <c r="P289" s="78"/>
      <c r="Q289" s="80">
        <f t="shared" si="149"/>
        <v>1985</v>
      </c>
      <c r="R289" s="80">
        <f t="shared" si="150"/>
        <v>0</v>
      </c>
      <c r="S289" s="80">
        <f t="shared" si="150"/>
        <v>1985</v>
      </c>
    </row>
    <row r="290" spans="2:19" ht="12.75" customHeight="1" x14ac:dyDescent="0.2">
      <c r="B290" s="69">
        <f t="shared" si="154"/>
        <v>79</v>
      </c>
      <c r="C290" s="81"/>
      <c r="D290" s="81"/>
      <c r="E290" s="81"/>
      <c r="F290" s="82"/>
      <c r="G290" s="83">
        <v>633</v>
      </c>
      <c r="H290" s="81" t="s">
        <v>123</v>
      </c>
      <c r="I290" s="84">
        <v>450</v>
      </c>
      <c r="J290" s="84"/>
      <c r="K290" s="84">
        <f t="shared" si="151"/>
        <v>450</v>
      </c>
      <c r="L290" s="84"/>
      <c r="M290" s="84"/>
      <c r="N290" s="84"/>
      <c r="O290" s="84">
        <f t="shared" si="152"/>
        <v>0</v>
      </c>
      <c r="P290" s="84"/>
      <c r="Q290" s="86">
        <f t="shared" si="149"/>
        <v>450</v>
      </c>
      <c r="R290" s="86">
        <f t="shared" si="150"/>
        <v>0</v>
      </c>
      <c r="S290" s="86">
        <f t="shared" si="150"/>
        <v>450</v>
      </c>
    </row>
    <row r="291" spans="2:19" ht="12.75" customHeight="1" x14ac:dyDescent="0.2">
      <c r="B291" s="69">
        <f t="shared" si="154"/>
        <v>80</v>
      </c>
      <c r="C291" s="81"/>
      <c r="D291" s="81"/>
      <c r="E291" s="81"/>
      <c r="F291" s="82"/>
      <c r="G291" s="83">
        <v>634</v>
      </c>
      <c r="H291" s="81" t="s">
        <v>129</v>
      </c>
      <c r="I291" s="84">
        <v>350</v>
      </c>
      <c r="J291" s="84"/>
      <c r="K291" s="84">
        <f t="shared" si="151"/>
        <v>350</v>
      </c>
      <c r="L291" s="84"/>
      <c r="M291" s="84"/>
      <c r="N291" s="84"/>
      <c r="O291" s="84">
        <f t="shared" si="152"/>
        <v>0</v>
      </c>
      <c r="P291" s="84"/>
      <c r="Q291" s="86">
        <f t="shared" si="149"/>
        <v>350</v>
      </c>
      <c r="R291" s="86">
        <f t="shared" ref="R291:S293" si="157">N291+J291</f>
        <v>0</v>
      </c>
      <c r="S291" s="86">
        <f t="shared" si="157"/>
        <v>350</v>
      </c>
    </row>
    <row r="292" spans="2:19" x14ac:dyDescent="0.2">
      <c r="B292" s="69">
        <f t="shared" si="154"/>
        <v>81</v>
      </c>
      <c r="C292" s="81"/>
      <c r="D292" s="81"/>
      <c r="E292" s="81"/>
      <c r="F292" s="82"/>
      <c r="G292" s="83">
        <v>635</v>
      </c>
      <c r="H292" s="81" t="s">
        <v>130</v>
      </c>
      <c r="I292" s="84">
        <v>985</v>
      </c>
      <c r="J292" s="84"/>
      <c r="K292" s="84">
        <f t="shared" si="151"/>
        <v>985</v>
      </c>
      <c r="L292" s="84"/>
      <c r="M292" s="84"/>
      <c r="N292" s="84"/>
      <c r="O292" s="84">
        <f t="shared" si="152"/>
        <v>0</v>
      </c>
      <c r="P292" s="84"/>
      <c r="Q292" s="86">
        <f t="shared" si="149"/>
        <v>985</v>
      </c>
      <c r="R292" s="86">
        <f t="shared" si="157"/>
        <v>0</v>
      </c>
      <c r="S292" s="86">
        <f t="shared" si="157"/>
        <v>985</v>
      </c>
    </row>
    <row r="293" spans="2:19" ht="19.5" customHeight="1" x14ac:dyDescent="0.2">
      <c r="B293" s="100">
        <f t="shared" si="154"/>
        <v>82</v>
      </c>
      <c r="C293" s="101"/>
      <c r="D293" s="101"/>
      <c r="E293" s="101"/>
      <c r="F293" s="102"/>
      <c r="G293" s="103">
        <v>637</v>
      </c>
      <c r="H293" s="101" t="s">
        <v>120</v>
      </c>
      <c r="I293" s="104">
        <v>200</v>
      </c>
      <c r="J293" s="104"/>
      <c r="K293" s="104">
        <f t="shared" si="151"/>
        <v>200</v>
      </c>
      <c r="L293" s="104"/>
      <c r="M293" s="104"/>
      <c r="N293" s="104"/>
      <c r="O293" s="104">
        <f t="shared" si="152"/>
        <v>0</v>
      </c>
      <c r="P293" s="104"/>
      <c r="Q293" s="105">
        <f t="shared" si="149"/>
        <v>200</v>
      </c>
      <c r="R293" s="105">
        <f t="shared" si="157"/>
        <v>0</v>
      </c>
      <c r="S293" s="105">
        <f t="shared" si="157"/>
        <v>200</v>
      </c>
    </row>
    <row r="294" spans="2:19" x14ac:dyDescent="0.2">
      <c r="B294" s="3"/>
      <c r="F294" s="3"/>
      <c r="G294" s="3"/>
      <c r="I294" s="3"/>
      <c r="J294" s="3"/>
      <c r="K294" s="3"/>
      <c r="L294" s="3"/>
      <c r="M294" s="3"/>
      <c r="N294" s="3"/>
      <c r="O294" s="3"/>
      <c r="P294" s="3"/>
      <c r="Q294" s="3"/>
    </row>
    <row r="295" spans="2:19" x14ac:dyDescent="0.2">
      <c r="B295" s="3"/>
      <c r="F295" s="3"/>
      <c r="G295" s="3"/>
      <c r="I295" s="3"/>
      <c r="J295" s="3"/>
      <c r="K295" s="3"/>
      <c r="L295" s="3"/>
      <c r="M295" s="3"/>
      <c r="N295" s="3"/>
      <c r="O295" s="3"/>
      <c r="P295" s="3"/>
      <c r="Q295" s="3"/>
    </row>
    <row r="296" spans="2:19" x14ac:dyDescent="0.2">
      <c r="B296" s="3"/>
      <c r="F296" s="3"/>
      <c r="G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2:19" ht="27.75" x14ac:dyDescent="0.4">
      <c r="B297" s="448" t="s">
        <v>18</v>
      </c>
      <c r="C297" s="449"/>
      <c r="D297" s="449"/>
      <c r="E297" s="449"/>
      <c r="F297" s="449"/>
      <c r="G297" s="449"/>
      <c r="H297" s="449"/>
      <c r="I297" s="449"/>
      <c r="J297" s="449"/>
      <c r="K297" s="449"/>
      <c r="L297" s="449"/>
      <c r="M297" s="449"/>
      <c r="N297" s="449"/>
      <c r="O297" s="449"/>
      <c r="P297" s="449"/>
      <c r="Q297" s="450"/>
    </row>
    <row r="298" spans="2:19" ht="12.75" customHeight="1" x14ac:dyDescent="0.2">
      <c r="B298" s="431" t="s">
        <v>464</v>
      </c>
      <c r="C298" s="432"/>
      <c r="D298" s="432"/>
      <c r="E298" s="432"/>
      <c r="F298" s="432"/>
      <c r="G298" s="432"/>
      <c r="H298" s="432"/>
      <c r="I298" s="432"/>
      <c r="J298" s="432"/>
      <c r="K298" s="432"/>
      <c r="L298" s="432"/>
      <c r="M298" s="432"/>
      <c r="N298" s="432"/>
      <c r="O298" s="432"/>
      <c r="P298" s="432"/>
      <c r="Q298" s="433" t="s">
        <v>735</v>
      </c>
      <c r="R298" s="433" t="s">
        <v>733</v>
      </c>
      <c r="S298" s="433" t="s">
        <v>736</v>
      </c>
    </row>
    <row r="299" spans="2:19" ht="12.75" customHeight="1" x14ac:dyDescent="0.2">
      <c r="B299" s="436"/>
      <c r="C299" s="422" t="s">
        <v>112</v>
      </c>
      <c r="D299" s="422" t="s">
        <v>113</v>
      </c>
      <c r="E299" s="422"/>
      <c r="F299" s="422" t="s">
        <v>114</v>
      </c>
      <c r="G299" s="423" t="s">
        <v>115</v>
      </c>
      <c r="H299" s="424" t="s">
        <v>116</v>
      </c>
      <c r="I299" s="435" t="s">
        <v>737</v>
      </c>
      <c r="J299" s="455" t="s">
        <v>733</v>
      </c>
      <c r="K299" s="435" t="s">
        <v>738</v>
      </c>
      <c r="L299" s="318"/>
      <c r="M299" s="435" t="s">
        <v>739</v>
      </c>
      <c r="N299" s="455" t="s">
        <v>733</v>
      </c>
      <c r="O299" s="435" t="s">
        <v>740</v>
      </c>
      <c r="P299" s="318"/>
      <c r="Q299" s="434"/>
      <c r="R299" s="434"/>
      <c r="S299" s="434"/>
    </row>
    <row r="300" spans="2:19" x14ac:dyDescent="0.2">
      <c r="B300" s="436"/>
      <c r="C300" s="422"/>
      <c r="D300" s="422"/>
      <c r="E300" s="422"/>
      <c r="F300" s="422"/>
      <c r="G300" s="423"/>
      <c r="H300" s="424"/>
      <c r="I300" s="435"/>
      <c r="J300" s="456"/>
      <c r="K300" s="435"/>
      <c r="L300" s="318"/>
      <c r="M300" s="435"/>
      <c r="N300" s="456"/>
      <c r="O300" s="435"/>
      <c r="P300" s="318"/>
      <c r="Q300" s="434"/>
      <c r="R300" s="434"/>
      <c r="S300" s="434"/>
    </row>
    <row r="301" spans="2:19" x14ac:dyDescent="0.2">
      <c r="B301" s="436"/>
      <c r="C301" s="422"/>
      <c r="D301" s="422"/>
      <c r="E301" s="422"/>
      <c r="F301" s="422"/>
      <c r="G301" s="423"/>
      <c r="H301" s="424"/>
      <c r="I301" s="435"/>
      <c r="J301" s="456"/>
      <c r="K301" s="435"/>
      <c r="L301" s="318"/>
      <c r="M301" s="435"/>
      <c r="N301" s="456"/>
      <c r="O301" s="435"/>
      <c r="P301" s="318"/>
      <c r="Q301" s="434"/>
      <c r="R301" s="434"/>
      <c r="S301" s="434"/>
    </row>
    <row r="302" spans="2:19" x14ac:dyDescent="0.2">
      <c r="B302" s="436"/>
      <c r="C302" s="422"/>
      <c r="D302" s="422"/>
      <c r="E302" s="422"/>
      <c r="F302" s="422"/>
      <c r="G302" s="423"/>
      <c r="H302" s="424"/>
      <c r="I302" s="435"/>
      <c r="J302" s="457"/>
      <c r="K302" s="435"/>
      <c r="L302" s="318"/>
      <c r="M302" s="435"/>
      <c r="N302" s="457"/>
      <c r="O302" s="435"/>
      <c r="P302" s="318"/>
      <c r="Q302" s="434"/>
      <c r="R302" s="434"/>
      <c r="S302" s="434"/>
    </row>
    <row r="303" spans="2:19" ht="15.75" x14ac:dyDescent="0.2">
      <c r="B303" s="69">
        <v>1</v>
      </c>
      <c r="C303" s="446" t="s">
        <v>18</v>
      </c>
      <c r="D303" s="447"/>
      <c r="E303" s="447"/>
      <c r="F303" s="447"/>
      <c r="G303" s="447"/>
      <c r="H303" s="447"/>
      <c r="I303" s="70">
        <f>I359+I353+I346+I323+I304</f>
        <v>2729175</v>
      </c>
      <c r="J303" s="70">
        <f t="shared" ref="J303" si="158">J359+J353+J346+J323+J304</f>
        <v>0</v>
      </c>
      <c r="K303" s="70">
        <f>I303+J303</f>
        <v>2729175</v>
      </c>
      <c r="L303" s="327"/>
      <c r="M303" s="70">
        <f>M359+M353+M346+M323+M304</f>
        <v>9529750</v>
      </c>
      <c r="N303" s="70">
        <f t="shared" ref="N303" si="159">N359+N353+N346+N323+N304</f>
        <v>0</v>
      </c>
      <c r="O303" s="70">
        <f>M303+N303</f>
        <v>9529750</v>
      </c>
      <c r="P303" s="335">
        <f>P304+P323+P346+P353+P359</f>
        <v>0</v>
      </c>
      <c r="Q303" s="71">
        <f t="shared" ref="Q303:Q334" si="160">M303+I303</f>
        <v>12258925</v>
      </c>
      <c r="R303" s="71">
        <f t="shared" ref="R303:S318" si="161">N303+J303</f>
        <v>0</v>
      </c>
      <c r="S303" s="71">
        <f t="shared" si="161"/>
        <v>12258925</v>
      </c>
    </row>
    <row r="304" spans="2:19" ht="15" x14ac:dyDescent="0.2">
      <c r="B304" s="69">
        <f t="shared" ref="B304:B335" si="162">B303+1</f>
        <v>2</v>
      </c>
      <c r="C304" s="360">
        <v>1</v>
      </c>
      <c r="D304" s="444" t="s">
        <v>148</v>
      </c>
      <c r="E304" s="445"/>
      <c r="F304" s="445"/>
      <c r="G304" s="445"/>
      <c r="H304" s="445"/>
      <c r="I304" s="72">
        <f>I305+I306+I307+I315</f>
        <v>1942660</v>
      </c>
      <c r="J304" s="72">
        <f t="shared" ref="J304" si="163">J305+J306+J307+J315</f>
        <v>0</v>
      </c>
      <c r="K304" s="72">
        <f t="shared" ref="K304:K367" si="164">I304+J304</f>
        <v>1942660</v>
      </c>
      <c r="L304" s="328"/>
      <c r="M304" s="72">
        <f>M316</f>
        <v>29500</v>
      </c>
      <c r="N304" s="72">
        <f t="shared" ref="N304" si="165">N316</f>
        <v>0</v>
      </c>
      <c r="O304" s="72">
        <f t="shared" ref="O304:O367" si="166">M304+N304</f>
        <v>29500</v>
      </c>
      <c r="P304" s="334"/>
      <c r="Q304" s="74">
        <f t="shared" si="160"/>
        <v>1972160</v>
      </c>
      <c r="R304" s="74">
        <f t="shared" si="161"/>
        <v>0</v>
      </c>
      <c r="S304" s="74">
        <f t="shared" si="161"/>
        <v>1972160</v>
      </c>
    </row>
    <row r="305" spans="2:19" x14ac:dyDescent="0.2">
      <c r="B305" s="69">
        <f t="shared" si="162"/>
        <v>3</v>
      </c>
      <c r="C305" s="75"/>
      <c r="D305" s="75"/>
      <c r="E305" s="75"/>
      <c r="F305" s="76" t="s">
        <v>147</v>
      </c>
      <c r="G305" s="77">
        <v>610</v>
      </c>
      <c r="H305" s="13" t="s">
        <v>510</v>
      </c>
      <c r="I305" s="78">
        <v>1240000</v>
      </c>
      <c r="J305" s="78"/>
      <c r="K305" s="78">
        <f t="shared" si="164"/>
        <v>1240000</v>
      </c>
      <c r="L305" s="78"/>
      <c r="M305" s="78"/>
      <c r="N305" s="78"/>
      <c r="O305" s="78">
        <f t="shared" si="166"/>
        <v>0</v>
      </c>
      <c r="P305" s="78"/>
      <c r="Q305" s="80">
        <f t="shared" si="160"/>
        <v>1240000</v>
      </c>
      <c r="R305" s="80">
        <f t="shared" si="161"/>
        <v>0</v>
      </c>
      <c r="S305" s="80">
        <f t="shared" si="161"/>
        <v>1240000</v>
      </c>
    </row>
    <row r="306" spans="2:19" x14ac:dyDescent="0.2">
      <c r="B306" s="69">
        <f t="shared" si="162"/>
        <v>4</v>
      </c>
      <c r="C306" s="75"/>
      <c r="D306" s="75"/>
      <c r="E306" s="75"/>
      <c r="F306" s="76" t="s">
        <v>147</v>
      </c>
      <c r="G306" s="77">
        <v>620</v>
      </c>
      <c r="H306" s="75" t="s">
        <v>122</v>
      </c>
      <c r="I306" s="78">
        <v>470000</v>
      </c>
      <c r="J306" s="78">
        <v>-27800</v>
      </c>
      <c r="K306" s="78">
        <f t="shared" si="164"/>
        <v>442200</v>
      </c>
      <c r="L306" s="78"/>
      <c r="M306" s="78"/>
      <c r="N306" s="78"/>
      <c r="O306" s="78">
        <f t="shared" si="166"/>
        <v>0</v>
      </c>
      <c r="P306" s="78"/>
      <c r="Q306" s="80">
        <f t="shared" si="160"/>
        <v>470000</v>
      </c>
      <c r="R306" s="80">
        <f t="shared" si="161"/>
        <v>-27800</v>
      </c>
      <c r="S306" s="80">
        <f t="shared" si="161"/>
        <v>442200</v>
      </c>
    </row>
    <row r="307" spans="2:19" x14ac:dyDescent="0.2">
      <c r="B307" s="69">
        <f t="shared" si="162"/>
        <v>5</v>
      </c>
      <c r="C307" s="75"/>
      <c r="D307" s="75"/>
      <c r="E307" s="75"/>
      <c r="F307" s="76" t="s">
        <v>147</v>
      </c>
      <c r="G307" s="77">
        <v>630</v>
      </c>
      <c r="H307" s="75" t="s">
        <v>119</v>
      </c>
      <c r="I307" s="78">
        <f>SUM(I308:I314)</f>
        <v>192460</v>
      </c>
      <c r="J307" s="78">
        <f t="shared" ref="J307" si="167">SUM(J308:J314)</f>
        <v>0</v>
      </c>
      <c r="K307" s="78">
        <f t="shared" si="164"/>
        <v>192460</v>
      </c>
      <c r="L307" s="78"/>
      <c r="M307" s="78"/>
      <c r="N307" s="78"/>
      <c r="O307" s="78">
        <f t="shared" si="166"/>
        <v>0</v>
      </c>
      <c r="P307" s="78"/>
      <c r="Q307" s="80">
        <f t="shared" si="160"/>
        <v>192460</v>
      </c>
      <c r="R307" s="80">
        <f t="shared" si="161"/>
        <v>0</v>
      </c>
      <c r="S307" s="80">
        <f t="shared" si="161"/>
        <v>192460</v>
      </c>
    </row>
    <row r="308" spans="2:19" x14ac:dyDescent="0.2">
      <c r="B308" s="69">
        <f t="shared" si="162"/>
        <v>6</v>
      </c>
      <c r="C308" s="81"/>
      <c r="D308" s="81"/>
      <c r="E308" s="81"/>
      <c r="F308" s="82"/>
      <c r="G308" s="83">
        <v>631</v>
      </c>
      <c r="H308" s="81" t="s">
        <v>125</v>
      </c>
      <c r="I308" s="84">
        <v>8000</v>
      </c>
      <c r="J308" s="84"/>
      <c r="K308" s="84">
        <f t="shared" si="164"/>
        <v>8000</v>
      </c>
      <c r="L308" s="84"/>
      <c r="M308" s="84"/>
      <c r="N308" s="84"/>
      <c r="O308" s="84">
        <f t="shared" si="166"/>
        <v>0</v>
      </c>
      <c r="P308" s="84"/>
      <c r="Q308" s="86">
        <f t="shared" si="160"/>
        <v>8000</v>
      </c>
      <c r="R308" s="86">
        <f t="shared" si="161"/>
        <v>0</v>
      </c>
      <c r="S308" s="86">
        <f t="shared" si="161"/>
        <v>8000</v>
      </c>
    </row>
    <row r="309" spans="2:19" x14ac:dyDescent="0.2">
      <c r="B309" s="69">
        <f t="shared" si="162"/>
        <v>7</v>
      </c>
      <c r="C309" s="81"/>
      <c r="D309" s="81"/>
      <c r="E309" s="81"/>
      <c r="F309" s="82"/>
      <c r="G309" s="83">
        <v>632</v>
      </c>
      <c r="H309" s="81" t="s">
        <v>131</v>
      </c>
      <c r="I309" s="84">
        <v>30000</v>
      </c>
      <c r="J309" s="84"/>
      <c r="K309" s="84">
        <f t="shared" si="164"/>
        <v>30000</v>
      </c>
      <c r="L309" s="84"/>
      <c r="M309" s="84"/>
      <c r="N309" s="84"/>
      <c r="O309" s="84">
        <f t="shared" si="166"/>
        <v>0</v>
      </c>
      <c r="P309" s="84"/>
      <c r="Q309" s="86">
        <f t="shared" si="160"/>
        <v>30000</v>
      </c>
      <c r="R309" s="86">
        <f t="shared" si="161"/>
        <v>0</v>
      </c>
      <c r="S309" s="86">
        <f t="shared" si="161"/>
        <v>30000</v>
      </c>
    </row>
    <row r="310" spans="2:19" x14ac:dyDescent="0.2">
      <c r="B310" s="69">
        <f t="shared" si="162"/>
        <v>8</v>
      </c>
      <c r="C310" s="81"/>
      <c r="D310" s="81"/>
      <c r="E310" s="81"/>
      <c r="F310" s="82"/>
      <c r="G310" s="83">
        <v>633</v>
      </c>
      <c r="H310" s="81" t="s">
        <v>123</v>
      </c>
      <c r="I310" s="84">
        <f>72750-4000</f>
        <v>68750</v>
      </c>
      <c r="J310" s="84"/>
      <c r="K310" s="84">
        <f t="shared" si="164"/>
        <v>68750</v>
      </c>
      <c r="L310" s="84"/>
      <c r="M310" s="84"/>
      <c r="N310" s="84"/>
      <c r="O310" s="84">
        <f t="shared" si="166"/>
        <v>0</v>
      </c>
      <c r="P310" s="84"/>
      <c r="Q310" s="86">
        <f t="shared" si="160"/>
        <v>68750</v>
      </c>
      <c r="R310" s="86">
        <f t="shared" si="161"/>
        <v>0</v>
      </c>
      <c r="S310" s="86">
        <f t="shared" si="161"/>
        <v>68750</v>
      </c>
    </row>
    <row r="311" spans="2:19" x14ac:dyDescent="0.2">
      <c r="B311" s="69">
        <f t="shared" si="162"/>
        <v>9</v>
      </c>
      <c r="C311" s="81"/>
      <c r="D311" s="81"/>
      <c r="E311" s="81"/>
      <c r="F311" s="82"/>
      <c r="G311" s="83">
        <v>634</v>
      </c>
      <c r="H311" s="81" t="s">
        <v>129</v>
      </c>
      <c r="I311" s="84">
        <v>39610</v>
      </c>
      <c r="J311" s="84"/>
      <c r="K311" s="84">
        <f t="shared" si="164"/>
        <v>39610</v>
      </c>
      <c r="L311" s="84"/>
      <c r="M311" s="84"/>
      <c r="N311" s="84"/>
      <c r="O311" s="84">
        <f t="shared" si="166"/>
        <v>0</v>
      </c>
      <c r="P311" s="84"/>
      <c r="Q311" s="86">
        <f t="shared" si="160"/>
        <v>39610</v>
      </c>
      <c r="R311" s="86">
        <f t="shared" si="161"/>
        <v>0</v>
      </c>
      <c r="S311" s="86">
        <f t="shared" si="161"/>
        <v>39610</v>
      </c>
    </row>
    <row r="312" spans="2:19" x14ac:dyDescent="0.2">
      <c r="B312" s="69">
        <f t="shared" si="162"/>
        <v>10</v>
      </c>
      <c r="C312" s="81"/>
      <c r="D312" s="81"/>
      <c r="E312" s="81"/>
      <c r="F312" s="82"/>
      <c r="G312" s="83">
        <v>635</v>
      </c>
      <c r="H312" s="81" t="s">
        <v>130</v>
      </c>
      <c r="I312" s="84">
        <v>6100</v>
      </c>
      <c r="J312" s="84"/>
      <c r="K312" s="84">
        <f t="shared" si="164"/>
        <v>6100</v>
      </c>
      <c r="L312" s="84"/>
      <c r="M312" s="84"/>
      <c r="N312" s="84"/>
      <c r="O312" s="84">
        <f t="shared" si="166"/>
        <v>0</v>
      </c>
      <c r="P312" s="84"/>
      <c r="Q312" s="86">
        <f t="shared" si="160"/>
        <v>6100</v>
      </c>
      <c r="R312" s="86">
        <f t="shared" si="161"/>
        <v>0</v>
      </c>
      <c r="S312" s="86">
        <f t="shared" si="161"/>
        <v>6100</v>
      </c>
    </row>
    <row r="313" spans="2:19" x14ac:dyDescent="0.2">
      <c r="B313" s="69">
        <f t="shared" si="162"/>
        <v>11</v>
      </c>
      <c r="C313" s="81"/>
      <c r="D313" s="81"/>
      <c r="E313" s="81"/>
      <c r="F313" s="82"/>
      <c r="G313" s="83">
        <v>636</v>
      </c>
      <c r="H313" s="81" t="s">
        <v>124</v>
      </c>
      <c r="I313" s="84">
        <v>2000</v>
      </c>
      <c r="J313" s="84"/>
      <c r="K313" s="84">
        <f t="shared" si="164"/>
        <v>2000</v>
      </c>
      <c r="L313" s="84"/>
      <c r="M313" s="84"/>
      <c r="N313" s="84"/>
      <c r="O313" s="84">
        <f t="shared" si="166"/>
        <v>0</v>
      </c>
      <c r="P313" s="84"/>
      <c r="Q313" s="86">
        <f t="shared" si="160"/>
        <v>2000</v>
      </c>
      <c r="R313" s="86">
        <f t="shared" si="161"/>
        <v>0</v>
      </c>
      <c r="S313" s="86">
        <f t="shared" si="161"/>
        <v>2000</v>
      </c>
    </row>
    <row r="314" spans="2:19" x14ac:dyDescent="0.2">
      <c r="B314" s="69">
        <f t="shared" si="162"/>
        <v>12</v>
      </c>
      <c r="C314" s="81"/>
      <c r="D314" s="81"/>
      <c r="E314" s="81"/>
      <c r="F314" s="82"/>
      <c r="G314" s="83">
        <v>637</v>
      </c>
      <c r="H314" s="81" t="s">
        <v>120</v>
      </c>
      <c r="I314" s="84">
        <v>38000</v>
      </c>
      <c r="J314" s="84"/>
      <c r="K314" s="84">
        <f t="shared" si="164"/>
        <v>38000</v>
      </c>
      <c r="L314" s="84"/>
      <c r="M314" s="84"/>
      <c r="N314" s="84"/>
      <c r="O314" s="84">
        <f t="shared" si="166"/>
        <v>0</v>
      </c>
      <c r="P314" s="84"/>
      <c r="Q314" s="86">
        <f t="shared" si="160"/>
        <v>38000</v>
      </c>
      <c r="R314" s="86">
        <f t="shared" si="161"/>
        <v>0</v>
      </c>
      <c r="S314" s="86">
        <f t="shared" si="161"/>
        <v>38000</v>
      </c>
    </row>
    <row r="315" spans="2:19" x14ac:dyDescent="0.2">
      <c r="B315" s="69">
        <f t="shared" si="162"/>
        <v>13</v>
      </c>
      <c r="C315" s="75"/>
      <c r="D315" s="75"/>
      <c r="E315" s="75"/>
      <c r="F315" s="76" t="s">
        <v>147</v>
      </c>
      <c r="G315" s="77">
        <v>640</v>
      </c>
      <c r="H315" s="75" t="s">
        <v>127</v>
      </c>
      <c r="I315" s="78">
        <v>40200</v>
      </c>
      <c r="J315" s="78">
        <v>27800</v>
      </c>
      <c r="K315" s="78">
        <f t="shared" si="164"/>
        <v>68000</v>
      </c>
      <c r="L315" s="78"/>
      <c r="M315" s="78"/>
      <c r="N315" s="78"/>
      <c r="O315" s="78">
        <f t="shared" si="166"/>
        <v>0</v>
      </c>
      <c r="P315" s="78"/>
      <c r="Q315" s="80">
        <f t="shared" si="160"/>
        <v>40200</v>
      </c>
      <c r="R315" s="80">
        <f t="shared" si="161"/>
        <v>27800</v>
      </c>
      <c r="S315" s="80">
        <f t="shared" si="161"/>
        <v>68000</v>
      </c>
    </row>
    <row r="316" spans="2:19" x14ac:dyDescent="0.2">
      <c r="B316" s="69">
        <f t="shared" si="162"/>
        <v>14</v>
      </c>
      <c r="C316" s="75"/>
      <c r="D316" s="75"/>
      <c r="E316" s="75"/>
      <c r="F316" s="76" t="s">
        <v>147</v>
      </c>
      <c r="G316" s="77">
        <v>710</v>
      </c>
      <c r="H316" s="75" t="s">
        <v>171</v>
      </c>
      <c r="I316" s="78"/>
      <c r="J316" s="78"/>
      <c r="K316" s="78">
        <f t="shared" si="164"/>
        <v>0</v>
      </c>
      <c r="L316" s="78"/>
      <c r="M316" s="78">
        <f>M317+M319+M321</f>
        <v>29500</v>
      </c>
      <c r="N316" s="78">
        <f t="shared" ref="N316" si="168">N317+N319+N321</f>
        <v>0</v>
      </c>
      <c r="O316" s="78">
        <f t="shared" si="166"/>
        <v>29500</v>
      </c>
      <c r="P316" s="78"/>
      <c r="Q316" s="80">
        <f t="shared" si="160"/>
        <v>29500</v>
      </c>
      <c r="R316" s="80">
        <f t="shared" si="161"/>
        <v>0</v>
      </c>
      <c r="S316" s="80">
        <f t="shared" si="161"/>
        <v>29500</v>
      </c>
    </row>
    <row r="317" spans="2:19" x14ac:dyDescent="0.2">
      <c r="B317" s="69">
        <f t="shared" si="162"/>
        <v>15</v>
      </c>
      <c r="C317" s="81"/>
      <c r="D317" s="81"/>
      <c r="E317" s="81"/>
      <c r="F317" s="82"/>
      <c r="G317" s="83">
        <v>713</v>
      </c>
      <c r="H317" s="81" t="s">
        <v>215</v>
      </c>
      <c r="I317" s="84"/>
      <c r="J317" s="84"/>
      <c r="K317" s="84">
        <f t="shared" si="164"/>
        <v>0</v>
      </c>
      <c r="L317" s="84"/>
      <c r="M317" s="84">
        <f>M318</f>
        <v>3500</v>
      </c>
      <c r="N317" s="84">
        <f t="shared" ref="N317" si="169">N318</f>
        <v>0</v>
      </c>
      <c r="O317" s="84">
        <f t="shared" si="166"/>
        <v>3500</v>
      </c>
      <c r="P317" s="84"/>
      <c r="Q317" s="86">
        <f t="shared" si="160"/>
        <v>3500</v>
      </c>
      <c r="R317" s="86">
        <f t="shared" si="161"/>
        <v>0</v>
      </c>
      <c r="S317" s="86">
        <f t="shared" si="161"/>
        <v>3500</v>
      </c>
    </row>
    <row r="318" spans="2:19" x14ac:dyDescent="0.2">
      <c r="B318" s="69">
        <f t="shared" si="162"/>
        <v>16</v>
      </c>
      <c r="C318" s="91"/>
      <c r="D318" s="91"/>
      <c r="E318" s="91"/>
      <c r="F318" s="93"/>
      <c r="G318" s="93"/>
      <c r="H318" s="91" t="s">
        <v>324</v>
      </c>
      <c r="I318" s="94"/>
      <c r="J318" s="94"/>
      <c r="K318" s="94">
        <f t="shared" si="164"/>
        <v>0</v>
      </c>
      <c r="L318" s="94"/>
      <c r="M318" s="94">
        <v>3500</v>
      </c>
      <c r="N318" s="94"/>
      <c r="O318" s="94">
        <f t="shared" si="166"/>
        <v>3500</v>
      </c>
      <c r="P318" s="94"/>
      <c r="Q318" s="95">
        <f t="shared" si="160"/>
        <v>3500</v>
      </c>
      <c r="R318" s="95">
        <f t="shared" si="161"/>
        <v>0</v>
      </c>
      <c r="S318" s="95">
        <f t="shared" si="161"/>
        <v>3500</v>
      </c>
    </row>
    <row r="319" spans="2:19" x14ac:dyDescent="0.2">
      <c r="B319" s="69">
        <f t="shared" si="162"/>
        <v>17</v>
      </c>
      <c r="C319" s="81"/>
      <c r="D319" s="81"/>
      <c r="E319" s="81"/>
      <c r="F319" s="82"/>
      <c r="G319" s="83">
        <v>714</v>
      </c>
      <c r="H319" s="81" t="s">
        <v>172</v>
      </c>
      <c r="I319" s="84"/>
      <c r="J319" s="84"/>
      <c r="K319" s="84">
        <f t="shared" si="164"/>
        <v>0</v>
      </c>
      <c r="L319" s="84"/>
      <c r="M319" s="84">
        <f>M320</f>
        <v>22000</v>
      </c>
      <c r="N319" s="84">
        <f t="shared" ref="N319" si="170">N320</f>
        <v>0</v>
      </c>
      <c r="O319" s="84">
        <f t="shared" si="166"/>
        <v>22000</v>
      </c>
      <c r="P319" s="84"/>
      <c r="Q319" s="86">
        <f t="shared" si="160"/>
        <v>22000</v>
      </c>
      <c r="R319" s="86">
        <f t="shared" ref="R319:S334" si="171">N319+J319</f>
        <v>0</v>
      </c>
      <c r="S319" s="86">
        <f t="shared" si="171"/>
        <v>22000</v>
      </c>
    </row>
    <row r="320" spans="2:19" x14ac:dyDescent="0.2">
      <c r="B320" s="69">
        <f t="shared" si="162"/>
        <v>18</v>
      </c>
      <c r="C320" s="91"/>
      <c r="D320" s="91"/>
      <c r="E320" s="91"/>
      <c r="F320" s="93"/>
      <c r="G320" s="93"/>
      <c r="H320" s="91" t="s">
        <v>325</v>
      </c>
      <c r="I320" s="94"/>
      <c r="J320" s="94"/>
      <c r="K320" s="94">
        <f t="shared" si="164"/>
        <v>0</v>
      </c>
      <c r="L320" s="94"/>
      <c r="M320" s="94">
        <v>22000</v>
      </c>
      <c r="N320" s="94"/>
      <c r="O320" s="94">
        <f t="shared" si="166"/>
        <v>22000</v>
      </c>
      <c r="P320" s="94"/>
      <c r="Q320" s="95">
        <f t="shared" si="160"/>
        <v>22000</v>
      </c>
      <c r="R320" s="95">
        <f t="shared" si="171"/>
        <v>0</v>
      </c>
      <c r="S320" s="95">
        <f t="shared" si="171"/>
        <v>22000</v>
      </c>
    </row>
    <row r="321" spans="2:19" x14ac:dyDescent="0.2">
      <c r="B321" s="69">
        <f t="shared" si="162"/>
        <v>19</v>
      </c>
      <c r="C321" s="91"/>
      <c r="D321" s="91"/>
      <c r="E321" s="91"/>
      <c r="F321" s="93"/>
      <c r="G321" s="83">
        <v>717</v>
      </c>
      <c r="H321" s="81" t="s">
        <v>178</v>
      </c>
      <c r="I321" s="84"/>
      <c r="J321" s="84"/>
      <c r="K321" s="84">
        <f t="shared" si="164"/>
        <v>0</v>
      </c>
      <c r="L321" s="84"/>
      <c r="M321" s="84">
        <f>M322</f>
        <v>4000</v>
      </c>
      <c r="N321" s="84">
        <f t="shared" ref="N321" si="172">N322</f>
        <v>0</v>
      </c>
      <c r="O321" s="84">
        <f t="shared" si="166"/>
        <v>4000</v>
      </c>
      <c r="P321" s="94"/>
      <c r="Q321" s="86">
        <f t="shared" si="160"/>
        <v>4000</v>
      </c>
      <c r="R321" s="86">
        <f t="shared" si="171"/>
        <v>0</v>
      </c>
      <c r="S321" s="86">
        <f t="shared" si="171"/>
        <v>4000</v>
      </c>
    </row>
    <row r="322" spans="2:19" x14ac:dyDescent="0.2">
      <c r="B322" s="69">
        <f t="shared" si="162"/>
        <v>20</v>
      </c>
      <c r="C322" s="91"/>
      <c r="D322" s="91"/>
      <c r="E322" s="91"/>
      <c r="F322" s="93"/>
      <c r="G322" s="93"/>
      <c r="H322" s="91" t="s">
        <v>641</v>
      </c>
      <c r="I322" s="94"/>
      <c r="J322" s="94"/>
      <c r="K322" s="94">
        <f t="shared" si="164"/>
        <v>0</v>
      </c>
      <c r="L322" s="94"/>
      <c r="M322" s="94">
        <v>4000</v>
      </c>
      <c r="N322" s="94"/>
      <c r="O322" s="94">
        <f t="shared" si="166"/>
        <v>4000</v>
      </c>
      <c r="P322" s="94"/>
      <c r="Q322" s="95">
        <f t="shared" si="160"/>
        <v>4000</v>
      </c>
      <c r="R322" s="95">
        <f t="shared" si="171"/>
        <v>0</v>
      </c>
      <c r="S322" s="95">
        <f t="shared" si="171"/>
        <v>4000</v>
      </c>
    </row>
    <row r="323" spans="2:19" ht="15" x14ac:dyDescent="0.2">
      <c r="B323" s="69">
        <f t="shared" si="162"/>
        <v>21</v>
      </c>
      <c r="C323" s="360">
        <v>2</v>
      </c>
      <c r="D323" s="444" t="s">
        <v>202</v>
      </c>
      <c r="E323" s="445"/>
      <c r="F323" s="445"/>
      <c r="G323" s="445"/>
      <c r="H323" s="445"/>
      <c r="I323" s="72">
        <f>I333</f>
        <v>675425</v>
      </c>
      <c r="J323" s="72">
        <f t="shared" ref="J323" si="173">J333</f>
        <v>0</v>
      </c>
      <c r="K323" s="72">
        <f t="shared" si="164"/>
        <v>675425</v>
      </c>
      <c r="L323" s="328"/>
      <c r="M323" s="72">
        <f>M324+M333</f>
        <v>9470250</v>
      </c>
      <c r="N323" s="72">
        <f t="shared" ref="N323" si="174">N324+N333</f>
        <v>0</v>
      </c>
      <c r="O323" s="72">
        <f t="shared" si="166"/>
        <v>9470250</v>
      </c>
      <c r="P323" s="94"/>
      <c r="Q323" s="74">
        <f t="shared" si="160"/>
        <v>10145675</v>
      </c>
      <c r="R323" s="74">
        <f t="shared" si="171"/>
        <v>0</v>
      </c>
      <c r="S323" s="74">
        <f t="shared" si="171"/>
        <v>10145675</v>
      </c>
    </row>
    <row r="324" spans="2:19" x14ac:dyDescent="0.2">
      <c r="B324" s="69">
        <f t="shared" si="162"/>
        <v>22</v>
      </c>
      <c r="C324" s="75"/>
      <c r="D324" s="75"/>
      <c r="E324" s="75"/>
      <c r="F324" s="76" t="s">
        <v>201</v>
      </c>
      <c r="G324" s="77">
        <v>710</v>
      </c>
      <c r="H324" s="75" t="s">
        <v>171</v>
      </c>
      <c r="I324" s="78"/>
      <c r="J324" s="78"/>
      <c r="K324" s="78">
        <f t="shared" si="164"/>
        <v>0</v>
      </c>
      <c r="L324" s="78"/>
      <c r="M324" s="79">
        <f>M325+M327+M329</f>
        <v>9420250</v>
      </c>
      <c r="N324" s="79">
        <f t="shared" ref="N324" si="175">N325+N327+N329</f>
        <v>0</v>
      </c>
      <c r="O324" s="79">
        <f t="shared" si="166"/>
        <v>9420250</v>
      </c>
      <c r="P324" s="94"/>
      <c r="Q324" s="80">
        <f t="shared" si="160"/>
        <v>9420250</v>
      </c>
      <c r="R324" s="80">
        <f t="shared" si="171"/>
        <v>0</v>
      </c>
      <c r="S324" s="80">
        <f t="shared" si="171"/>
        <v>9420250</v>
      </c>
    </row>
    <row r="325" spans="2:19" x14ac:dyDescent="0.2">
      <c r="B325" s="69">
        <f t="shared" si="162"/>
        <v>23</v>
      </c>
      <c r="C325" s="81"/>
      <c r="D325" s="81"/>
      <c r="E325" s="81"/>
      <c r="F325" s="82"/>
      <c r="G325" s="83">
        <v>713</v>
      </c>
      <c r="H325" s="81" t="s">
        <v>215</v>
      </c>
      <c r="I325" s="84"/>
      <c r="J325" s="84"/>
      <c r="K325" s="84">
        <f t="shared" si="164"/>
        <v>0</v>
      </c>
      <c r="L325" s="84"/>
      <c r="M325" s="84">
        <f>M326</f>
        <v>400000</v>
      </c>
      <c r="N325" s="84">
        <f t="shared" ref="N325" si="176">N326</f>
        <v>0</v>
      </c>
      <c r="O325" s="84">
        <f t="shared" si="166"/>
        <v>400000</v>
      </c>
      <c r="P325" s="94"/>
      <c r="Q325" s="86">
        <f t="shared" si="160"/>
        <v>400000</v>
      </c>
      <c r="R325" s="86">
        <f t="shared" si="171"/>
        <v>0</v>
      </c>
      <c r="S325" s="86">
        <f t="shared" si="171"/>
        <v>400000</v>
      </c>
    </row>
    <row r="326" spans="2:19" x14ac:dyDescent="0.2">
      <c r="B326" s="69">
        <f t="shared" si="162"/>
        <v>24</v>
      </c>
      <c r="C326" s="91"/>
      <c r="D326" s="91"/>
      <c r="E326" s="91"/>
      <c r="F326" s="93"/>
      <c r="G326" s="93"/>
      <c r="H326" s="91" t="s">
        <v>366</v>
      </c>
      <c r="I326" s="94"/>
      <c r="J326" s="94"/>
      <c r="K326" s="94">
        <f t="shared" si="164"/>
        <v>0</v>
      </c>
      <c r="L326" s="94"/>
      <c r="M326" s="94">
        <v>400000</v>
      </c>
      <c r="N326" s="94"/>
      <c r="O326" s="94">
        <f t="shared" si="166"/>
        <v>400000</v>
      </c>
      <c r="P326" s="94"/>
      <c r="Q326" s="95">
        <f t="shared" si="160"/>
        <v>400000</v>
      </c>
      <c r="R326" s="95">
        <f t="shared" si="171"/>
        <v>0</v>
      </c>
      <c r="S326" s="95">
        <f t="shared" si="171"/>
        <v>400000</v>
      </c>
    </row>
    <row r="327" spans="2:19" x14ac:dyDescent="0.2">
      <c r="B327" s="69">
        <f t="shared" si="162"/>
        <v>25</v>
      </c>
      <c r="C327" s="81"/>
      <c r="D327" s="81"/>
      <c r="E327" s="81"/>
      <c r="F327" s="82"/>
      <c r="G327" s="83">
        <v>716</v>
      </c>
      <c r="H327" s="81" t="s">
        <v>211</v>
      </c>
      <c r="I327" s="84"/>
      <c r="J327" s="84"/>
      <c r="K327" s="84">
        <f t="shared" si="164"/>
        <v>0</v>
      </c>
      <c r="L327" s="84"/>
      <c r="M327" s="84">
        <f>SUM(M328:M328)</f>
        <v>14750</v>
      </c>
      <c r="N327" s="84">
        <f t="shared" ref="N327" si="177">SUM(N328:N328)</f>
        <v>0</v>
      </c>
      <c r="O327" s="84">
        <f t="shared" si="166"/>
        <v>14750</v>
      </c>
      <c r="P327" s="94"/>
      <c r="Q327" s="86">
        <f t="shared" si="160"/>
        <v>14750</v>
      </c>
      <c r="R327" s="86">
        <f t="shared" si="171"/>
        <v>0</v>
      </c>
      <c r="S327" s="86">
        <f t="shared" si="171"/>
        <v>14750</v>
      </c>
    </row>
    <row r="328" spans="2:19" x14ac:dyDescent="0.2">
      <c r="B328" s="69">
        <f t="shared" si="162"/>
        <v>26</v>
      </c>
      <c r="C328" s="91"/>
      <c r="D328" s="91"/>
      <c r="E328" s="91"/>
      <c r="F328" s="93"/>
      <c r="G328" s="93"/>
      <c r="H328" s="91" t="s">
        <v>385</v>
      </c>
      <c r="I328" s="94"/>
      <c r="J328" s="94"/>
      <c r="K328" s="94">
        <f t="shared" si="164"/>
        <v>0</v>
      </c>
      <c r="L328" s="94"/>
      <c r="M328" s="94">
        <f>7500+3300+3950</f>
        <v>14750</v>
      </c>
      <c r="N328" s="94"/>
      <c r="O328" s="94">
        <f t="shared" si="166"/>
        <v>14750</v>
      </c>
      <c r="P328" s="94"/>
      <c r="Q328" s="95">
        <f t="shared" si="160"/>
        <v>14750</v>
      </c>
      <c r="R328" s="95">
        <f t="shared" si="171"/>
        <v>0</v>
      </c>
      <c r="S328" s="95">
        <f t="shared" si="171"/>
        <v>14750</v>
      </c>
    </row>
    <row r="329" spans="2:19" x14ac:dyDescent="0.2">
      <c r="B329" s="69">
        <f t="shared" si="162"/>
        <v>27</v>
      </c>
      <c r="C329" s="81"/>
      <c r="D329" s="81"/>
      <c r="E329" s="81"/>
      <c r="F329" s="82"/>
      <c r="G329" s="83">
        <v>717</v>
      </c>
      <c r="H329" s="81" t="s">
        <v>178</v>
      </c>
      <c r="I329" s="84"/>
      <c r="J329" s="84"/>
      <c r="K329" s="84">
        <f t="shared" si="164"/>
        <v>0</v>
      </c>
      <c r="L329" s="84"/>
      <c r="M329" s="84">
        <f>SUM(M330:M332)</f>
        <v>9005500</v>
      </c>
      <c r="N329" s="84">
        <f t="shared" ref="N329" si="178">SUM(N330:N332)</f>
        <v>0</v>
      </c>
      <c r="O329" s="84">
        <f t="shared" si="166"/>
        <v>9005500</v>
      </c>
      <c r="P329" s="94"/>
      <c r="Q329" s="86">
        <f t="shared" si="160"/>
        <v>9005500</v>
      </c>
      <c r="R329" s="86">
        <f t="shared" si="171"/>
        <v>0</v>
      </c>
      <c r="S329" s="86">
        <f t="shared" si="171"/>
        <v>9005500</v>
      </c>
    </row>
    <row r="330" spans="2:19" x14ac:dyDescent="0.2">
      <c r="B330" s="69">
        <f t="shared" si="162"/>
        <v>28</v>
      </c>
      <c r="C330" s="91"/>
      <c r="D330" s="91"/>
      <c r="E330" s="91"/>
      <c r="F330" s="93"/>
      <c r="G330" s="93"/>
      <c r="H330" s="91" t="s">
        <v>473</v>
      </c>
      <c r="I330" s="94"/>
      <c r="J330" s="94"/>
      <c r="K330" s="94">
        <f t="shared" si="164"/>
        <v>0</v>
      </c>
      <c r="L330" s="94"/>
      <c r="M330" s="94">
        <f>540000-7500</f>
        <v>532500</v>
      </c>
      <c r="N330" s="94"/>
      <c r="O330" s="94">
        <f t="shared" si="166"/>
        <v>532500</v>
      </c>
      <c r="P330" s="94"/>
      <c r="Q330" s="95">
        <f t="shared" si="160"/>
        <v>532500</v>
      </c>
      <c r="R330" s="95">
        <f t="shared" si="171"/>
        <v>0</v>
      </c>
      <c r="S330" s="95">
        <f t="shared" si="171"/>
        <v>532500</v>
      </c>
    </row>
    <row r="331" spans="2:19" x14ac:dyDescent="0.2">
      <c r="B331" s="69">
        <f t="shared" si="162"/>
        <v>29</v>
      </c>
      <c r="C331" s="91"/>
      <c r="D331" s="91"/>
      <c r="E331" s="91"/>
      <c r="F331" s="93"/>
      <c r="G331" s="93"/>
      <c r="H331" s="91" t="s">
        <v>474</v>
      </c>
      <c r="I331" s="94"/>
      <c r="J331" s="94"/>
      <c r="K331" s="94">
        <f t="shared" si="164"/>
        <v>0</v>
      </c>
      <c r="L331" s="94"/>
      <c r="M331" s="94">
        <v>8460000</v>
      </c>
      <c r="N331" s="94"/>
      <c r="O331" s="94">
        <f t="shared" si="166"/>
        <v>8460000</v>
      </c>
      <c r="P331" s="94"/>
      <c r="Q331" s="95">
        <f t="shared" si="160"/>
        <v>8460000</v>
      </c>
      <c r="R331" s="95">
        <f t="shared" si="171"/>
        <v>0</v>
      </c>
      <c r="S331" s="95">
        <f t="shared" si="171"/>
        <v>8460000</v>
      </c>
    </row>
    <row r="332" spans="2:19" x14ac:dyDescent="0.2">
      <c r="B332" s="69">
        <f t="shared" si="162"/>
        <v>30</v>
      </c>
      <c r="C332" s="91"/>
      <c r="D332" s="91"/>
      <c r="E332" s="91"/>
      <c r="F332" s="93"/>
      <c r="G332" s="93"/>
      <c r="H332" s="91" t="s">
        <v>547</v>
      </c>
      <c r="I332" s="94"/>
      <c r="J332" s="94"/>
      <c r="K332" s="94">
        <f t="shared" si="164"/>
        <v>0</v>
      </c>
      <c r="L332" s="94"/>
      <c r="M332" s="94">
        <f>10000+3000</f>
        <v>13000</v>
      </c>
      <c r="N332" s="94"/>
      <c r="O332" s="94">
        <f t="shared" si="166"/>
        <v>13000</v>
      </c>
      <c r="P332" s="94"/>
      <c r="Q332" s="95">
        <f t="shared" si="160"/>
        <v>13000</v>
      </c>
      <c r="R332" s="95">
        <f t="shared" si="171"/>
        <v>0</v>
      </c>
      <c r="S332" s="95">
        <f t="shared" si="171"/>
        <v>13000</v>
      </c>
    </row>
    <row r="333" spans="2:19" ht="15" x14ac:dyDescent="0.25">
      <c r="B333" s="69">
        <f t="shared" si="162"/>
        <v>31</v>
      </c>
      <c r="C333" s="96"/>
      <c r="D333" s="96"/>
      <c r="E333" s="96">
        <v>2</v>
      </c>
      <c r="F333" s="97"/>
      <c r="G333" s="97"/>
      <c r="H333" s="96" t="s">
        <v>11</v>
      </c>
      <c r="I333" s="98">
        <f>I334+I335+I336+I342</f>
        <v>675425</v>
      </c>
      <c r="J333" s="98">
        <f t="shared" ref="J333" si="179">J334+J335+J336+J342</f>
        <v>0</v>
      </c>
      <c r="K333" s="98">
        <f t="shared" si="164"/>
        <v>675425</v>
      </c>
      <c r="L333" s="255"/>
      <c r="M333" s="98">
        <f>M343</f>
        <v>50000</v>
      </c>
      <c r="N333" s="98">
        <f t="shared" ref="N333" si="180">N343</f>
        <v>0</v>
      </c>
      <c r="O333" s="98">
        <f t="shared" si="166"/>
        <v>50000</v>
      </c>
      <c r="P333" s="255"/>
      <c r="Q333" s="99">
        <f t="shared" si="160"/>
        <v>725425</v>
      </c>
      <c r="R333" s="99">
        <f t="shared" si="171"/>
        <v>0</v>
      </c>
      <c r="S333" s="99">
        <f t="shared" si="171"/>
        <v>725425</v>
      </c>
    </row>
    <row r="334" spans="2:19" s="66" customFormat="1" ht="12" x14ac:dyDescent="0.2">
      <c r="B334" s="69">
        <f t="shared" si="162"/>
        <v>32</v>
      </c>
      <c r="C334" s="75"/>
      <c r="D334" s="75"/>
      <c r="E334" s="75"/>
      <c r="F334" s="76" t="s">
        <v>201</v>
      </c>
      <c r="G334" s="77">
        <v>610</v>
      </c>
      <c r="H334" s="13" t="s">
        <v>510</v>
      </c>
      <c r="I334" s="78">
        <v>79105</v>
      </c>
      <c r="J334" s="78"/>
      <c r="K334" s="78">
        <f t="shared" si="164"/>
        <v>79105</v>
      </c>
      <c r="L334" s="78"/>
      <c r="M334" s="78"/>
      <c r="N334" s="78"/>
      <c r="O334" s="78">
        <f t="shared" si="166"/>
        <v>0</v>
      </c>
      <c r="P334" s="78"/>
      <c r="Q334" s="80">
        <f t="shared" si="160"/>
        <v>79105</v>
      </c>
      <c r="R334" s="80">
        <f t="shared" si="171"/>
        <v>0</v>
      </c>
      <c r="S334" s="80">
        <f t="shared" si="171"/>
        <v>79105</v>
      </c>
    </row>
    <row r="335" spans="2:19" x14ac:dyDescent="0.2">
      <c r="B335" s="69">
        <f t="shared" si="162"/>
        <v>33</v>
      </c>
      <c r="C335" s="75"/>
      <c r="D335" s="75"/>
      <c r="E335" s="75"/>
      <c r="F335" s="76" t="s">
        <v>201</v>
      </c>
      <c r="G335" s="77">
        <v>620</v>
      </c>
      <c r="H335" s="75" t="s">
        <v>122</v>
      </c>
      <c r="I335" s="78">
        <v>34215</v>
      </c>
      <c r="J335" s="78"/>
      <c r="K335" s="78">
        <f t="shared" si="164"/>
        <v>34215</v>
      </c>
      <c r="L335" s="78"/>
      <c r="M335" s="78"/>
      <c r="N335" s="78"/>
      <c r="O335" s="78">
        <f t="shared" si="166"/>
        <v>0</v>
      </c>
      <c r="P335" s="78"/>
      <c r="Q335" s="80">
        <f t="shared" ref="Q335:Q367" si="181">M335+I335</f>
        <v>34215</v>
      </c>
      <c r="R335" s="80">
        <f t="shared" ref="R335:S350" si="182">N335+J335</f>
        <v>0</v>
      </c>
      <c r="S335" s="80">
        <f t="shared" si="182"/>
        <v>34215</v>
      </c>
    </row>
    <row r="336" spans="2:19" x14ac:dyDescent="0.2">
      <c r="B336" s="69">
        <f t="shared" ref="B336:B367" si="183">B335+1</f>
        <v>34</v>
      </c>
      <c r="C336" s="75"/>
      <c r="D336" s="75"/>
      <c r="E336" s="75"/>
      <c r="F336" s="76" t="s">
        <v>201</v>
      </c>
      <c r="G336" s="77">
        <v>630</v>
      </c>
      <c r="H336" s="75" t="s">
        <v>119</v>
      </c>
      <c r="I336" s="78">
        <f>SUM(I337:I341)</f>
        <v>558405</v>
      </c>
      <c r="J336" s="78">
        <f t="shared" ref="J336" si="184">SUM(J337:J341)</f>
        <v>0</v>
      </c>
      <c r="K336" s="78">
        <f t="shared" si="164"/>
        <v>558405</v>
      </c>
      <c r="L336" s="78"/>
      <c r="M336" s="78"/>
      <c r="N336" s="78"/>
      <c r="O336" s="78">
        <f t="shared" si="166"/>
        <v>0</v>
      </c>
      <c r="P336" s="78"/>
      <c r="Q336" s="80">
        <f t="shared" si="181"/>
        <v>558405</v>
      </c>
      <c r="R336" s="80">
        <f t="shared" si="182"/>
        <v>0</v>
      </c>
      <c r="S336" s="80">
        <f t="shared" si="182"/>
        <v>558405</v>
      </c>
    </row>
    <row r="337" spans="2:19" x14ac:dyDescent="0.2">
      <c r="B337" s="69">
        <f t="shared" si="183"/>
        <v>35</v>
      </c>
      <c r="C337" s="81"/>
      <c r="D337" s="81"/>
      <c r="E337" s="81"/>
      <c r="F337" s="82"/>
      <c r="G337" s="83">
        <v>632</v>
      </c>
      <c r="H337" s="81" t="s">
        <v>131</v>
      </c>
      <c r="I337" s="84">
        <f>432260-30000-15000</f>
        <v>387260</v>
      </c>
      <c r="J337" s="84"/>
      <c r="K337" s="84">
        <f t="shared" si="164"/>
        <v>387260</v>
      </c>
      <c r="L337" s="84"/>
      <c r="M337" s="84"/>
      <c r="N337" s="84"/>
      <c r="O337" s="84">
        <f t="shared" si="166"/>
        <v>0</v>
      </c>
      <c r="P337" s="84"/>
      <c r="Q337" s="86">
        <f t="shared" si="181"/>
        <v>387260</v>
      </c>
      <c r="R337" s="86">
        <f t="shared" si="182"/>
        <v>0</v>
      </c>
      <c r="S337" s="86">
        <f t="shared" si="182"/>
        <v>387260</v>
      </c>
    </row>
    <row r="338" spans="2:19" x14ac:dyDescent="0.2">
      <c r="B338" s="69">
        <f t="shared" si="183"/>
        <v>36</v>
      </c>
      <c r="C338" s="81"/>
      <c r="D338" s="81"/>
      <c r="E338" s="81"/>
      <c r="F338" s="82"/>
      <c r="G338" s="83">
        <v>633</v>
      </c>
      <c r="H338" s="81" t="s">
        <v>123</v>
      </c>
      <c r="I338" s="84">
        <f>44900-3000-1000</f>
        <v>40900</v>
      </c>
      <c r="J338" s="84"/>
      <c r="K338" s="84">
        <f t="shared" si="164"/>
        <v>40900</v>
      </c>
      <c r="L338" s="84"/>
      <c r="M338" s="84"/>
      <c r="N338" s="84"/>
      <c r="O338" s="84">
        <f t="shared" si="166"/>
        <v>0</v>
      </c>
      <c r="P338" s="84"/>
      <c r="Q338" s="86">
        <f t="shared" si="181"/>
        <v>40900</v>
      </c>
      <c r="R338" s="86">
        <f t="shared" si="182"/>
        <v>0</v>
      </c>
      <c r="S338" s="86">
        <f t="shared" si="182"/>
        <v>40900</v>
      </c>
    </row>
    <row r="339" spans="2:19" x14ac:dyDescent="0.2">
      <c r="B339" s="69">
        <f t="shared" si="183"/>
        <v>37</v>
      </c>
      <c r="C339" s="81"/>
      <c r="D339" s="81"/>
      <c r="E339" s="81"/>
      <c r="F339" s="82"/>
      <c r="G339" s="83">
        <v>634</v>
      </c>
      <c r="H339" s="81" t="s">
        <v>129</v>
      </c>
      <c r="I339" s="84">
        <v>7000</v>
      </c>
      <c r="J339" s="84"/>
      <c r="K339" s="84">
        <f t="shared" si="164"/>
        <v>7000</v>
      </c>
      <c r="L339" s="84"/>
      <c r="M339" s="84"/>
      <c r="N339" s="84"/>
      <c r="O339" s="84">
        <f t="shared" si="166"/>
        <v>0</v>
      </c>
      <c r="P339" s="84"/>
      <c r="Q339" s="86">
        <f t="shared" si="181"/>
        <v>7000</v>
      </c>
      <c r="R339" s="86">
        <f t="shared" si="182"/>
        <v>0</v>
      </c>
      <c r="S339" s="86">
        <f t="shared" si="182"/>
        <v>7000</v>
      </c>
    </row>
    <row r="340" spans="2:19" x14ac:dyDescent="0.2">
      <c r="B340" s="69">
        <f t="shared" si="183"/>
        <v>38</v>
      </c>
      <c r="C340" s="81"/>
      <c r="D340" s="81"/>
      <c r="E340" s="81"/>
      <c r="F340" s="82"/>
      <c r="G340" s="83">
        <v>635</v>
      </c>
      <c r="H340" s="81" t="s">
        <v>130</v>
      </c>
      <c r="I340" s="84">
        <f>44000+4795+10000</f>
        <v>58795</v>
      </c>
      <c r="J340" s="84"/>
      <c r="K340" s="84">
        <f t="shared" si="164"/>
        <v>58795</v>
      </c>
      <c r="L340" s="84"/>
      <c r="M340" s="84"/>
      <c r="N340" s="84"/>
      <c r="O340" s="84">
        <f t="shared" si="166"/>
        <v>0</v>
      </c>
      <c r="P340" s="84"/>
      <c r="Q340" s="86">
        <f t="shared" si="181"/>
        <v>58795</v>
      </c>
      <c r="R340" s="86">
        <f t="shared" si="182"/>
        <v>0</v>
      </c>
      <c r="S340" s="86">
        <f t="shared" si="182"/>
        <v>58795</v>
      </c>
    </row>
    <row r="341" spans="2:19" x14ac:dyDescent="0.2">
      <c r="B341" s="69">
        <f t="shared" si="183"/>
        <v>39</v>
      </c>
      <c r="C341" s="81"/>
      <c r="D341" s="81"/>
      <c r="E341" s="81"/>
      <c r="F341" s="82"/>
      <c r="G341" s="83">
        <v>637</v>
      </c>
      <c r="H341" s="81" t="s">
        <v>120</v>
      </c>
      <c r="I341" s="84">
        <f>45450+18000+1000</f>
        <v>64450</v>
      </c>
      <c r="J341" s="84"/>
      <c r="K341" s="84">
        <f t="shared" si="164"/>
        <v>64450</v>
      </c>
      <c r="L341" s="84"/>
      <c r="M341" s="84"/>
      <c r="N341" s="84"/>
      <c r="O341" s="84">
        <f t="shared" si="166"/>
        <v>0</v>
      </c>
      <c r="P341" s="84"/>
      <c r="Q341" s="86">
        <f t="shared" si="181"/>
        <v>64450</v>
      </c>
      <c r="R341" s="86">
        <f t="shared" si="182"/>
        <v>0</v>
      </c>
      <c r="S341" s="86">
        <f t="shared" si="182"/>
        <v>64450</v>
      </c>
    </row>
    <row r="342" spans="2:19" x14ac:dyDescent="0.2">
      <c r="B342" s="69">
        <f t="shared" si="183"/>
        <v>40</v>
      </c>
      <c r="C342" s="75"/>
      <c r="D342" s="75"/>
      <c r="E342" s="75"/>
      <c r="F342" s="76" t="s">
        <v>201</v>
      </c>
      <c r="G342" s="77">
        <v>640</v>
      </c>
      <c r="H342" s="75" t="s">
        <v>127</v>
      </c>
      <c r="I342" s="78">
        <v>3700</v>
      </c>
      <c r="J342" s="78"/>
      <c r="K342" s="78">
        <f t="shared" si="164"/>
        <v>3700</v>
      </c>
      <c r="L342" s="78"/>
      <c r="M342" s="78"/>
      <c r="N342" s="78"/>
      <c r="O342" s="78">
        <f t="shared" si="166"/>
        <v>0</v>
      </c>
      <c r="P342" s="78"/>
      <c r="Q342" s="80">
        <f t="shared" si="181"/>
        <v>3700</v>
      </c>
      <c r="R342" s="80">
        <f t="shared" si="182"/>
        <v>0</v>
      </c>
      <c r="S342" s="80">
        <f t="shared" si="182"/>
        <v>3700</v>
      </c>
    </row>
    <row r="343" spans="2:19" x14ac:dyDescent="0.2">
      <c r="B343" s="69">
        <f t="shared" si="183"/>
        <v>41</v>
      </c>
      <c r="C343" s="75"/>
      <c r="D343" s="75"/>
      <c r="E343" s="75"/>
      <c r="F343" s="76" t="s">
        <v>201</v>
      </c>
      <c r="G343" s="77">
        <v>710</v>
      </c>
      <c r="H343" s="75" t="s">
        <v>171</v>
      </c>
      <c r="I343" s="78"/>
      <c r="J343" s="78"/>
      <c r="K343" s="78">
        <f t="shared" si="164"/>
        <v>0</v>
      </c>
      <c r="L343" s="78"/>
      <c r="M343" s="78">
        <f>M344</f>
        <v>50000</v>
      </c>
      <c r="N343" s="78">
        <f t="shared" ref="N343:N344" si="185">N344</f>
        <v>0</v>
      </c>
      <c r="O343" s="78">
        <f t="shared" si="166"/>
        <v>50000</v>
      </c>
      <c r="P343" s="78"/>
      <c r="Q343" s="80">
        <f t="shared" si="181"/>
        <v>50000</v>
      </c>
      <c r="R343" s="80">
        <f t="shared" si="182"/>
        <v>0</v>
      </c>
      <c r="S343" s="80">
        <f t="shared" si="182"/>
        <v>50000</v>
      </c>
    </row>
    <row r="344" spans="2:19" x14ac:dyDescent="0.2">
      <c r="B344" s="69">
        <f t="shared" si="183"/>
        <v>42</v>
      </c>
      <c r="C344" s="81"/>
      <c r="D344" s="81"/>
      <c r="E344" s="81"/>
      <c r="F344" s="82"/>
      <c r="G344" s="83">
        <v>717</v>
      </c>
      <c r="H344" s="81" t="s">
        <v>178</v>
      </c>
      <c r="I344" s="84"/>
      <c r="J344" s="84"/>
      <c r="K344" s="84">
        <f t="shared" si="164"/>
        <v>0</v>
      </c>
      <c r="L344" s="84"/>
      <c r="M344" s="84">
        <f>M345</f>
        <v>50000</v>
      </c>
      <c r="N344" s="84">
        <f t="shared" si="185"/>
        <v>0</v>
      </c>
      <c r="O344" s="84">
        <f t="shared" si="166"/>
        <v>50000</v>
      </c>
      <c r="P344" s="84"/>
      <c r="Q344" s="86">
        <f t="shared" si="181"/>
        <v>50000</v>
      </c>
      <c r="R344" s="86">
        <f t="shared" si="182"/>
        <v>0</v>
      </c>
      <c r="S344" s="86">
        <f t="shared" si="182"/>
        <v>50000</v>
      </c>
    </row>
    <row r="345" spans="2:19" x14ac:dyDescent="0.2">
      <c r="B345" s="69">
        <f t="shared" si="183"/>
        <v>43</v>
      </c>
      <c r="C345" s="91"/>
      <c r="D345" s="91"/>
      <c r="E345" s="91"/>
      <c r="F345" s="92"/>
      <c r="G345" s="93"/>
      <c r="H345" s="91" t="s">
        <v>561</v>
      </c>
      <c r="I345" s="94"/>
      <c r="J345" s="94"/>
      <c r="K345" s="94">
        <f t="shared" si="164"/>
        <v>0</v>
      </c>
      <c r="L345" s="94"/>
      <c r="M345" s="94">
        <v>50000</v>
      </c>
      <c r="N345" s="94"/>
      <c r="O345" s="94">
        <f t="shared" si="166"/>
        <v>50000</v>
      </c>
      <c r="P345" s="94"/>
      <c r="Q345" s="95">
        <f t="shared" si="181"/>
        <v>50000</v>
      </c>
      <c r="R345" s="95">
        <f t="shared" si="182"/>
        <v>0</v>
      </c>
      <c r="S345" s="95">
        <f t="shared" si="182"/>
        <v>50000</v>
      </c>
    </row>
    <row r="346" spans="2:19" ht="15" x14ac:dyDescent="0.2">
      <c r="B346" s="69">
        <f t="shared" si="183"/>
        <v>44</v>
      </c>
      <c r="C346" s="360">
        <v>3</v>
      </c>
      <c r="D346" s="444" t="s">
        <v>227</v>
      </c>
      <c r="E346" s="445"/>
      <c r="F346" s="445"/>
      <c r="G346" s="445"/>
      <c r="H346" s="445"/>
      <c r="I346" s="72">
        <f>I347</f>
        <v>16150</v>
      </c>
      <c r="J346" s="72">
        <f t="shared" ref="J346" si="186">J347</f>
        <v>0</v>
      </c>
      <c r="K346" s="72">
        <f t="shared" si="164"/>
        <v>16150</v>
      </c>
      <c r="L346" s="328"/>
      <c r="M346" s="72">
        <f>M350</f>
        <v>30000</v>
      </c>
      <c r="N346" s="72">
        <f t="shared" ref="N346" si="187">N350</f>
        <v>0</v>
      </c>
      <c r="O346" s="72">
        <f t="shared" si="166"/>
        <v>30000</v>
      </c>
      <c r="P346" s="334">
        <f>P350</f>
        <v>0</v>
      </c>
      <c r="Q346" s="74">
        <f t="shared" si="181"/>
        <v>46150</v>
      </c>
      <c r="R346" s="74">
        <f t="shared" si="182"/>
        <v>0</v>
      </c>
      <c r="S346" s="74">
        <f t="shared" si="182"/>
        <v>46150</v>
      </c>
    </row>
    <row r="347" spans="2:19" x14ac:dyDescent="0.2">
      <c r="B347" s="69">
        <f t="shared" si="183"/>
        <v>45</v>
      </c>
      <c r="C347" s="75"/>
      <c r="D347" s="75"/>
      <c r="E347" s="75"/>
      <c r="F347" s="76" t="s">
        <v>188</v>
      </c>
      <c r="G347" s="77">
        <v>630</v>
      </c>
      <c r="H347" s="75" t="s">
        <v>119</v>
      </c>
      <c r="I347" s="78">
        <f>I348+I349</f>
        <v>16150</v>
      </c>
      <c r="J347" s="78">
        <f t="shared" ref="J347" si="188">J348+J349</f>
        <v>0</v>
      </c>
      <c r="K347" s="78">
        <f t="shared" si="164"/>
        <v>16150</v>
      </c>
      <c r="L347" s="78"/>
      <c r="M347" s="78"/>
      <c r="N347" s="78"/>
      <c r="O347" s="78">
        <f t="shared" si="166"/>
        <v>0</v>
      </c>
      <c r="P347" s="78"/>
      <c r="Q347" s="80">
        <f t="shared" si="181"/>
        <v>16150</v>
      </c>
      <c r="R347" s="80">
        <f t="shared" si="182"/>
        <v>0</v>
      </c>
      <c r="S347" s="80">
        <f t="shared" si="182"/>
        <v>16150</v>
      </c>
    </row>
    <row r="348" spans="2:19" x14ac:dyDescent="0.2">
      <c r="B348" s="69">
        <f t="shared" si="183"/>
        <v>46</v>
      </c>
      <c r="C348" s="81"/>
      <c r="D348" s="81"/>
      <c r="E348" s="81"/>
      <c r="F348" s="82"/>
      <c r="G348" s="83">
        <v>633</v>
      </c>
      <c r="H348" s="81" t="s">
        <v>123</v>
      </c>
      <c r="I348" s="84">
        <v>9150</v>
      </c>
      <c r="J348" s="84"/>
      <c r="K348" s="84">
        <f t="shared" si="164"/>
        <v>9150</v>
      </c>
      <c r="L348" s="84"/>
      <c r="M348" s="84"/>
      <c r="N348" s="84"/>
      <c r="O348" s="84">
        <f t="shared" si="166"/>
        <v>0</v>
      </c>
      <c r="P348" s="84"/>
      <c r="Q348" s="86">
        <f t="shared" si="181"/>
        <v>9150</v>
      </c>
      <c r="R348" s="86">
        <f t="shared" si="182"/>
        <v>0</v>
      </c>
      <c r="S348" s="86">
        <f t="shared" si="182"/>
        <v>9150</v>
      </c>
    </row>
    <row r="349" spans="2:19" x14ac:dyDescent="0.2">
      <c r="B349" s="69">
        <f t="shared" si="183"/>
        <v>47</v>
      </c>
      <c r="C349" s="81"/>
      <c r="D349" s="81"/>
      <c r="E349" s="81"/>
      <c r="F349" s="82"/>
      <c r="G349" s="83">
        <v>635</v>
      </c>
      <c r="H349" s="81" t="s">
        <v>130</v>
      </c>
      <c r="I349" s="84">
        <v>7000</v>
      </c>
      <c r="J349" s="84"/>
      <c r="K349" s="84">
        <f t="shared" si="164"/>
        <v>7000</v>
      </c>
      <c r="L349" s="84"/>
      <c r="M349" s="84"/>
      <c r="N349" s="84"/>
      <c r="O349" s="84">
        <f t="shared" si="166"/>
        <v>0</v>
      </c>
      <c r="P349" s="84"/>
      <c r="Q349" s="86">
        <f t="shared" si="181"/>
        <v>7000</v>
      </c>
      <c r="R349" s="86">
        <f t="shared" si="182"/>
        <v>0</v>
      </c>
      <c r="S349" s="86">
        <f t="shared" si="182"/>
        <v>7000</v>
      </c>
    </row>
    <row r="350" spans="2:19" x14ac:dyDescent="0.2">
      <c r="B350" s="69">
        <f t="shared" si="183"/>
        <v>48</v>
      </c>
      <c r="C350" s="75"/>
      <c r="D350" s="75"/>
      <c r="E350" s="75"/>
      <c r="F350" s="76" t="s">
        <v>188</v>
      </c>
      <c r="G350" s="77">
        <v>710</v>
      </c>
      <c r="H350" s="75" t="s">
        <v>171</v>
      </c>
      <c r="I350" s="78"/>
      <c r="J350" s="78"/>
      <c r="K350" s="78">
        <f t="shared" si="164"/>
        <v>0</v>
      </c>
      <c r="L350" s="78"/>
      <c r="M350" s="78">
        <f>M351</f>
        <v>30000</v>
      </c>
      <c r="N350" s="78">
        <f t="shared" ref="N350:N351" si="189">N351</f>
        <v>0</v>
      </c>
      <c r="O350" s="78">
        <f t="shared" si="166"/>
        <v>30000</v>
      </c>
      <c r="P350" s="78"/>
      <c r="Q350" s="80">
        <f t="shared" si="181"/>
        <v>30000</v>
      </c>
      <c r="R350" s="80">
        <f t="shared" si="182"/>
        <v>0</v>
      </c>
      <c r="S350" s="80">
        <f t="shared" si="182"/>
        <v>30000</v>
      </c>
    </row>
    <row r="351" spans="2:19" x14ac:dyDescent="0.2">
      <c r="B351" s="69">
        <f t="shared" si="183"/>
        <v>49</v>
      </c>
      <c r="C351" s="81"/>
      <c r="D351" s="81"/>
      <c r="E351" s="81"/>
      <c r="F351" s="82"/>
      <c r="G351" s="83">
        <v>713</v>
      </c>
      <c r="H351" s="81" t="s">
        <v>215</v>
      </c>
      <c r="I351" s="84"/>
      <c r="J351" s="84"/>
      <c r="K351" s="84">
        <f t="shared" si="164"/>
        <v>0</v>
      </c>
      <c r="L351" s="84"/>
      <c r="M351" s="84">
        <f>M352</f>
        <v>30000</v>
      </c>
      <c r="N351" s="84">
        <f t="shared" si="189"/>
        <v>0</v>
      </c>
      <c r="O351" s="84">
        <f t="shared" si="166"/>
        <v>30000</v>
      </c>
      <c r="P351" s="84"/>
      <c r="Q351" s="86">
        <f t="shared" si="181"/>
        <v>30000</v>
      </c>
      <c r="R351" s="86">
        <f t="shared" ref="R351:S366" si="190">N351+J351</f>
        <v>0</v>
      </c>
      <c r="S351" s="86">
        <f t="shared" si="190"/>
        <v>30000</v>
      </c>
    </row>
    <row r="352" spans="2:19" x14ac:dyDescent="0.2">
      <c r="B352" s="69">
        <f t="shared" si="183"/>
        <v>50</v>
      </c>
      <c r="C352" s="91"/>
      <c r="D352" s="91"/>
      <c r="E352" s="91"/>
      <c r="F352" s="93"/>
      <c r="G352" s="93"/>
      <c r="H352" s="91" t="s">
        <v>282</v>
      </c>
      <c r="I352" s="94"/>
      <c r="J352" s="94"/>
      <c r="K352" s="94">
        <f t="shared" si="164"/>
        <v>0</v>
      </c>
      <c r="L352" s="94"/>
      <c r="M352" s="94">
        <v>30000</v>
      </c>
      <c r="N352" s="94"/>
      <c r="O352" s="94">
        <f t="shared" si="166"/>
        <v>30000</v>
      </c>
      <c r="P352" s="94"/>
      <c r="Q352" s="95">
        <f t="shared" si="181"/>
        <v>30000</v>
      </c>
      <c r="R352" s="95">
        <f t="shared" si="190"/>
        <v>0</v>
      </c>
      <c r="S352" s="95">
        <f t="shared" si="190"/>
        <v>30000</v>
      </c>
    </row>
    <row r="353" spans="2:19" ht="15" x14ac:dyDescent="0.2">
      <c r="B353" s="69">
        <f t="shared" si="183"/>
        <v>51</v>
      </c>
      <c r="C353" s="360">
        <v>4</v>
      </c>
      <c r="D353" s="444" t="s">
        <v>154</v>
      </c>
      <c r="E353" s="445"/>
      <c r="F353" s="445"/>
      <c r="G353" s="445"/>
      <c r="H353" s="445"/>
      <c r="I353" s="72">
        <f>I354+I355</f>
        <v>45630</v>
      </c>
      <c r="J353" s="72">
        <f t="shared" ref="J353" si="191">J354+J355</f>
        <v>0</v>
      </c>
      <c r="K353" s="72">
        <f t="shared" si="164"/>
        <v>45630</v>
      </c>
      <c r="L353" s="328"/>
      <c r="M353" s="72"/>
      <c r="N353" s="72"/>
      <c r="O353" s="72">
        <f t="shared" si="166"/>
        <v>0</v>
      </c>
      <c r="P353" s="328"/>
      <c r="Q353" s="74">
        <f t="shared" si="181"/>
        <v>45630</v>
      </c>
      <c r="R353" s="74">
        <f t="shared" si="190"/>
        <v>0</v>
      </c>
      <c r="S353" s="74">
        <f t="shared" si="190"/>
        <v>45630</v>
      </c>
    </row>
    <row r="354" spans="2:19" x14ac:dyDescent="0.2">
      <c r="B354" s="69">
        <f t="shared" si="183"/>
        <v>52</v>
      </c>
      <c r="C354" s="75"/>
      <c r="D354" s="75"/>
      <c r="E354" s="75"/>
      <c r="F354" s="76" t="s">
        <v>153</v>
      </c>
      <c r="G354" s="77">
        <v>620</v>
      </c>
      <c r="H354" s="75" t="s">
        <v>122</v>
      </c>
      <c r="I354" s="78">
        <v>723</v>
      </c>
      <c r="J354" s="78"/>
      <c r="K354" s="78">
        <f t="shared" si="164"/>
        <v>723</v>
      </c>
      <c r="L354" s="78"/>
      <c r="M354" s="78"/>
      <c r="N354" s="78"/>
      <c r="O354" s="78">
        <f t="shared" si="166"/>
        <v>0</v>
      </c>
      <c r="P354" s="78"/>
      <c r="Q354" s="80">
        <f t="shared" si="181"/>
        <v>723</v>
      </c>
      <c r="R354" s="80">
        <f t="shared" si="190"/>
        <v>0</v>
      </c>
      <c r="S354" s="80">
        <f t="shared" si="190"/>
        <v>723</v>
      </c>
    </row>
    <row r="355" spans="2:19" x14ac:dyDescent="0.2">
      <c r="B355" s="69">
        <f t="shared" si="183"/>
        <v>53</v>
      </c>
      <c r="C355" s="75"/>
      <c r="D355" s="75"/>
      <c r="E355" s="75"/>
      <c r="F355" s="76" t="s">
        <v>153</v>
      </c>
      <c r="G355" s="77">
        <v>630</v>
      </c>
      <c r="H355" s="75" t="s">
        <v>119</v>
      </c>
      <c r="I355" s="78">
        <f>SUM(I356:I358)</f>
        <v>44907</v>
      </c>
      <c r="J355" s="78">
        <f t="shared" ref="J355" si="192">SUM(J356:J358)</f>
        <v>0</v>
      </c>
      <c r="K355" s="78">
        <f t="shared" si="164"/>
        <v>44907</v>
      </c>
      <c r="L355" s="78"/>
      <c r="M355" s="78"/>
      <c r="N355" s="78"/>
      <c r="O355" s="78">
        <f t="shared" si="166"/>
        <v>0</v>
      </c>
      <c r="P355" s="78"/>
      <c r="Q355" s="80">
        <f t="shared" si="181"/>
        <v>44907</v>
      </c>
      <c r="R355" s="80">
        <f t="shared" si="190"/>
        <v>0</v>
      </c>
      <c r="S355" s="80">
        <f t="shared" si="190"/>
        <v>44907</v>
      </c>
    </row>
    <row r="356" spans="2:19" x14ac:dyDescent="0.2">
      <c r="B356" s="69">
        <f t="shared" si="183"/>
        <v>54</v>
      </c>
      <c r="C356" s="81"/>
      <c r="D356" s="81"/>
      <c r="E356" s="81"/>
      <c r="F356" s="82"/>
      <c r="G356" s="83">
        <v>633</v>
      </c>
      <c r="H356" s="81" t="s">
        <v>123</v>
      </c>
      <c r="I356" s="84">
        <f>9400-1413</f>
        <v>7987</v>
      </c>
      <c r="J356" s="84"/>
      <c r="K356" s="84">
        <f t="shared" si="164"/>
        <v>7987</v>
      </c>
      <c r="L356" s="84"/>
      <c r="M356" s="84"/>
      <c r="N356" s="84"/>
      <c r="O356" s="84">
        <f t="shared" si="166"/>
        <v>0</v>
      </c>
      <c r="P356" s="84"/>
      <c r="Q356" s="86">
        <f t="shared" si="181"/>
        <v>7987</v>
      </c>
      <c r="R356" s="86">
        <f t="shared" si="190"/>
        <v>0</v>
      </c>
      <c r="S356" s="86">
        <f t="shared" si="190"/>
        <v>7987</v>
      </c>
    </row>
    <row r="357" spans="2:19" x14ac:dyDescent="0.2">
      <c r="B357" s="69">
        <f t="shared" si="183"/>
        <v>55</v>
      </c>
      <c r="C357" s="81"/>
      <c r="D357" s="81"/>
      <c r="E357" s="81"/>
      <c r="F357" s="82"/>
      <c r="G357" s="83">
        <v>635</v>
      </c>
      <c r="H357" s="81" t="s">
        <v>130</v>
      </c>
      <c r="I357" s="84">
        <f>13000-1980</f>
        <v>11020</v>
      </c>
      <c r="J357" s="84"/>
      <c r="K357" s="84">
        <f t="shared" si="164"/>
        <v>11020</v>
      </c>
      <c r="L357" s="84"/>
      <c r="M357" s="84"/>
      <c r="N357" s="84"/>
      <c r="O357" s="84">
        <f t="shared" si="166"/>
        <v>0</v>
      </c>
      <c r="P357" s="84"/>
      <c r="Q357" s="86">
        <f t="shared" si="181"/>
        <v>11020</v>
      </c>
      <c r="R357" s="86">
        <f t="shared" si="190"/>
        <v>0</v>
      </c>
      <c r="S357" s="86">
        <f t="shared" si="190"/>
        <v>11020</v>
      </c>
    </row>
    <row r="358" spans="2:19" x14ac:dyDescent="0.2">
      <c r="B358" s="69">
        <f t="shared" si="183"/>
        <v>56</v>
      </c>
      <c r="C358" s="81"/>
      <c r="D358" s="81"/>
      <c r="E358" s="81"/>
      <c r="F358" s="82"/>
      <c r="G358" s="83">
        <v>637</v>
      </c>
      <c r="H358" s="81" t="s">
        <v>120</v>
      </c>
      <c r="I358" s="84">
        <f>26500-1000+400</f>
        <v>25900</v>
      </c>
      <c r="J358" s="84"/>
      <c r="K358" s="84">
        <f t="shared" si="164"/>
        <v>25900</v>
      </c>
      <c r="L358" s="84"/>
      <c r="M358" s="84"/>
      <c r="N358" s="84"/>
      <c r="O358" s="84">
        <f t="shared" si="166"/>
        <v>0</v>
      </c>
      <c r="P358" s="84"/>
      <c r="Q358" s="86">
        <f t="shared" si="181"/>
        <v>25900</v>
      </c>
      <c r="R358" s="86">
        <f t="shared" si="190"/>
        <v>0</v>
      </c>
      <c r="S358" s="86">
        <f t="shared" si="190"/>
        <v>25900</v>
      </c>
    </row>
    <row r="359" spans="2:19" ht="15" x14ac:dyDescent="0.2">
      <c r="B359" s="69">
        <f t="shared" si="183"/>
        <v>57</v>
      </c>
      <c r="C359" s="360">
        <v>5</v>
      </c>
      <c r="D359" s="444" t="s">
        <v>144</v>
      </c>
      <c r="E359" s="445"/>
      <c r="F359" s="445"/>
      <c r="G359" s="445"/>
      <c r="H359" s="445"/>
      <c r="I359" s="72">
        <f>I360+I361+I365</f>
        <v>49310</v>
      </c>
      <c r="J359" s="72">
        <f t="shared" ref="J359" si="193">J360+J361+J365</f>
        <v>0</v>
      </c>
      <c r="K359" s="72">
        <f t="shared" si="164"/>
        <v>49310</v>
      </c>
      <c r="L359" s="328"/>
      <c r="M359" s="72"/>
      <c r="N359" s="72"/>
      <c r="O359" s="72">
        <f t="shared" si="166"/>
        <v>0</v>
      </c>
      <c r="P359" s="328"/>
      <c r="Q359" s="74">
        <f t="shared" si="181"/>
        <v>49310</v>
      </c>
      <c r="R359" s="74">
        <f t="shared" si="190"/>
        <v>0</v>
      </c>
      <c r="S359" s="74">
        <f t="shared" si="190"/>
        <v>49310</v>
      </c>
    </row>
    <row r="360" spans="2:19" x14ac:dyDescent="0.2">
      <c r="B360" s="69">
        <f t="shared" si="183"/>
        <v>58</v>
      </c>
      <c r="C360" s="75"/>
      <c r="D360" s="75"/>
      <c r="E360" s="75"/>
      <c r="F360" s="76" t="s">
        <v>143</v>
      </c>
      <c r="G360" s="77">
        <v>620</v>
      </c>
      <c r="H360" s="75" t="s">
        <v>122</v>
      </c>
      <c r="I360" s="78">
        <v>500</v>
      </c>
      <c r="J360" s="78"/>
      <c r="K360" s="78">
        <f t="shared" si="164"/>
        <v>500</v>
      </c>
      <c r="L360" s="78"/>
      <c r="M360" s="78"/>
      <c r="N360" s="78"/>
      <c r="O360" s="78">
        <f t="shared" si="166"/>
        <v>0</v>
      </c>
      <c r="P360" s="78"/>
      <c r="Q360" s="80">
        <f t="shared" si="181"/>
        <v>500</v>
      </c>
      <c r="R360" s="80">
        <f t="shared" si="190"/>
        <v>0</v>
      </c>
      <c r="S360" s="80">
        <f t="shared" si="190"/>
        <v>500</v>
      </c>
    </row>
    <row r="361" spans="2:19" x14ac:dyDescent="0.2">
      <c r="B361" s="69">
        <f t="shared" si="183"/>
        <v>59</v>
      </c>
      <c r="C361" s="75"/>
      <c r="D361" s="75"/>
      <c r="E361" s="75"/>
      <c r="F361" s="76" t="s">
        <v>143</v>
      </c>
      <c r="G361" s="77">
        <v>630</v>
      </c>
      <c r="H361" s="75" t="s">
        <v>119</v>
      </c>
      <c r="I361" s="78">
        <f>SUM(I362:I364)</f>
        <v>38810</v>
      </c>
      <c r="J361" s="78">
        <f t="shared" ref="J361" si="194">SUM(J362:J364)</f>
        <v>0</v>
      </c>
      <c r="K361" s="78">
        <f t="shared" si="164"/>
        <v>38810</v>
      </c>
      <c r="L361" s="78"/>
      <c r="M361" s="78"/>
      <c r="N361" s="78"/>
      <c r="O361" s="78">
        <f t="shared" si="166"/>
        <v>0</v>
      </c>
      <c r="P361" s="78"/>
      <c r="Q361" s="80">
        <f t="shared" si="181"/>
        <v>38810</v>
      </c>
      <c r="R361" s="80">
        <f t="shared" si="190"/>
        <v>0</v>
      </c>
      <c r="S361" s="80">
        <f t="shared" si="190"/>
        <v>38810</v>
      </c>
    </row>
    <row r="362" spans="2:19" ht="13.5" customHeight="1" x14ac:dyDescent="0.2">
      <c r="B362" s="69">
        <f t="shared" si="183"/>
        <v>60</v>
      </c>
      <c r="C362" s="81"/>
      <c r="D362" s="81"/>
      <c r="E362" s="81"/>
      <c r="F362" s="82"/>
      <c r="G362" s="83">
        <v>633</v>
      </c>
      <c r="H362" s="81" t="s">
        <v>123</v>
      </c>
      <c r="I362" s="84">
        <f>11400-245</f>
        <v>11155</v>
      </c>
      <c r="J362" s="84"/>
      <c r="K362" s="84">
        <f t="shared" si="164"/>
        <v>11155</v>
      </c>
      <c r="L362" s="84"/>
      <c r="M362" s="84"/>
      <c r="N362" s="84"/>
      <c r="O362" s="84">
        <f t="shared" si="166"/>
        <v>0</v>
      </c>
      <c r="P362" s="84"/>
      <c r="Q362" s="86">
        <f t="shared" si="181"/>
        <v>11155</v>
      </c>
      <c r="R362" s="86">
        <f t="shared" si="190"/>
        <v>0</v>
      </c>
      <c r="S362" s="86">
        <f t="shared" si="190"/>
        <v>11155</v>
      </c>
    </row>
    <row r="363" spans="2:19" ht="12.75" customHeight="1" x14ac:dyDescent="0.2">
      <c r="B363" s="69">
        <f t="shared" si="183"/>
        <v>61</v>
      </c>
      <c r="C363" s="81"/>
      <c r="D363" s="81"/>
      <c r="E363" s="81"/>
      <c r="F363" s="82"/>
      <c r="G363" s="83">
        <v>634</v>
      </c>
      <c r="H363" s="81" t="s">
        <v>129</v>
      </c>
      <c r="I363" s="84">
        <f>4750+245</f>
        <v>4995</v>
      </c>
      <c r="J363" s="84"/>
      <c r="K363" s="84">
        <f t="shared" si="164"/>
        <v>4995</v>
      </c>
      <c r="L363" s="84"/>
      <c r="M363" s="84"/>
      <c r="N363" s="84"/>
      <c r="O363" s="84">
        <f t="shared" si="166"/>
        <v>0</v>
      </c>
      <c r="P363" s="84"/>
      <c r="Q363" s="86">
        <f t="shared" si="181"/>
        <v>4995</v>
      </c>
      <c r="R363" s="86">
        <f t="shared" si="190"/>
        <v>0</v>
      </c>
      <c r="S363" s="86">
        <f t="shared" si="190"/>
        <v>4995</v>
      </c>
    </row>
    <row r="364" spans="2:19" x14ac:dyDescent="0.2">
      <c r="B364" s="69">
        <f t="shared" si="183"/>
        <v>62</v>
      </c>
      <c r="C364" s="81"/>
      <c r="D364" s="81"/>
      <c r="E364" s="81"/>
      <c r="F364" s="82"/>
      <c r="G364" s="83">
        <v>637</v>
      </c>
      <c r="H364" s="81" t="s">
        <v>120</v>
      </c>
      <c r="I364" s="84">
        <f>22660</f>
        <v>22660</v>
      </c>
      <c r="J364" s="84"/>
      <c r="K364" s="84">
        <f t="shared" si="164"/>
        <v>22660</v>
      </c>
      <c r="L364" s="84"/>
      <c r="M364" s="84"/>
      <c r="N364" s="84"/>
      <c r="O364" s="84">
        <f t="shared" si="166"/>
        <v>0</v>
      </c>
      <c r="P364" s="84"/>
      <c r="Q364" s="86">
        <f t="shared" si="181"/>
        <v>22660</v>
      </c>
      <c r="R364" s="86">
        <f t="shared" si="190"/>
        <v>0</v>
      </c>
      <c r="S364" s="86">
        <f t="shared" si="190"/>
        <v>22660</v>
      </c>
    </row>
    <row r="365" spans="2:19" x14ac:dyDescent="0.2">
      <c r="B365" s="69">
        <f t="shared" si="183"/>
        <v>63</v>
      </c>
      <c r="C365" s="75"/>
      <c r="D365" s="75"/>
      <c r="E365" s="75"/>
      <c r="F365" s="76" t="s">
        <v>143</v>
      </c>
      <c r="G365" s="77">
        <v>640</v>
      </c>
      <c r="H365" s="75" t="s">
        <v>127</v>
      </c>
      <c r="I365" s="78">
        <f>I366+I367</f>
        <v>10000</v>
      </c>
      <c r="J365" s="78">
        <f t="shared" ref="J365" si="195">J366+J367</f>
        <v>0</v>
      </c>
      <c r="K365" s="78">
        <f t="shared" si="164"/>
        <v>10000</v>
      </c>
      <c r="L365" s="78"/>
      <c r="M365" s="78"/>
      <c r="N365" s="78"/>
      <c r="O365" s="78">
        <f t="shared" si="166"/>
        <v>0</v>
      </c>
      <c r="P365" s="78"/>
      <c r="Q365" s="80">
        <f t="shared" si="181"/>
        <v>10000</v>
      </c>
      <c r="R365" s="80">
        <f t="shared" si="190"/>
        <v>0</v>
      </c>
      <c r="S365" s="80">
        <f t="shared" si="190"/>
        <v>10000</v>
      </c>
    </row>
    <row r="366" spans="2:19" ht="21" customHeight="1" x14ac:dyDescent="0.2">
      <c r="B366" s="69">
        <f t="shared" si="183"/>
        <v>64</v>
      </c>
      <c r="C366" s="106"/>
      <c r="D366" s="106"/>
      <c r="E366" s="91"/>
      <c r="F366" s="93"/>
      <c r="G366" s="93"/>
      <c r="H366" s="91" t="s">
        <v>9</v>
      </c>
      <c r="I366" s="94">
        <v>4000</v>
      </c>
      <c r="J366" s="94"/>
      <c r="K366" s="94">
        <f t="shared" si="164"/>
        <v>4000</v>
      </c>
      <c r="L366" s="94"/>
      <c r="M366" s="94"/>
      <c r="N366" s="94"/>
      <c r="O366" s="94">
        <f t="shared" si="166"/>
        <v>0</v>
      </c>
      <c r="P366" s="94"/>
      <c r="Q366" s="95">
        <f t="shared" si="181"/>
        <v>4000</v>
      </c>
      <c r="R366" s="95">
        <f t="shared" si="190"/>
        <v>0</v>
      </c>
      <c r="S366" s="95">
        <f t="shared" si="190"/>
        <v>4000</v>
      </c>
    </row>
    <row r="367" spans="2:19" x14ac:dyDescent="0.2">
      <c r="B367" s="336">
        <f t="shared" si="183"/>
        <v>65</v>
      </c>
      <c r="C367" s="337"/>
      <c r="D367" s="337"/>
      <c r="E367" s="338"/>
      <c r="F367" s="339"/>
      <c r="G367" s="339"/>
      <c r="H367" s="338" t="s">
        <v>10</v>
      </c>
      <c r="I367" s="340">
        <v>6000</v>
      </c>
      <c r="J367" s="340"/>
      <c r="K367" s="340">
        <f t="shared" si="164"/>
        <v>6000</v>
      </c>
      <c r="L367" s="340"/>
      <c r="M367" s="340"/>
      <c r="N367" s="340"/>
      <c r="O367" s="340">
        <f t="shared" si="166"/>
        <v>0</v>
      </c>
      <c r="P367" s="340"/>
      <c r="Q367" s="341">
        <f t="shared" si="181"/>
        <v>6000</v>
      </c>
      <c r="R367" s="341">
        <f t="shared" ref="R367:S367" si="196">N367+J367</f>
        <v>0</v>
      </c>
      <c r="S367" s="341">
        <f t="shared" si="196"/>
        <v>6000</v>
      </c>
    </row>
    <row r="368" spans="2:19" x14ac:dyDescent="0.2">
      <c r="B368" s="3"/>
      <c r="F368" s="3"/>
      <c r="G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2:19" x14ac:dyDescent="0.2">
      <c r="B369" s="3"/>
      <c r="F369" s="3"/>
      <c r="G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2:19" x14ac:dyDescent="0.2">
      <c r="B370" s="3"/>
      <c r="F370" s="3"/>
      <c r="G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2:19" ht="51.75" customHeight="1" x14ac:dyDescent="0.4">
      <c r="B371" s="429" t="s">
        <v>19</v>
      </c>
      <c r="C371" s="430"/>
      <c r="D371" s="430"/>
      <c r="E371" s="430"/>
      <c r="F371" s="430"/>
      <c r="G371" s="430"/>
      <c r="H371" s="430"/>
      <c r="I371" s="430"/>
      <c r="J371" s="430"/>
      <c r="K371" s="430"/>
      <c r="L371" s="430"/>
      <c r="M371" s="430"/>
      <c r="N371" s="430"/>
      <c r="O371" s="430"/>
      <c r="P371" s="430"/>
      <c r="Q371" s="430"/>
    </row>
    <row r="372" spans="2:19" s="42" customFormat="1" ht="42.75" customHeight="1" x14ac:dyDescent="0.2">
      <c r="B372" s="431" t="s">
        <v>464</v>
      </c>
      <c r="C372" s="432"/>
      <c r="D372" s="432"/>
      <c r="E372" s="432"/>
      <c r="F372" s="432"/>
      <c r="G372" s="432"/>
      <c r="H372" s="432"/>
      <c r="I372" s="432"/>
      <c r="J372" s="432"/>
      <c r="K372" s="432"/>
      <c r="L372" s="432"/>
      <c r="M372" s="432"/>
      <c r="N372" s="432"/>
      <c r="O372" s="432"/>
      <c r="P372" s="432"/>
      <c r="Q372" s="433" t="s">
        <v>735</v>
      </c>
      <c r="R372" s="433" t="s">
        <v>733</v>
      </c>
      <c r="S372" s="433" t="s">
        <v>736</v>
      </c>
    </row>
    <row r="373" spans="2:19" ht="12.75" customHeight="1" x14ac:dyDescent="0.2">
      <c r="B373" s="436"/>
      <c r="C373" s="422" t="s">
        <v>112</v>
      </c>
      <c r="D373" s="422" t="s">
        <v>113</v>
      </c>
      <c r="E373" s="422"/>
      <c r="F373" s="422" t="s">
        <v>114</v>
      </c>
      <c r="G373" s="423" t="s">
        <v>115</v>
      </c>
      <c r="H373" s="424" t="s">
        <v>116</v>
      </c>
      <c r="I373" s="435" t="s">
        <v>737</v>
      </c>
      <c r="J373" s="455" t="s">
        <v>733</v>
      </c>
      <c r="K373" s="435" t="s">
        <v>738</v>
      </c>
      <c r="L373" s="318"/>
      <c r="M373" s="435" t="s">
        <v>739</v>
      </c>
      <c r="N373" s="455" t="s">
        <v>733</v>
      </c>
      <c r="O373" s="435" t="s">
        <v>740</v>
      </c>
      <c r="P373" s="318"/>
      <c r="Q373" s="434"/>
      <c r="R373" s="434"/>
      <c r="S373" s="434"/>
    </row>
    <row r="374" spans="2:19" x14ac:dyDescent="0.2">
      <c r="B374" s="436"/>
      <c r="C374" s="422"/>
      <c r="D374" s="422"/>
      <c r="E374" s="422"/>
      <c r="F374" s="422"/>
      <c r="G374" s="423"/>
      <c r="H374" s="424"/>
      <c r="I374" s="435"/>
      <c r="J374" s="456"/>
      <c r="K374" s="435"/>
      <c r="L374" s="318"/>
      <c r="M374" s="435"/>
      <c r="N374" s="456"/>
      <c r="O374" s="435"/>
      <c r="P374" s="318"/>
      <c r="Q374" s="434"/>
      <c r="R374" s="434"/>
      <c r="S374" s="434"/>
    </row>
    <row r="375" spans="2:19" x14ac:dyDescent="0.2">
      <c r="B375" s="436"/>
      <c r="C375" s="422"/>
      <c r="D375" s="422"/>
      <c r="E375" s="422"/>
      <c r="F375" s="422"/>
      <c r="G375" s="423"/>
      <c r="H375" s="424"/>
      <c r="I375" s="435"/>
      <c r="J375" s="456"/>
      <c r="K375" s="435"/>
      <c r="L375" s="318"/>
      <c r="M375" s="435"/>
      <c r="N375" s="456"/>
      <c r="O375" s="435"/>
      <c r="P375" s="318"/>
      <c r="Q375" s="434"/>
      <c r="R375" s="434"/>
      <c r="S375" s="434"/>
    </row>
    <row r="376" spans="2:19" x14ac:dyDescent="0.2">
      <c r="B376" s="436"/>
      <c r="C376" s="422"/>
      <c r="D376" s="422"/>
      <c r="E376" s="422"/>
      <c r="F376" s="422"/>
      <c r="G376" s="423"/>
      <c r="H376" s="424"/>
      <c r="I376" s="435"/>
      <c r="J376" s="457"/>
      <c r="K376" s="435"/>
      <c r="L376" s="318"/>
      <c r="M376" s="435"/>
      <c r="N376" s="457"/>
      <c r="O376" s="435"/>
      <c r="P376" s="318"/>
      <c r="Q376" s="434"/>
      <c r="R376" s="434"/>
      <c r="S376" s="434"/>
    </row>
    <row r="377" spans="2:19" ht="15.75" x14ac:dyDescent="0.2">
      <c r="B377" s="7">
        <v>1</v>
      </c>
      <c r="C377" s="439" t="s">
        <v>19</v>
      </c>
      <c r="D377" s="440"/>
      <c r="E377" s="440"/>
      <c r="F377" s="440"/>
      <c r="G377" s="440"/>
      <c r="H377" s="440"/>
      <c r="I377" s="8">
        <f>I421+I395+I378</f>
        <v>8560033</v>
      </c>
      <c r="J377" s="8">
        <f t="shared" ref="J377" si="197">J421+J395+J378</f>
        <v>0</v>
      </c>
      <c r="K377" s="8">
        <f>I377+J377</f>
        <v>8560033</v>
      </c>
      <c r="L377" s="319"/>
      <c r="M377" s="8">
        <f>M421+M395+M378</f>
        <v>13443185</v>
      </c>
      <c r="N377" s="8">
        <f t="shared" ref="N377" si="198">N421+N395+N378</f>
        <v>0</v>
      </c>
      <c r="O377" s="8">
        <f>M377+N377</f>
        <v>13443185</v>
      </c>
      <c r="P377" s="319"/>
      <c r="Q377" s="9">
        <f t="shared" ref="Q377:Q400" si="199">M377+I377</f>
        <v>22003218</v>
      </c>
      <c r="R377" s="9">
        <f t="shared" ref="R377:S392" si="200">N377+J377</f>
        <v>0</v>
      </c>
      <c r="S377" s="9">
        <f t="shared" si="200"/>
        <v>22003218</v>
      </c>
    </row>
    <row r="378" spans="2:19" ht="15" x14ac:dyDescent="0.2">
      <c r="B378" s="7">
        <f t="shared" ref="B378:B409" si="201">B377+1</f>
        <v>2</v>
      </c>
      <c r="C378" s="10">
        <v>1</v>
      </c>
      <c r="D378" s="420" t="s">
        <v>346</v>
      </c>
      <c r="E378" s="421"/>
      <c r="F378" s="421"/>
      <c r="G378" s="421"/>
      <c r="H378" s="421"/>
      <c r="I378" s="11">
        <f>I381+I379</f>
        <v>5322423</v>
      </c>
      <c r="J378" s="11">
        <f t="shared" ref="J378" si="202">J381+J379</f>
        <v>0</v>
      </c>
      <c r="K378" s="11">
        <f t="shared" ref="K378:K421" si="203">I378+J378</f>
        <v>5322423</v>
      </c>
      <c r="L378" s="320"/>
      <c r="M378" s="11">
        <f>M385</f>
        <v>246400</v>
      </c>
      <c r="N378" s="11">
        <f t="shared" ref="N378" si="204">N385</f>
        <v>0</v>
      </c>
      <c r="O378" s="11">
        <f t="shared" ref="O378:O441" si="205">M378+N378</f>
        <v>246400</v>
      </c>
      <c r="P378" s="320"/>
      <c r="Q378" s="35">
        <f t="shared" si="199"/>
        <v>5568823</v>
      </c>
      <c r="R378" s="35">
        <f t="shared" si="200"/>
        <v>0</v>
      </c>
      <c r="S378" s="35">
        <f t="shared" si="200"/>
        <v>5568823</v>
      </c>
    </row>
    <row r="379" spans="2:19" x14ac:dyDescent="0.2">
      <c r="B379" s="7">
        <f t="shared" si="201"/>
        <v>3</v>
      </c>
      <c r="C379" s="13"/>
      <c r="D379" s="13"/>
      <c r="E379" s="13"/>
      <c r="F379" s="14" t="s">
        <v>216</v>
      </c>
      <c r="G379" s="15">
        <v>630</v>
      </c>
      <c r="H379" s="13" t="s">
        <v>119</v>
      </c>
      <c r="I379" s="16">
        <f>I380</f>
        <v>16700</v>
      </c>
      <c r="J379" s="16">
        <f t="shared" ref="J379" si="206">J380</f>
        <v>0</v>
      </c>
      <c r="K379" s="16">
        <f t="shared" si="203"/>
        <v>16700</v>
      </c>
      <c r="L379" s="16"/>
      <c r="M379" s="16"/>
      <c r="N379" s="16"/>
      <c r="O379" s="16">
        <f t="shared" si="205"/>
        <v>0</v>
      </c>
      <c r="P379" s="16"/>
      <c r="Q379" s="18">
        <f t="shared" si="199"/>
        <v>16700</v>
      </c>
      <c r="R379" s="18">
        <f t="shared" si="200"/>
        <v>0</v>
      </c>
      <c r="S379" s="18">
        <f t="shared" si="200"/>
        <v>16700</v>
      </c>
    </row>
    <row r="380" spans="2:19" x14ac:dyDescent="0.2">
      <c r="B380" s="7">
        <f t="shared" si="201"/>
        <v>4</v>
      </c>
      <c r="C380" s="19"/>
      <c r="D380" s="19"/>
      <c r="E380" s="19"/>
      <c r="F380" s="20"/>
      <c r="G380" s="21">
        <v>637</v>
      </c>
      <c r="H380" s="19" t="s">
        <v>120</v>
      </c>
      <c r="I380" s="22">
        <v>16700</v>
      </c>
      <c r="J380" s="22"/>
      <c r="K380" s="22">
        <f t="shared" si="203"/>
        <v>16700</v>
      </c>
      <c r="L380" s="22"/>
      <c r="M380" s="22"/>
      <c r="N380" s="22"/>
      <c r="O380" s="22">
        <f t="shared" si="205"/>
        <v>0</v>
      </c>
      <c r="P380" s="22"/>
      <c r="Q380" s="23">
        <f t="shared" si="199"/>
        <v>16700</v>
      </c>
      <c r="R380" s="23">
        <f t="shared" si="200"/>
        <v>0</v>
      </c>
      <c r="S380" s="23">
        <f t="shared" si="200"/>
        <v>16700</v>
      </c>
    </row>
    <row r="381" spans="2:19" x14ac:dyDescent="0.2">
      <c r="B381" s="7">
        <f t="shared" si="201"/>
        <v>5</v>
      </c>
      <c r="C381" s="13"/>
      <c r="D381" s="13"/>
      <c r="E381" s="13"/>
      <c r="F381" s="14" t="s">
        <v>216</v>
      </c>
      <c r="G381" s="15">
        <v>640</v>
      </c>
      <c r="H381" s="13" t="s">
        <v>127</v>
      </c>
      <c r="I381" s="16">
        <f>SUM(I382:I384)</f>
        <v>5305723</v>
      </c>
      <c r="J381" s="16">
        <f t="shared" ref="J381" si="207">SUM(J382:J384)</f>
        <v>0</v>
      </c>
      <c r="K381" s="16">
        <f t="shared" si="203"/>
        <v>5305723</v>
      </c>
      <c r="L381" s="16"/>
      <c r="M381" s="16"/>
      <c r="N381" s="16"/>
      <c r="O381" s="16">
        <f t="shared" si="205"/>
        <v>0</v>
      </c>
      <c r="P381" s="16"/>
      <c r="Q381" s="18">
        <f t="shared" si="199"/>
        <v>5305723</v>
      </c>
      <c r="R381" s="18">
        <f t="shared" si="200"/>
        <v>0</v>
      </c>
      <c r="S381" s="18">
        <f t="shared" si="200"/>
        <v>5305723</v>
      </c>
    </row>
    <row r="382" spans="2:19" x14ac:dyDescent="0.2">
      <c r="B382" s="7">
        <f t="shared" si="201"/>
        <v>6</v>
      </c>
      <c r="C382" s="1"/>
      <c r="D382" s="1"/>
      <c r="E382" s="1"/>
      <c r="F382" s="25"/>
      <c r="G382" s="25">
        <v>644</v>
      </c>
      <c r="H382" s="1" t="s">
        <v>268</v>
      </c>
      <c r="I382" s="26">
        <f>4743895+8820-8820</f>
        <v>4743895</v>
      </c>
      <c r="J382" s="26"/>
      <c r="K382" s="26">
        <f t="shared" si="203"/>
        <v>4743895</v>
      </c>
      <c r="L382" s="26"/>
      <c r="M382" s="26"/>
      <c r="N382" s="26"/>
      <c r="O382" s="26">
        <f t="shared" si="205"/>
        <v>0</v>
      </c>
      <c r="P382" s="26"/>
      <c r="Q382" s="28">
        <f t="shared" si="199"/>
        <v>4743895</v>
      </c>
      <c r="R382" s="28">
        <f t="shared" si="200"/>
        <v>0</v>
      </c>
      <c r="S382" s="28">
        <f t="shared" si="200"/>
        <v>4743895</v>
      </c>
    </row>
    <row r="383" spans="2:19" x14ac:dyDescent="0.2">
      <c r="B383" s="7">
        <f t="shared" si="201"/>
        <v>7</v>
      </c>
      <c r="C383" s="1"/>
      <c r="D383" s="1"/>
      <c r="E383" s="1"/>
      <c r="F383" s="25"/>
      <c r="G383" s="25">
        <v>644</v>
      </c>
      <c r="H383" s="1" t="s">
        <v>517</v>
      </c>
      <c r="I383" s="26">
        <f>280000+159120+8820</f>
        <v>447940</v>
      </c>
      <c r="J383" s="26"/>
      <c r="K383" s="26">
        <f t="shared" si="203"/>
        <v>447940</v>
      </c>
      <c r="L383" s="26"/>
      <c r="M383" s="26"/>
      <c r="N383" s="26"/>
      <c r="O383" s="26">
        <f t="shared" si="205"/>
        <v>0</v>
      </c>
      <c r="P383" s="26"/>
      <c r="Q383" s="28">
        <f t="shared" si="199"/>
        <v>447940</v>
      </c>
      <c r="R383" s="28">
        <f t="shared" si="200"/>
        <v>0</v>
      </c>
      <c r="S383" s="28">
        <f t="shared" si="200"/>
        <v>447940</v>
      </c>
    </row>
    <row r="384" spans="2:19" ht="48" x14ac:dyDescent="0.2">
      <c r="B384" s="7">
        <f t="shared" si="201"/>
        <v>8</v>
      </c>
      <c r="C384" s="65"/>
      <c r="D384" s="65"/>
      <c r="E384" s="65"/>
      <c r="F384" s="37"/>
      <c r="G384" s="37">
        <v>644</v>
      </c>
      <c r="H384" s="38" t="s">
        <v>502</v>
      </c>
      <c r="I384" s="39">
        <f>110000+3888</f>
        <v>113888</v>
      </c>
      <c r="J384" s="39"/>
      <c r="K384" s="39">
        <f t="shared" si="203"/>
        <v>113888</v>
      </c>
      <c r="L384" s="39"/>
      <c r="M384" s="39"/>
      <c r="N384" s="39"/>
      <c r="O384" s="39">
        <f t="shared" si="205"/>
        <v>0</v>
      </c>
      <c r="P384" s="39"/>
      <c r="Q384" s="41">
        <f t="shared" si="199"/>
        <v>113888</v>
      </c>
      <c r="R384" s="41">
        <f t="shared" si="200"/>
        <v>0</v>
      </c>
      <c r="S384" s="41">
        <f t="shared" si="200"/>
        <v>113888</v>
      </c>
    </row>
    <row r="385" spans="2:19" x14ac:dyDescent="0.2">
      <c r="B385" s="7">
        <f t="shared" si="201"/>
        <v>9</v>
      </c>
      <c r="C385" s="13"/>
      <c r="D385" s="13"/>
      <c r="E385" s="13"/>
      <c r="F385" s="14" t="s">
        <v>216</v>
      </c>
      <c r="G385" s="15">
        <v>710</v>
      </c>
      <c r="H385" s="13" t="s">
        <v>171</v>
      </c>
      <c r="I385" s="16"/>
      <c r="J385" s="16"/>
      <c r="K385" s="16">
        <f t="shared" si="203"/>
        <v>0</v>
      </c>
      <c r="L385" s="16"/>
      <c r="M385" s="16">
        <f>M386+M389</f>
        <v>246400</v>
      </c>
      <c r="N385" s="16">
        <f t="shared" ref="N385" si="208">N386+N389</f>
        <v>0</v>
      </c>
      <c r="O385" s="16">
        <f t="shared" si="205"/>
        <v>246400</v>
      </c>
      <c r="P385" s="16"/>
      <c r="Q385" s="18">
        <f t="shared" si="199"/>
        <v>246400</v>
      </c>
      <c r="R385" s="18">
        <f t="shared" si="200"/>
        <v>0</v>
      </c>
      <c r="S385" s="18">
        <f t="shared" si="200"/>
        <v>246400</v>
      </c>
    </row>
    <row r="386" spans="2:19" x14ac:dyDescent="0.2">
      <c r="B386" s="7">
        <f t="shared" si="201"/>
        <v>10</v>
      </c>
      <c r="C386" s="19"/>
      <c r="D386" s="19"/>
      <c r="E386" s="19"/>
      <c r="F386" s="20" t="s">
        <v>216</v>
      </c>
      <c r="G386" s="21">
        <v>716</v>
      </c>
      <c r="H386" s="19" t="s">
        <v>211</v>
      </c>
      <c r="I386" s="22"/>
      <c r="J386" s="22"/>
      <c r="K386" s="22">
        <f t="shared" si="203"/>
        <v>0</v>
      </c>
      <c r="L386" s="22"/>
      <c r="M386" s="22">
        <f>SUM(M387:M388)</f>
        <v>31000</v>
      </c>
      <c r="N386" s="22">
        <f t="shared" ref="N386" si="209">SUM(N387:N388)</f>
        <v>0</v>
      </c>
      <c r="O386" s="22">
        <f t="shared" si="205"/>
        <v>31000</v>
      </c>
      <c r="P386" s="22"/>
      <c r="Q386" s="23">
        <f t="shared" si="199"/>
        <v>31000</v>
      </c>
      <c r="R386" s="23">
        <f t="shared" si="200"/>
        <v>0</v>
      </c>
      <c r="S386" s="23">
        <f t="shared" si="200"/>
        <v>31000</v>
      </c>
    </row>
    <row r="387" spans="2:19" ht="24" x14ac:dyDescent="0.2">
      <c r="B387" s="7">
        <f t="shared" si="201"/>
        <v>11</v>
      </c>
      <c r="C387" s="1"/>
      <c r="D387" s="1"/>
      <c r="E387" s="1"/>
      <c r="F387" s="25"/>
      <c r="G387" s="25"/>
      <c r="H387" s="43" t="s">
        <v>518</v>
      </c>
      <c r="I387" s="26"/>
      <c r="J387" s="26"/>
      <c r="K387" s="26">
        <f t="shared" si="203"/>
        <v>0</v>
      </c>
      <c r="L387" s="26"/>
      <c r="M387" s="26">
        <v>29000</v>
      </c>
      <c r="N387" s="26"/>
      <c r="O387" s="26">
        <f t="shared" si="205"/>
        <v>29000</v>
      </c>
      <c r="P387" s="26"/>
      <c r="Q387" s="28">
        <f t="shared" si="199"/>
        <v>29000</v>
      </c>
      <c r="R387" s="28">
        <f t="shared" si="200"/>
        <v>0</v>
      </c>
      <c r="S387" s="28">
        <f t="shared" si="200"/>
        <v>29000</v>
      </c>
    </row>
    <row r="388" spans="2:19" x14ac:dyDescent="0.2">
      <c r="B388" s="7">
        <f t="shared" si="201"/>
        <v>12</v>
      </c>
      <c r="C388" s="1"/>
      <c r="D388" s="1"/>
      <c r="E388" s="1"/>
      <c r="F388" s="25"/>
      <c r="G388" s="25"/>
      <c r="H388" s="1" t="s">
        <v>475</v>
      </c>
      <c r="I388" s="26"/>
      <c r="J388" s="26"/>
      <c r="K388" s="26">
        <f t="shared" si="203"/>
        <v>0</v>
      </c>
      <c r="L388" s="26"/>
      <c r="M388" s="26">
        <v>2000</v>
      </c>
      <c r="N388" s="26"/>
      <c r="O388" s="26">
        <f t="shared" si="205"/>
        <v>2000</v>
      </c>
      <c r="P388" s="26"/>
      <c r="Q388" s="28">
        <f t="shared" si="199"/>
        <v>2000</v>
      </c>
      <c r="R388" s="28">
        <f t="shared" si="200"/>
        <v>0</v>
      </c>
      <c r="S388" s="28">
        <f t="shared" si="200"/>
        <v>2000</v>
      </c>
    </row>
    <row r="389" spans="2:19" x14ac:dyDescent="0.2">
      <c r="B389" s="7">
        <f t="shared" si="201"/>
        <v>13</v>
      </c>
      <c r="C389" s="19"/>
      <c r="D389" s="19"/>
      <c r="E389" s="19"/>
      <c r="F389" s="20" t="s">
        <v>216</v>
      </c>
      <c r="G389" s="21">
        <v>717</v>
      </c>
      <c r="H389" s="19" t="s">
        <v>178</v>
      </c>
      <c r="I389" s="22"/>
      <c r="J389" s="22"/>
      <c r="K389" s="22">
        <f t="shared" si="203"/>
        <v>0</v>
      </c>
      <c r="L389" s="22"/>
      <c r="M389" s="22">
        <f>SUM(M390:M394)</f>
        <v>215400</v>
      </c>
      <c r="N389" s="22">
        <f t="shared" ref="N389" si="210">SUM(N390:N394)</f>
        <v>0</v>
      </c>
      <c r="O389" s="22">
        <f t="shared" si="205"/>
        <v>215400</v>
      </c>
      <c r="P389" s="22"/>
      <c r="Q389" s="23">
        <f t="shared" si="199"/>
        <v>215400</v>
      </c>
      <c r="R389" s="23">
        <f t="shared" si="200"/>
        <v>0</v>
      </c>
      <c r="S389" s="23">
        <f t="shared" si="200"/>
        <v>215400</v>
      </c>
    </row>
    <row r="390" spans="2:19" x14ac:dyDescent="0.2">
      <c r="B390" s="7">
        <f t="shared" si="201"/>
        <v>14</v>
      </c>
      <c r="C390" s="1"/>
      <c r="D390" s="1"/>
      <c r="E390" s="1"/>
      <c r="F390" s="25"/>
      <c r="G390" s="25"/>
      <c r="H390" s="1" t="s">
        <v>425</v>
      </c>
      <c r="I390" s="26"/>
      <c r="J390" s="26"/>
      <c r="K390" s="26">
        <f t="shared" si="203"/>
        <v>0</v>
      </c>
      <c r="L390" s="26"/>
      <c r="M390" s="26">
        <f>18600-1000</f>
        <v>17600</v>
      </c>
      <c r="N390" s="26"/>
      <c r="O390" s="26">
        <f t="shared" si="205"/>
        <v>17600</v>
      </c>
      <c r="P390" s="26"/>
      <c r="Q390" s="28">
        <f t="shared" si="199"/>
        <v>17600</v>
      </c>
      <c r="R390" s="28">
        <f t="shared" si="200"/>
        <v>0</v>
      </c>
      <c r="S390" s="28">
        <f t="shared" si="200"/>
        <v>17600</v>
      </c>
    </row>
    <row r="391" spans="2:19" x14ac:dyDescent="0.2">
      <c r="B391" s="7">
        <f t="shared" si="201"/>
        <v>15</v>
      </c>
      <c r="C391" s="1"/>
      <c r="D391" s="1"/>
      <c r="E391" s="1"/>
      <c r="F391" s="25"/>
      <c r="G391" s="25"/>
      <c r="H391" s="1" t="s">
        <v>638</v>
      </c>
      <c r="I391" s="26"/>
      <c r="J391" s="26"/>
      <c r="K391" s="26">
        <f t="shared" si="203"/>
        <v>0</v>
      </c>
      <c r="L391" s="26"/>
      <c r="M391" s="26">
        <f>137000+5300</f>
        <v>142300</v>
      </c>
      <c r="N391" s="26"/>
      <c r="O391" s="26">
        <f t="shared" si="205"/>
        <v>142300</v>
      </c>
      <c r="P391" s="26"/>
      <c r="Q391" s="28">
        <f t="shared" si="199"/>
        <v>142300</v>
      </c>
      <c r="R391" s="28">
        <f t="shared" si="200"/>
        <v>0</v>
      </c>
      <c r="S391" s="28">
        <f t="shared" si="200"/>
        <v>142300</v>
      </c>
    </row>
    <row r="392" spans="2:19" x14ac:dyDescent="0.2">
      <c r="B392" s="7">
        <f t="shared" si="201"/>
        <v>16</v>
      </c>
      <c r="C392" s="1"/>
      <c r="D392" s="1"/>
      <c r="E392" s="1"/>
      <c r="F392" s="25"/>
      <c r="G392" s="25"/>
      <c r="H392" s="1" t="s">
        <v>549</v>
      </c>
      <c r="I392" s="26"/>
      <c r="J392" s="26"/>
      <c r="K392" s="26">
        <f t="shared" si="203"/>
        <v>0</v>
      </c>
      <c r="L392" s="26"/>
      <c r="M392" s="26">
        <v>29000</v>
      </c>
      <c r="N392" s="26"/>
      <c r="O392" s="26">
        <f t="shared" si="205"/>
        <v>29000</v>
      </c>
      <c r="P392" s="26"/>
      <c r="Q392" s="28">
        <f t="shared" si="199"/>
        <v>29000</v>
      </c>
      <c r="R392" s="28">
        <f t="shared" si="200"/>
        <v>0</v>
      </c>
      <c r="S392" s="28">
        <f t="shared" si="200"/>
        <v>29000</v>
      </c>
    </row>
    <row r="393" spans="2:19" x14ac:dyDescent="0.2">
      <c r="B393" s="7">
        <f t="shared" si="201"/>
        <v>17</v>
      </c>
      <c r="C393" s="1"/>
      <c r="D393" s="1"/>
      <c r="E393" s="1"/>
      <c r="F393" s="25"/>
      <c r="G393" s="25"/>
      <c r="H393" s="1" t="s">
        <v>476</v>
      </c>
      <c r="I393" s="26"/>
      <c r="J393" s="26"/>
      <c r="K393" s="26">
        <f t="shared" si="203"/>
        <v>0</v>
      </c>
      <c r="L393" s="26"/>
      <c r="M393" s="26">
        <v>18000</v>
      </c>
      <c r="N393" s="26"/>
      <c r="O393" s="26">
        <f t="shared" si="205"/>
        <v>18000</v>
      </c>
      <c r="P393" s="26"/>
      <c r="Q393" s="28">
        <f t="shared" si="199"/>
        <v>18000</v>
      </c>
      <c r="R393" s="28">
        <f t="shared" ref="R393:S400" si="211">N393+J393</f>
        <v>0</v>
      </c>
      <c r="S393" s="28">
        <f t="shared" si="211"/>
        <v>18000</v>
      </c>
    </row>
    <row r="394" spans="2:19" x14ac:dyDescent="0.2">
      <c r="B394" s="7">
        <f t="shared" si="201"/>
        <v>18</v>
      </c>
      <c r="C394" s="1"/>
      <c r="D394" s="1"/>
      <c r="E394" s="1"/>
      <c r="F394" s="25"/>
      <c r="G394" s="25"/>
      <c r="H394" s="1" t="s">
        <v>683</v>
      </c>
      <c r="I394" s="26"/>
      <c r="J394" s="26"/>
      <c r="K394" s="26">
        <f t="shared" si="203"/>
        <v>0</v>
      </c>
      <c r="L394" s="26"/>
      <c r="M394" s="26">
        <v>8500</v>
      </c>
      <c r="N394" s="26"/>
      <c r="O394" s="26">
        <f t="shared" si="205"/>
        <v>8500</v>
      </c>
      <c r="P394" s="26"/>
      <c r="Q394" s="28">
        <f t="shared" si="199"/>
        <v>8500</v>
      </c>
      <c r="R394" s="28">
        <f t="shared" si="211"/>
        <v>0</v>
      </c>
      <c r="S394" s="28">
        <f t="shared" si="211"/>
        <v>8500</v>
      </c>
    </row>
    <row r="395" spans="2:19" ht="15" x14ac:dyDescent="0.2">
      <c r="B395" s="7">
        <f t="shared" si="201"/>
        <v>19</v>
      </c>
      <c r="C395" s="10">
        <v>2</v>
      </c>
      <c r="D395" s="420" t="s">
        <v>261</v>
      </c>
      <c r="E395" s="421"/>
      <c r="F395" s="421"/>
      <c r="G395" s="421"/>
      <c r="H395" s="421"/>
      <c r="I395" s="11">
        <f>I396+I415</f>
        <v>3237610</v>
      </c>
      <c r="J395" s="11">
        <f t="shared" ref="J395" si="212">J396+J415</f>
        <v>0</v>
      </c>
      <c r="K395" s="11">
        <f t="shared" si="203"/>
        <v>3237610</v>
      </c>
      <c r="L395" s="320"/>
      <c r="M395" s="11">
        <f>M396+M415</f>
        <v>425020</v>
      </c>
      <c r="N395" s="11">
        <f t="shared" ref="N395" si="213">N396+N415</f>
        <v>0</v>
      </c>
      <c r="O395" s="11">
        <f t="shared" si="205"/>
        <v>425020</v>
      </c>
      <c r="P395" s="320"/>
      <c r="Q395" s="35">
        <f t="shared" si="199"/>
        <v>3662630</v>
      </c>
      <c r="R395" s="35">
        <f t="shared" si="211"/>
        <v>0</v>
      </c>
      <c r="S395" s="35">
        <f t="shared" si="211"/>
        <v>3662630</v>
      </c>
    </row>
    <row r="396" spans="2:19" ht="15" x14ac:dyDescent="0.25">
      <c r="B396" s="7">
        <f t="shared" si="201"/>
        <v>20</v>
      </c>
      <c r="C396" s="29"/>
      <c r="D396" s="29">
        <v>1</v>
      </c>
      <c r="E396" s="441" t="s">
        <v>362</v>
      </c>
      <c r="F396" s="442"/>
      <c r="G396" s="442"/>
      <c r="H396" s="442"/>
      <c r="I396" s="30">
        <f>I397+I404</f>
        <v>2775400</v>
      </c>
      <c r="J396" s="30">
        <f t="shared" ref="J396" si="214">J397+J404</f>
        <v>0</v>
      </c>
      <c r="K396" s="30">
        <f t="shared" si="203"/>
        <v>2775400</v>
      </c>
      <c r="L396" s="321"/>
      <c r="M396" s="30">
        <f>M404+M399</f>
        <v>425020</v>
      </c>
      <c r="N396" s="30">
        <f t="shared" ref="N396" si="215">N404+N399</f>
        <v>0</v>
      </c>
      <c r="O396" s="30">
        <f t="shared" si="205"/>
        <v>425020</v>
      </c>
      <c r="P396" s="321"/>
      <c r="Q396" s="32">
        <f t="shared" si="199"/>
        <v>3200420</v>
      </c>
      <c r="R396" s="32">
        <f t="shared" si="211"/>
        <v>0</v>
      </c>
      <c r="S396" s="32">
        <f t="shared" si="211"/>
        <v>3200420</v>
      </c>
    </row>
    <row r="397" spans="2:19" x14ac:dyDescent="0.2">
      <c r="B397" s="7">
        <f t="shared" si="201"/>
        <v>21</v>
      </c>
      <c r="C397" s="13"/>
      <c r="D397" s="13"/>
      <c r="E397" s="13"/>
      <c r="F397" s="14" t="s">
        <v>216</v>
      </c>
      <c r="G397" s="15">
        <v>630</v>
      </c>
      <c r="H397" s="13" t="s">
        <v>119</v>
      </c>
      <c r="I397" s="16">
        <f>I398</f>
        <v>11000</v>
      </c>
      <c r="J397" s="16">
        <f t="shared" ref="J397" si="216">J398</f>
        <v>0</v>
      </c>
      <c r="K397" s="16">
        <f t="shared" si="203"/>
        <v>11000</v>
      </c>
      <c r="L397" s="16"/>
      <c r="M397" s="16"/>
      <c r="N397" s="16"/>
      <c r="O397" s="16">
        <f t="shared" si="205"/>
        <v>0</v>
      </c>
      <c r="P397" s="16"/>
      <c r="Q397" s="18">
        <f t="shared" si="199"/>
        <v>11000</v>
      </c>
      <c r="R397" s="18">
        <f t="shared" si="211"/>
        <v>0</v>
      </c>
      <c r="S397" s="18">
        <f t="shared" si="211"/>
        <v>11000</v>
      </c>
    </row>
    <row r="398" spans="2:19" x14ac:dyDescent="0.2">
      <c r="B398" s="7">
        <f t="shared" si="201"/>
        <v>22</v>
      </c>
      <c r="C398" s="19"/>
      <c r="D398" s="19"/>
      <c r="E398" s="19"/>
      <c r="F398" s="20"/>
      <c r="G398" s="21">
        <v>637</v>
      </c>
      <c r="H398" s="19" t="s">
        <v>120</v>
      </c>
      <c r="I398" s="22">
        <f>20000-3000-6000</f>
        <v>11000</v>
      </c>
      <c r="J398" s="22"/>
      <c r="K398" s="22">
        <f t="shared" si="203"/>
        <v>11000</v>
      </c>
      <c r="L398" s="22"/>
      <c r="M398" s="22"/>
      <c r="N398" s="22"/>
      <c r="O398" s="22">
        <f t="shared" si="205"/>
        <v>0</v>
      </c>
      <c r="P398" s="22"/>
      <c r="Q398" s="23">
        <f t="shared" si="199"/>
        <v>11000</v>
      </c>
      <c r="R398" s="23">
        <f t="shared" si="211"/>
        <v>0</v>
      </c>
      <c r="S398" s="23">
        <f t="shared" si="211"/>
        <v>11000</v>
      </c>
    </row>
    <row r="399" spans="2:19" x14ac:dyDescent="0.2">
      <c r="B399" s="7">
        <f t="shared" si="201"/>
        <v>23</v>
      </c>
      <c r="C399" s="13"/>
      <c r="D399" s="13"/>
      <c r="E399" s="13"/>
      <c r="F399" s="14" t="s">
        <v>216</v>
      </c>
      <c r="G399" s="15">
        <v>710</v>
      </c>
      <c r="H399" s="13" t="s">
        <v>171</v>
      </c>
      <c r="I399" s="16"/>
      <c r="J399" s="16"/>
      <c r="K399" s="16">
        <f t="shared" si="203"/>
        <v>0</v>
      </c>
      <c r="L399" s="16"/>
      <c r="M399" s="16">
        <f>M400+M402</f>
        <v>425020</v>
      </c>
      <c r="N399" s="16">
        <f t="shared" ref="N399" si="217">N400+N402</f>
        <v>0</v>
      </c>
      <c r="O399" s="16">
        <f t="shared" si="205"/>
        <v>425020</v>
      </c>
      <c r="P399" s="16"/>
      <c r="Q399" s="18">
        <f t="shared" si="199"/>
        <v>425020</v>
      </c>
      <c r="R399" s="18">
        <f t="shared" si="211"/>
        <v>0</v>
      </c>
      <c r="S399" s="18">
        <f t="shared" si="211"/>
        <v>425020</v>
      </c>
    </row>
    <row r="400" spans="2:19" x14ac:dyDescent="0.2">
      <c r="B400" s="7">
        <f t="shared" si="201"/>
        <v>24</v>
      </c>
      <c r="C400" s="13"/>
      <c r="D400" s="13"/>
      <c r="E400" s="13"/>
      <c r="F400" s="14"/>
      <c r="G400" s="21">
        <v>714</v>
      </c>
      <c r="H400" s="19" t="s">
        <v>172</v>
      </c>
      <c r="I400" s="22"/>
      <c r="J400" s="22"/>
      <c r="K400" s="22">
        <f t="shared" si="203"/>
        <v>0</v>
      </c>
      <c r="L400" s="22"/>
      <c r="M400" s="22">
        <f>M401</f>
        <v>155000</v>
      </c>
      <c r="N400" s="22">
        <f t="shared" ref="N400" si="218">N401</f>
        <v>0</v>
      </c>
      <c r="O400" s="22">
        <f t="shared" si="205"/>
        <v>155000</v>
      </c>
      <c r="P400" s="22"/>
      <c r="Q400" s="23">
        <f t="shared" si="199"/>
        <v>155000</v>
      </c>
      <c r="R400" s="23">
        <f t="shared" si="211"/>
        <v>0</v>
      </c>
      <c r="S400" s="23">
        <f t="shared" si="211"/>
        <v>155000</v>
      </c>
    </row>
    <row r="401" spans="2:19" s="34" customFormat="1" x14ac:dyDescent="0.2">
      <c r="B401" s="7">
        <f t="shared" si="201"/>
        <v>25</v>
      </c>
      <c r="C401" s="13"/>
      <c r="D401" s="13"/>
      <c r="E401" s="13"/>
      <c r="F401" s="14"/>
      <c r="G401" s="25"/>
      <c r="H401" s="1" t="s">
        <v>532</v>
      </c>
      <c r="I401" s="26"/>
      <c r="J401" s="26"/>
      <c r="K401" s="26">
        <f t="shared" si="203"/>
        <v>0</v>
      </c>
      <c r="L401" s="26"/>
      <c r="M401" s="26">
        <v>155000</v>
      </c>
      <c r="N401" s="26"/>
      <c r="O401" s="26">
        <f t="shared" si="205"/>
        <v>155000</v>
      </c>
      <c r="P401" s="26"/>
      <c r="Q401" s="28">
        <f>M401</f>
        <v>155000</v>
      </c>
      <c r="R401" s="28">
        <f t="shared" ref="R401:S401" si="219">N401</f>
        <v>0</v>
      </c>
      <c r="S401" s="28">
        <f t="shared" si="219"/>
        <v>155000</v>
      </c>
    </row>
    <row r="402" spans="2:19" x14ac:dyDescent="0.2">
      <c r="B402" s="7">
        <f t="shared" si="201"/>
        <v>26</v>
      </c>
      <c r="C402" s="19"/>
      <c r="D402" s="19"/>
      <c r="E402" s="19"/>
      <c r="F402" s="20"/>
      <c r="G402" s="21">
        <v>717</v>
      </c>
      <c r="H402" s="19" t="s">
        <v>178</v>
      </c>
      <c r="I402" s="22"/>
      <c r="J402" s="22"/>
      <c r="K402" s="22">
        <f t="shared" si="203"/>
        <v>0</v>
      </c>
      <c r="L402" s="22"/>
      <c r="M402" s="22">
        <f>M403</f>
        <v>270020</v>
      </c>
      <c r="N402" s="22">
        <f t="shared" ref="N402" si="220">N403</f>
        <v>0</v>
      </c>
      <c r="O402" s="22">
        <f t="shared" si="205"/>
        <v>270020</v>
      </c>
      <c r="P402" s="22"/>
      <c r="Q402" s="23">
        <f>M402+I402</f>
        <v>270020</v>
      </c>
      <c r="R402" s="23">
        <f t="shared" ref="R402:S402" si="221">N402+J402</f>
        <v>0</v>
      </c>
      <c r="S402" s="23">
        <f t="shared" si="221"/>
        <v>270020</v>
      </c>
    </row>
    <row r="403" spans="2:19" x14ac:dyDescent="0.2">
      <c r="B403" s="7">
        <f t="shared" si="201"/>
        <v>27</v>
      </c>
      <c r="C403" s="24"/>
      <c r="D403" s="24"/>
      <c r="E403" s="1"/>
      <c r="F403" s="25"/>
      <c r="G403" s="25"/>
      <c r="H403" s="1" t="s">
        <v>513</v>
      </c>
      <c r="I403" s="26"/>
      <c r="J403" s="26"/>
      <c r="K403" s="26">
        <f t="shared" si="203"/>
        <v>0</v>
      </c>
      <c r="L403" s="26"/>
      <c r="M403" s="26">
        <f>214020+30000+26000</f>
        <v>270020</v>
      </c>
      <c r="N403" s="26"/>
      <c r="O403" s="26">
        <f t="shared" si="205"/>
        <v>270020</v>
      </c>
      <c r="P403" s="26"/>
      <c r="Q403" s="28">
        <f>M403</f>
        <v>270020</v>
      </c>
      <c r="R403" s="28">
        <f t="shared" ref="R403:S403" si="222">N403</f>
        <v>0</v>
      </c>
      <c r="S403" s="28">
        <f t="shared" si="222"/>
        <v>270020</v>
      </c>
    </row>
    <row r="404" spans="2:19" ht="15" x14ac:dyDescent="0.25">
      <c r="B404" s="7">
        <f t="shared" si="201"/>
        <v>28</v>
      </c>
      <c r="C404" s="108"/>
      <c r="D404" s="108"/>
      <c r="E404" s="108">
        <v>2</v>
      </c>
      <c r="F404" s="109"/>
      <c r="G404" s="109"/>
      <c r="H404" s="108" t="s">
        <v>11</v>
      </c>
      <c r="I404" s="110">
        <f>I405+I406+I407+I414</f>
        <v>2764400</v>
      </c>
      <c r="J404" s="110">
        <f t="shared" ref="J404" si="223">J405+J406+J407+J414</f>
        <v>0</v>
      </c>
      <c r="K404" s="110">
        <f t="shared" si="203"/>
        <v>2764400</v>
      </c>
      <c r="L404" s="17"/>
      <c r="M404" s="110"/>
      <c r="N404" s="110"/>
      <c r="O404" s="110">
        <f t="shared" si="205"/>
        <v>0</v>
      </c>
      <c r="P404" s="321"/>
      <c r="Q404" s="112">
        <f t="shared" ref="Q404:Q435" si="224">M404+I404</f>
        <v>2764400</v>
      </c>
      <c r="R404" s="112">
        <f t="shared" ref="R404:S419" si="225">N404+J404</f>
        <v>0</v>
      </c>
      <c r="S404" s="112">
        <f t="shared" si="225"/>
        <v>2764400</v>
      </c>
    </row>
    <row r="405" spans="2:19" x14ac:dyDescent="0.2">
      <c r="B405" s="7">
        <f t="shared" si="201"/>
        <v>29</v>
      </c>
      <c r="C405" s="13"/>
      <c r="D405" s="13"/>
      <c r="E405" s="13"/>
      <c r="F405" s="14" t="s">
        <v>216</v>
      </c>
      <c r="G405" s="15">
        <v>610</v>
      </c>
      <c r="H405" s="13" t="s">
        <v>510</v>
      </c>
      <c r="I405" s="16">
        <v>124800</v>
      </c>
      <c r="J405" s="16"/>
      <c r="K405" s="16">
        <f t="shared" si="203"/>
        <v>124800</v>
      </c>
      <c r="L405" s="16"/>
      <c r="M405" s="16"/>
      <c r="N405" s="16"/>
      <c r="O405" s="16">
        <f t="shared" si="205"/>
        <v>0</v>
      </c>
      <c r="P405" s="16"/>
      <c r="Q405" s="18">
        <f t="shared" si="224"/>
        <v>124800</v>
      </c>
      <c r="R405" s="18">
        <f t="shared" si="225"/>
        <v>0</v>
      </c>
      <c r="S405" s="18">
        <f t="shared" si="225"/>
        <v>124800</v>
      </c>
    </row>
    <row r="406" spans="2:19" x14ac:dyDescent="0.2">
      <c r="B406" s="7">
        <f t="shared" si="201"/>
        <v>30</v>
      </c>
      <c r="C406" s="13"/>
      <c r="D406" s="13"/>
      <c r="E406" s="13"/>
      <c r="F406" s="14" t="s">
        <v>216</v>
      </c>
      <c r="G406" s="15">
        <v>620</v>
      </c>
      <c r="H406" s="13" t="s">
        <v>122</v>
      </c>
      <c r="I406" s="16">
        <v>48900</v>
      </c>
      <c r="J406" s="16"/>
      <c r="K406" s="16">
        <f t="shared" si="203"/>
        <v>48900</v>
      </c>
      <c r="L406" s="16"/>
      <c r="M406" s="16"/>
      <c r="N406" s="16"/>
      <c r="O406" s="16">
        <f t="shared" si="205"/>
        <v>0</v>
      </c>
      <c r="P406" s="16"/>
      <c r="Q406" s="18">
        <f t="shared" si="224"/>
        <v>48900</v>
      </c>
      <c r="R406" s="18">
        <f t="shared" si="225"/>
        <v>0</v>
      </c>
      <c r="S406" s="18">
        <f t="shared" si="225"/>
        <v>48900</v>
      </c>
    </row>
    <row r="407" spans="2:19" x14ac:dyDescent="0.2">
      <c r="B407" s="7">
        <f t="shared" si="201"/>
        <v>31</v>
      </c>
      <c r="C407" s="13"/>
      <c r="D407" s="13"/>
      <c r="E407" s="13"/>
      <c r="F407" s="14" t="s">
        <v>216</v>
      </c>
      <c r="G407" s="15">
        <v>630</v>
      </c>
      <c r="H407" s="13" t="s">
        <v>119</v>
      </c>
      <c r="I407" s="16">
        <f>SUM(I408:I413)</f>
        <v>2581880</v>
      </c>
      <c r="J407" s="16">
        <f t="shared" ref="J407" si="226">SUM(J408:J413)</f>
        <v>0</v>
      </c>
      <c r="K407" s="16">
        <f t="shared" si="203"/>
        <v>2581880</v>
      </c>
      <c r="L407" s="16"/>
      <c r="M407" s="16"/>
      <c r="N407" s="16"/>
      <c r="O407" s="16">
        <f t="shared" si="205"/>
        <v>0</v>
      </c>
      <c r="P407" s="16"/>
      <c r="Q407" s="18">
        <f t="shared" si="224"/>
        <v>2581880</v>
      </c>
      <c r="R407" s="18">
        <f t="shared" si="225"/>
        <v>0</v>
      </c>
      <c r="S407" s="18">
        <f t="shared" si="225"/>
        <v>2581880</v>
      </c>
    </row>
    <row r="408" spans="2:19" x14ac:dyDescent="0.2">
      <c r="B408" s="7">
        <f t="shared" si="201"/>
        <v>32</v>
      </c>
      <c r="C408" s="13"/>
      <c r="D408" s="13"/>
      <c r="E408" s="13"/>
      <c r="F408" s="14"/>
      <c r="G408" s="21">
        <v>632</v>
      </c>
      <c r="H408" s="19" t="s">
        <v>131</v>
      </c>
      <c r="I408" s="22">
        <v>700</v>
      </c>
      <c r="J408" s="22"/>
      <c r="K408" s="22">
        <f t="shared" si="203"/>
        <v>700</v>
      </c>
      <c r="L408" s="16"/>
      <c r="M408" s="16"/>
      <c r="N408" s="16"/>
      <c r="O408" s="16">
        <f t="shared" si="205"/>
        <v>0</v>
      </c>
      <c r="P408" s="16"/>
      <c r="Q408" s="18">
        <f t="shared" si="224"/>
        <v>700</v>
      </c>
      <c r="R408" s="18">
        <f t="shared" si="225"/>
        <v>0</v>
      </c>
      <c r="S408" s="18">
        <f t="shared" si="225"/>
        <v>700</v>
      </c>
    </row>
    <row r="409" spans="2:19" x14ac:dyDescent="0.2">
      <c r="B409" s="7">
        <f t="shared" si="201"/>
        <v>33</v>
      </c>
      <c r="C409" s="19"/>
      <c r="D409" s="19"/>
      <c r="E409" s="19"/>
      <c r="F409" s="20"/>
      <c r="G409" s="21">
        <v>633</v>
      </c>
      <c r="H409" s="19" t="s">
        <v>123</v>
      </c>
      <c r="I409" s="22">
        <f>31000+6000</f>
        <v>37000</v>
      </c>
      <c r="J409" s="22"/>
      <c r="K409" s="22">
        <f t="shared" si="203"/>
        <v>37000</v>
      </c>
      <c r="L409" s="22"/>
      <c r="M409" s="22"/>
      <c r="N409" s="22"/>
      <c r="O409" s="22">
        <f t="shared" si="205"/>
        <v>0</v>
      </c>
      <c r="P409" s="22"/>
      <c r="Q409" s="23">
        <f t="shared" si="224"/>
        <v>37000</v>
      </c>
      <c r="R409" s="23">
        <f t="shared" si="225"/>
        <v>0</v>
      </c>
      <c r="S409" s="23">
        <f t="shared" si="225"/>
        <v>37000</v>
      </c>
    </row>
    <row r="410" spans="2:19" s="42" customFormat="1" ht="34.5" customHeight="1" x14ac:dyDescent="0.2">
      <c r="B410" s="7">
        <f t="shared" ref="B410:B431" si="227">B409+1</f>
        <v>34</v>
      </c>
      <c r="C410" s="19"/>
      <c r="D410" s="19"/>
      <c r="E410" s="19"/>
      <c r="F410" s="20"/>
      <c r="G410" s="21">
        <v>634</v>
      </c>
      <c r="H410" s="19" t="s">
        <v>129</v>
      </c>
      <c r="I410" s="22">
        <v>25700</v>
      </c>
      <c r="J410" s="22"/>
      <c r="K410" s="22">
        <f t="shared" si="203"/>
        <v>25700</v>
      </c>
      <c r="L410" s="22"/>
      <c r="M410" s="22"/>
      <c r="N410" s="22"/>
      <c r="O410" s="22">
        <f t="shared" si="205"/>
        <v>0</v>
      </c>
      <c r="P410" s="22"/>
      <c r="Q410" s="23">
        <f t="shared" si="224"/>
        <v>25700</v>
      </c>
      <c r="R410" s="23">
        <f t="shared" si="225"/>
        <v>0</v>
      </c>
      <c r="S410" s="23">
        <f t="shared" si="225"/>
        <v>25700</v>
      </c>
    </row>
    <row r="411" spans="2:19" x14ac:dyDescent="0.2">
      <c r="B411" s="7">
        <f t="shared" si="227"/>
        <v>35</v>
      </c>
      <c r="C411" s="19"/>
      <c r="D411" s="19"/>
      <c r="E411" s="19"/>
      <c r="F411" s="20"/>
      <c r="G411" s="21">
        <v>635</v>
      </c>
      <c r="H411" s="19" t="s">
        <v>130</v>
      </c>
      <c r="I411" s="22">
        <f>2427200+46655+26100</f>
        <v>2499955</v>
      </c>
      <c r="J411" s="22"/>
      <c r="K411" s="22">
        <f t="shared" si="203"/>
        <v>2499955</v>
      </c>
      <c r="L411" s="22"/>
      <c r="M411" s="22"/>
      <c r="N411" s="22"/>
      <c r="O411" s="22">
        <f t="shared" si="205"/>
        <v>0</v>
      </c>
      <c r="P411" s="22"/>
      <c r="Q411" s="23">
        <f t="shared" si="224"/>
        <v>2499955</v>
      </c>
      <c r="R411" s="23">
        <f t="shared" si="225"/>
        <v>0</v>
      </c>
      <c r="S411" s="23">
        <f t="shared" si="225"/>
        <v>2499955</v>
      </c>
    </row>
    <row r="412" spans="2:19" x14ac:dyDescent="0.2">
      <c r="B412" s="7">
        <f t="shared" si="227"/>
        <v>36</v>
      </c>
      <c r="C412" s="19"/>
      <c r="D412" s="19"/>
      <c r="E412" s="19"/>
      <c r="F412" s="20"/>
      <c r="G412" s="21">
        <v>636</v>
      </c>
      <c r="H412" s="19" t="s">
        <v>124</v>
      </c>
      <c r="I412" s="22">
        <v>300</v>
      </c>
      <c r="J412" s="22"/>
      <c r="K412" s="22">
        <f t="shared" si="203"/>
        <v>300</v>
      </c>
      <c r="L412" s="22"/>
      <c r="M412" s="22"/>
      <c r="N412" s="22"/>
      <c r="O412" s="22">
        <f t="shared" si="205"/>
        <v>0</v>
      </c>
      <c r="P412" s="22"/>
      <c r="Q412" s="23">
        <f t="shared" si="224"/>
        <v>300</v>
      </c>
      <c r="R412" s="23">
        <f t="shared" si="225"/>
        <v>0</v>
      </c>
      <c r="S412" s="23">
        <f t="shared" si="225"/>
        <v>300</v>
      </c>
    </row>
    <row r="413" spans="2:19" x14ac:dyDescent="0.2">
      <c r="B413" s="7">
        <f t="shared" si="227"/>
        <v>37</v>
      </c>
      <c r="C413" s="19"/>
      <c r="D413" s="19"/>
      <c r="E413" s="19"/>
      <c r="F413" s="20"/>
      <c r="G413" s="21">
        <v>637</v>
      </c>
      <c r="H413" s="19" t="s">
        <v>120</v>
      </c>
      <c r="I413" s="22">
        <f>22725-4500</f>
        <v>18225</v>
      </c>
      <c r="J413" s="22"/>
      <c r="K413" s="22">
        <f t="shared" si="203"/>
        <v>18225</v>
      </c>
      <c r="L413" s="22"/>
      <c r="M413" s="22"/>
      <c r="N413" s="22"/>
      <c r="O413" s="22">
        <f t="shared" si="205"/>
        <v>0</v>
      </c>
      <c r="P413" s="22"/>
      <c r="Q413" s="23">
        <f t="shared" si="224"/>
        <v>18225</v>
      </c>
      <c r="R413" s="23">
        <f t="shared" si="225"/>
        <v>0</v>
      </c>
      <c r="S413" s="23">
        <f t="shared" si="225"/>
        <v>18225</v>
      </c>
    </row>
    <row r="414" spans="2:19" x14ac:dyDescent="0.2">
      <c r="B414" s="7">
        <f t="shared" si="227"/>
        <v>38</v>
      </c>
      <c r="C414" s="13"/>
      <c r="D414" s="13"/>
      <c r="E414" s="13"/>
      <c r="F414" s="14" t="s">
        <v>216</v>
      </c>
      <c r="G414" s="15">
        <v>640</v>
      </c>
      <c r="H414" s="13" t="s">
        <v>127</v>
      </c>
      <c r="I414" s="16">
        <v>8820</v>
      </c>
      <c r="J414" s="16"/>
      <c r="K414" s="16">
        <f t="shared" si="203"/>
        <v>8820</v>
      </c>
      <c r="L414" s="16"/>
      <c r="M414" s="16"/>
      <c r="N414" s="16"/>
      <c r="O414" s="16">
        <f t="shared" si="205"/>
        <v>0</v>
      </c>
      <c r="P414" s="16"/>
      <c r="Q414" s="18">
        <f t="shared" si="224"/>
        <v>8820</v>
      </c>
      <c r="R414" s="18">
        <f t="shared" si="225"/>
        <v>0</v>
      </c>
      <c r="S414" s="18">
        <f t="shared" si="225"/>
        <v>8820</v>
      </c>
    </row>
    <row r="415" spans="2:19" ht="15" x14ac:dyDescent="0.25">
      <c r="B415" s="7">
        <f t="shared" si="227"/>
        <v>39</v>
      </c>
      <c r="C415" s="29"/>
      <c r="D415" s="29">
        <v>2</v>
      </c>
      <c r="E415" s="441" t="s">
        <v>363</v>
      </c>
      <c r="F415" s="442"/>
      <c r="G415" s="442"/>
      <c r="H415" s="442"/>
      <c r="I415" s="30">
        <f>I416+I420</f>
        <v>462210</v>
      </c>
      <c r="J415" s="30">
        <f t="shared" ref="J415" si="228">J416+J420</f>
        <v>0</v>
      </c>
      <c r="K415" s="30">
        <f t="shared" si="203"/>
        <v>462210</v>
      </c>
      <c r="L415" s="321"/>
      <c r="M415" s="31"/>
      <c r="N415" s="31"/>
      <c r="O415" s="31">
        <f t="shared" si="205"/>
        <v>0</v>
      </c>
      <c r="P415" s="17"/>
      <c r="Q415" s="32">
        <f t="shared" si="224"/>
        <v>462210</v>
      </c>
      <c r="R415" s="32">
        <f t="shared" si="225"/>
        <v>0</v>
      </c>
      <c r="S415" s="32">
        <f t="shared" si="225"/>
        <v>462210</v>
      </c>
    </row>
    <row r="416" spans="2:19" x14ac:dyDescent="0.2">
      <c r="B416" s="7">
        <f t="shared" si="227"/>
        <v>40</v>
      </c>
      <c r="C416" s="13"/>
      <c r="D416" s="13"/>
      <c r="E416" s="13"/>
      <c r="F416" s="14" t="s">
        <v>216</v>
      </c>
      <c r="G416" s="15">
        <v>630</v>
      </c>
      <c r="H416" s="13" t="s">
        <v>119</v>
      </c>
      <c r="I416" s="16">
        <f>SUM(I417:I419)</f>
        <v>461710</v>
      </c>
      <c r="J416" s="16">
        <f t="shared" ref="J416" si="229">SUM(J417:J419)</f>
        <v>0</v>
      </c>
      <c r="K416" s="16">
        <f t="shared" si="203"/>
        <v>461710</v>
      </c>
      <c r="L416" s="16"/>
      <c r="M416" s="17"/>
      <c r="N416" s="17"/>
      <c r="O416" s="17">
        <f t="shared" si="205"/>
        <v>0</v>
      </c>
      <c r="P416" s="17"/>
      <c r="Q416" s="18">
        <f t="shared" si="224"/>
        <v>461710</v>
      </c>
      <c r="R416" s="18">
        <f t="shared" si="225"/>
        <v>0</v>
      </c>
      <c r="S416" s="18">
        <f t="shared" si="225"/>
        <v>461710</v>
      </c>
    </row>
    <row r="417" spans="2:19" x14ac:dyDescent="0.2">
      <c r="B417" s="7">
        <f t="shared" si="227"/>
        <v>41</v>
      </c>
      <c r="C417" s="19"/>
      <c r="D417" s="19"/>
      <c r="E417" s="19"/>
      <c r="F417" s="20"/>
      <c r="G417" s="21">
        <v>633</v>
      </c>
      <c r="H417" s="19" t="s">
        <v>123</v>
      </c>
      <c r="I417" s="22">
        <f>8000-500</f>
        <v>7500</v>
      </c>
      <c r="J417" s="22"/>
      <c r="K417" s="22">
        <f t="shared" si="203"/>
        <v>7500</v>
      </c>
      <c r="L417" s="22"/>
      <c r="M417" s="22"/>
      <c r="N417" s="22"/>
      <c r="O417" s="22">
        <f t="shared" si="205"/>
        <v>0</v>
      </c>
      <c r="P417" s="22"/>
      <c r="Q417" s="23">
        <f t="shared" si="224"/>
        <v>7500</v>
      </c>
      <c r="R417" s="23">
        <f t="shared" si="225"/>
        <v>0</v>
      </c>
      <c r="S417" s="23">
        <f t="shared" si="225"/>
        <v>7500</v>
      </c>
    </row>
    <row r="418" spans="2:19" x14ac:dyDescent="0.2">
      <c r="B418" s="7">
        <f t="shared" si="227"/>
        <v>42</v>
      </c>
      <c r="C418" s="19"/>
      <c r="D418" s="19"/>
      <c r="E418" s="19"/>
      <c r="F418" s="20"/>
      <c r="G418" s="21">
        <v>635</v>
      </c>
      <c r="H418" s="19" t="s">
        <v>130</v>
      </c>
      <c r="I418" s="22">
        <v>208500</v>
      </c>
      <c r="J418" s="22"/>
      <c r="K418" s="22">
        <f t="shared" si="203"/>
        <v>208500</v>
      </c>
      <c r="L418" s="22"/>
      <c r="M418" s="22"/>
      <c r="N418" s="22"/>
      <c r="O418" s="22">
        <f t="shared" si="205"/>
        <v>0</v>
      </c>
      <c r="P418" s="22"/>
      <c r="Q418" s="23">
        <f t="shared" si="224"/>
        <v>208500</v>
      </c>
      <c r="R418" s="23">
        <f t="shared" si="225"/>
        <v>0</v>
      </c>
      <c r="S418" s="23">
        <f t="shared" si="225"/>
        <v>208500</v>
      </c>
    </row>
    <row r="419" spans="2:19" x14ac:dyDescent="0.2">
      <c r="B419" s="7">
        <f t="shared" si="227"/>
        <v>43</v>
      </c>
      <c r="C419" s="19"/>
      <c r="D419" s="19"/>
      <c r="E419" s="19"/>
      <c r="F419" s="20"/>
      <c r="G419" s="21">
        <v>637</v>
      </c>
      <c r="H419" s="19" t="s">
        <v>120</v>
      </c>
      <c r="I419" s="22">
        <v>245710</v>
      </c>
      <c r="J419" s="22"/>
      <c r="K419" s="22">
        <f t="shared" si="203"/>
        <v>245710</v>
      </c>
      <c r="L419" s="22"/>
      <c r="M419" s="22"/>
      <c r="N419" s="22"/>
      <c r="O419" s="22">
        <f t="shared" si="205"/>
        <v>0</v>
      </c>
      <c r="P419" s="22"/>
      <c r="Q419" s="23">
        <f t="shared" si="224"/>
        <v>245710</v>
      </c>
      <c r="R419" s="23">
        <f t="shared" si="225"/>
        <v>0</v>
      </c>
      <c r="S419" s="23">
        <f t="shared" si="225"/>
        <v>245710</v>
      </c>
    </row>
    <row r="420" spans="2:19" x14ac:dyDescent="0.2">
      <c r="B420" s="7">
        <f t="shared" si="227"/>
        <v>44</v>
      </c>
      <c r="C420" s="19"/>
      <c r="D420" s="19"/>
      <c r="E420" s="19"/>
      <c r="F420" s="14" t="s">
        <v>216</v>
      </c>
      <c r="G420" s="15">
        <v>640</v>
      </c>
      <c r="H420" s="13" t="s">
        <v>127</v>
      </c>
      <c r="I420" s="16">
        <v>500</v>
      </c>
      <c r="J420" s="16"/>
      <c r="K420" s="16">
        <f t="shared" si="203"/>
        <v>500</v>
      </c>
      <c r="L420" s="16"/>
      <c r="M420" s="16"/>
      <c r="N420" s="16"/>
      <c r="O420" s="16">
        <f t="shared" si="205"/>
        <v>0</v>
      </c>
      <c r="P420" s="16"/>
      <c r="Q420" s="18">
        <f t="shared" si="224"/>
        <v>500</v>
      </c>
      <c r="R420" s="18">
        <f t="shared" ref="R420:S435" si="230">N420+J420</f>
        <v>0</v>
      </c>
      <c r="S420" s="18">
        <f t="shared" si="230"/>
        <v>500</v>
      </c>
    </row>
    <row r="421" spans="2:19" ht="15" x14ac:dyDescent="0.2">
      <c r="B421" s="7">
        <f t="shared" si="227"/>
        <v>45</v>
      </c>
      <c r="C421" s="10">
        <v>3</v>
      </c>
      <c r="D421" s="420" t="s">
        <v>222</v>
      </c>
      <c r="E421" s="421"/>
      <c r="F421" s="421"/>
      <c r="G421" s="421"/>
      <c r="H421" s="421"/>
      <c r="I421" s="11"/>
      <c r="J421" s="11"/>
      <c r="K421" s="11">
        <f t="shared" si="203"/>
        <v>0</v>
      </c>
      <c r="L421" s="320"/>
      <c r="M421" s="11">
        <f>M422</f>
        <v>12771765</v>
      </c>
      <c r="N421" s="11">
        <f t="shared" ref="N421" si="231">N422</f>
        <v>0</v>
      </c>
      <c r="O421" s="11">
        <f t="shared" si="205"/>
        <v>12771765</v>
      </c>
      <c r="P421" s="320"/>
      <c r="Q421" s="35">
        <f t="shared" si="224"/>
        <v>12771765</v>
      </c>
      <c r="R421" s="35">
        <f t="shared" si="230"/>
        <v>0</v>
      </c>
      <c r="S421" s="35">
        <f t="shared" si="230"/>
        <v>12771765</v>
      </c>
    </row>
    <row r="422" spans="2:19" x14ac:dyDescent="0.2">
      <c r="B422" s="7">
        <f t="shared" si="227"/>
        <v>46</v>
      </c>
      <c r="C422" s="13"/>
      <c r="D422" s="13"/>
      <c r="E422" s="13"/>
      <c r="F422" s="14" t="s">
        <v>216</v>
      </c>
      <c r="G422" s="15">
        <v>710</v>
      </c>
      <c r="H422" s="13" t="s">
        <v>171</v>
      </c>
      <c r="I422" s="16"/>
      <c r="J422" s="16"/>
      <c r="K422" s="16"/>
      <c r="L422" s="16"/>
      <c r="M422" s="16">
        <f>M423+M458</f>
        <v>12771765</v>
      </c>
      <c r="N422" s="16">
        <f>N423+N458</f>
        <v>0</v>
      </c>
      <c r="O422" s="16">
        <f t="shared" si="205"/>
        <v>12771765</v>
      </c>
      <c r="P422" s="16"/>
      <c r="Q422" s="18">
        <f t="shared" si="224"/>
        <v>12771765</v>
      </c>
      <c r="R422" s="18">
        <f t="shared" si="230"/>
        <v>0</v>
      </c>
      <c r="S422" s="18">
        <f t="shared" si="230"/>
        <v>12771765</v>
      </c>
    </row>
    <row r="423" spans="2:19" x14ac:dyDescent="0.2">
      <c r="B423" s="7">
        <f t="shared" si="227"/>
        <v>47</v>
      </c>
      <c r="C423" s="114"/>
      <c r="D423" s="114"/>
      <c r="E423" s="114"/>
      <c r="F423" s="115"/>
      <c r="G423" s="116">
        <v>716</v>
      </c>
      <c r="H423" s="114" t="s">
        <v>211</v>
      </c>
      <c r="I423" s="117"/>
      <c r="J423" s="117"/>
      <c r="K423" s="117"/>
      <c r="L423" s="22"/>
      <c r="M423" s="117">
        <f>SUM(M424:M457)</f>
        <v>7615508</v>
      </c>
      <c r="N423" s="117">
        <f>SUM(N424:N457)</f>
        <v>0</v>
      </c>
      <c r="O423" s="117">
        <f t="shared" si="205"/>
        <v>7615508</v>
      </c>
      <c r="P423" s="22"/>
      <c r="Q423" s="118">
        <f t="shared" si="224"/>
        <v>7615508</v>
      </c>
      <c r="R423" s="118">
        <f t="shared" si="230"/>
        <v>0</v>
      </c>
      <c r="S423" s="118">
        <f t="shared" si="230"/>
        <v>7615508</v>
      </c>
    </row>
    <row r="424" spans="2:19" ht="36" x14ac:dyDescent="0.2">
      <c r="B424" s="7">
        <f t="shared" si="227"/>
        <v>48</v>
      </c>
      <c r="C424" s="36"/>
      <c r="D424" s="36"/>
      <c r="E424" s="36"/>
      <c r="F424" s="37"/>
      <c r="G424" s="37"/>
      <c r="H424" s="38" t="s">
        <v>477</v>
      </c>
      <c r="I424" s="39"/>
      <c r="J424" s="39"/>
      <c r="K424" s="39"/>
      <c r="L424" s="39"/>
      <c r="M424" s="39">
        <v>20000</v>
      </c>
      <c r="N424" s="39"/>
      <c r="O424" s="39">
        <f t="shared" si="205"/>
        <v>20000</v>
      </c>
      <c r="P424" s="39"/>
      <c r="Q424" s="41">
        <f t="shared" si="224"/>
        <v>20000</v>
      </c>
      <c r="R424" s="41">
        <f t="shared" si="230"/>
        <v>0</v>
      </c>
      <c r="S424" s="41">
        <f t="shared" si="230"/>
        <v>20000</v>
      </c>
    </row>
    <row r="425" spans="2:19" x14ac:dyDescent="0.2">
      <c r="B425" s="7">
        <f t="shared" si="227"/>
        <v>49</v>
      </c>
      <c r="C425" s="24"/>
      <c r="D425" s="24"/>
      <c r="E425" s="24"/>
      <c r="F425" s="25"/>
      <c r="G425" s="25"/>
      <c r="H425" s="43" t="s">
        <v>440</v>
      </c>
      <c r="I425" s="26"/>
      <c r="J425" s="26"/>
      <c r="K425" s="26"/>
      <c r="L425" s="26"/>
      <c r="M425" s="26">
        <v>9750</v>
      </c>
      <c r="N425" s="26"/>
      <c r="O425" s="26">
        <f t="shared" si="205"/>
        <v>9750</v>
      </c>
      <c r="P425" s="26"/>
      <c r="Q425" s="28">
        <f t="shared" si="224"/>
        <v>9750</v>
      </c>
      <c r="R425" s="28">
        <f t="shared" si="230"/>
        <v>0</v>
      </c>
      <c r="S425" s="28">
        <f t="shared" si="230"/>
        <v>9750</v>
      </c>
    </row>
    <row r="426" spans="2:19" x14ac:dyDescent="0.2">
      <c r="B426" s="7">
        <f t="shared" si="227"/>
        <v>50</v>
      </c>
      <c r="C426" s="24"/>
      <c r="D426" s="24"/>
      <c r="E426" s="24"/>
      <c r="F426" s="25"/>
      <c r="G426" s="25"/>
      <c r="H426" s="43" t="s">
        <v>340</v>
      </c>
      <c r="I426" s="26"/>
      <c r="J426" s="26"/>
      <c r="K426" s="26"/>
      <c r="L426" s="26"/>
      <c r="M426" s="26">
        <v>64500</v>
      </c>
      <c r="N426" s="26"/>
      <c r="O426" s="26">
        <f t="shared" si="205"/>
        <v>64500</v>
      </c>
      <c r="P426" s="26"/>
      <c r="Q426" s="28">
        <f t="shared" si="224"/>
        <v>64500</v>
      </c>
      <c r="R426" s="28">
        <f t="shared" si="230"/>
        <v>0</v>
      </c>
      <c r="S426" s="28">
        <f t="shared" si="230"/>
        <v>64500</v>
      </c>
    </row>
    <row r="427" spans="2:19" x14ac:dyDescent="0.2">
      <c r="B427" s="7">
        <f t="shared" si="227"/>
        <v>51</v>
      </c>
      <c r="C427" s="24"/>
      <c r="D427" s="24"/>
      <c r="E427" s="24"/>
      <c r="F427" s="25"/>
      <c r="G427" s="25"/>
      <c r="H427" s="43" t="s">
        <v>644</v>
      </c>
      <c r="I427" s="26"/>
      <c r="J427" s="26"/>
      <c r="K427" s="26"/>
      <c r="L427" s="26"/>
      <c r="M427" s="26">
        <f>6400+4000</f>
        <v>10400</v>
      </c>
      <c r="N427" s="26"/>
      <c r="O427" s="26">
        <f t="shared" si="205"/>
        <v>10400</v>
      </c>
      <c r="P427" s="26"/>
      <c r="Q427" s="28">
        <f t="shared" si="224"/>
        <v>10400</v>
      </c>
      <c r="R427" s="28">
        <f t="shared" si="230"/>
        <v>0</v>
      </c>
      <c r="S427" s="28">
        <f t="shared" si="230"/>
        <v>10400</v>
      </c>
    </row>
    <row r="428" spans="2:19" x14ac:dyDescent="0.2">
      <c r="B428" s="7">
        <f t="shared" si="227"/>
        <v>52</v>
      </c>
      <c r="C428" s="24"/>
      <c r="D428" s="24"/>
      <c r="E428" s="24"/>
      <c r="F428" s="25"/>
      <c r="G428" s="25"/>
      <c r="H428" s="43" t="s">
        <v>386</v>
      </c>
      <c r="I428" s="26"/>
      <c r="J428" s="26"/>
      <c r="K428" s="26"/>
      <c r="L428" s="26"/>
      <c r="M428" s="26">
        <v>1245</v>
      </c>
      <c r="N428" s="26"/>
      <c r="O428" s="26">
        <f t="shared" si="205"/>
        <v>1245</v>
      </c>
      <c r="P428" s="26"/>
      <c r="Q428" s="28">
        <f t="shared" si="224"/>
        <v>1245</v>
      </c>
      <c r="R428" s="28">
        <f t="shared" si="230"/>
        <v>0</v>
      </c>
      <c r="S428" s="28">
        <f t="shared" si="230"/>
        <v>1245</v>
      </c>
    </row>
    <row r="429" spans="2:19" ht="24" x14ac:dyDescent="0.2">
      <c r="B429" s="7">
        <f t="shared" si="227"/>
        <v>53</v>
      </c>
      <c r="C429" s="24"/>
      <c r="D429" s="24"/>
      <c r="E429" s="24"/>
      <c r="F429" s="25"/>
      <c r="G429" s="25"/>
      <c r="H429" s="43" t="s">
        <v>589</v>
      </c>
      <c r="I429" s="26"/>
      <c r="J429" s="26"/>
      <c r="K429" s="26"/>
      <c r="L429" s="26"/>
      <c r="M429" s="26">
        <v>5000</v>
      </c>
      <c r="N429" s="26"/>
      <c r="O429" s="26">
        <f t="shared" si="205"/>
        <v>5000</v>
      </c>
      <c r="P429" s="26"/>
      <c r="Q429" s="28">
        <f t="shared" si="224"/>
        <v>5000</v>
      </c>
      <c r="R429" s="28">
        <f t="shared" si="230"/>
        <v>0</v>
      </c>
      <c r="S429" s="28">
        <f t="shared" si="230"/>
        <v>5000</v>
      </c>
    </row>
    <row r="430" spans="2:19" ht="24" x14ac:dyDescent="0.2">
      <c r="B430" s="7">
        <f t="shared" si="227"/>
        <v>54</v>
      </c>
      <c r="C430" s="24"/>
      <c r="D430" s="24"/>
      <c r="E430" s="24"/>
      <c r="F430" s="25"/>
      <c r="G430" s="25"/>
      <c r="H430" s="43" t="s">
        <v>387</v>
      </c>
      <c r="I430" s="26"/>
      <c r="J430" s="26"/>
      <c r="K430" s="26"/>
      <c r="L430" s="26"/>
      <c r="M430" s="26">
        <v>100000</v>
      </c>
      <c r="N430" s="26"/>
      <c r="O430" s="26">
        <f t="shared" si="205"/>
        <v>100000</v>
      </c>
      <c r="P430" s="26"/>
      <c r="Q430" s="28">
        <f t="shared" si="224"/>
        <v>100000</v>
      </c>
      <c r="R430" s="28">
        <f t="shared" si="230"/>
        <v>0</v>
      </c>
      <c r="S430" s="28">
        <f t="shared" si="230"/>
        <v>100000</v>
      </c>
    </row>
    <row r="431" spans="2:19" x14ac:dyDescent="0.2">
      <c r="B431" s="7">
        <f t="shared" si="227"/>
        <v>55</v>
      </c>
      <c r="C431" s="24"/>
      <c r="D431" s="24"/>
      <c r="E431" s="24"/>
      <c r="F431" s="25"/>
      <c r="G431" s="25"/>
      <c r="H431" s="43" t="s">
        <v>704</v>
      </c>
      <c r="I431" s="26"/>
      <c r="J431" s="26"/>
      <c r="K431" s="26"/>
      <c r="L431" s="26"/>
      <c r="M431" s="26">
        <f>70000+15000+40000</f>
        <v>125000</v>
      </c>
      <c r="N431" s="26"/>
      <c r="O431" s="26">
        <f t="shared" si="205"/>
        <v>125000</v>
      </c>
      <c r="P431" s="26"/>
      <c r="Q431" s="28">
        <f t="shared" si="224"/>
        <v>125000</v>
      </c>
      <c r="R431" s="28">
        <f t="shared" si="230"/>
        <v>0</v>
      </c>
      <c r="S431" s="28">
        <f t="shared" si="230"/>
        <v>125000</v>
      </c>
    </row>
    <row r="432" spans="2:19" x14ac:dyDescent="0.2">
      <c r="B432" s="7"/>
      <c r="C432" s="24"/>
      <c r="D432" s="24"/>
      <c r="E432" s="24"/>
      <c r="F432" s="25"/>
      <c r="G432" s="25"/>
      <c r="H432" s="43" t="s">
        <v>721</v>
      </c>
      <c r="I432" s="26"/>
      <c r="J432" s="26"/>
      <c r="K432" s="26"/>
      <c r="L432" s="26"/>
      <c r="M432" s="26">
        <v>9000</v>
      </c>
      <c r="N432" s="26"/>
      <c r="O432" s="26">
        <f t="shared" si="205"/>
        <v>9000</v>
      </c>
      <c r="P432" s="26"/>
      <c r="Q432" s="28">
        <f t="shared" si="224"/>
        <v>9000</v>
      </c>
      <c r="R432" s="28">
        <f t="shared" si="230"/>
        <v>0</v>
      </c>
      <c r="S432" s="28">
        <f t="shared" si="230"/>
        <v>9000</v>
      </c>
    </row>
    <row r="433" spans="2:19" x14ac:dyDescent="0.2">
      <c r="B433" s="7">
        <f>B431+1</f>
        <v>56</v>
      </c>
      <c r="C433" s="24"/>
      <c r="D433" s="24"/>
      <c r="E433" s="24"/>
      <c r="F433" s="25"/>
      <c r="G433" s="25"/>
      <c r="H433" s="43" t="s">
        <v>376</v>
      </c>
      <c r="I433" s="26"/>
      <c r="J433" s="26"/>
      <c r="K433" s="26"/>
      <c r="L433" s="26"/>
      <c r="M433" s="26">
        <v>391000</v>
      </c>
      <c r="N433" s="26"/>
      <c r="O433" s="26">
        <f t="shared" si="205"/>
        <v>391000</v>
      </c>
      <c r="P433" s="26"/>
      <c r="Q433" s="28">
        <f t="shared" si="224"/>
        <v>391000</v>
      </c>
      <c r="R433" s="28">
        <f t="shared" si="230"/>
        <v>0</v>
      </c>
      <c r="S433" s="28">
        <f t="shared" si="230"/>
        <v>391000</v>
      </c>
    </row>
    <row r="434" spans="2:19" x14ac:dyDescent="0.2">
      <c r="B434" s="7">
        <f t="shared" ref="B434:B439" si="232">B433+1</f>
        <v>57</v>
      </c>
      <c r="C434" s="24"/>
      <c r="D434" s="24"/>
      <c r="E434" s="24"/>
      <c r="F434" s="25"/>
      <c r="G434" s="25"/>
      <c r="H434" s="43" t="s">
        <v>370</v>
      </c>
      <c r="I434" s="26"/>
      <c r="J434" s="26"/>
      <c r="K434" s="26"/>
      <c r="L434" s="26"/>
      <c r="M434" s="26">
        <f>49000+1000+7000</f>
        <v>57000</v>
      </c>
      <c r="N434" s="26"/>
      <c r="O434" s="26">
        <f t="shared" si="205"/>
        <v>57000</v>
      </c>
      <c r="P434" s="26"/>
      <c r="Q434" s="28">
        <f t="shared" si="224"/>
        <v>57000</v>
      </c>
      <c r="R434" s="28">
        <f t="shared" si="230"/>
        <v>0</v>
      </c>
      <c r="S434" s="28">
        <f t="shared" si="230"/>
        <v>57000</v>
      </c>
    </row>
    <row r="435" spans="2:19" x14ac:dyDescent="0.2">
      <c r="B435" s="7">
        <f t="shared" si="232"/>
        <v>58</v>
      </c>
      <c r="C435" s="24"/>
      <c r="D435" s="24"/>
      <c r="E435" s="24"/>
      <c r="F435" s="25"/>
      <c r="G435" s="25"/>
      <c r="H435" s="43" t="s">
        <v>684</v>
      </c>
      <c r="I435" s="26"/>
      <c r="J435" s="26"/>
      <c r="K435" s="26"/>
      <c r="L435" s="26"/>
      <c r="M435" s="26">
        <v>25200</v>
      </c>
      <c r="N435" s="26"/>
      <c r="O435" s="26">
        <f t="shared" si="205"/>
        <v>25200</v>
      </c>
      <c r="P435" s="26"/>
      <c r="Q435" s="28">
        <f t="shared" si="224"/>
        <v>25200</v>
      </c>
      <c r="R435" s="28">
        <f t="shared" si="230"/>
        <v>0</v>
      </c>
      <c r="S435" s="28">
        <f t="shared" si="230"/>
        <v>25200</v>
      </c>
    </row>
    <row r="436" spans="2:19" x14ac:dyDescent="0.2">
      <c r="B436" s="7">
        <f t="shared" si="232"/>
        <v>59</v>
      </c>
      <c r="C436" s="24"/>
      <c r="D436" s="24"/>
      <c r="E436" s="24"/>
      <c r="F436" s="25"/>
      <c r="G436" s="25"/>
      <c r="H436" s="43" t="s">
        <v>585</v>
      </c>
      <c r="I436" s="26"/>
      <c r="J436" s="26"/>
      <c r="K436" s="26"/>
      <c r="L436" s="26"/>
      <c r="M436" s="26">
        <f>2000+300</f>
        <v>2300</v>
      </c>
      <c r="N436" s="26"/>
      <c r="O436" s="26">
        <f t="shared" si="205"/>
        <v>2300</v>
      </c>
      <c r="P436" s="26"/>
      <c r="Q436" s="28">
        <f t="shared" ref="Q436:Q467" si="233">M436+I436</f>
        <v>2300</v>
      </c>
      <c r="R436" s="28">
        <f t="shared" ref="R436:S451" si="234">N436+J436</f>
        <v>0</v>
      </c>
      <c r="S436" s="28">
        <f t="shared" si="234"/>
        <v>2300</v>
      </c>
    </row>
    <row r="437" spans="2:19" x14ac:dyDescent="0.2">
      <c r="B437" s="7">
        <f t="shared" si="232"/>
        <v>60</v>
      </c>
      <c r="C437" s="24"/>
      <c r="D437" s="24"/>
      <c r="E437" s="24"/>
      <c r="F437" s="25"/>
      <c r="G437" s="25"/>
      <c r="H437" s="43" t="s">
        <v>441</v>
      </c>
      <c r="I437" s="26"/>
      <c r="J437" s="26"/>
      <c r="K437" s="26"/>
      <c r="L437" s="26"/>
      <c r="M437" s="26">
        <v>29472</v>
      </c>
      <c r="N437" s="26"/>
      <c r="O437" s="26">
        <f t="shared" si="205"/>
        <v>29472</v>
      </c>
      <c r="P437" s="26"/>
      <c r="Q437" s="28">
        <f t="shared" si="233"/>
        <v>29472</v>
      </c>
      <c r="R437" s="28">
        <f t="shared" si="234"/>
        <v>0</v>
      </c>
      <c r="S437" s="28">
        <f t="shared" si="234"/>
        <v>29472</v>
      </c>
    </row>
    <row r="438" spans="2:19" x14ac:dyDescent="0.2">
      <c r="B438" s="7">
        <f t="shared" si="232"/>
        <v>61</v>
      </c>
      <c r="C438" s="24"/>
      <c r="D438" s="24"/>
      <c r="E438" s="24"/>
      <c r="F438" s="25"/>
      <c r="G438" s="25"/>
      <c r="H438" s="43" t="s">
        <v>584</v>
      </c>
      <c r="I438" s="26"/>
      <c r="J438" s="26"/>
      <c r="K438" s="26"/>
      <c r="L438" s="26"/>
      <c r="M438" s="26">
        <v>3000</v>
      </c>
      <c r="N438" s="26"/>
      <c r="O438" s="26">
        <f t="shared" si="205"/>
        <v>3000</v>
      </c>
      <c r="P438" s="26"/>
      <c r="Q438" s="28">
        <f t="shared" si="233"/>
        <v>3000</v>
      </c>
      <c r="R438" s="28">
        <f t="shared" si="234"/>
        <v>0</v>
      </c>
      <c r="S438" s="28">
        <f t="shared" si="234"/>
        <v>3000</v>
      </c>
    </row>
    <row r="439" spans="2:19" ht="24" x14ac:dyDescent="0.2">
      <c r="B439" s="7">
        <f t="shared" si="232"/>
        <v>62</v>
      </c>
      <c r="C439" s="24"/>
      <c r="D439" s="24"/>
      <c r="E439" s="24"/>
      <c r="F439" s="25"/>
      <c r="G439" s="25"/>
      <c r="H439" s="43" t="s">
        <v>519</v>
      </c>
      <c r="I439" s="26"/>
      <c r="J439" s="26"/>
      <c r="K439" s="26"/>
      <c r="L439" s="26"/>
      <c r="M439" s="26">
        <f>83463+3770</f>
        <v>87233</v>
      </c>
      <c r="N439" s="26"/>
      <c r="O439" s="26">
        <f t="shared" si="205"/>
        <v>87233</v>
      </c>
      <c r="P439" s="26"/>
      <c r="Q439" s="28">
        <f t="shared" si="233"/>
        <v>87233</v>
      </c>
      <c r="R439" s="28">
        <f t="shared" si="234"/>
        <v>0</v>
      </c>
      <c r="S439" s="28">
        <f t="shared" si="234"/>
        <v>87233</v>
      </c>
    </row>
    <row r="440" spans="2:19" ht="24" x14ac:dyDescent="0.2">
      <c r="B440" s="7">
        <f t="shared" ref="B440:B451" si="235">B439+1</f>
        <v>63</v>
      </c>
      <c r="C440" s="24"/>
      <c r="D440" s="24"/>
      <c r="E440" s="24"/>
      <c r="F440" s="25"/>
      <c r="G440" s="25"/>
      <c r="H440" s="361" t="s">
        <v>538</v>
      </c>
      <c r="I440" s="26"/>
      <c r="J440" s="26"/>
      <c r="K440" s="26"/>
      <c r="L440" s="26"/>
      <c r="M440" s="26">
        <v>6500000</v>
      </c>
      <c r="N440" s="26"/>
      <c r="O440" s="26">
        <f t="shared" si="205"/>
        <v>6500000</v>
      </c>
      <c r="P440" s="26"/>
      <c r="Q440" s="28">
        <f t="shared" si="233"/>
        <v>6500000</v>
      </c>
      <c r="R440" s="28">
        <f t="shared" si="234"/>
        <v>0</v>
      </c>
      <c r="S440" s="28">
        <f t="shared" si="234"/>
        <v>6500000</v>
      </c>
    </row>
    <row r="441" spans="2:19" x14ac:dyDescent="0.2">
      <c r="B441" s="7">
        <f t="shared" si="235"/>
        <v>64</v>
      </c>
      <c r="C441" s="24"/>
      <c r="D441" s="24"/>
      <c r="E441" s="24"/>
      <c r="F441" s="25"/>
      <c r="G441" s="25"/>
      <c r="H441" s="43" t="s">
        <v>388</v>
      </c>
      <c r="I441" s="26"/>
      <c r="J441" s="26"/>
      <c r="K441" s="26"/>
      <c r="L441" s="26"/>
      <c r="M441" s="26">
        <v>7900</v>
      </c>
      <c r="N441" s="26"/>
      <c r="O441" s="26">
        <f t="shared" si="205"/>
        <v>7900</v>
      </c>
      <c r="P441" s="26"/>
      <c r="Q441" s="28">
        <f t="shared" si="233"/>
        <v>7900</v>
      </c>
      <c r="R441" s="28">
        <f t="shared" si="234"/>
        <v>0</v>
      </c>
      <c r="S441" s="28">
        <f t="shared" si="234"/>
        <v>7900</v>
      </c>
    </row>
    <row r="442" spans="2:19" x14ac:dyDescent="0.2">
      <c r="B442" s="7">
        <f t="shared" si="235"/>
        <v>65</v>
      </c>
      <c r="C442" s="24"/>
      <c r="D442" s="24"/>
      <c r="E442" s="24"/>
      <c r="F442" s="25"/>
      <c r="G442" s="25"/>
      <c r="H442" s="43" t="s">
        <v>389</v>
      </c>
      <c r="I442" s="26"/>
      <c r="J442" s="26"/>
      <c r="K442" s="26"/>
      <c r="L442" s="26"/>
      <c r="M442" s="26">
        <v>7900</v>
      </c>
      <c r="N442" s="26"/>
      <c r="O442" s="26">
        <f t="shared" ref="O442:O498" si="236">M442+N442</f>
        <v>7900</v>
      </c>
      <c r="P442" s="26"/>
      <c r="Q442" s="28">
        <f t="shared" si="233"/>
        <v>7900</v>
      </c>
      <c r="R442" s="28">
        <f t="shared" si="234"/>
        <v>0</v>
      </c>
      <c r="S442" s="28">
        <f t="shared" si="234"/>
        <v>7900</v>
      </c>
    </row>
    <row r="443" spans="2:19" x14ac:dyDescent="0.2">
      <c r="B443" s="7">
        <f t="shared" si="235"/>
        <v>66</v>
      </c>
      <c r="C443" s="24"/>
      <c r="D443" s="24"/>
      <c r="E443" s="24"/>
      <c r="F443" s="25"/>
      <c r="G443" s="25"/>
      <c r="H443" s="43" t="s">
        <v>390</v>
      </c>
      <c r="I443" s="26"/>
      <c r="J443" s="26"/>
      <c r="K443" s="26"/>
      <c r="L443" s="26"/>
      <c r="M443" s="26">
        <v>7900</v>
      </c>
      <c r="N443" s="26"/>
      <c r="O443" s="26">
        <f t="shared" si="236"/>
        <v>7900</v>
      </c>
      <c r="P443" s="26"/>
      <c r="Q443" s="28">
        <f t="shared" si="233"/>
        <v>7900</v>
      </c>
      <c r="R443" s="28">
        <f t="shared" si="234"/>
        <v>0</v>
      </c>
      <c r="S443" s="28">
        <f t="shared" si="234"/>
        <v>7900</v>
      </c>
    </row>
    <row r="444" spans="2:19" x14ac:dyDescent="0.2">
      <c r="B444" s="7">
        <f t="shared" si="235"/>
        <v>67</v>
      </c>
      <c r="C444" s="24"/>
      <c r="D444" s="24"/>
      <c r="E444" s="24"/>
      <c r="F444" s="25"/>
      <c r="G444" s="25"/>
      <c r="H444" s="43" t="s">
        <v>391</v>
      </c>
      <c r="I444" s="26"/>
      <c r="J444" s="26"/>
      <c r="K444" s="26"/>
      <c r="L444" s="26"/>
      <c r="M444" s="26">
        <v>10000</v>
      </c>
      <c r="N444" s="26"/>
      <c r="O444" s="26">
        <f t="shared" si="236"/>
        <v>10000</v>
      </c>
      <c r="P444" s="26"/>
      <c r="Q444" s="28">
        <f t="shared" si="233"/>
        <v>10000</v>
      </c>
      <c r="R444" s="28">
        <f t="shared" si="234"/>
        <v>0</v>
      </c>
      <c r="S444" s="28">
        <f t="shared" si="234"/>
        <v>10000</v>
      </c>
    </row>
    <row r="445" spans="2:19" x14ac:dyDescent="0.2">
      <c r="B445" s="7">
        <f t="shared" si="235"/>
        <v>68</v>
      </c>
      <c r="C445" s="24"/>
      <c r="D445" s="24"/>
      <c r="E445" s="24"/>
      <c r="F445" s="25"/>
      <c r="G445" s="25"/>
      <c r="H445" s="43" t="s">
        <v>596</v>
      </c>
      <c r="I445" s="26"/>
      <c r="J445" s="26"/>
      <c r="K445" s="26"/>
      <c r="L445" s="26"/>
      <c r="M445" s="26">
        <v>4600</v>
      </c>
      <c r="N445" s="26"/>
      <c r="O445" s="26">
        <f t="shared" si="236"/>
        <v>4600</v>
      </c>
      <c r="P445" s="26"/>
      <c r="Q445" s="28">
        <f t="shared" si="233"/>
        <v>4600</v>
      </c>
      <c r="R445" s="28">
        <f t="shared" si="234"/>
        <v>0</v>
      </c>
      <c r="S445" s="28">
        <f t="shared" si="234"/>
        <v>4600</v>
      </c>
    </row>
    <row r="446" spans="2:19" x14ac:dyDescent="0.2">
      <c r="B446" s="7">
        <f t="shared" si="235"/>
        <v>69</v>
      </c>
      <c r="C446" s="24"/>
      <c r="D446" s="24"/>
      <c r="E446" s="24"/>
      <c r="F446" s="25"/>
      <c r="G446" s="25"/>
      <c r="H446" s="43" t="s">
        <v>272</v>
      </c>
      <c r="I446" s="26"/>
      <c r="J446" s="26"/>
      <c r="K446" s="26"/>
      <c r="L446" s="26"/>
      <c r="M446" s="26">
        <f>8700+4500</f>
        <v>13200</v>
      </c>
      <c r="N446" s="26"/>
      <c r="O446" s="26">
        <f t="shared" si="236"/>
        <v>13200</v>
      </c>
      <c r="P446" s="26"/>
      <c r="Q446" s="28">
        <f t="shared" si="233"/>
        <v>13200</v>
      </c>
      <c r="R446" s="28">
        <f t="shared" si="234"/>
        <v>0</v>
      </c>
      <c r="S446" s="28">
        <f t="shared" si="234"/>
        <v>13200</v>
      </c>
    </row>
    <row r="447" spans="2:19" x14ac:dyDescent="0.2">
      <c r="B447" s="7">
        <f t="shared" si="235"/>
        <v>70</v>
      </c>
      <c r="C447" s="24"/>
      <c r="D447" s="24"/>
      <c r="E447" s="24"/>
      <c r="F447" s="25"/>
      <c r="G447" s="25"/>
      <c r="H447" s="43" t="s">
        <v>392</v>
      </c>
      <c r="I447" s="26"/>
      <c r="J447" s="26"/>
      <c r="K447" s="26"/>
      <c r="L447" s="26"/>
      <c r="M447" s="26">
        <v>11400</v>
      </c>
      <c r="N447" s="26"/>
      <c r="O447" s="26">
        <f t="shared" si="236"/>
        <v>11400</v>
      </c>
      <c r="P447" s="26"/>
      <c r="Q447" s="28">
        <f t="shared" si="233"/>
        <v>11400</v>
      </c>
      <c r="R447" s="28">
        <f t="shared" si="234"/>
        <v>0</v>
      </c>
      <c r="S447" s="28">
        <f t="shared" si="234"/>
        <v>11400</v>
      </c>
    </row>
    <row r="448" spans="2:19" ht="24" x14ac:dyDescent="0.2">
      <c r="B448" s="7">
        <f t="shared" si="235"/>
        <v>71</v>
      </c>
      <c r="C448" s="24"/>
      <c r="D448" s="24"/>
      <c r="E448" s="24"/>
      <c r="F448" s="25"/>
      <c r="G448" s="25"/>
      <c r="H448" s="43" t="s">
        <v>288</v>
      </c>
      <c r="I448" s="26"/>
      <c r="J448" s="26"/>
      <c r="K448" s="26"/>
      <c r="L448" s="26"/>
      <c r="M448" s="26">
        <v>8000</v>
      </c>
      <c r="N448" s="26"/>
      <c r="O448" s="26">
        <f t="shared" si="236"/>
        <v>8000</v>
      </c>
      <c r="P448" s="26"/>
      <c r="Q448" s="28">
        <f t="shared" si="233"/>
        <v>8000</v>
      </c>
      <c r="R448" s="28">
        <f t="shared" si="234"/>
        <v>0</v>
      </c>
      <c r="S448" s="28">
        <f t="shared" si="234"/>
        <v>8000</v>
      </c>
    </row>
    <row r="449" spans="2:19" x14ac:dyDescent="0.2">
      <c r="B449" s="7">
        <f t="shared" si="235"/>
        <v>72</v>
      </c>
      <c r="C449" s="24"/>
      <c r="D449" s="24"/>
      <c r="E449" s="24"/>
      <c r="F449" s="25"/>
      <c r="G449" s="25"/>
      <c r="H449" s="43" t="s">
        <v>591</v>
      </c>
      <c r="I449" s="26"/>
      <c r="J449" s="26"/>
      <c r="K449" s="26"/>
      <c r="L449" s="26"/>
      <c r="M449" s="26">
        <v>2000</v>
      </c>
      <c r="N449" s="26"/>
      <c r="O449" s="26">
        <f t="shared" si="236"/>
        <v>2000</v>
      </c>
      <c r="P449" s="26"/>
      <c r="Q449" s="28">
        <f t="shared" si="233"/>
        <v>2000</v>
      </c>
      <c r="R449" s="28">
        <f t="shared" si="234"/>
        <v>0</v>
      </c>
      <c r="S449" s="28">
        <f t="shared" si="234"/>
        <v>2000</v>
      </c>
    </row>
    <row r="450" spans="2:19" x14ac:dyDescent="0.2">
      <c r="B450" s="7">
        <f t="shared" si="235"/>
        <v>73</v>
      </c>
      <c r="C450" s="24"/>
      <c r="D450" s="24"/>
      <c r="E450" s="24"/>
      <c r="F450" s="25"/>
      <c r="G450" s="25"/>
      <c r="H450" s="43" t="s">
        <v>587</v>
      </c>
      <c r="I450" s="26"/>
      <c r="J450" s="26"/>
      <c r="K450" s="26"/>
      <c r="L450" s="26"/>
      <c r="M450" s="26">
        <v>15000</v>
      </c>
      <c r="N450" s="26"/>
      <c r="O450" s="26">
        <f t="shared" si="236"/>
        <v>15000</v>
      </c>
      <c r="P450" s="26"/>
      <c r="Q450" s="28">
        <f t="shared" si="233"/>
        <v>15000</v>
      </c>
      <c r="R450" s="28">
        <f t="shared" si="234"/>
        <v>0</v>
      </c>
      <c r="S450" s="28">
        <f t="shared" si="234"/>
        <v>15000</v>
      </c>
    </row>
    <row r="451" spans="2:19" x14ac:dyDescent="0.2">
      <c r="B451" s="7">
        <f t="shared" si="235"/>
        <v>74</v>
      </c>
      <c r="C451" s="24"/>
      <c r="D451" s="24"/>
      <c r="E451" s="24"/>
      <c r="F451" s="25"/>
      <c r="G451" s="25"/>
      <c r="H451" s="43" t="s">
        <v>583</v>
      </c>
      <c r="I451" s="26"/>
      <c r="J451" s="26"/>
      <c r="K451" s="26"/>
      <c r="L451" s="26"/>
      <c r="M451" s="26">
        <v>5000</v>
      </c>
      <c r="N451" s="26"/>
      <c r="O451" s="26">
        <f t="shared" si="236"/>
        <v>5000</v>
      </c>
      <c r="P451" s="26"/>
      <c r="Q451" s="28">
        <f t="shared" si="233"/>
        <v>5000</v>
      </c>
      <c r="R451" s="28">
        <f t="shared" si="234"/>
        <v>0</v>
      </c>
      <c r="S451" s="28">
        <f t="shared" si="234"/>
        <v>5000</v>
      </c>
    </row>
    <row r="452" spans="2:19" ht="24" x14ac:dyDescent="0.2">
      <c r="B452" s="7">
        <f t="shared" ref="B452:B460" si="237">B451+1</f>
        <v>75</v>
      </c>
      <c r="C452" s="24"/>
      <c r="D452" s="24"/>
      <c r="E452" s="24"/>
      <c r="F452" s="25"/>
      <c r="G452" s="25"/>
      <c r="H452" s="43" t="s">
        <v>588</v>
      </c>
      <c r="I452" s="26"/>
      <c r="J452" s="26"/>
      <c r="K452" s="26"/>
      <c r="L452" s="26"/>
      <c r="M452" s="26">
        <f>5000-300</f>
        <v>4700</v>
      </c>
      <c r="N452" s="26"/>
      <c r="O452" s="26">
        <f t="shared" si="236"/>
        <v>4700</v>
      </c>
      <c r="P452" s="26"/>
      <c r="Q452" s="28">
        <f t="shared" si="233"/>
        <v>4700</v>
      </c>
      <c r="R452" s="28">
        <f t="shared" ref="R452:S467" si="238">N452+J452</f>
        <v>0</v>
      </c>
      <c r="S452" s="28">
        <f t="shared" si="238"/>
        <v>4700</v>
      </c>
    </row>
    <row r="453" spans="2:19" ht="24" x14ac:dyDescent="0.2">
      <c r="B453" s="7">
        <f t="shared" si="237"/>
        <v>76</v>
      </c>
      <c r="C453" s="24"/>
      <c r="D453" s="24"/>
      <c r="E453" s="24"/>
      <c r="F453" s="25"/>
      <c r="G453" s="25"/>
      <c r="H453" s="43" t="s">
        <v>590</v>
      </c>
      <c r="I453" s="26"/>
      <c r="J453" s="26"/>
      <c r="K453" s="26"/>
      <c r="L453" s="26"/>
      <c r="M453" s="26">
        <v>5000</v>
      </c>
      <c r="N453" s="26"/>
      <c r="O453" s="26">
        <f t="shared" si="236"/>
        <v>5000</v>
      </c>
      <c r="P453" s="26"/>
      <c r="Q453" s="28">
        <f t="shared" si="233"/>
        <v>5000</v>
      </c>
      <c r="R453" s="28">
        <f t="shared" si="238"/>
        <v>0</v>
      </c>
      <c r="S453" s="28">
        <f t="shared" si="238"/>
        <v>5000</v>
      </c>
    </row>
    <row r="454" spans="2:19" ht="24" x14ac:dyDescent="0.2">
      <c r="B454" s="7">
        <f t="shared" si="237"/>
        <v>77</v>
      </c>
      <c r="C454" s="24"/>
      <c r="D454" s="24"/>
      <c r="E454" s="24"/>
      <c r="F454" s="25"/>
      <c r="G454" s="25"/>
      <c r="H454" s="43" t="s">
        <v>478</v>
      </c>
      <c r="I454" s="26"/>
      <c r="J454" s="26"/>
      <c r="K454" s="26"/>
      <c r="L454" s="26"/>
      <c r="M454" s="26">
        <v>3200</v>
      </c>
      <c r="N454" s="26"/>
      <c r="O454" s="26">
        <f t="shared" si="236"/>
        <v>3200</v>
      </c>
      <c r="P454" s="26"/>
      <c r="Q454" s="28">
        <f t="shared" si="233"/>
        <v>3200</v>
      </c>
      <c r="R454" s="28">
        <f t="shared" si="238"/>
        <v>0</v>
      </c>
      <c r="S454" s="28">
        <f t="shared" si="238"/>
        <v>3200</v>
      </c>
    </row>
    <row r="455" spans="2:19" x14ac:dyDescent="0.2">
      <c r="B455" s="7">
        <f t="shared" si="237"/>
        <v>78</v>
      </c>
      <c r="C455" s="24"/>
      <c r="D455" s="24"/>
      <c r="E455" s="24"/>
      <c r="F455" s="25"/>
      <c r="G455" s="25"/>
      <c r="H455" s="43" t="s">
        <v>286</v>
      </c>
      <c r="I455" s="26"/>
      <c r="J455" s="26"/>
      <c r="K455" s="26"/>
      <c r="L455" s="26"/>
      <c r="M455" s="26">
        <v>23021</v>
      </c>
      <c r="N455" s="26"/>
      <c r="O455" s="26">
        <f t="shared" si="236"/>
        <v>23021</v>
      </c>
      <c r="P455" s="26"/>
      <c r="Q455" s="28">
        <f t="shared" si="233"/>
        <v>23021</v>
      </c>
      <c r="R455" s="28">
        <f t="shared" si="238"/>
        <v>0</v>
      </c>
      <c r="S455" s="28">
        <f t="shared" si="238"/>
        <v>23021</v>
      </c>
    </row>
    <row r="456" spans="2:19" x14ac:dyDescent="0.2">
      <c r="B456" s="7">
        <f t="shared" si="237"/>
        <v>79</v>
      </c>
      <c r="C456" s="24"/>
      <c r="D456" s="24"/>
      <c r="E456" s="24"/>
      <c r="F456" s="25"/>
      <c r="G456" s="25"/>
      <c r="H456" s="43" t="s">
        <v>287</v>
      </c>
      <c r="I456" s="26"/>
      <c r="J456" s="26"/>
      <c r="K456" s="26"/>
      <c r="L456" s="26"/>
      <c r="M456" s="26">
        <v>26587</v>
      </c>
      <c r="N456" s="26"/>
      <c r="O456" s="26">
        <f t="shared" si="236"/>
        <v>26587</v>
      </c>
      <c r="P456" s="26"/>
      <c r="Q456" s="28">
        <f t="shared" si="233"/>
        <v>26587</v>
      </c>
      <c r="R456" s="28">
        <f t="shared" si="238"/>
        <v>0</v>
      </c>
      <c r="S456" s="28">
        <f t="shared" si="238"/>
        <v>26587</v>
      </c>
    </row>
    <row r="457" spans="2:19" ht="36" x14ac:dyDescent="0.2">
      <c r="B457" s="7">
        <f t="shared" si="237"/>
        <v>80</v>
      </c>
      <c r="C457" s="24"/>
      <c r="D457" s="24"/>
      <c r="E457" s="24"/>
      <c r="F457" s="25"/>
      <c r="G457" s="25"/>
      <c r="H457" s="43" t="s">
        <v>599</v>
      </c>
      <c r="I457" s="26"/>
      <c r="J457" s="26"/>
      <c r="K457" s="26"/>
      <c r="L457" s="26"/>
      <c r="M457" s="26">
        <v>20000</v>
      </c>
      <c r="N457" s="26"/>
      <c r="O457" s="26">
        <f t="shared" si="236"/>
        <v>20000</v>
      </c>
      <c r="P457" s="26"/>
      <c r="Q457" s="28">
        <f t="shared" si="233"/>
        <v>20000</v>
      </c>
      <c r="R457" s="28">
        <f t="shared" si="238"/>
        <v>0</v>
      </c>
      <c r="S457" s="28">
        <f t="shared" si="238"/>
        <v>20000</v>
      </c>
    </row>
    <row r="458" spans="2:19" ht="24" x14ac:dyDescent="0.2">
      <c r="B458" s="7">
        <f t="shared" si="237"/>
        <v>81</v>
      </c>
      <c r="C458" s="114"/>
      <c r="D458" s="114"/>
      <c r="E458" s="114"/>
      <c r="F458" s="115"/>
      <c r="G458" s="116">
        <v>717</v>
      </c>
      <c r="H458" s="362" t="s">
        <v>178</v>
      </c>
      <c r="I458" s="117"/>
      <c r="J458" s="117"/>
      <c r="K458" s="117"/>
      <c r="L458" s="22"/>
      <c r="M458" s="117">
        <f>SUM(M459:M498)</f>
        <v>5156257</v>
      </c>
      <c r="N458" s="117">
        <f>SUM(N459:N498)</f>
        <v>0</v>
      </c>
      <c r="O458" s="117">
        <f t="shared" si="236"/>
        <v>5156257</v>
      </c>
      <c r="P458" s="22"/>
      <c r="Q458" s="118">
        <f t="shared" si="233"/>
        <v>5156257</v>
      </c>
      <c r="R458" s="118">
        <f t="shared" si="238"/>
        <v>0</v>
      </c>
      <c r="S458" s="118">
        <f t="shared" si="238"/>
        <v>5156257</v>
      </c>
    </row>
    <row r="459" spans="2:19" x14ac:dyDescent="0.2">
      <c r="B459" s="7">
        <f t="shared" si="237"/>
        <v>82</v>
      </c>
      <c r="C459" s="24"/>
      <c r="D459" s="24"/>
      <c r="E459" s="24"/>
      <c r="F459" s="25"/>
      <c r="G459" s="25"/>
      <c r="H459" s="43" t="s">
        <v>479</v>
      </c>
      <c r="I459" s="26"/>
      <c r="J459" s="26"/>
      <c r="K459" s="26"/>
      <c r="L459" s="26"/>
      <c r="M459" s="26">
        <f>579382+12000+17500</f>
        <v>608882</v>
      </c>
      <c r="N459" s="26"/>
      <c r="O459" s="26">
        <f t="shared" si="236"/>
        <v>608882</v>
      </c>
      <c r="P459" s="26"/>
      <c r="Q459" s="28">
        <f t="shared" si="233"/>
        <v>608882</v>
      </c>
      <c r="R459" s="28">
        <f t="shared" si="238"/>
        <v>0</v>
      </c>
      <c r="S459" s="28">
        <f t="shared" si="238"/>
        <v>608882</v>
      </c>
    </row>
    <row r="460" spans="2:19" ht="24" x14ac:dyDescent="0.2">
      <c r="B460" s="7">
        <f t="shared" si="237"/>
        <v>83</v>
      </c>
      <c r="C460" s="24"/>
      <c r="D460" s="24"/>
      <c r="E460" s="24"/>
      <c r="F460" s="25"/>
      <c r="G460" s="25"/>
      <c r="H460" s="43" t="s">
        <v>481</v>
      </c>
      <c r="I460" s="26"/>
      <c r="J460" s="26"/>
      <c r="K460" s="26"/>
      <c r="L460" s="26"/>
      <c r="M460" s="26">
        <f>84000+6000</f>
        <v>90000</v>
      </c>
      <c r="N460" s="26"/>
      <c r="O460" s="26">
        <f t="shared" si="236"/>
        <v>90000</v>
      </c>
      <c r="P460" s="26"/>
      <c r="Q460" s="28">
        <f t="shared" si="233"/>
        <v>90000</v>
      </c>
      <c r="R460" s="28">
        <f t="shared" si="238"/>
        <v>0</v>
      </c>
      <c r="S460" s="28">
        <f t="shared" si="238"/>
        <v>90000</v>
      </c>
    </row>
    <row r="461" spans="2:19" x14ac:dyDescent="0.2">
      <c r="B461" s="7">
        <f t="shared" ref="B461:B470" si="239">B460+1</f>
        <v>84</v>
      </c>
      <c r="C461" s="24"/>
      <c r="D461" s="24"/>
      <c r="E461" s="24"/>
      <c r="F461" s="25"/>
      <c r="G461" s="25"/>
      <c r="H461" s="43" t="s">
        <v>628</v>
      </c>
      <c r="I461" s="26"/>
      <c r="J461" s="26"/>
      <c r="K461" s="26"/>
      <c r="L461" s="26"/>
      <c r="M461" s="26">
        <f>40000+8000</f>
        <v>48000</v>
      </c>
      <c r="N461" s="26"/>
      <c r="O461" s="26">
        <f t="shared" si="236"/>
        <v>48000</v>
      </c>
      <c r="P461" s="26"/>
      <c r="Q461" s="28">
        <f t="shared" si="233"/>
        <v>48000</v>
      </c>
      <c r="R461" s="28">
        <f t="shared" si="238"/>
        <v>0</v>
      </c>
      <c r="S461" s="28">
        <f t="shared" si="238"/>
        <v>48000</v>
      </c>
    </row>
    <row r="462" spans="2:19" x14ac:dyDescent="0.2">
      <c r="B462" s="7">
        <f t="shared" si="239"/>
        <v>85</v>
      </c>
      <c r="C462" s="24"/>
      <c r="D462" s="24"/>
      <c r="E462" s="24"/>
      <c r="F462" s="25"/>
      <c r="G462" s="25"/>
      <c r="H462" s="43" t="s">
        <v>629</v>
      </c>
      <c r="I462" s="26"/>
      <c r="J462" s="26"/>
      <c r="K462" s="26"/>
      <c r="L462" s="26"/>
      <c r="M462" s="26">
        <f>15000+16000</f>
        <v>31000</v>
      </c>
      <c r="N462" s="26"/>
      <c r="O462" s="26">
        <f t="shared" si="236"/>
        <v>31000</v>
      </c>
      <c r="P462" s="26"/>
      <c r="Q462" s="28">
        <f t="shared" si="233"/>
        <v>31000</v>
      </c>
      <c r="R462" s="28">
        <f t="shared" si="238"/>
        <v>0</v>
      </c>
      <c r="S462" s="28">
        <f t="shared" si="238"/>
        <v>31000</v>
      </c>
    </row>
    <row r="463" spans="2:19" x14ac:dyDescent="0.2">
      <c r="B463" s="7">
        <f t="shared" si="239"/>
        <v>86</v>
      </c>
      <c r="C463" s="24"/>
      <c r="D463" s="24"/>
      <c r="E463" s="24"/>
      <c r="F463" s="25"/>
      <c r="G463" s="25"/>
      <c r="H463" s="43" t="s">
        <v>480</v>
      </c>
      <c r="I463" s="26"/>
      <c r="J463" s="26"/>
      <c r="K463" s="26"/>
      <c r="L463" s="26"/>
      <c r="M463" s="26">
        <f>25000-9600</f>
        <v>15400</v>
      </c>
      <c r="N463" s="26"/>
      <c r="O463" s="26">
        <f t="shared" si="236"/>
        <v>15400</v>
      </c>
      <c r="P463" s="26"/>
      <c r="Q463" s="28">
        <f t="shared" si="233"/>
        <v>15400</v>
      </c>
      <c r="R463" s="28">
        <f t="shared" si="238"/>
        <v>0</v>
      </c>
      <c r="S463" s="28">
        <f t="shared" si="238"/>
        <v>15400</v>
      </c>
    </row>
    <row r="464" spans="2:19" x14ac:dyDescent="0.2">
      <c r="B464" s="7">
        <f t="shared" si="239"/>
        <v>87</v>
      </c>
      <c r="C464" s="24"/>
      <c r="D464" s="24"/>
      <c r="E464" s="24"/>
      <c r="F464" s="25"/>
      <c r="G464" s="25"/>
      <c r="H464" s="43" t="s">
        <v>503</v>
      </c>
      <c r="I464" s="26"/>
      <c r="J464" s="26"/>
      <c r="K464" s="26"/>
      <c r="L464" s="26"/>
      <c r="M464" s="26">
        <v>14000</v>
      </c>
      <c r="N464" s="26"/>
      <c r="O464" s="26">
        <f t="shared" si="236"/>
        <v>14000</v>
      </c>
      <c r="P464" s="26"/>
      <c r="Q464" s="28">
        <f t="shared" si="233"/>
        <v>14000</v>
      </c>
      <c r="R464" s="28">
        <f t="shared" si="238"/>
        <v>0</v>
      </c>
      <c r="S464" s="28">
        <f t="shared" si="238"/>
        <v>14000</v>
      </c>
    </row>
    <row r="465" spans="2:19" x14ac:dyDescent="0.2">
      <c r="B465" s="7">
        <f t="shared" si="239"/>
        <v>88</v>
      </c>
      <c r="C465" s="24"/>
      <c r="D465" s="24"/>
      <c r="E465" s="24"/>
      <c r="F465" s="25"/>
      <c r="G465" s="25"/>
      <c r="H465" s="43" t="s">
        <v>630</v>
      </c>
      <c r="I465" s="26"/>
      <c r="J465" s="26"/>
      <c r="K465" s="26"/>
      <c r="L465" s="26"/>
      <c r="M465" s="26">
        <v>8000</v>
      </c>
      <c r="N465" s="26"/>
      <c r="O465" s="26">
        <f t="shared" si="236"/>
        <v>8000</v>
      </c>
      <c r="P465" s="26"/>
      <c r="Q465" s="28">
        <f t="shared" si="233"/>
        <v>8000</v>
      </c>
      <c r="R465" s="28">
        <f t="shared" si="238"/>
        <v>0</v>
      </c>
      <c r="S465" s="28">
        <f t="shared" si="238"/>
        <v>8000</v>
      </c>
    </row>
    <row r="466" spans="2:19" ht="24" x14ac:dyDescent="0.2">
      <c r="B466" s="7">
        <f t="shared" si="239"/>
        <v>89</v>
      </c>
      <c r="C466" s="24"/>
      <c r="D466" s="24"/>
      <c r="E466" s="24"/>
      <c r="F466" s="25"/>
      <c r="G466" s="25"/>
      <c r="H466" s="43" t="s">
        <v>482</v>
      </c>
      <c r="I466" s="26"/>
      <c r="J466" s="26"/>
      <c r="K466" s="26"/>
      <c r="L466" s="26"/>
      <c r="M466" s="26">
        <f>125090-11700-36323-38500</f>
        <v>38567</v>
      </c>
      <c r="N466" s="26"/>
      <c r="O466" s="26">
        <f t="shared" si="236"/>
        <v>38567</v>
      </c>
      <c r="P466" s="26"/>
      <c r="Q466" s="28">
        <f t="shared" si="233"/>
        <v>38567</v>
      </c>
      <c r="R466" s="28">
        <f t="shared" si="238"/>
        <v>0</v>
      </c>
      <c r="S466" s="28">
        <f t="shared" si="238"/>
        <v>38567</v>
      </c>
    </row>
    <row r="467" spans="2:19" x14ac:dyDescent="0.2">
      <c r="B467" s="7">
        <f t="shared" si="239"/>
        <v>90</v>
      </c>
      <c r="C467" s="24"/>
      <c r="D467" s="24"/>
      <c r="E467" s="24"/>
      <c r="F467" s="25"/>
      <c r="G467" s="25"/>
      <c r="H467" s="43" t="s">
        <v>483</v>
      </c>
      <c r="I467" s="26"/>
      <c r="J467" s="26"/>
      <c r="K467" s="26"/>
      <c r="L467" s="26"/>
      <c r="M467" s="26">
        <v>128650</v>
      </c>
      <c r="N467" s="26"/>
      <c r="O467" s="26">
        <f t="shared" si="236"/>
        <v>128650</v>
      </c>
      <c r="P467" s="26"/>
      <c r="Q467" s="28">
        <f t="shared" si="233"/>
        <v>128650</v>
      </c>
      <c r="R467" s="28">
        <f t="shared" si="238"/>
        <v>0</v>
      </c>
      <c r="S467" s="28">
        <f t="shared" si="238"/>
        <v>128650</v>
      </c>
    </row>
    <row r="468" spans="2:19" x14ac:dyDescent="0.2">
      <c r="B468" s="7">
        <f t="shared" si="239"/>
        <v>91</v>
      </c>
      <c r="C468" s="24"/>
      <c r="D468" s="24"/>
      <c r="E468" s="24"/>
      <c r="F468" s="25"/>
      <c r="G468" s="25"/>
      <c r="H468" s="43" t="s">
        <v>631</v>
      </c>
      <c r="I468" s="26"/>
      <c r="J468" s="26"/>
      <c r="K468" s="26"/>
      <c r="L468" s="26"/>
      <c r="M468" s="26">
        <v>145000</v>
      </c>
      <c r="N468" s="26"/>
      <c r="O468" s="26">
        <f t="shared" si="236"/>
        <v>145000</v>
      </c>
      <c r="P468" s="26"/>
      <c r="Q468" s="28">
        <f t="shared" ref="Q468:Q498" si="240">M468+I468</f>
        <v>145000</v>
      </c>
      <c r="R468" s="28">
        <f t="shared" ref="R468:S483" si="241">N468+J468</f>
        <v>0</v>
      </c>
      <c r="S468" s="28">
        <f t="shared" si="241"/>
        <v>145000</v>
      </c>
    </row>
    <row r="469" spans="2:19" x14ac:dyDescent="0.2">
      <c r="B469" s="7">
        <f t="shared" si="239"/>
        <v>92</v>
      </c>
      <c r="C469" s="24"/>
      <c r="D469" s="24"/>
      <c r="E469" s="24"/>
      <c r="F469" s="25"/>
      <c r="G469" s="25"/>
      <c r="H469" s="43" t="s">
        <v>621</v>
      </c>
      <c r="I469" s="26"/>
      <c r="J469" s="26"/>
      <c r="K469" s="26"/>
      <c r="L469" s="26"/>
      <c r="M469" s="26">
        <v>120000</v>
      </c>
      <c r="N469" s="26"/>
      <c r="O469" s="26">
        <f t="shared" si="236"/>
        <v>120000</v>
      </c>
      <c r="P469" s="26"/>
      <c r="Q469" s="28">
        <f t="shared" si="240"/>
        <v>120000</v>
      </c>
      <c r="R469" s="28">
        <f t="shared" si="241"/>
        <v>0</v>
      </c>
      <c r="S469" s="28">
        <f t="shared" si="241"/>
        <v>120000</v>
      </c>
    </row>
    <row r="470" spans="2:19" x14ac:dyDescent="0.2">
      <c r="B470" s="7">
        <f t="shared" si="239"/>
        <v>93</v>
      </c>
      <c r="C470" s="24"/>
      <c r="D470" s="24"/>
      <c r="E470" s="24"/>
      <c r="F470" s="25"/>
      <c r="G470" s="25"/>
      <c r="H470" s="43" t="s">
        <v>645</v>
      </c>
      <c r="I470" s="26"/>
      <c r="J470" s="26"/>
      <c r="K470" s="26"/>
      <c r="L470" s="26"/>
      <c r="M470" s="26">
        <v>620</v>
      </c>
      <c r="N470" s="26"/>
      <c r="O470" s="26">
        <f t="shared" si="236"/>
        <v>620</v>
      </c>
      <c r="P470" s="26"/>
      <c r="Q470" s="28">
        <f t="shared" si="240"/>
        <v>620</v>
      </c>
      <c r="R470" s="28">
        <f t="shared" si="241"/>
        <v>0</v>
      </c>
      <c r="S470" s="28">
        <f t="shared" si="241"/>
        <v>620</v>
      </c>
    </row>
    <row r="471" spans="2:19" ht="24" x14ac:dyDescent="0.2">
      <c r="B471" s="7">
        <f>B470+1</f>
        <v>94</v>
      </c>
      <c r="C471" s="24"/>
      <c r="D471" s="24"/>
      <c r="E471" s="24"/>
      <c r="F471" s="25"/>
      <c r="G471" s="25"/>
      <c r="H471" s="43" t="s">
        <v>650</v>
      </c>
      <c r="I471" s="26"/>
      <c r="J471" s="26"/>
      <c r="K471" s="26"/>
      <c r="L471" s="26"/>
      <c r="M471" s="26">
        <f>32000+3000</f>
        <v>35000</v>
      </c>
      <c r="N471" s="26"/>
      <c r="O471" s="26">
        <f t="shared" si="236"/>
        <v>35000</v>
      </c>
      <c r="P471" s="26"/>
      <c r="Q471" s="28">
        <f t="shared" si="240"/>
        <v>35000</v>
      </c>
      <c r="R471" s="28">
        <f t="shared" si="241"/>
        <v>0</v>
      </c>
      <c r="S471" s="28">
        <f t="shared" si="241"/>
        <v>35000</v>
      </c>
    </row>
    <row r="472" spans="2:19" x14ac:dyDescent="0.2">
      <c r="B472" s="7">
        <f>B471+1</f>
        <v>95</v>
      </c>
      <c r="C472" s="24"/>
      <c r="D472" s="24"/>
      <c r="E472" s="24"/>
      <c r="F472" s="25"/>
      <c r="G472" s="25"/>
      <c r="H472" s="43" t="s">
        <v>371</v>
      </c>
      <c r="I472" s="26"/>
      <c r="J472" s="26"/>
      <c r="K472" s="26"/>
      <c r="L472" s="26"/>
      <c r="M472" s="26">
        <v>20000</v>
      </c>
      <c r="N472" s="26"/>
      <c r="O472" s="26">
        <f t="shared" si="236"/>
        <v>20000</v>
      </c>
      <c r="P472" s="26"/>
      <c r="Q472" s="28">
        <f t="shared" si="240"/>
        <v>20000</v>
      </c>
      <c r="R472" s="28">
        <f t="shared" si="241"/>
        <v>0</v>
      </c>
      <c r="S472" s="28">
        <f t="shared" si="241"/>
        <v>20000</v>
      </c>
    </row>
    <row r="473" spans="2:19" ht="24" x14ac:dyDescent="0.2">
      <c r="B473" s="7">
        <f>B472+1</f>
        <v>96</v>
      </c>
      <c r="C473" s="24"/>
      <c r="D473" s="24"/>
      <c r="E473" s="24"/>
      <c r="F473" s="25"/>
      <c r="G473" s="25"/>
      <c r="H473" s="43" t="s">
        <v>484</v>
      </c>
      <c r="I473" s="26"/>
      <c r="J473" s="26"/>
      <c r="K473" s="26"/>
      <c r="L473" s="26"/>
      <c r="M473" s="26">
        <f>43000+9000</f>
        <v>52000</v>
      </c>
      <c r="N473" s="26"/>
      <c r="O473" s="26">
        <f t="shared" si="236"/>
        <v>52000</v>
      </c>
      <c r="P473" s="26"/>
      <c r="Q473" s="28">
        <f t="shared" si="240"/>
        <v>52000</v>
      </c>
      <c r="R473" s="28">
        <f t="shared" si="241"/>
        <v>0</v>
      </c>
      <c r="S473" s="28">
        <f t="shared" si="241"/>
        <v>52000</v>
      </c>
    </row>
    <row r="474" spans="2:19" x14ac:dyDescent="0.2">
      <c r="B474" s="7"/>
      <c r="C474" s="24"/>
      <c r="D474" s="24"/>
      <c r="E474" s="24"/>
      <c r="F474" s="25"/>
      <c r="G474" s="25"/>
      <c r="H474" s="43" t="s">
        <v>727</v>
      </c>
      <c r="I474" s="26"/>
      <c r="J474" s="26"/>
      <c r="K474" s="26"/>
      <c r="L474" s="26"/>
      <c r="M474" s="26">
        <v>12000</v>
      </c>
      <c r="N474" s="26"/>
      <c r="O474" s="26">
        <f t="shared" si="236"/>
        <v>12000</v>
      </c>
      <c r="P474" s="26"/>
      <c r="Q474" s="28">
        <f t="shared" si="240"/>
        <v>12000</v>
      </c>
      <c r="R474" s="28">
        <f t="shared" si="241"/>
        <v>0</v>
      </c>
      <c r="S474" s="28">
        <f t="shared" si="241"/>
        <v>12000</v>
      </c>
    </row>
    <row r="475" spans="2:19" x14ac:dyDescent="0.2">
      <c r="B475" s="7">
        <f>B473+1</f>
        <v>97</v>
      </c>
      <c r="C475" s="24"/>
      <c r="D475" s="24"/>
      <c r="E475" s="24"/>
      <c r="F475" s="25"/>
      <c r="G475" s="25"/>
      <c r="H475" s="43" t="s">
        <v>632</v>
      </c>
      <c r="I475" s="26"/>
      <c r="J475" s="26"/>
      <c r="K475" s="26"/>
      <c r="L475" s="26"/>
      <c r="M475" s="26">
        <v>150000</v>
      </c>
      <c r="N475" s="26"/>
      <c r="O475" s="26">
        <f t="shared" si="236"/>
        <v>150000</v>
      </c>
      <c r="P475" s="26"/>
      <c r="Q475" s="28">
        <f t="shared" si="240"/>
        <v>150000</v>
      </c>
      <c r="R475" s="28">
        <f t="shared" si="241"/>
        <v>0</v>
      </c>
      <c r="S475" s="28">
        <f t="shared" si="241"/>
        <v>150000</v>
      </c>
    </row>
    <row r="476" spans="2:19" x14ac:dyDescent="0.2">
      <c r="B476" s="7">
        <f>B475+1</f>
        <v>98</v>
      </c>
      <c r="C476" s="24"/>
      <c r="D476" s="24"/>
      <c r="E476" s="24"/>
      <c r="F476" s="25"/>
      <c r="G476" s="25"/>
      <c r="H476" s="43" t="s">
        <v>601</v>
      </c>
      <c r="I476" s="26"/>
      <c r="J476" s="26"/>
      <c r="K476" s="26"/>
      <c r="L476" s="26"/>
      <c r="M476" s="26">
        <v>45000</v>
      </c>
      <c r="N476" s="26"/>
      <c r="O476" s="26">
        <f t="shared" si="236"/>
        <v>45000</v>
      </c>
      <c r="P476" s="26"/>
      <c r="Q476" s="28">
        <f t="shared" si="240"/>
        <v>45000</v>
      </c>
      <c r="R476" s="28">
        <f t="shared" si="241"/>
        <v>0</v>
      </c>
      <c r="S476" s="28">
        <f t="shared" si="241"/>
        <v>45000</v>
      </c>
    </row>
    <row r="477" spans="2:19" ht="13.5" customHeight="1" x14ac:dyDescent="0.2">
      <c r="B477" s="7">
        <f>B476+1</f>
        <v>99</v>
      </c>
      <c r="C477" s="24"/>
      <c r="D477" s="24"/>
      <c r="E477" s="24"/>
      <c r="F477" s="25"/>
      <c r="G477" s="25"/>
      <c r="H477" s="43" t="s">
        <v>393</v>
      </c>
      <c r="I477" s="26"/>
      <c r="J477" s="26"/>
      <c r="K477" s="26"/>
      <c r="L477" s="26"/>
      <c r="M477" s="26">
        <v>5000</v>
      </c>
      <c r="N477" s="26"/>
      <c r="O477" s="26">
        <f t="shared" si="236"/>
        <v>5000</v>
      </c>
      <c r="P477" s="26"/>
      <c r="Q477" s="28">
        <f t="shared" si="240"/>
        <v>5000</v>
      </c>
      <c r="R477" s="28">
        <f t="shared" si="241"/>
        <v>0</v>
      </c>
      <c r="S477" s="28">
        <f t="shared" si="241"/>
        <v>5000</v>
      </c>
    </row>
    <row r="478" spans="2:19" ht="12.75" customHeight="1" x14ac:dyDescent="0.2">
      <c r="B478" s="7"/>
      <c r="C478" s="24"/>
      <c r="D478" s="24"/>
      <c r="E478" s="24"/>
      <c r="F478" s="25"/>
      <c r="G478" s="25"/>
      <c r="H478" s="43" t="s">
        <v>730</v>
      </c>
      <c r="I478" s="26"/>
      <c r="J478" s="26"/>
      <c r="K478" s="26"/>
      <c r="L478" s="26"/>
      <c r="M478" s="26">
        <v>12000</v>
      </c>
      <c r="N478" s="26"/>
      <c r="O478" s="26">
        <f t="shared" si="236"/>
        <v>12000</v>
      </c>
      <c r="P478" s="26"/>
      <c r="Q478" s="28">
        <f t="shared" si="240"/>
        <v>12000</v>
      </c>
      <c r="R478" s="28">
        <f t="shared" si="241"/>
        <v>0</v>
      </c>
      <c r="S478" s="28">
        <f t="shared" si="241"/>
        <v>12000</v>
      </c>
    </row>
    <row r="479" spans="2:19" ht="24" x14ac:dyDescent="0.2">
      <c r="B479" s="7">
        <f>B477+1</f>
        <v>100</v>
      </c>
      <c r="C479" s="24"/>
      <c r="D479" s="24"/>
      <c r="E479" s="24"/>
      <c r="F479" s="25"/>
      <c r="G479" s="25"/>
      <c r="H479" s="43" t="s">
        <v>289</v>
      </c>
      <c r="I479" s="26"/>
      <c r="J479" s="26"/>
      <c r="K479" s="26"/>
      <c r="L479" s="26"/>
      <c r="M479" s="26">
        <v>14000</v>
      </c>
      <c r="N479" s="26"/>
      <c r="O479" s="26">
        <f t="shared" si="236"/>
        <v>14000</v>
      </c>
      <c r="P479" s="26"/>
      <c r="Q479" s="28">
        <f t="shared" si="240"/>
        <v>14000</v>
      </c>
      <c r="R479" s="28">
        <f t="shared" si="241"/>
        <v>0</v>
      </c>
      <c r="S479" s="28">
        <f t="shared" si="241"/>
        <v>14000</v>
      </c>
    </row>
    <row r="480" spans="2:19" x14ac:dyDescent="0.2">
      <c r="B480" s="7">
        <f>B479+1</f>
        <v>101</v>
      </c>
      <c r="C480" s="24"/>
      <c r="D480" s="24"/>
      <c r="E480" s="24"/>
      <c r="F480" s="25"/>
      <c r="G480" s="25"/>
      <c r="H480" s="43" t="s">
        <v>402</v>
      </c>
      <c r="I480" s="26"/>
      <c r="J480" s="26"/>
      <c r="K480" s="26"/>
      <c r="L480" s="26"/>
      <c r="M480" s="26">
        <v>24000</v>
      </c>
      <c r="N480" s="26"/>
      <c r="O480" s="26">
        <f t="shared" si="236"/>
        <v>24000</v>
      </c>
      <c r="P480" s="26"/>
      <c r="Q480" s="28">
        <f t="shared" si="240"/>
        <v>24000</v>
      </c>
      <c r="R480" s="28">
        <f t="shared" si="241"/>
        <v>0</v>
      </c>
      <c r="S480" s="28">
        <f t="shared" si="241"/>
        <v>24000</v>
      </c>
    </row>
    <row r="481" spans="2:19" ht="28.5" customHeight="1" x14ac:dyDescent="0.2">
      <c r="B481" s="7">
        <f>B480+1</f>
        <v>102</v>
      </c>
      <c r="C481" s="24"/>
      <c r="D481" s="24"/>
      <c r="E481" s="24"/>
      <c r="F481" s="25"/>
      <c r="G481" s="25"/>
      <c r="H481" s="43" t="s">
        <v>607</v>
      </c>
      <c r="I481" s="26"/>
      <c r="J481" s="26"/>
      <c r="K481" s="26"/>
      <c r="L481" s="26"/>
      <c r="M481" s="26">
        <v>50000</v>
      </c>
      <c r="N481" s="26"/>
      <c r="O481" s="26">
        <f t="shared" si="236"/>
        <v>50000</v>
      </c>
      <c r="P481" s="26"/>
      <c r="Q481" s="28">
        <f t="shared" si="240"/>
        <v>50000</v>
      </c>
      <c r="R481" s="28">
        <f t="shared" si="241"/>
        <v>0</v>
      </c>
      <c r="S481" s="28">
        <f t="shared" si="241"/>
        <v>50000</v>
      </c>
    </row>
    <row r="482" spans="2:19" ht="24" x14ac:dyDescent="0.2">
      <c r="B482" s="7">
        <f>B481+1</f>
        <v>103</v>
      </c>
      <c r="C482" s="24"/>
      <c r="D482" s="24"/>
      <c r="E482" s="24"/>
      <c r="F482" s="25"/>
      <c r="G482" s="25"/>
      <c r="H482" s="43" t="s">
        <v>646</v>
      </c>
      <c r="I482" s="26"/>
      <c r="J482" s="26"/>
      <c r="K482" s="26"/>
      <c r="L482" s="26"/>
      <c r="M482" s="26">
        <v>1538</v>
      </c>
      <c r="N482" s="26"/>
      <c r="O482" s="26">
        <f t="shared" si="236"/>
        <v>1538</v>
      </c>
      <c r="P482" s="26"/>
      <c r="Q482" s="28">
        <f t="shared" si="240"/>
        <v>1538</v>
      </c>
      <c r="R482" s="28">
        <f t="shared" si="241"/>
        <v>0</v>
      </c>
      <c r="S482" s="28">
        <f t="shared" si="241"/>
        <v>1538</v>
      </c>
    </row>
    <row r="483" spans="2:19" x14ac:dyDescent="0.2">
      <c r="B483" s="7"/>
      <c r="C483" s="24"/>
      <c r="D483" s="24"/>
      <c r="E483" s="24"/>
      <c r="F483" s="25"/>
      <c r="G483" s="25"/>
      <c r="H483" s="43" t="s">
        <v>685</v>
      </c>
      <c r="I483" s="26"/>
      <c r="J483" s="26"/>
      <c r="K483" s="26"/>
      <c r="L483" s="26"/>
      <c r="M483" s="26">
        <f>75000+15000</f>
        <v>90000</v>
      </c>
      <c r="N483" s="26"/>
      <c r="O483" s="26">
        <f t="shared" si="236"/>
        <v>90000</v>
      </c>
      <c r="P483" s="26"/>
      <c r="Q483" s="28">
        <f t="shared" si="240"/>
        <v>90000</v>
      </c>
      <c r="R483" s="28">
        <f t="shared" si="241"/>
        <v>0</v>
      </c>
      <c r="S483" s="28">
        <f t="shared" si="241"/>
        <v>90000</v>
      </c>
    </row>
    <row r="484" spans="2:19" x14ac:dyDescent="0.2">
      <c r="B484" s="7">
        <f>B481+1</f>
        <v>103</v>
      </c>
      <c r="C484" s="24"/>
      <c r="D484" s="24"/>
      <c r="E484" s="24"/>
      <c r="F484" s="25"/>
      <c r="G484" s="25"/>
      <c r="H484" s="43" t="s">
        <v>623</v>
      </c>
      <c r="I484" s="26"/>
      <c r="J484" s="26"/>
      <c r="K484" s="26"/>
      <c r="L484" s="26"/>
      <c r="M484" s="26">
        <f>13500+13100</f>
        <v>26600</v>
      </c>
      <c r="N484" s="26"/>
      <c r="O484" s="26">
        <f t="shared" si="236"/>
        <v>26600</v>
      </c>
      <c r="P484" s="26"/>
      <c r="Q484" s="28">
        <f t="shared" si="240"/>
        <v>26600</v>
      </c>
      <c r="R484" s="28">
        <f t="shared" ref="R484:S498" si="242">N484+J484</f>
        <v>0</v>
      </c>
      <c r="S484" s="28">
        <f t="shared" si="242"/>
        <v>26600</v>
      </c>
    </row>
    <row r="485" spans="2:19" ht="24" x14ac:dyDescent="0.2">
      <c r="B485" s="7">
        <f>B484+1</f>
        <v>104</v>
      </c>
      <c r="C485" s="24"/>
      <c r="D485" s="24"/>
      <c r="E485" s="24"/>
      <c r="F485" s="25"/>
      <c r="G485" s="25"/>
      <c r="H485" s="43" t="s">
        <v>514</v>
      </c>
      <c r="I485" s="26"/>
      <c r="J485" s="26"/>
      <c r="K485" s="26"/>
      <c r="L485" s="26"/>
      <c r="M485" s="26">
        <v>6000</v>
      </c>
      <c r="N485" s="26"/>
      <c r="O485" s="26">
        <f t="shared" si="236"/>
        <v>6000</v>
      </c>
      <c r="P485" s="26"/>
      <c r="Q485" s="28">
        <f t="shared" si="240"/>
        <v>6000</v>
      </c>
      <c r="R485" s="28">
        <f t="shared" si="242"/>
        <v>0</v>
      </c>
      <c r="S485" s="28">
        <f t="shared" si="242"/>
        <v>6000</v>
      </c>
    </row>
    <row r="486" spans="2:19" x14ac:dyDescent="0.2">
      <c r="B486" s="7">
        <f>B485+1</f>
        <v>105</v>
      </c>
      <c r="C486" s="24"/>
      <c r="D486" s="24"/>
      <c r="E486" s="24"/>
      <c r="F486" s="25"/>
      <c r="G486" s="25"/>
      <c r="H486" s="43" t="s">
        <v>592</v>
      </c>
      <c r="I486" s="26"/>
      <c r="J486" s="26"/>
      <c r="K486" s="26"/>
      <c r="L486" s="26"/>
      <c r="M486" s="26">
        <v>100000</v>
      </c>
      <c r="N486" s="26"/>
      <c r="O486" s="26">
        <f t="shared" si="236"/>
        <v>100000</v>
      </c>
      <c r="P486" s="26"/>
      <c r="Q486" s="28">
        <f t="shared" si="240"/>
        <v>100000</v>
      </c>
      <c r="R486" s="28">
        <f t="shared" si="242"/>
        <v>0</v>
      </c>
      <c r="S486" s="28">
        <f t="shared" si="242"/>
        <v>100000</v>
      </c>
    </row>
    <row r="487" spans="2:19" x14ac:dyDescent="0.2">
      <c r="B487" s="7">
        <f>B486+1</f>
        <v>106</v>
      </c>
      <c r="C487" s="24"/>
      <c r="D487" s="24"/>
      <c r="E487" s="24"/>
      <c r="F487" s="25"/>
      <c r="G487" s="25"/>
      <c r="H487" s="43" t="s">
        <v>625</v>
      </c>
      <c r="I487" s="26"/>
      <c r="J487" s="26"/>
      <c r="K487" s="26"/>
      <c r="L487" s="26"/>
      <c r="M487" s="26">
        <v>35000</v>
      </c>
      <c r="N487" s="26"/>
      <c r="O487" s="26">
        <f t="shared" si="236"/>
        <v>35000</v>
      </c>
      <c r="P487" s="26"/>
      <c r="Q487" s="28">
        <f t="shared" si="240"/>
        <v>35000</v>
      </c>
      <c r="R487" s="28">
        <f t="shared" si="242"/>
        <v>0</v>
      </c>
      <c r="S487" s="28">
        <f t="shared" si="242"/>
        <v>35000</v>
      </c>
    </row>
    <row r="488" spans="2:19" ht="24" x14ac:dyDescent="0.2">
      <c r="B488" s="7">
        <f>B487+1</f>
        <v>107</v>
      </c>
      <c r="C488" s="24"/>
      <c r="D488" s="24"/>
      <c r="E488" s="24"/>
      <c r="F488" s="25"/>
      <c r="G488" s="25"/>
      <c r="H488" s="43" t="s">
        <v>582</v>
      </c>
      <c r="I488" s="26"/>
      <c r="J488" s="26"/>
      <c r="K488" s="26"/>
      <c r="L488" s="26"/>
      <c r="M488" s="26">
        <f>28000+7000</f>
        <v>35000</v>
      </c>
      <c r="N488" s="26"/>
      <c r="O488" s="26">
        <f t="shared" si="236"/>
        <v>35000</v>
      </c>
      <c r="P488" s="26"/>
      <c r="Q488" s="28">
        <f t="shared" si="240"/>
        <v>35000</v>
      </c>
      <c r="R488" s="28">
        <f t="shared" si="242"/>
        <v>0</v>
      </c>
      <c r="S488" s="28">
        <f t="shared" si="242"/>
        <v>35000</v>
      </c>
    </row>
    <row r="489" spans="2:19" ht="24" x14ac:dyDescent="0.2">
      <c r="B489" s="7">
        <f>B488+1</f>
        <v>108</v>
      </c>
      <c r="C489" s="24"/>
      <c r="D489" s="24"/>
      <c r="E489" s="24"/>
      <c r="F489" s="25"/>
      <c r="G489" s="25"/>
      <c r="H489" s="43" t="s">
        <v>586</v>
      </c>
      <c r="I489" s="26"/>
      <c r="J489" s="26"/>
      <c r="K489" s="26"/>
      <c r="L489" s="26"/>
      <c r="M489" s="26">
        <v>41000</v>
      </c>
      <c r="N489" s="26"/>
      <c r="O489" s="26">
        <f t="shared" si="236"/>
        <v>41000</v>
      </c>
      <c r="P489" s="26"/>
      <c r="Q489" s="28">
        <f t="shared" si="240"/>
        <v>41000</v>
      </c>
      <c r="R489" s="28">
        <f t="shared" si="242"/>
        <v>0</v>
      </c>
      <c r="S489" s="28">
        <f t="shared" si="242"/>
        <v>41000</v>
      </c>
    </row>
    <row r="490" spans="2:19" ht="24" x14ac:dyDescent="0.2">
      <c r="B490" s="7">
        <f t="shared" ref="B490:B492" si="243">B489+1</f>
        <v>109</v>
      </c>
      <c r="C490" s="24"/>
      <c r="D490" s="24"/>
      <c r="E490" s="24"/>
      <c r="F490" s="25"/>
      <c r="G490" s="25"/>
      <c r="H490" s="43" t="s">
        <v>577</v>
      </c>
      <c r="I490" s="26"/>
      <c r="J490" s="26"/>
      <c r="K490" s="26"/>
      <c r="L490" s="26"/>
      <c r="M490" s="26">
        <f>360000+50000</f>
        <v>410000</v>
      </c>
      <c r="N490" s="26"/>
      <c r="O490" s="26">
        <f t="shared" si="236"/>
        <v>410000</v>
      </c>
      <c r="P490" s="26"/>
      <c r="Q490" s="28">
        <f t="shared" si="240"/>
        <v>410000</v>
      </c>
      <c r="R490" s="28">
        <f t="shared" si="242"/>
        <v>0</v>
      </c>
      <c r="S490" s="28">
        <f t="shared" si="242"/>
        <v>410000</v>
      </c>
    </row>
    <row r="491" spans="2:19" ht="24" x14ac:dyDescent="0.2">
      <c r="B491" s="7">
        <f t="shared" si="243"/>
        <v>110</v>
      </c>
      <c r="C491" s="24"/>
      <c r="D491" s="24"/>
      <c r="E491" s="24"/>
      <c r="F491" s="25"/>
      <c r="G491" s="25"/>
      <c r="H491" s="43" t="s">
        <v>442</v>
      </c>
      <c r="I491" s="26"/>
      <c r="J491" s="26"/>
      <c r="K491" s="26"/>
      <c r="L491" s="26"/>
      <c r="M491" s="26">
        <v>50000</v>
      </c>
      <c r="N491" s="26"/>
      <c r="O491" s="26">
        <f t="shared" si="236"/>
        <v>50000</v>
      </c>
      <c r="P491" s="26"/>
      <c r="Q491" s="28">
        <f t="shared" si="240"/>
        <v>50000</v>
      </c>
      <c r="R491" s="28">
        <f t="shared" si="242"/>
        <v>0</v>
      </c>
      <c r="S491" s="28">
        <f t="shared" si="242"/>
        <v>50000</v>
      </c>
    </row>
    <row r="492" spans="2:19" ht="24" x14ac:dyDescent="0.2">
      <c r="B492" s="7">
        <f t="shared" si="243"/>
        <v>111</v>
      </c>
      <c r="C492" s="24"/>
      <c r="D492" s="24"/>
      <c r="E492" s="24"/>
      <c r="F492" s="25"/>
      <c r="G492" s="25"/>
      <c r="H492" s="43" t="s">
        <v>550</v>
      </c>
      <c r="I492" s="26"/>
      <c r="J492" s="26"/>
      <c r="K492" s="26"/>
      <c r="L492" s="26"/>
      <c r="M492" s="26">
        <v>20000</v>
      </c>
      <c r="N492" s="26"/>
      <c r="O492" s="26">
        <f t="shared" si="236"/>
        <v>20000</v>
      </c>
      <c r="P492" s="26"/>
      <c r="Q492" s="28">
        <f t="shared" si="240"/>
        <v>20000</v>
      </c>
      <c r="R492" s="28">
        <f t="shared" si="242"/>
        <v>0</v>
      </c>
      <c r="S492" s="28">
        <f t="shared" si="242"/>
        <v>20000</v>
      </c>
    </row>
    <row r="493" spans="2:19" x14ac:dyDescent="0.2">
      <c r="B493" s="7">
        <f t="shared" ref="B493:B498" si="244">B492+1</f>
        <v>112</v>
      </c>
      <c r="C493" s="24"/>
      <c r="D493" s="24"/>
      <c r="E493" s="24"/>
      <c r="F493" s="25"/>
      <c r="G493" s="25"/>
      <c r="H493" s="43" t="s">
        <v>443</v>
      </c>
      <c r="I493" s="26"/>
      <c r="J493" s="26"/>
      <c r="K493" s="26"/>
      <c r="L493" s="26"/>
      <c r="M493" s="26">
        <f>111000+35000</f>
        <v>146000</v>
      </c>
      <c r="N493" s="26"/>
      <c r="O493" s="26">
        <f t="shared" si="236"/>
        <v>146000</v>
      </c>
      <c r="P493" s="26"/>
      <c r="Q493" s="28">
        <f t="shared" si="240"/>
        <v>146000</v>
      </c>
      <c r="R493" s="28">
        <f t="shared" si="242"/>
        <v>0</v>
      </c>
      <c r="S493" s="28">
        <f t="shared" si="242"/>
        <v>146000</v>
      </c>
    </row>
    <row r="494" spans="2:19" x14ac:dyDescent="0.2">
      <c r="B494" s="7">
        <f t="shared" si="244"/>
        <v>113</v>
      </c>
      <c r="C494" s="24"/>
      <c r="D494" s="24"/>
      <c r="E494" s="24"/>
      <c r="F494" s="25"/>
      <c r="G494" s="25"/>
      <c r="H494" s="43" t="s">
        <v>526</v>
      </c>
      <c r="I494" s="26"/>
      <c r="J494" s="26"/>
      <c r="K494" s="26"/>
      <c r="L494" s="26"/>
      <c r="M494" s="26">
        <v>5000</v>
      </c>
      <c r="N494" s="26"/>
      <c r="O494" s="26">
        <f t="shared" si="236"/>
        <v>5000</v>
      </c>
      <c r="P494" s="26"/>
      <c r="Q494" s="28">
        <f t="shared" si="240"/>
        <v>5000</v>
      </c>
      <c r="R494" s="28">
        <f t="shared" si="242"/>
        <v>0</v>
      </c>
      <c r="S494" s="28">
        <f t="shared" si="242"/>
        <v>5000</v>
      </c>
    </row>
    <row r="495" spans="2:19" x14ac:dyDescent="0.2">
      <c r="B495" s="7">
        <f t="shared" si="244"/>
        <v>114</v>
      </c>
      <c r="C495" s="24"/>
      <c r="D495" s="24"/>
      <c r="E495" s="24"/>
      <c r="F495" s="25"/>
      <c r="G495" s="25"/>
      <c r="H495" s="43" t="s">
        <v>600</v>
      </c>
      <c r="I495" s="26"/>
      <c r="J495" s="26"/>
      <c r="K495" s="26"/>
      <c r="L495" s="26"/>
      <c r="M495" s="26">
        <f>70000-20000+20000</f>
        <v>70000</v>
      </c>
      <c r="N495" s="26"/>
      <c r="O495" s="26">
        <f t="shared" si="236"/>
        <v>70000</v>
      </c>
      <c r="P495" s="26"/>
      <c r="Q495" s="28">
        <f t="shared" si="240"/>
        <v>70000</v>
      </c>
      <c r="R495" s="28">
        <f t="shared" si="242"/>
        <v>0</v>
      </c>
      <c r="S495" s="28">
        <f t="shared" si="242"/>
        <v>70000</v>
      </c>
    </row>
    <row r="496" spans="2:19" ht="24" x14ac:dyDescent="0.2">
      <c r="B496" s="7">
        <f t="shared" si="244"/>
        <v>115</v>
      </c>
      <c r="C496" s="24"/>
      <c r="D496" s="24"/>
      <c r="E496" s="24"/>
      <c r="F496" s="25"/>
      <c r="G496" s="25"/>
      <c r="H496" s="43" t="s">
        <v>588</v>
      </c>
      <c r="I496" s="26"/>
      <c r="J496" s="26"/>
      <c r="K496" s="26"/>
      <c r="L496" s="26"/>
      <c r="M496" s="26">
        <f>50000-7000</f>
        <v>43000</v>
      </c>
      <c r="N496" s="26"/>
      <c r="O496" s="26">
        <f t="shared" si="236"/>
        <v>43000</v>
      </c>
      <c r="P496" s="26"/>
      <c r="Q496" s="28">
        <f t="shared" si="240"/>
        <v>43000</v>
      </c>
      <c r="R496" s="28">
        <f t="shared" si="242"/>
        <v>0</v>
      </c>
      <c r="S496" s="28">
        <f t="shared" si="242"/>
        <v>43000</v>
      </c>
    </row>
    <row r="497" spans="2:19" x14ac:dyDescent="0.2">
      <c r="B497" s="7">
        <f t="shared" si="244"/>
        <v>116</v>
      </c>
      <c r="C497" s="24"/>
      <c r="D497" s="24"/>
      <c r="E497" s="24"/>
      <c r="F497" s="25"/>
      <c r="G497" s="25"/>
      <c r="H497" s="43" t="s">
        <v>287</v>
      </c>
      <c r="I497" s="26"/>
      <c r="J497" s="26"/>
      <c r="K497" s="26"/>
      <c r="L497" s="26"/>
      <c r="M497" s="26">
        <v>560000</v>
      </c>
      <c r="N497" s="26"/>
      <c r="O497" s="26">
        <f t="shared" si="236"/>
        <v>560000</v>
      </c>
      <c r="P497" s="26"/>
      <c r="Q497" s="28">
        <f t="shared" si="240"/>
        <v>560000</v>
      </c>
      <c r="R497" s="28">
        <f t="shared" si="242"/>
        <v>0</v>
      </c>
      <c r="S497" s="28">
        <f t="shared" si="242"/>
        <v>560000</v>
      </c>
    </row>
    <row r="498" spans="2:19" x14ac:dyDescent="0.2">
      <c r="B498" s="174">
        <f t="shared" si="244"/>
        <v>117</v>
      </c>
      <c r="C498" s="343"/>
      <c r="D498" s="343"/>
      <c r="E498" s="343"/>
      <c r="F498" s="344"/>
      <c r="G498" s="344"/>
      <c r="H498" s="363" t="s">
        <v>469</v>
      </c>
      <c r="I498" s="345"/>
      <c r="J498" s="345"/>
      <c r="K498" s="345"/>
      <c r="L498" s="345"/>
      <c r="M498" s="345">
        <v>1850000</v>
      </c>
      <c r="N498" s="345"/>
      <c r="O498" s="345">
        <f t="shared" si="236"/>
        <v>1850000</v>
      </c>
      <c r="P498" s="345"/>
      <c r="Q498" s="135">
        <f t="shared" si="240"/>
        <v>1850000</v>
      </c>
      <c r="R498" s="135">
        <f t="shared" si="242"/>
        <v>0</v>
      </c>
      <c r="S498" s="135">
        <f t="shared" si="242"/>
        <v>1850000</v>
      </c>
    </row>
    <row r="499" spans="2:19" x14ac:dyDescent="0.2">
      <c r="B499" s="3"/>
      <c r="F499" s="3"/>
      <c r="G499" s="3"/>
      <c r="I499" s="3"/>
      <c r="J499" s="3"/>
      <c r="K499" s="3"/>
      <c r="L499" s="3"/>
      <c r="M499" s="3"/>
      <c r="N499" s="3"/>
      <c r="O499" s="3"/>
      <c r="P499" s="3"/>
      <c r="Q499" s="3"/>
    </row>
    <row r="500" spans="2:19" x14ac:dyDescent="0.2">
      <c r="B500" s="3"/>
      <c r="F500" s="3"/>
      <c r="G500" s="3"/>
      <c r="I500" s="3"/>
      <c r="J500" s="3"/>
      <c r="K500" s="3"/>
      <c r="L500" s="3"/>
      <c r="M500" s="3"/>
      <c r="N500" s="3"/>
      <c r="O500" s="3"/>
      <c r="P500" s="3"/>
      <c r="Q500" s="3"/>
    </row>
    <row r="501" spans="2:19" x14ac:dyDescent="0.2">
      <c r="B501" s="3"/>
      <c r="F501" s="3"/>
      <c r="G501" s="3"/>
      <c r="I501" s="3"/>
      <c r="J501" s="3"/>
      <c r="K501" s="3"/>
      <c r="L501" s="3"/>
      <c r="M501" s="3"/>
      <c r="N501" s="3"/>
      <c r="O501" s="3"/>
      <c r="P501" s="3"/>
      <c r="Q501" s="3"/>
    </row>
    <row r="502" spans="2:19" ht="27.75" x14ac:dyDescent="0.4">
      <c r="B502" s="429" t="s">
        <v>20</v>
      </c>
      <c r="C502" s="430"/>
      <c r="D502" s="430"/>
      <c r="E502" s="430"/>
      <c r="F502" s="430"/>
      <c r="G502" s="430"/>
      <c r="H502" s="430"/>
      <c r="I502" s="430"/>
      <c r="J502" s="430"/>
      <c r="K502" s="430"/>
      <c r="L502" s="430"/>
      <c r="M502" s="430"/>
      <c r="N502" s="430"/>
      <c r="O502" s="430"/>
      <c r="P502" s="430"/>
      <c r="Q502" s="430"/>
    </row>
    <row r="503" spans="2:19" ht="12.75" customHeight="1" x14ac:dyDescent="0.2">
      <c r="B503" s="431" t="s">
        <v>464</v>
      </c>
      <c r="C503" s="432"/>
      <c r="D503" s="432"/>
      <c r="E503" s="432"/>
      <c r="F503" s="432"/>
      <c r="G503" s="432"/>
      <c r="H503" s="432"/>
      <c r="I503" s="432"/>
      <c r="J503" s="432"/>
      <c r="K503" s="432"/>
      <c r="L503" s="432"/>
      <c r="M503" s="432"/>
      <c r="N503" s="432"/>
      <c r="O503" s="432"/>
      <c r="P503" s="432"/>
      <c r="Q503" s="433" t="s">
        <v>735</v>
      </c>
      <c r="R503" s="433" t="s">
        <v>733</v>
      </c>
      <c r="S503" s="433" t="s">
        <v>736</v>
      </c>
    </row>
    <row r="504" spans="2:19" ht="12.75" customHeight="1" x14ac:dyDescent="0.2">
      <c r="B504" s="436"/>
      <c r="C504" s="422" t="s">
        <v>112</v>
      </c>
      <c r="D504" s="422" t="s">
        <v>113</v>
      </c>
      <c r="E504" s="422"/>
      <c r="F504" s="422" t="s">
        <v>114</v>
      </c>
      <c r="G504" s="423" t="s">
        <v>115</v>
      </c>
      <c r="H504" s="424" t="s">
        <v>116</v>
      </c>
      <c r="I504" s="435" t="s">
        <v>737</v>
      </c>
      <c r="J504" s="455" t="s">
        <v>733</v>
      </c>
      <c r="K504" s="435" t="s">
        <v>738</v>
      </c>
      <c r="L504" s="318"/>
      <c r="M504" s="435" t="s">
        <v>739</v>
      </c>
      <c r="N504" s="455" t="s">
        <v>733</v>
      </c>
      <c r="O504" s="435" t="s">
        <v>740</v>
      </c>
      <c r="P504" s="318"/>
      <c r="Q504" s="434"/>
      <c r="R504" s="434"/>
      <c r="S504" s="434"/>
    </row>
    <row r="505" spans="2:19" x14ac:dyDescent="0.2">
      <c r="B505" s="436"/>
      <c r="C505" s="422"/>
      <c r="D505" s="422"/>
      <c r="E505" s="422"/>
      <c r="F505" s="422"/>
      <c r="G505" s="423"/>
      <c r="H505" s="424"/>
      <c r="I505" s="435"/>
      <c r="J505" s="456"/>
      <c r="K505" s="435"/>
      <c r="L505" s="318"/>
      <c r="M505" s="435"/>
      <c r="N505" s="456"/>
      <c r="O505" s="435"/>
      <c r="P505" s="318"/>
      <c r="Q505" s="434"/>
      <c r="R505" s="434"/>
      <c r="S505" s="434"/>
    </row>
    <row r="506" spans="2:19" x14ac:dyDescent="0.2">
      <c r="B506" s="436"/>
      <c r="C506" s="422"/>
      <c r="D506" s="422"/>
      <c r="E506" s="422"/>
      <c r="F506" s="422"/>
      <c r="G506" s="423"/>
      <c r="H506" s="424"/>
      <c r="I506" s="435"/>
      <c r="J506" s="456"/>
      <c r="K506" s="435"/>
      <c r="L506" s="318"/>
      <c r="M506" s="435"/>
      <c r="N506" s="456"/>
      <c r="O506" s="435"/>
      <c r="P506" s="318"/>
      <c r="Q506" s="434"/>
      <c r="R506" s="434"/>
      <c r="S506" s="434"/>
    </row>
    <row r="507" spans="2:19" x14ac:dyDescent="0.2">
      <c r="B507" s="436"/>
      <c r="C507" s="422"/>
      <c r="D507" s="422"/>
      <c r="E507" s="422"/>
      <c r="F507" s="422"/>
      <c r="G507" s="423"/>
      <c r="H507" s="424"/>
      <c r="I507" s="435"/>
      <c r="J507" s="457"/>
      <c r="K507" s="435"/>
      <c r="L507" s="318"/>
      <c r="M507" s="435"/>
      <c r="N507" s="457"/>
      <c r="O507" s="435"/>
      <c r="P507" s="318"/>
      <c r="Q507" s="434"/>
      <c r="R507" s="434"/>
      <c r="S507" s="434"/>
    </row>
    <row r="508" spans="2:19" ht="15.75" x14ac:dyDescent="0.2">
      <c r="B508" s="7">
        <v>1</v>
      </c>
      <c r="C508" s="439" t="s">
        <v>20</v>
      </c>
      <c r="D508" s="440"/>
      <c r="E508" s="440"/>
      <c r="F508" s="440"/>
      <c r="G508" s="440"/>
      <c r="H508" s="440"/>
      <c r="I508" s="8">
        <f>I509+I735+I939+I1049+I1360</f>
        <v>39602661</v>
      </c>
      <c r="J508" s="8">
        <f t="shared" ref="J508" si="245">J509+J735+J939+J1049+J1360</f>
        <v>3702</v>
      </c>
      <c r="K508" s="8">
        <f>I508+J508</f>
        <v>39606363</v>
      </c>
      <c r="L508" s="319"/>
      <c r="M508" s="8">
        <f>M509+M735+M939+M1049+M1360</f>
        <v>2736647</v>
      </c>
      <c r="N508" s="8">
        <f t="shared" ref="N508" si="246">N509+N735+N939+N1049+N1360</f>
        <v>2842</v>
      </c>
      <c r="O508" s="8">
        <f>M508+N508</f>
        <v>2739489</v>
      </c>
      <c r="P508" s="319"/>
      <c r="Q508" s="9">
        <f t="shared" ref="Q508:Q571" si="247">M508+I508</f>
        <v>42339308</v>
      </c>
      <c r="R508" s="9">
        <f t="shared" ref="R508:S523" si="248">N508+J508</f>
        <v>6544</v>
      </c>
      <c r="S508" s="9">
        <f t="shared" si="248"/>
        <v>42345852</v>
      </c>
    </row>
    <row r="509" spans="2:19" ht="15" x14ac:dyDescent="0.2">
      <c r="B509" s="7">
        <f t="shared" ref="B509:B572" si="249">B508+1</f>
        <v>2</v>
      </c>
      <c r="C509" s="10">
        <v>1</v>
      </c>
      <c r="D509" s="420" t="s">
        <v>184</v>
      </c>
      <c r="E509" s="421"/>
      <c r="F509" s="421"/>
      <c r="G509" s="421"/>
      <c r="H509" s="421"/>
      <c r="I509" s="11">
        <f>I510+I522</f>
        <v>7624915</v>
      </c>
      <c r="J509" s="11">
        <f t="shared" ref="J509" si="250">J510+J522</f>
        <v>0</v>
      </c>
      <c r="K509" s="11">
        <f t="shared" ref="K509:K572" si="251">I509+J509</f>
        <v>7624915</v>
      </c>
      <c r="L509" s="320"/>
      <c r="M509" s="11">
        <f>M510+M522</f>
        <v>301100</v>
      </c>
      <c r="N509" s="11">
        <f t="shared" ref="N509" si="252">N510+N522</f>
        <v>0</v>
      </c>
      <c r="O509" s="11">
        <f t="shared" ref="O509:O572" si="253">M509+N509</f>
        <v>301100</v>
      </c>
      <c r="P509" s="320"/>
      <c r="Q509" s="35">
        <f t="shared" si="247"/>
        <v>7926015</v>
      </c>
      <c r="R509" s="35">
        <f t="shared" si="248"/>
        <v>0</v>
      </c>
      <c r="S509" s="35">
        <f t="shared" si="248"/>
        <v>7926015</v>
      </c>
    </row>
    <row r="510" spans="2:19" ht="15" x14ac:dyDescent="0.25">
      <c r="B510" s="7">
        <f t="shared" si="249"/>
        <v>3</v>
      </c>
      <c r="C510" s="108"/>
      <c r="D510" s="108"/>
      <c r="E510" s="108">
        <v>3</v>
      </c>
      <c r="F510" s="109"/>
      <c r="G510" s="109"/>
      <c r="H510" s="108" t="s">
        <v>8</v>
      </c>
      <c r="I510" s="110">
        <f>I511+I512+I513+I520+I521</f>
        <v>969484</v>
      </c>
      <c r="J510" s="110">
        <f t="shared" ref="J510" si="254">J511+J512+J513+J520+J521</f>
        <v>0</v>
      </c>
      <c r="K510" s="110">
        <f t="shared" si="251"/>
        <v>969484</v>
      </c>
      <c r="L510" s="321"/>
      <c r="M510" s="110"/>
      <c r="N510" s="110"/>
      <c r="O510" s="110">
        <f t="shared" si="253"/>
        <v>0</v>
      </c>
      <c r="P510" s="321"/>
      <c r="Q510" s="112">
        <f t="shared" si="247"/>
        <v>969484</v>
      </c>
      <c r="R510" s="112">
        <f t="shared" si="248"/>
        <v>0</v>
      </c>
      <c r="S510" s="112">
        <f t="shared" si="248"/>
        <v>969484</v>
      </c>
    </row>
    <row r="511" spans="2:19" x14ac:dyDescent="0.2">
      <c r="B511" s="7">
        <f t="shared" si="249"/>
        <v>4</v>
      </c>
      <c r="C511" s="13"/>
      <c r="D511" s="13"/>
      <c r="E511" s="13"/>
      <c r="F511" s="14" t="s">
        <v>183</v>
      </c>
      <c r="G511" s="15">
        <v>610</v>
      </c>
      <c r="H511" s="13" t="s">
        <v>510</v>
      </c>
      <c r="I511" s="16">
        <f>505043+51928</f>
        <v>556971</v>
      </c>
      <c r="J511" s="16"/>
      <c r="K511" s="16">
        <f t="shared" si="251"/>
        <v>556971</v>
      </c>
      <c r="L511" s="16"/>
      <c r="M511" s="16"/>
      <c r="N511" s="16"/>
      <c r="O511" s="16">
        <f t="shared" si="253"/>
        <v>0</v>
      </c>
      <c r="P511" s="16"/>
      <c r="Q511" s="18">
        <f t="shared" si="247"/>
        <v>556971</v>
      </c>
      <c r="R511" s="18">
        <f t="shared" si="248"/>
        <v>0</v>
      </c>
      <c r="S511" s="18">
        <f t="shared" si="248"/>
        <v>556971</v>
      </c>
    </row>
    <row r="512" spans="2:19" x14ac:dyDescent="0.2">
      <c r="B512" s="7">
        <f t="shared" si="249"/>
        <v>5</v>
      </c>
      <c r="C512" s="13"/>
      <c r="D512" s="13"/>
      <c r="E512" s="13"/>
      <c r="F512" s="14" t="s">
        <v>183</v>
      </c>
      <c r="G512" s="15">
        <v>620</v>
      </c>
      <c r="H512" s="13" t="s">
        <v>122</v>
      </c>
      <c r="I512" s="16">
        <f>199673+6128</f>
        <v>205801</v>
      </c>
      <c r="J512" s="16"/>
      <c r="K512" s="16">
        <f t="shared" si="251"/>
        <v>205801</v>
      </c>
      <c r="L512" s="16"/>
      <c r="M512" s="16"/>
      <c r="N512" s="16"/>
      <c r="O512" s="16">
        <f t="shared" si="253"/>
        <v>0</v>
      </c>
      <c r="P512" s="16"/>
      <c r="Q512" s="18">
        <f t="shared" si="247"/>
        <v>205801</v>
      </c>
      <c r="R512" s="18">
        <f t="shared" si="248"/>
        <v>0</v>
      </c>
      <c r="S512" s="18">
        <f t="shared" si="248"/>
        <v>205801</v>
      </c>
    </row>
    <row r="513" spans="2:19" x14ac:dyDescent="0.2">
      <c r="B513" s="7">
        <f t="shared" si="249"/>
        <v>6</v>
      </c>
      <c r="C513" s="13"/>
      <c r="D513" s="13"/>
      <c r="E513" s="13"/>
      <c r="F513" s="14" t="s">
        <v>183</v>
      </c>
      <c r="G513" s="15">
        <v>630</v>
      </c>
      <c r="H513" s="13" t="s">
        <v>119</v>
      </c>
      <c r="I513" s="16">
        <f>SUM(I514:I519)</f>
        <v>178465</v>
      </c>
      <c r="J513" s="16">
        <f t="shared" ref="J513" si="255">SUM(J514:J519)</f>
        <v>0</v>
      </c>
      <c r="K513" s="16">
        <f t="shared" si="251"/>
        <v>178465</v>
      </c>
      <c r="L513" s="16"/>
      <c r="M513" s="16"/>
      <c r="N513" s="16"/>
      <c r="O513" s="16">
        <f t="shared" si="253"/>
        <v>0</v>
      </c>
      <c r="P513" s="16"/>
      <c r="Q513" s="18">
        <f t="shared" si="247"/>
        <v>178465</v>
      </c>
      <c r="R513" s="18">
        <f t="shared" si="248"/>
        <v>0</v>
      </c>
      <c r="S513" s="18">
        <f t="shared" si="248"/>
        <v>178465</v>
      </c>
    </row>
    <row r="514" spans="2:19" x14ac:dyDescent="0.2">
      <c r="B514" s="7">
        <f t="shared" si="249"/>
        <v>7</v>
      </c>
      <c r="C514" s="19"/>
      <c r="D514" s="19"/>
      <c r="E514" s="19"/>
      <c r="F514" s="20"/>
      <c r="G514" s="21">
        <v>632</v>
      </c>
      <c r="H514" s="19" t="s">
        <v>131</v>
      </c>
      <c r="I514" s="22">
        <v>24430</v>
      </c>
      <c r="J514" s="22"/>
      <c r="K514" s="22">
        <f t="shared" si="251"/>
        <v>24430</v>
      </c>
      <c r="L514" s="22"/>
      <c r="M514" s="22"/>
      <c r="N514" s="22"/>
      <c r="O514" s="22">
        <f t="shared" si="253"/>
        <v>0</v>
      </c>
      <c r="P514" s="22"/>
      <c r="Q514" s="23">
        <f t="shared" si="247"/>
        <v>24430</v>
      </c>
      <c r="R514" s="23">
        <f t="shared" si="248"/>
        <v>0</v>
      </c>
      <c r="S514" s="23">
        <f t="shared" si="248"/>
        <v>24430</v>
      </c>
    </row>
    <row r="515" spans="2:19" x14ac:dyDescent="0.2">
      <c r="B515" s="7">
        <f t="shared" si="249"/>
        <v>8</v>
      </c>
      <c r="C515" s="19"/>
      <c r="D515" s="19"/>
      <c r="E515" s="19"/>
      <c r="F515" s="20"/>
      <c r="G515" s="21">
        <v>633</v>
      </c>
      <c r="H515" s="19" t="s">
        <v>123</v>
      </c>
      <c r="I515" s="22">
        <f>38129+12351</f>
        <v>50480</v>
      </c>
      <c r="J515" s="22"/>
      <c r="K515" s="22">
        <f t="shared" si="251"/>
        <v>50480</v>
      </c>
      <c r="L515" s="22"/>
      <c r="M515" s="22"/>
      <c r="N515" s="22"/>
      <c r="O515" s="22">
        <f t="shared" si="253"/>
        <v>0</v>
      </c>
      <c r="P515" s="22"/>
      <c r="Q515" s="23">
        <f t="shared" si="247"/>
        <v>50480</v>
      </c>
      <c r="R515" s="23">
        <f t="shared" si="248"/>
        <v>0</v>
      </c>
      <c r="S515" s="23">
        <f t="shared" si="248"/>
        <v>50480</v>
      </c>
    </row>
    <row r="516" spans="2:19" x14ac:dyDescent="0.2">
      <c r="B516" s="7">
        <f t="shared" si="249"/>
        <v>9</v>
      </c>
      <c r="C516" s="19"/>
      <c r="D516" s="19"/>
      <c r="E516" s="19"/>
      <c r="F516" s="20"/>
      <c r="G516" s="21">
        <v>634</v>
      </c>
      <c r="H516" s="19" t="s">
        <v>449</v>
      </c>
      <c r="I516" s="22">
        <v>58</v>
      </c>
      <c r="J516" s="22"/>
      <c r="K516" s="22">
        <f t="shared" si="251"/>
        <v>58</v>
      </c>
      <c r="L516" s="22"/>
      <c r="M516" s="22"/>
      <c r="N516" s="22"/>
      <c r="O516" s="22">
        <f t="shared" si="253"/>
        <v>0</v>
      </c>
      <c r="P516" s="22"/>
      <c r="Q516" s="23">
        <f t="shared" si="247"/>
        <v>58</v>
      </c>
      <c r="R516" s="23">
        <f t="shared" si="248"/>
        <v>0</v>
      </c>
      <c r="S516" s="23">
        <f t="shared" si="248"/>
        <v>58</v>
      </c>
    </row>
    <row r="517" spans="2:19" x14ac:dyDescent="0.2">
      <c r="B517" s="7">
        <f t="shared" si="249"/>
        <v>10</v>
      </c>
      <c r="C517" s="19"/>
      <c r="D517" s="19"/>
      <c r="E517" s="19"/>
      <c r="F517" s="20"/>
      <c r="G517" s="21">
        <v>635</v>
      </c>
      <c r="H517" s="19" t="s">
        <v>130</v>
      </c>
      <c r="I517" s="22">
        <f>34350+2473</f>
        <v>36823</v>
      </c>
      <c r="J517" s="22"/>
      <c r="K517" s="22">
        <f t="shared" si="251"/>
        <v>36823</v>
      </c>
      <c r="L517" s="22"/>
      <c r="M517" s="22"/>
      <c r="N517" s="22"/>
      <c r="O517" s="22">
        <f t="shared" si="253"/>
        <v>0</v>
      </c>
      <c r="P517" s="22"/>
      <c r="Q517" s="23">
        <f t="shared" si="247"/>
        <v>36823</v>
      </c>
      <c r="R517" s="23">
        <f t="shared" si="248"/>
        <v>0</v>
      </c>
      <c r="S517" s="23">
        <f t="shared" si="248"/>
        <v>36823</v>
      </c>
    </row>
    <row r="518" spans="2:19" x14ac:dyDescent="0.2">
      <c r="B518" s="7">
        <f t="shared" si="249"/>
        <v>11</v>
      </c>
      <c r="C518" s="19"/>
      <c r="D518" s="19"/>
      <c r="E518" s="19"/>
      <c r="F518" s="20"/>
      <c r="G518" s="21">
        <v>636</v>
      </c>
      <c r="H518" s="19" t="s">
        <v>124</v>
      </c>
      <c r="I518" s="22">
        <v>14557</v>
      </c>
      <c r="J518" s="22"/>
      <c r="K518" s="22">
        <f t="shared" si="251"/>
        <v>14557</v>
      </c>
      <c r="L518" s="22"/>
      <c r="M518" s="22"/>
      <c r="N518" s="22"/>
      <c r="O518" s="22">
        <f t="shared" si="253"/>
        <v>0</v>
      </c>
      <c r="P518" s="22"/>
      <c r="Q518" s="23">
        <f t="shared" si="247"/>
        <v>14557</v>
      </c>
      <c r="R518" s="23">
        <f t="shared" si="248"/>
        <v>0</v>
      </c>
      <c r="S518" s="23">
        <f t="shared" si="248"/>
        <v>14557</v>
      </c>
    </row>
    <row r="519" spans="2:19" x14ac:dyDescent="0.2">
      <c r="B519" s="7">
        <f t="shared" si="249"/>
        <v>12</v>
      </c>
      <c r="C519" s="19"/>
      <c r="D519" s="19"/>
      <c r="E519" s="19"/>
      <c r="F519" s="20"/>
      <c r="G519" s="21">
        <v>637</v>
      </c>
      <c r="H519" s="19" t="s">
        <v>120</v>
      </c>
      <c r="I519" s="22">
        <f>52267-150</f>
        <v>52117</v>
      </c>
      <c r="J519" s="22"/>
      <c r="K519" s="22">
        <f t="shared" si="251"/>
        <v>52117</v>
      </c>
      <c r="L519" s="22"/>
      <c r="M519" s="22"/>
      <c r="N519" s="22"/>
      <c r="O519" s="22">
        <f t="shared" si="253"/>
        <v>0</v>
      </c>
      <c r="P519" s="22"/>
      <c r="Q519" s="23">
        <f t="shared" si="247"/>
        <v>52117</v>
      </c>
      <c r="R519" s="23">
        <f t="shared" si="248"/>
        <v>0</v>
      </c>
      <c r="S519" s="23">
        <f t="shared" si="248"/>
        <v>52117</v>
      </c>
    </row>
    <row r="520" spans="2:19" x14ac:dyDescent="0.2">
      <c r="B520" s="7">
        <f t="shared" si="249"/>
        <v>13</v>
      </c>
      <c r="C520" s="13"/>
      <c r="D520" s="13"/>
      <c r="E520" s="13"/>
      <c r="F520" s="14" t="s">
        <v>183</v>
      </c>
      <c r="G520" s="15">
        <v>640</v>
      </c>
      <c r="H520" s="13" t="s">
        <v>127</v>
      </c>
      <c r="I520" s="16">
        <v>22120</v>
      </c>
      <c r="J520" s="16"/>
      <c r="K520" s="16">
        <f t="shared" si="251"/>
        <v>22120</v>
      </c>
      <c r="L520" s="16"/>
      <c r="M520" s="16"/>
      <c r="N520" s="16"/>
      <c r="O520" s="16">
        <f t="shared" si="253"/>
        <v>0</v>
      </c>
      <c r="P520" s="16"/>
      <c r="Q520" s="18">
        <f t="shared" si="247"/>
        <v>22120</v>
      </c>
      <c r="R520" s="18">
        <f t="shared" si="248"/>
        <v>0</v>
      </c>
      <c r="S520" s="18">
        <f t="shared" si="248"/>
        <v>22120</v>
      </c>
    </row>
    <row r="521" spans="2:19" x14ac:dyDescent="0.2">
      <c r="B521" s="7">
        <f t="shared" si="249"/>
        <v>14</v>
      </c>
      <c r="C521" s="13"/>
      <c r="D521" s="13"/>
      <c r="E521" s="13"/>
      <c r="F521" s="14" t="s">
        <v>183</v>
      </c>
      <c r="G521" s="15">
        <v>630</v>
      </c>
      <c r="H521" s="13" t="s">
        <v>686</v>
      </c>
      <c r="I521" s="16">
        <v>6127</v>
      </c>
      <c r="J521" s="16"/>
      <c r="K521" s="16">
        <f t="shared" si="251"/>
        <v>6127</v>
      </c>
      <c r="L521" s="16"/>
      <c r="M521" s="16"/>
      <c r="N521" s="16"/>
      <c r="O521" s="16">
        <f t="shared" si="253"/>
        <v>0</v>
      </c>
      <c r="P521" s="16"/>
      <c r="Q521" s="18">
        <f t="shared" si="247"/>
        <v>6127</v>
      </c>
      <c r="R521" s="18">
        <f t="shared" si="248"/>
        <v>0</v>
      </c>
      <c r="S521" s="18">
        <f t="shared" si="248"/>
        <v>6127</v>
      </c>
    </row>
    <row r="522" spans="2:19" ht="15" x14ac:dyDescent="0.25">
      <c r="B522" s="7">
        <f t="shared" si="249"/>
        <v>15</v>
      </c>
      <c r="C522" s="108"/>
      <c r="D522" s="108"/>
      <c r="E522" s="108">
        <v>4</v>
      </c>
      <c r="F522" s="109"/>
      <c r="G522" s="109"/>
      <c r="H522" s="108" t="s">
        <v>82</v>
      </c>
      <c r="I522" s="110">
        <f>I523+I525+I540+I552+I568+I583+I595+I610+I628+I641+I657+I669+I685+I698+I710+I722</f>
        <v>6655431</v>
      </c>
      <c r="J522" s="110">
        <f t="shared" ref="J522" si="256">J523+J525+J540+J552+J568+J583+J595+J610+J628+J641+J657+J669+J685+J698+J710+J722</f>
        <v>0</v>
      </c>
      <c r="K522" s="110">
        <f t="shared" si="251"/>
        <v>6655431</v>
      </c>
      <c r="L522" s="321"/>
      <c r="M522" s="110">
        <f>M525+M540+M552+M568+M583+M595+M610+M628+M641+M657+M669+M685+M698+M710+M722</f>
        <v>301100</v>
      </c>
      <c r="N522" s="110">
        <f t="shared" ref="N522" si="257">N525+N540+N552+N568+N583+N595+N610+N628+N641+N657+N669+N685+N698+N710+N722</f>
        <v>0</v>
      </c>
      <c r="O522" s="110">
        <f t="shared" si="253"/>
        <v>301100</v>
      </c>
      <c r="P522" s="321"/>
      <c r="Q522" s="112">
        <f t="shared" si="247"/>
        <v>6956531</v>
      </c>
      <c r="R522" s="112">
        <f t="shared" si="248"/>
        <v>0</v>
      </c>
      <c r="S522" s="112">
        <f t="shared" si="248"/>
        <v>6956531</v>
      </c>
    </row>
    <row r="523" spans="2:19" x14ac:dyDescent="0.2">
      <c r="B523" s="7">
        <f t="shared" si="249"/>
        <v>16</v>
      </c>
      <c r="C523" s="13"/>
      <c r="D523" s="13"/>
      <c r="E523" s="13"/>
      <c r="F523" s="14" t="s">
        <v>183</v>
      </c>
      <c r="G523" s="15">
        <v>630</v>
      </c>
      <c r="H523" s="13" t="s">
        <v>119</v>
      </c>
      <c r="I523" s="16">
        <f>I524</f>
        <v>6200</v>
      </c>
      <c r="J523" s="16">
        <f t="shared" ref="J523" si="258">J524</f>
        <v>0</v>
      </c>
      <c r="K523" s="16">
        <f t="shared" si="251"/>
        <v>6200</v>
      </c>
      <c r="L523" s="16"/>
      <c r="M523" s="16"/>
      <c r="N523" s="16"/>
      <c r="O523" s="16">
        <f t="shared" si="253"/>
        <v>0</v>
      </c>
      <c r="P523" s="16"/>
      <c r="Q523" s="18">
        <f t="shared" si="247"/>
        <v>6200</v>
      </c>
      <c r="R523" s="18">
        <f t="shared" si="248"/>
        <v>0</v>
      </c>
      <c r="S523" s="18">
        <f t="shared" si="248"/>
        <v>6200</v>
      </c>
    </row>
    <row r="524" spans="2:19" x14ac:dyDescent="0.2">
      <c r="B524" s="7">
        <f t="shared" si="249"/>
        <v>17</v>
      </c>
      <c r="C524" s="19"/>
      <c r="D524" s="19"/>
      <c r="E524" s="19"/>
      <c r="F524" s="20"/>
      <c r="G524" s="21">
        <v>635</v>
      </c>
      <c r="H524" s="19" t="s">
        <v>130</v>
      </c>
      <c r="I524" s="22">
        <f>19400-8000-2500-2700</f>
        <v>6200</v>
      </c>
      <c r="J524" s="22"/>
      <c r="K524" s="22">
        <f t="shared" si="251"/>
        <v>6200</v>
      </c>
      <c r="L524" s="22"/>
      <c r="M524" s="22"/>
      <c r="N524" s="22"/>
      <c r="O524" s="22">
        <f t="shared" si="253"/>
        <v>0</v>
      </c>
      <c r="P524" s="22"/>
      <c r="Q524" s="23">
        <f t="shared" si="247"/>
        <v>6200</v>
      </c>
      <c r="R524" s="23">
        <f t="shared" ref="R524:S539" si="259">N524+J524</f>
        <v>0</v>
      </c>
      <c r="S524" s="23">
        <f t="shared" si="259"/>
        <v>6200</v>
      </c>
    </row>
    <row r="525" spans="2:19" x14ac:dyDescent="0.2">
      <c r="B525" s="7">
        <f t="shared" si="249"/>
        <v>18</v>
      </c>
      <c r="C525" s="119"/>
      <c r="D525" s="119"/>
      <c r="E525" s="119" t="s">
        <v>90</v>
      </c>
      <c r="F525" s="120"/>
      <c r="G525" s="120"/>
      <c r="H525" s="119" t="s">
        <v>66</v>
      </c>
      <c r="I525" s="121">
        <f>I526+I527+I528+I535+I536</f>
        <v>291674</v>
      </c>
      <c r="J525" s="121">
        <f t="shared" ref="J525" si="260">J526+J527+J528+J535+J536</f>
        <v>0</v>
      </c>
      <c r="K525" s="121">
        <f t="shared" si="251"/>
        <v>291674</v>
      </c>
      <c r="L525" s="16"/>
      <c r="M525" s="121">
        <f>M537</f>
        <v>128000</v>
      </c>
      <c r="N525" s="121">
        <f t="shared" ref="N525" si="261">N537</f>
        <v>0</v>
      </c>
      <c r="O525" s="121">
        <f t="shared" si="253"/>
        <v>128000</v>
      </c>
      <c r="P525" s="16"/>
      <c r="Q525" s="123">
        <f t="shared" si="247"/>
        <v>419674</v>
      </c>
      <c r="R525" s="123">
        <f t="shared" si="259"/>
        <v>0</v>
      </c>
      <c r="S525" s="123">
        <f t="shared" si="259"/>
        <v>419674</v>
      </c>
    </row>
    <row r="526" spans="2:19" x14ac:dyDescent="0.2">
      <c r="B526" s="7">
        <f t="shared" si="249"/>
        <v>19</v>
      </c>
      <c r="C526" s="13"/>
      <c r="D526" s="13"/>
      <c r="E526" s="13"/>
      <c r="F526" s="14" t="s">
        <v>183</v>
      </c>
      <c r="G526" s="15">
        <v>610</v>
      </c>
      <c r="H526" s="13" t="s">
        <v>511</v>
      </c>
      <c r="I526" s="16">
        <f>181364-10027</f>
        <v>171337</v>
      </c>
      <c r="J526" s="16"/>
      <c r="K526" s="16">
        <f t="shared" si="251"/>
        <v>171337</v>
      </c>
      <c r="L526" s="16"/>
      <c r="M526" s="16"/>
      <c r="N526" s="16"/>
      <c r="O526" s="16">
        <f t="shared" si="253"/>
        <v>0</v>
      </c>
      <c r="P526" s="16"/>
      <c r="Q526" s="18">
        <f t="shared" si="247"/>
        <v>171337</v>
      </c>
      <c r="R526" s="18">
        <f t="shared" si="259"/>
        <v>0</v>
      </c>
      <c r="S526" s="18">
        <f t="shared" si="259"/>
        <v>171337</v>
      </c>
    </row>
    <row r="527" spans="2:19" x14ac:dyDescent="0.2">
      <c r="B527" s="7">
        <f t="shared" si="249"/>
        <v>20</v>
      </c>
      <c r="C527" s="13"/>
      <c r="D527" s="13"/>
      <c r="E527" s="13"/>
      <c r="F527" s="14" t="s">
        <v>183</v>
      </c>
      <c r="G527" s="15">
        <v>620</v>
      </c>
      <c r="H527" s="13" t="s">
        <v>122</v>
      </c>
      <c r="I527" s="16">
        <f>69301-2226</f>
        <v>67075</v>
      </c>
      <c r="J527" s="16"/>
      <c r="K527" s="16">
        <f t="shared" si="251"/>
        <v>67075</v>
      </c>
      <c r="L527" s="16"/>
      <c r="M527" s="16"/>
      <c r="N527" s="16"/>
      <c r="O527" s="16">
        <f t="shared" si="253"/>
        <v>0</v>
      </c>
      <c r="P527" s="16"/>
      <c r="Q527" s="18">
        <f t="shared" si="247"/>
        <v>67075</v>
      </c>
      <c r="R527" s="18">
        <f t="shared" si="259"/>
        <v>0</v>
      </c>
      <c r="S527" s="18">
        <f t="shared" si="259"/>
        <v>67075</v>
      </c>
    </row>
    <row r="528" spans="2:19" x14ac:dyDescent="0.2">
      <c r="B528" s="7">
        <f t="shared" si="249"/>
        <v>21</v>
      </c>
      <c r="C528" s="13"/>
      <c r="D528" s="13"/>
      <c r="E528" s="13"/>
      <c r="F528" s="14" t="s">
        <v>183</v>
      </c>
      <c r="G528" s="15">
        <v>630</v>
      </c>
      <c r="H528" s="13" t="s">
        <v>119</v>
      </c>
      <c r="I528" s="16">
        <f>SUM(I529:I534)</f>
        <v>50928</v>
      </c>
      <c r="J528" s="16">
        <f t="shared" ref="J528" si="262">SUM(J529:J534)</f>
        <v>0</v>
      </c>
      <c r="K528" s="16">
        <f t="shared" si="251"/>
        <v>50928</v>
      </c>
      <c r="L528" s="16"/>
      <c r="M528" s="16"/>
      <c r="N528" s="16"/>
      <c r="O528" s="16">
        <f t="shared" si="253"/>
        <v>0</v>
      </c>
      <c r="P528" s="16"/>
      <c r="Q528" s="18">
        <f t="shared" si="247"/>
        <v>50928</v>
      </c>
      <c r="R528" s="18">
        <f t="shared" si="259"/>
        <v>0</v>
      </c>
      <c r="S528" s="18">
        <f t="shared" si="259"/>
        <v>50928</v>
      </c>
    </row>
    <row r="529" spans="2:19" x14ac:dyDescent="0.2">
      <c r="B529" s="7">
        <f t="shared" si="249"/>
        <v>22</v>
      </c>
      <c r="C529" s="19"/>
      <c r="D529" s="19"/>
      <c r="E529" s="19"/>
      <c r="F529" s="20"/>
      <c r="G529" s="21">
        <v>632</v>
      </c>
      <c r="H529" s="19" t="s">
        <v>131</v>
      </c>
      <c r="I529" s="22">
        <v>15152</v>
      </c>
      <c r="J529" s="22"/>
      <c r="K529" s="22">
        <f t="shared" si="251"/>
        <v>15152</v>
      </c>
      <c r="L529" s="22"/>
      <c r="M529" s="22"/>
      <c r="N529" s="22"/>
      <c r="O529" s="22">
        <f t="shared" si="253"/>
        <v>0</v>
      </c>
      <c r="P529" s="22"/>
      <c r="Q529" s="23">
        <f t="shared" si="247"/>
        <v>15152</v>
      </c>
      <c r="R529" s="23">
        <f t="shared" si="259"/>
        <v>0</v>
      </c>
      <c r="S529" s="23">
        <f t="shared" si="259"/>
        <v>15152</v>
      </c>
    </row>
    <row r="530" spans="2:19" x14ac:dyDescent="0.2">
      <c r="B530" s="7">
        <f t="shared" si="249"/>
        <v>23</v>
      </c>
      <c r="C530" s="19"/>
      <c r="D530" s="19"/>
      <c r="E530" s="19"/>
      <c r="F530" s="20"/>
      <c r="G530" s="21">
        <v>633</v>
      </c>
      <c r="H530" s="19" t="s">
        <v>123</v>
      </c>
      <c r="I530" s="22">
        <f>10946+450</f>
        <v>11396</v>
      </c>
      <c r="J530" s="22"/>
      <c r="K530" s="22">
        <f t="shared" si="251"/>
        <v>11396</v>
      </c>
      <c r="L530" s="22"/>
      <c r="M530" s="22"/>
      <c r="N530" s="22"/>
      <c r="O530" s="22">
        <f t="shared" si="253"/>
        <v>0</v>
      </c>
      <c r="P530" s="22"/>
      <c r="Q530" s="23">
        <f t="shared" si="247"/>
        <v>11396</v>
      </c>
      <c r="R530" s="23">
        <f t="shared" si="259"/>
        <v>0</v>
      </c>
      <c r="S530" s="23">
        <f t="shared" si="259"/>
        <v>11396</v>
      </c>
    </row>
    <row r="531" spans="2:19" x14ac:dyDescent="0.2">
      <c r="B531" s="7">
        <f t="shared" si="249"/>
        <v>24</v>
      </c>
      <c r="C531" s="19"/>
      <c r="D531" s="19"/>
      <c r="E531" s="19"/>
      <c r="F531" s="20"/>
      <c r="G531" s="21">
        <v>634</v>
      </c>
      <c r="H531" s="19" t="s">
        <v>129</v>
      </c>
      <c r="I531" s="22">
        <v>373</v>
      </c>
      <c r="J531" s="22"/>
      <c r="K531" s="22">
        <f t="shared" si="251"/>
        <v>373</v>
      </c>
      <c r="L531" s="22"/>
      <c r="M531" s="22"/>
      <c r="N531" s="22"/>
      <c r="O531" s="22">
        <f t="shared" si="253"/>
        <v>0</v>
      </c>
      <c r="P531" s="22"/>
      <c r="Q531" s="23">
        <f t="shared" si="247"/>
        <v>373</v>
      </c>
      <c r="R531" s="23">
        <f t="shared" si="259"/>
        <v>0</v>
      </c>
      <c r="S531" s="23">
        <f t="shared" si="259"/>
        <v>373</v>
      </c>
    </row>
    <row r="532" spans="2:19" x14ac:dyDescent="0.2">
      <c r="B532" s="7">
        <f t="shared" si="249"/>
        <v>25</v>
      </c>
      <c r="C532" s="19"/>
      <c r="D532" s="19"/>
      <c r="E532" s="19"/>
      <c r="F532" s="20"/>
      <c r="G532" s="21">
        <v>635</v>
      </c>
      <c r="H532" s="19" t="s">
        <v>130</v>
      </c>
      <c r="I532" s="22">
        <v>4810</v>
      </c>
      <c r="J532" s="22"/>
      <c r="K532" s="22">
        <f t="shared" si="251"/>
        <v>4810</v>
      </c>
      <c r="L532" s="22"/>
      <c r="M532" s="22"/>
      <c r="N532" s="22"/>
      <c r="O532" s="22">
        <f t="shared" si="253"/>
        <v>0</v>
      </c>
      <c r="P532" s="22"/>
      <c r="Q532" s="23">
        <f t="shared" si="247"/>
        <v>4810</v>
      </c>
      <c r="R532" s="23">
        <f t="shared" si="259"/>
        <v>0</v>
      </c>
      <c r="S532" s="23">
        <f t="shared" si="259"/>
        <v>4810</v>
      </c>
    </row>
    <row r="533" spans="2:19" x14ac:dyDescent="0.2">
      <c r="B533" s="7">
        <f t="shared" si="249"/>
        <v>26</v>
      </c>
      <c r="C533" s="19"/>
      <c r="D533" s="19"/>
      <c r="E533" s="19"/>
      <c r="F533" s="20"/>
      <c r="G533" s="21">
        <v>636</v>
      </c>
      <c r="H533" s="19" t="s">
        <v>124</v>
      </c>
      <c r="I533" s="22">
        <v>195</v>
      </c>
      <c r="J533" s="22"/>
      <c r="K533" s="22">
        <f t="shared" si="251"/>
        <v>195</v>
      </c>
      <c r="L533" s="22"/>
      <c r="M533" s="22"/>
      <c r="N533" s="22"/>
      <c r="O533" s="22">
        <f t="shared" si="253"/>
        <v>0</v>
      </c>
      <c r="P533" s="22"/>
      <c r="Q533" s="23">
        <f t="shared" si="247"/>
        <v>195</v>
      </c>
      <c r="R533" s="23">
        <f t="shared" si="259"/>
        <v>0</v>
      </c>
      <c r="S533" s="23">
        <f t="shared" si="259"/>
        <v>195</v>
      </c>
    </row>
    <row r="534" spans="2:19" x14ac:dyDescent="0.2">
      <c r="B534" s="7">
        <f t="shared" si="249"/>
        <v>27</v>
      </c>
      <c r="C534" s="19"/>
      <c r="D534" s="19"/>
      <c r="E534" s="19"/>
      <c r="F534" s="20"/>
      <c r="G534" s="21">
        <v>637</v>
      </c>
      <c r="H534" s="19" t="s">
        <v>120</v>
      </c>
      <c r="I534" s="22">
        <f>18702+300</f>
        <v>19002</v>
      </c>
      <c r="J534" s="22"/>
      <c r="K534" s="22">
        <f t="shared" si="251"/>
        <v>19002</v>
      </c>
      <c r="L534" s="22"/>
      <c r="M534" s="22"/>
      <c r="N534" s="22"/>
      <c r="O534" s="22">
        <f t="shared" si="253"/>
        <v>0</v>
      </c>
      <c r="P534" s="22"/>
      <c r="Q534" s="23">
        <f t="shared" si="247"/>
        <v>19002</v>
      </c>
      <c r="R534" s="23">
        <f t="shared" si="259"/>
        <v>0</v>
      </c>
      <c r="S534" s="23">
        <f t="shared" si="259"/>
        <v>19002</v>
      </c>
    </row>
    <row r="535" spans="2:19" x14ac:dyDescent="0.2">
      <c r="B535" s="7">
        <f t="shared" si="249"/>
        <v>28</v>
      </c>
      <c r="C535" s="13"/>
      <c r="D535" s="13"/>
      <c r="E535" s="13"/>
      <c r="F535" s="14"/>
      <c r="G535" s="15">
        <v>640</v>
      </c>
      <c r="H535" s="13" t="s">
        <v>127</v>
      </c>
      <c r="I535" s="16">
        <v>1549</v>
      </c>
      <c r="J535" s="16"/>
      <c r="K535" s="16">
        <f t="shared" si="251"/>
        <v>1549</v>
      </c>
      <c r="L535" s="16"/>
      <c r="M535" s="16"/>
      <c r="N535" s="16"/>
      <c r="O535" s="16">
        <f t="shared" si="253"/>
        <v>0</v>
      </c>
      <c r="P535" s="16"/>
      <c r="Q535" s="18">
        <f t="shared" si="247"/>
        <v>1549</v>
      </c>
      <c r="R535" s="18">
        <f t="shared" si="259"/>
        <v>0</v>
      </c>
      <c r="S535" s="18">
        <f t="shared" si="259"/>
        <v>1549</v>
      </c>
    </row>
    <row r="536" spans="2:19" x14ac:dyDescent="0.2">
      <c r="B536" s="7">
        <f t="shared" si="249"/>
        <v>29</v>
      </c>
      <c r="C536" s="13"/>
      <c r="D536" s="13"/>
      <c r="E536" s="13"/>
      <c r="F536" s="14" t="s">
        <v>183</v>
      </c>
      <c r="G536" s="15">
        <v>630</v>
      </c>
      <c r="H536" s="13" t="s">
        <v>686</v>
      </c>
      <c r="I536" s="16">
        <v>785</v>
      </c>
      <c r="J536" s="16"/>
      <c r="K536" s="16">
        <f t="shared" si="251"/>
        <v>785</v>
      </c>
      <c r="L536" s="16"/>
      <c r="M536" s="16"/>
      <c r="N536" s="16"/>
      <c r="O536" s="16">
        <f t="shared" si="253"/>
        <v>0</v>
      </c>
      <c r="P536" s="16"/>
      <c r="Q536" s="18">
        <f t="shared" si="247"/>
        <v>785</v>
      </c>
      <c r="R536" s="18">
        <f t="shared" si="259"/>
        <v>0</v>
      </c>
      <c r="S536" s="18">
        <f t="shared" si="259"/>
        <v>785</v>
      </c>
    </row>
    <row r="537" spans="2:19" x14ac:dyDescent="0.2">
      <c r="B537" s="7">
        <f t="shared" si="249"/>
        <v>30</v>
      </c>
      <c r="C537" s="13"/>
      <c r="D537" s="13"/>
      <c r="E537" s="13"/>
      <c r="F537" s="14"/>
      <c r="G537" s="15">
        <v>710</v>
      </c>
      <c r="H537" s="13" t="s">
        <v>171</v>
      </c>
      <c r="I537" s="16"/>
      <c r="J537" s="16"/>
      <c r="K537" s="16">
        <f t="shared" si="251"/>
        <v>0</v>
      </c>
      <c r="L537" s="16"/>
      <c r="M537" s="16">
        <f>M538</f>
        <v>128000</v>
      </c>
      <c r="N537" s="16">
        <f t="shared" ref="N537:N538" si="263">N538</f>
        <v>0</v>
      </c>
      <c r="O537" s="16">
        <f t="shared" si="253"/>
        <v>128000</v>
      </c>
      <c r="P537" s="16"/>
      <c r="Q537" s="18">
        <f t="shared" si="247"/>
        <v>128000</v>
      </c>
      <c r="R537" s="18">
        <f t="shared" si="259"/>
        <v>0</v>
      </c>
      <c r="S537" s="18">
        <f t="shared" si="259"/>
        <v>128000</v>
      </c>
    </row>
    <row r="538" spans="2:19" x14ac:dyDescent="0.2">
      <c r="B538" s="7">
        <f t="shared" si="249"/>
        <v>31</v>
      </c>
      <c r="C538" s="13"/>
      <c r="D538" s="13"/>
      <c r="E538" s="13"/>
      <c r="F538" s="14"/>
      <c r="G538" s="21">
        <v>717</v>
      </c>
      <c r="H538" s="19" t="s">
        <v>178</v>
      </c>
      <c r="I538" s="22"/>
      <c r="J538" s="22"/>
      <c r="K538" s="22">
        <f t="shared" si="251"/>
        <v>0</v>
      </c>
      <c r="L538" s="22"/>
      <c r="M538" s="22">
        <f>M539</f>
        <v>128000</v>
      </c>
      <c r="N538" s="22">
        <f t="shared" si="263"/>
        <v>0</v>
      </c>
      <c r="O538" s="22">
        <f t="shared" si="253"/>
        <v>128000</v>
      </c>
      <c r="P538" s="22"/>
      <c r="Q538" s="23">
        <f t="shared" si="247"/>
        <v>128000</v>
      </c>
      <c r="R538" s="23">
        <f t="shared" si="259"/>
        <v>0</v>
      </c>
      <c r="S538" s="23">
        <f t="shared" si="259"/>
        <v>128000</v>
      </c>
    </row>
    <row r="539" spans="2:19" x14ac:dyDescent="0.2">
      <c r="B539" s="7">
        <f t="shared" si="249"/>
        <v>32</v>
      </c>
      <c r="C539" s="13"/>
      <c r="D539" s="13"/>
      <c r="E539" s="13"/>
      <c r="F539" s="14"/>
      <c r="G539" s="25"/>
      <c r="H539" s="1" t="s">
        <v>603</v>
      </c>
      <c r="I539" s="26"/>
      <c r="J539" s="26"/>
      <c r="K539" s="26">
        <f t="shared" si="251"/>
        <v>0</v>
      </c>
      <c r="L539" s="26"/>
      <c r="M539" s="26">
        <v>128000</v>
      </c>
      <c r="N539" s="26"/>
      <c r="O539" s="26">
        <f t="shared" si="253"/>
        <v>128000</v>
      </c>
      <c r="P539" s="26"/>
      <c r="Q539" s="28">
        <f t="shared" si="247"/>
        <v>128000</v>
      </c>
      <c r="R539" s="28">
        <f t="shared" si="259"/>
        <v>0</v>
      </c>
      <c r="S539" s="28">
        <f t="shared" si="259"/>
        <v>128000</v>
      </c>
    </row>
    <row r="540" spans="2:19" x14ac:dyDescent="0.2">
      <c r="B540" s="7">
        <f t="shared" si="249"/>
        <v>33</v>
      </c>
      <c r="C540" s="119"/>
      <c r="D540" s="119"/>
      <c r="E540" s="119" t="s">
        <v>89</v>
      </c>
      <c r="F540" s="120"/>
      <c r="G540" s="120"/>
      <c r="H540" s="119" t="s">
        <v>223</v>
      </c>
      <c r="I540" s="121">
        <f>I550+I543+I542+I541+I551</f>
        <v>628225</v>
      </c>
      <c r="J540" s="121">
        <f t="shared" ref="J540" si="264">J550+J543+J542+J541+J551</f>
        <v>0</v>
      </c>
      <c r="K540" s="121">
        <f t="shared" si="251"/>
        <v>628225</v>
      </c>
      <c r="L540" s="16"/>
      <c r="M540" s="122"/>
      <c r="N540" s="122"/>
      <c r="O540" s="122">
        <f t="shared" si="253"/>
        <v>0</v>
      </c>
      <c r="P540" s="17"/>
      <c r="Q540" s="123">
        <f t="shared" si="247"/>
        <v>628225</v>
      </c>
      <c r="R540" s="123">
        <f t="shared" ref="R540:S555" si="265">N540+J540</f>
        <v>0</v>
      </c>
      <c r="S540" s="123">
        <f t="shared" si="265"/>
        <v>628225</v>
      </c>
    </row>
    <row r="541" spans="2:19" x14ac:dyDescent="0.2">
      <c r="B541" s="7">
        <f t="shared" si="249"/>
        <v>34</v>
      </c>
      <c r="C541" s="13"/>
      <c r="D541" s="13"/>
      <c r="E541" s="13"/>
      <c r="F541" s="14" t="s">
        <v>183</v>
      </c>
      <c r="G541" s="15">
        <v>610</v>
      </c>
      <c r="H541" s="13" t="s">
        <v>511</v>
      </c>
      <c r="I541" s="16">
        <f>333624+100+17669</f>
        <v>351393</v>
      </c>
      <c r="J541" s="16"/>
      <c r="K541" s="16">
        <f t="shared" si="251"/>
        <v>351393</v>
      </c>
      <c r="L541" s="16"/>
      <c r="M541" s="16"/>
      <c r="N541" s="16"/>
      <c r="O541" s="16">
        <f t="shared" si="253"/>
        <v>0</v>
      </c>
      <c r="P541" s="16"/>
      <c r="Q541" s="18">
        <f t="shared" si="247"/>
        <v>351393</v>
      </c>
      <c r="R541" s="18">
        <f t="shared" si="265"/>
        <v>0</v>
      </c>
      <c r="S541" s="18">
        <f t="shared" si="265"/>
        <v>351393</v>
      </c>
    </row>
    <row r="542" spans="2:19" x14ac:dyDescent="0.2">
      <c r="B542" s="7">
        <f t="shared" si="249"/>
        <v>35</v>
      </c>
      <c r="C542" s="13"/>
      <c r="D542" s="13"/>
      <c r="E542" s="13"/>
      <c r="F542" s="14" t="s">
        <v>183</v>
      </c>
      <c r="G542" s="15">
        <v>620</v>
      </c>
      <c r="H542" s="13" t="s">
        <v>122</v>
      </c>
      <c r="I542" s="16">
        <f>132371+35-2739</f>
        <v>129667</v>
      </c>
      <c r="J542" s="16"/>
      <c r="K542" s="16">
        <f t="shared" si="251"/>
        <v>129667</v>
      </c>
      <c r="L542" s="16"/>
      <c r="M542" s="16"/>
      <c r="N542" s="16"/>
      <c r="O542" s="16">
        <f t="shared" si="253"/>
        <v>0</v>
      </c>
      <c r="P542" s="16"/>
      <c r="Q542" s="18">
        <f t="shared" si="247"/>
        <v>129667</v>
      </c>
      <c r="R542" s="18">
        <f t="shared" si="265"/>
        <v>0</v>
      </c>
      <c r="S542" s="18">
        <f t="shared" si="265"/>
        <v>129667</v>
      </c>
    </row>
    <row r="543" spans="2:19" x14ac:dyDescent="0.2">
      <c r="B543" s="7">
        <f t="shared" si="249"/>
        <v>36</v>
      </c>
      <c r="C543" s="13"/>
      <c r="D543" s="13"/>
      <c r="E543" s="13"/>
      <c r="F543" s="14" t="s">
        <v>183</v>
      </c>
      <c r="G543" s="15">
        <v>630</v>
      </c>
      <c r="H543" s="13" t="s">
        <v>119</v>
      </c>
      <c r="I543" s="16">
        <f>SUM(I544:I549)</f>
        <v>126985</v>
      </c>
      <c r="J543" s="16">
        <f t="shared" ref="J543" si="266">SUM(J544:J549)</f>
        <v>0</v>
      </c>
      <c r="K543" s="16">
        <f t="shared" si="251"/>
        <v>126985</v>
      </c>
      <c r="L543" s="16"/>
      <c r="M543" s="16"/>
      <c r="N543" s="16"/>
      <c r="O543" s="16">
        <f t="shared" si="253"/>
        <v>0</v>
      </c>
      <c r="P543" s="16"/>
      <c r="Q543" s="18">
        <f t="shared" si="247"/>
        <v>126985</v>
      </c>
      <c r="R543" s="18">
        <f t="shared" si="265"/>
        <v>0</v>
      </c>
      <c r="S543" s="18">
        <f t="shared" si="265"/>
        <v>126985</v>
      </c>
    </row>
    <row r="544" spans="2:19" x14ac:dyDescent="0.2">
      <c r="B544" s="7">
        <f t="shared" si="249"/>
        <v>37</v>
      </c>
      <c r="C544" s="19"/>
      <c r="D544" s="19"/>
      <c r="E544" s="19"/>
      <c r="F544" s="20"/>
      <c r="G544" s="21">
        <v>632</v>
      </c>
      <c r="H544" s="19" t="s">
        <v>131</v>
      </c>
      <c r="I544" s="22">
        <v>28270</v>
      </c>
      <c r="J544" s="22"/>
      <c r="K544" s="22">
        <f t="shared" si="251"/>
        <v>28270</v>
      </c>
      <c r="L544" s="22"/>
      <c r="M544" s="22"/>
      <c r="N544" s="22"/>
      <c r="O544" s="22">
        <f t="shared" si="253"/>
        <v>0</v>
      </c>
      <c r="P544" s="22"/>
      <c r="Q544" s="23">
        <f t="shared" si="247"/>
        <v>28270</v>
      </c>
      <c r="R544" s="23">
        <f t="shared" si="265"/>
        <v>0</v>
      </c>
      <c r="S544" s="23">
        <f t="shared" si="265"/>
        <v>28270</v>
      </c>
    </row>
    <row r="545" spans="2:19" x14ac:dyDescent="0.2">
      <c r="B545" s="7">
        <f t="shared" si="249"/>
        <v>38</v>
      </c>
      <c r="C545" s="19"/>
      <c r="D545" s="19"/>
      <c r="E545" s="19"/>
      <c r="F545" s="20"/>
      <c r="G545" s="21">
        <v>633</v>
      </c>
      <c r="H545" s="19" t="s">
        <v>123</v>
      </c>
      <c r="I545" s="22">
        <f>29634+9600-4000</f>
        <v>35234</v>
      </c>
      <c r="J545" s="22"/>
      <c r="K545" s="22">
        <f t="shared" si="251"/>
        <v>35234</v>
      </c>
      <c r="L545" s="22"/>
      <c r="M545" s="22"/>
      <c r="N545" s="22"/>
      <c r="O545" s="22">
        <f t="shared" si="253"/>
        <v>0</v>
      </c>
      <c r="P545" s="22"/>
      <c r="Q545" s="23">
        <f t="shared" si="247"/>
        <v>35234</v>
      </c>
      <c r="R545" s="23">
        <f t="shared" si="265"/>
        <v>0</v>
      </c>
      <c r="S545" s="23">
        <f t="shared" si="265"/>
        <v>35234</v>
      </c>
    </row>
    <row r="546" spans="2:19" x14ac:dyDescent="0.2">
      <c r="B546" s="7">
        <f t="shared" si="249"/>
        <v>39</v>
      </c>
      <c r="C546" s="19"/>
      <c r="D546" s="19"/>
      <c r="E546" s="19"/>
      <c r="F546" s="20"/>
      <c r="G546" s="21">
        <v>634</v>
      </c>
      <c r="H546" s="19" t="s">
        <v>129</v>
      </c>
      <c r="I546" s="22">
        <v>541</v>
      </c>
      <c r="J546" s="22"/>
      <c r="K546" s="22">
        <f t="shared" si="251"/>
        <v>541</v>
      </c>
      <c r="L546" s="22"/>
      <c r="M546" s="22"/>
      <c r="N546" s="22"/>
      <c r="O546" s="22">
        <f t="shared" si="253"/>
        <v>0</v>
      </c>
      <c r="P546" s="22"/>
      <c r="Q546" s="23">
        <f t="shared" si="247"/>
        <v>541</v>
      </c>
      <c r="R546" s="23">
        <f t="shared" si="265"/>
        <v>0</v>
      </c>
      <c r="S546" s="23">
        <f t="shared" si="265"/>
        <v>541</v>
      </c>
    </row>
    <row r="547" spans="2:19" x14ac:dyDescent="0.2">
      <c r="B547" s="7">
        <f t="shared" si="249"/>
        <v>40</v>
      </c>
      <c r="C547" s="19"/>
      <c r="D547" s="19"/>
      <c r="E547" s="19"/>
      <c r="F547" s="20"/>
      <c r="G547" s="21">
        <v>635</v>
      </c>
      <c r="H547" s="19" t="s">
        <v>130</v>
      </c>
      <c r="I547" s="22">
        <f>10940+10000+4000</f>
        <v>24940</v>
      </c>
      <c r="J547" s="22"/>
      <c r="K547" s="22">
        <f t="shared" si="251"/>
        <v>24940</v>
      </c>
      <c r="L547" s="22"/>
      <c r="M547" s="22"/>
      <c r="N547" s="22"/>
      <c r="O547" s="22">
        <f t="shared" si="253"/>
        <v>0</v>
      </c>
      <c r="P547" s="22"/>
      <c r="Q547" s="23">
        <f t="shared" si="247"/>
        <v>24940</v>
      </c>
      <c r="R547" s="23">
        <f t="shared" si="265"/>
        <v>0</v>
      </c>
      <c r="S547" s="23">
        <f t="shared" si="265"/>
        <v>24940</v>
      </c>
    </row>
    <row r="548" spans="2:19" x14ac:dyDescent="0.2">
      <c r="B548" s="7">
        <f t="shared" si="249"/>
        <v>41</v>
      </c>
      <c r="C548" s="19"/>
      <c r="D548" s="19"/>
      <c r="E548" s="19"/>
      <c r="F548" s="20"/>
      <c r="G548" s="21">
        <v>636</v>
      </c>
      <c r="H548" s="19" t="s">
        <v>124</v>
      </c>
      <c r="I548" s="22">
        <v>350</v>
      </c>
      <c r="J548" s="22"/>
      <c r="K548" s="22">
        <f t="shared" si="251"/>
        <v>350</v>
      </c>
      <c r="L548" s="22"/>
      <c r="M548" s="22"/>
      <c r="N548" s="22"/>
      <c r="O548" s="22">
        <f t="shared" si="253"/>
        <v>0</v>
      </c>
      <c r="P548" s="22"/>
      <c r="Q548" s="23">
        <f t="shared" si="247"/>
        <v>350</v>
      </c>
      <c r="R548" s="23">
        <f t="shared" si="265"/>
        <v>0</v>
      </c>
      <c r="S548" s="23">
        <f t="shared" si="265"/>
        <v>350</v>
      </c>
    </row>
    <row r="549" spans="2:19" x14ac:dyDescent="0.2">
      <c r="B549" s="7">
        <f t="shared" si="249"/>
        <v>42</v>
      </c>
      <c r="C549" s="19"/>
      <c r="D549" s="19"/>
      <c r="E549" s="19"/>
      <c r="F549" s="20"/>
      <c r="G549" s="21">
        <v>637</v>
      </c>
      <c r="H549" s="19" t="s">
        <v>120</v>
      </c>
      <c r="I549" s="22">
        <f>37200+450</f>
        <v>37650</v>
      </c>
      <c r="J549" s="22"/>
      <c r="K549" s="22">
        <f t="shared" si="251"/>
        <v>37650</v>
      </c>
      <c r="L549" s="22"/>
      <c r="M549" s="22"/>
      <c r="N549" s="22"/>
      <c r="O549" s="22">
        <f t="shared" si="253"/>
        <v>0</v>
      </c>
      <c r="P549" s="22"/>
      <c r="Q549" s="23">
        <f t="shared" si="247"/>
        <v>37650</v>
      </c>
      <c r="R549" s="23">
        <f t="shared" si="265"/>
        <v>0</v>
      </c>
      <c r="S549" s="23">
        <f t="shared" si="265"/>
        <v>37650</v>
      </c>
    </row>
    <row r="550" spans="2:19" x14ac:dyDescent="0.2">
      <c r="B550" s="7">
        <f t="shared" si="249"/>
        <v>43</v>
      </c>
      <c r="C550" s="13"/>
      <c r="D550" s="13"/>
      <c r="E550" s="13"/>
      <c r="F550" s="14" t="s">
        <v>183</v>
      </c>
      <c r="G550" s="15">
        <v>640</v>
      </c>
      <c r="H550" s="13" t="s">
        <v>127</v>
      </c>
      <c r="I550" s="16">
        <v>16252</v>
      </c>
      <c r="J550" s="16"/>
      <c r="K550" s="16">
        <f t="shared" si="251"/>
        <v>16252</v>
      </c>
      <c r="L550" s="16"/>
      <c r="M550" s="16"/>
      <c r="N550" s="16"/>
      <c r="O550" s="16">
        <f t="shared" si="253"/>
        <v>0</v>
      </c>
      <c r="P550" s="16"/>
      <c r="Q550" s="18">
        <f t="shared" si="247"/>
        <v>16252</v>
      </c>
      <c r="R550" s="18">
        <f t="shared" si="265"/>
        <v>0</v>
      </c>
      <c r="S550" s="18">
        <f t="shared" si="265"/>
        <v>16252</v>
      </c>
    </row>
    <row r="551" spans="2:19" x14ac:dyDescent="0.2">
      <c r="B551" s="7">
        <f t="shared" si="249"/>
        <v>44</v>
      </c>
      <c r="C551" s="13"/>
      <c r="D551" s="13"/>
      <c r="E551" s="13"/>
      <c r="F551" s="14" t="s">
        <v>183</v>
      </c>
      <c r="G551" s="15">
        <v>630</v>
      </c>
      <c r="H551" s="13" t="s">
        <v>686</v>
      </c>
      <c r="I551" s="16">
        <v>3928</v>
      </c>
      <c r="J551" s="16"/>
      <c r="K551" s="16">
        <f t="shared" si="251"/>
        <v>3928</v>
      </c>
      <c r="L551" s="16"/>
      <c r="M551" s="16"/>
      <c r="N551" s="16"/>
      <c r="O551" s="16">
        <f t="shared" si="253"/>
        <v>0</v>
      </c>
      <c r="P551" s="16"/>
      <c r="Q551" s="18">
        <f t="shared" si="247"/>
        <v>3928</v>
      </c>
      <c r="R551" s="18">
        <f t="shared" si="265"/>
        <v>0</v>
      </c>
      <c r="S551" s="18">
        <f t="shared" si="265"/>
        <v>3928</v>
      </c>
    </row>
    <row r="552" spans="2:19" x14ac:dyDescent="0.2">
      <c r="B552" s="7">
        <f t="shared" si="249"/>
        <v>45</v>
      </c>
      <c r="C552" s="119"/>
      <c r="D552" s="119"/>
      <c r="E552" s="119" t="s">
        <v>85</v>
      </c>
      <c r="F552" s="120"/>
      <c r="G552" s="120"/>
      <c r="H552" s="119" t="s">
        <v>65</v>
      </c>
      <c r="I552" s="121">
        <f>I563+I555+I554+I553+I564</f>
        <v>332119</v>
      </c>
      <c r="J552" s="121">
        <f t="shared" ref="J552" si="267">J563+J555+J554+J553+J564</f>
        <v>0</v>
      </c>
      <c r="K552" s="121">
        <f t="shared" si="251"/>
        <v>332119</v>
      </c>
      <c r="L552" s="16"/>
      <c r="M552" s="121">
        <f>M565</f>
        <v>17000</v>
      </c>
      <c r="N552" s="121">
        <f t="shared" ref="N552" si="268">N565</f>
        <v>0</v>
      </c>
      <c r="O552" s="121">
        <f t="shared" si="253"/>
        <v>17000</v>
      </c>
      <c r="P552" s="16"/>
      <c r="Q552" s="123">
        <f t="shared" si="247"/>
        <v>349119</v>
      </c>
      <c r="R552" s="123">
        <f t="shared" si="265"/>
        <v>0</v>
      </c>
      <c r="S552" s="123">
        <f t="shared" si="265"/>
        <v>349119</v>
      </c>
    </row>
    <row r="553" spans="2:19" x14ac:dyDescent="0.2">
      <c r="B553" s="7">
        <f t="shared" si="249"/>
        <v>46</v>
      </c>
      <c r="C553" s="13"/>
      <c r="D553" s="13"/>
      <c r="E553" s="13"/>
      <c r="F553" s="14" t="s">
        <v>183</v>
      </c>
      <c r="G553" s="15">
        <v>610</v>
      </c>
      <c r="H553" s="13" t="s">
        <v>511</v>
      </c>
      <c r="I553" s="16">
        <f>172660+100+12882</f>
        <v>185642</v>
      </c>
      <c r="J553" s="16"/>
      <c r="K553" s="16">
        <f t="shared" si="251"/>
        <v>185642</v>
      </c>
      <c r="L553" s="16"/>
      <c r="M553" s="16"/>
      <c r="N553" s="16"/>
      <c r="O553" s="16">
        <f t="shared" si="253"/>
        <v>0</v>
      </c>
      <c r="P553" s="16"/>
      <c r="Q553" s="18">
        <f t="shared" si="247"/>
        <v>185642</v>
      </c>
      <c r="R553" s="18">
        <f t="shared" si="265"/>
        <v>0</v>
      </c>
      <c r="S553" s="18">
        <f t="shared" si="265"/>
        <v>185642</v>
      </c>
    </row>
    <row r="554" spans="2:19" x14ac:dyDescent="0.2">
      <c r="B554" s="7">
        <f t="shared" si="249"/>
        <v>47</v>
      </c>
      <c r="C554" s="13"/>
      <c r="D554" s="13"/>
      <c r="E554" s="13"/>
      <c r="F554" s="14" t="s">
        <v>183</v>
      </c>
      <c r="G554" s="15">
        <v>620</v>
      </c>
      <c r="H554" s="13" t="s">
        <v>122</v>
      </c>
      <c r="I554" s="16">
        <f>65647+35+2862</f>
        <v>68544</v>
      </c>
      <c r="J554" s="16"/>
      <c r="K554" s="16">
        <f t="shared" si="251"/>
        <v>68544</v>
      </c>
      <c r="L554" s="16"/>
      <c r="M554" s="16"/>
      <c r="N554" s="16"/>
      <c r="O554" s="16">
        <f t="shared" si="253"/>
        <v>0</v>
      </c>
      <c r="P554" s="16"/>
      <c r="Q554" s="18">
        <f t="shared" si="247"/>
        <v>68544</v>
      </c>
      <c r="R554" s="18">
        <f t="shared" si="265"/>
        <v>0</v>
      </c>
      <c r="S554" s="18">
        <f t="shared" si="265"/>
        <v>68544</v>
      </c>
    </row>
    <row r="555" spans="2:19" x14ac:dyDescent="0.2">
      <c r="B555" s="7">
        <f t="shared" si="249"/>
        <v>48</v>
      </c>
      <c r="C555" s="13"/>
      <c r="D555" s="13"/>
      <c r="E555" s="13"/>
      <c r="F555" s="14" t="s">
        <v>183</v>
      </c>
      <c r="G555" s="15">
        <v>630</v>
      </c>
      <c r="H555" s="13" t="s">
        <v>119</v>
      </c>
      <c r="I555" s="16">
        <f>SUM(I556:I562)</f>
        <v>70966</v>
      </c>
      <c r="J555" s="16">
        <f t="shared" ref="J555" si="269">SUM(J556:J562)</f>
        <v>0</v>
      </c>
      <c r="K555" s="16">
        <f t="shared" si="251"/>
        <v>70966</v>
      </c>
      <c r="L555" s="16"/>
      <c r="M555" s="16"/>
      <c r="N555" s="16"/>
      <c r="O555" s="16">
        <f t="shared" si="253"/>
        <v>0</v>
      </c>
      <c r="P555" s="16"/>
      <c r="Q555" s="18">
        <f t="shared" si="247"/>
        <v>70966</v>
      </c>
      <c r="R555" s="18">
        <f t="shared" si="265"/>
        <v>0</v>
      </c>
      <c r="S555" s="18">
        <f t="shared" si="265"/>
        <v>70966</v>
      </c>
    </row>
    <row r="556" spans="2:19" x14ac:dyDescent="0.2">
      <c r="B556" s="7">
        <f t="shared" si="249"/>
        <v>49</v>
      </c>
      <c r="C556" s="13"/>
      <c r="D556" s="13"/>
      <c r="E556" s="13"/>
      <c r="F556" s="14"/>
      <c r="G556" s="21">
        <v>631</v>
      </c>
      <c r="H556" s="19" t="s">
        <v>125</v>
      </c>
      <c r="I556" s="22">
        <v>30</v>
      </c>
      <c r="J556" s="22"/>
      <c r="K556" s="22">
        <f t="shared" si="251"/>
        <v>30</v>
      </c>
      <c r="L556" s="22"/>
      <c r="M556" s="22"/>
      <c r="N556" s="22"/>
      <c r="O556" s="22">
        <f t="shared" si="253"/>
        <v>0</v>
      </c>
      <c r="P556" s="22"/>
      <c r="Q556" s="23">
        <f t="shared" si="247"/>
        <v>30</v>
      </c>
      <c r="R556" s="23">
        <f t="shared" ref="R556:S571" si="270">N556+J556</f>
        <v>0</v>
      </c>
      <c r="S556" s="23">
        <f t="shared" si="270"/>
        <v>30</v>
      </c>
    </row>
    <row r="557" spans="2:19" x14ac:dyDescent="0.2">
      <c r="B557" s="7">
        <f t="shared" si="249"/>
        <v>50</v>
      </c>
      <c r="C557" s="19"/>
      <c r="D557" s="19"/>
      <c r="E557" s="19"/>
      <c r="F557" s="20"/>
      <c r="G557" s="21">
        <v>632</v>
      </c>
      <c r="H557" s="19" t="s">
        <v>131</v>
      </c>
      <c r="I557" s="22">
        <v>15760</v>
      </c>
      <c r="J557" s="22"/>
      <c r="K557" s="22">
        <f t="shared" si="251"/>
        <v>15760</v>
      </c>
      <c r="L557" s="22"/>
      <c r="M557" s="22"/>
      <c r="N557" s="22"/>
      <c r="O557" s="22">
        <f t="shared" si="253"/>
        <v>0</v>
      </c>
      <c r="P557" s="22"/>
      <c r="Q557" s="23">
        <f t="shared" si="247"/>
        <v>15760</v>
      </c>
      <c r="R557" s="23">
        <f t="shared" si="270"/>
        <v>0</v>
      </c>
      <c r="S557" s="23">
        <f t="shared" si="270"/>
        <v>15760</v>
      </c>
    </row>
    <row r="558" spans="2:19" x14ac:dyDescent="0.2">
      <c r="B558" s="7">
        <f t="shared" si="249"/>
        <v>51</v>
      </c>
      <c r="C558" s="19"/>
      <c r="D558" s="19"/>
      <c r="E558" s="19"/>
      <c r="F558" s="20"/>
      <c r="G558" s="21">
        <v>633</v>
      </c>
      <c r="H558" s="19" t="s">
        <v>123</v>
      </c>
      <c r="I558" s="22">
        <f>22772-30</f>
        <v>22742</v>
      </c>
      <c r="J558" s="22"/>
      <c r="K558" s="22">
        <f t="shared" si="251"/>
        <v>22742</v>
      </c>
      <c r="L558" s="22"/>
      <c r="M558" s="22"/>
      <c r="N558" s="22"/>
      <c r="O558" s="22">
        <f t="shared" si="253"/>
        <v>0</v>
      </c>
      <c r="P558" s="22"/>
      <c r="Q558" s="23">
        <f t="shared" si="247"/>
        <v>22742</v>
      </c>
      <c r="R558" s="23">
        <f t="shared" si="270"/>
        <v>0</v>
      </c>
      <c r="S558" s="23">
        <f t="shared" si="270"/>
        <v>22742</v>
      </c>
    </row>
    <row r="559" spans="2:19" x14ac:dyDescent="0.2">
      <c r="B559" s="7">
        <f t="shared" si="249"/>
        <v>52</v>
      </c>
      <c r="C559" s="19"/>
      <c r="D559" s="19"/>
      <c r="E559" s="19"/>
      <c r="F559" s="20"/>
      <c r="G559" s="21">
        <v>634</v>
      </c>
      <c r="H559" s="19" t="s">
        <v>129</v>
      </c>
      <c r="I559" s="22">
        <v>270</v>
      </c>
      <c r="J559" s="22"/>
      <c r="K559" s="22">
        <f t="shared" si="251"/>
        <v>270</v>
      </c>
      <c r="L559" s="22"/>
      <c r="M559" s="22"/>
      <c r="N559" s="22"/>
      <c r="O559" s="22">
        <f t="shared" si="253"/>
        <v>0</v>
      </c>
      <c r="P559" s="22"/>
      <c r="Q559" s="23">
        <f t="shared" si="247"/>
        <v>270</v>
      </c>
      <c r="R559" s="23">
        <f t="shared" si="270"/>
        <v>0</v>
      </c>
      <c r="S559" s="23">
        <f t="shared" si="270"/>
        <v>270</v>
      </c>
    </row>
    <row r="560" spans="2:19" x14ac:dyDescent="0.2">
      <c r="B560" s="7">
        <f t="shared" si="249"/>
        <v>53</v>
      </c>
      <c r="C560" s="19"/>
      <c r="D560" s="19"/>
      <c r="E560" s="19"/>
      <c r="F560" s="20"/>
      <c r="G560" s="21">
        <v>635</v>
      </c>
      <c r="H560" s="19" t="s">
        <v>130</v>
      </c>
      <c r="I560" s="22">
        <v>14240</v>
      </c>
      <c r="J560" s="22"/>
      <c r="K560" s="22">
        <f t="shared" si="251"/>
        <v>14240</v>
      </c>
      <c r="L560" s="22"/>
      <c r="M560" s="22"/>
      <c r="N560" s="22"/>
      <c r="O560" s="22">
        <f t="shared" si="253"/>
        <v>0</v>
      </c>
      <c r="P560" s="22"/>
      <c r="Q560" s="23">
        <f t="shared" si="247"/>
        <v>14240</v>
      </c>
      <c r="R560" s="23">
        <f t="shared" si="270"/>
        <v>0</v>
      </c>
      <c r="S560" s="23">
        <f t="shared" si="270"/>
        <v>14240</v>
      </c>
    </row>
    <row r="561" spans="2:19" x14ac:dyDescent="0.2">
      <c r="B561" s="7">
        <f t="shared" si="249"/>
        <v>54</v>
      </c>
      <c r="C561" s="19"/>
      <c r="D561" s="19"/>
      <c r="E561" s="19"/>
      <c r="F561" s="20"/>
      <c r="G561" s="21">
        <v>636</v>
      </c>
      <c r="H561" s="19" t="s">
        <v>124</v>
      </c>
      <c r="I561" s="22">
        <v>174</v>
      </c>
      <c r="J561" s="22"/>
      <c r="K561" s="22">
        <f t="shared" si="251"/>
        <v>174</v>
      </c>
      <c r="L561" s="22"/>
      <c r="M561" s="22"/>
      <c r="N561" s="22"/>
      <c r="O561" s="22">
        <f t="shared" si="253"/>
        <v>0</v>
      </c>
      <c r="P561" s="22"/>
      <c r="Q561" s="23">
        <f t="shared" si="247"/>
        <v>174</v>
      </c>
      <c r="R561" s="23">
        <f t="shared" si="270"/>
        <v>0</v>
      </c>
      <c r="S561" s="23">
        <f t="shared" si="270"/>
        <v>174</v>
      </c>
    </row>
    <row r="562" spans="2:19" x14ac:dyDescent="0.2">
      <c r="B562" s="7">
        <f t="shared" si="249"/>
        <v>55</v>
      </c>
      <c r="C562" s="19"/>
      <c r="D562" s="19"/>
      <c r="E562" s="19"/>
      <c r="F562" s="20"/>
      <c r="G562" s="21">
        <v>637</v>
      </c>
      <c r="H562" s="19" t="s">
        <v>120</v>
      </c>
      <c r="I562" s="22">
        <v>17750</v>
      </c>
      <c r="J562" s="22"/>
      <c r="K562" s="22">
        <f t="shared" si="251"/>
        <v>17750</v>
      </c>
      <c r="L562" s="22"/>
      <c r="M562" s="22"/>
      <c r="N562" s="22"/>
      <c r="O562" s="22">
        <f t="shared" si="253"/>
        <v>0</v>
      </c>
      <c r="P562" s="22"/>
      <c r="Q562" s="23">
        <f t="shared" si="247"/>
        <v>17750</v>
      </c>
      <c r="R562" s="23">
        <f t="shared" si="270"/>
        <v>0</v>
      </c>
      <c r="S562" s="23">
        <f t="shared" si="270"/>
        <v>17750</v>
      </c>
    </row>
    <row r="563" spans="2:19" x14ac:dyDescent="0.2">
      <c r="B563" s="7">
        <f t="shared" si="249"/>
        <v>56</v>
      </c>
      <c r="C563" s="13"/>
      <c r="D563" s="13"/>
      <c r="E563" s="13"/>
      <c r="F563" s="14" t="s">
        <v>183</v>
      </c>
      <c r="G563" s="15">
        <v>640</v>
      </c>
      <c r="H563" s="13" t="s">
        <v>127</v>
      </c>
      <c r="I563" s="16">
        <v>636</v>
      </c>
      <c r="J563" s="16"/>
      <c r="K563" s="16">
        <f t="shared" si="251"/>
        <v>636</v>
      </c>
      <c r="L563" s="16"/>
      <c r="M563" s="16"/>
      <c r="N563" s="16"/>
      <c r="O563" s="16">
        <f t="shared" si="253"/>
        <v>0</v>
      </c>
      <c r="P563" s="16"/>
      <c r="Q563" s="18">
        <f t="shared" si="247"/>
        <v>636</v>
      </c>
      <c r="R563" s="18">
        <f t="shared" si="270"/>
        <v>0</v>
      </c>
      <c r="S563" s="18">
        <f t="shared" si="270"/>
        <v>636</v>
      </c>
    </row>
    <row r="564" spans="2:19" x14ac:dyDescent="0.2">
      <c r="B564" s="7">
        <f t="shared" si="249"/>
        <v>57</v>
      </c>
      <c r="C564" s="13"/>
      <c r="D564" s="13"/>
      <c r="E564" s="13"/>
      <c r="F564" s="14" t="s">
        <v>183</v>
      </c>
      <c r="G564" s="15">
        <v>630</v>
      </c>
      <c r="H564" s="13" t="s">
        <v>686</v>
      </c>
      <c r="I564" s="16">
        <v>6331</v>
      </c>
      <c r="J564" s="16"/>
      <c r="K564" s="16">
        <f t="shared" si="251"/>
        <v>6331</v>
      </c>
      <c r="L564" s="16"/>
      <c r="M564" s="16"/>
      <c r="N564" s="16"/>
      <c r="O564" s="16">
        <f t="shared" si="253"/>
        <v>0</v>
      </c>
      <c r="P564" s="16"/>
      <c r="Q564" s="18">
        <f t="shared" si="247"/>
        <v>6331</v>
      </c>
      <c r="R564" s="18">
        <f t="shared" si="270"/>
        <v>0</v>
      </c>
      <c r="S564" s="18">
        <f t="shared" si="270"/>
        <v>6331</v>
      </c>
    </row>
    <row r="565" spans="2:19" x14ac:dyDescent="0.2">
      <c r="B565" s="7">
        <f t="shared" si="249"/>
        <v>58</v>
      </c>
      <c r="C565" s="13"/>
      <c r="D565" s="13"/>
      <c r="E565" s="13"/>
      <c r="F565" s="14"/>
      <c r="G565" s="15">
        <v>710</v>
      </c>
      <c r="H565" s="13" t="s">
        <v>171</v>
      </c>
      <c r="I565" s="16"/>
      <c r="J565" s="16"/>
      <c r="K565" s="16">
        <f t="shared" si="251"/>
        <v>0</v>
      </c>
      <c r="L565" s="16"/>
      <c r="M565" s="16">
        <f>M566</f>
        <v>17000</v>
      </c>
      <c r="N565" s="16">
        <f t="shared" ref="N565:N566" si="271">N566</f>
        <v>0</v>
      </c>
      <c r="O565" s="16">
        <f t="shared" si="253"/>
        <v>17000</v>
      </c>
      <c r="P565" s="16"/>
      <c r="Q565" s="18">
        <f t="shared" si="247"/>
        <v>17000</v>
      </c>
      <c r="R565" s="18">
        <f t="shared" si="270"/>
        <v>0</v>
      </c>
      <c r="S565" s="18">
        <f t="shared" si="270"/>
        <v>17000</v>
      </c>
    </row>
    <row r="566" spans="2:19" x14ac:dyDescent="0.2">
      <c r="B566" s="7">
        <f t="shared" si="249"/>
        <v>59</v>
      </c>
      <c r="C566" s="13"/>
      <c r="D566" s="13"/>
      <c r="E566" s="13"/>
      <c r="F566" s="14"/>
      <c r="G566" s="21">
        <v>717</v>
      </c>
      <c r="H566" s="19" t="s">
        <v>178</v>
      </c>
      <c r="I566" s="22"/>
      <c r="J566" s="22"/>
      <c r="K566" s="22">
        <f t="shared" si="251"/>
        <v>0</v>
      </c>
      <c r="L566" s="22"/>
      <c r="M566" s="22">
        <f>M567</f>
        <v>17000</v>
      </c>
      <c r="N566" s="22">
        <f t="shared" si="271"/>
        <v>0</v>
      </c>
      <c r="O566" s="22">
        <f t="shared" si="253"/>
        <v>17000</v>
      </c>
      <c r="P566" s="22"/>
      <c r="Q566" s="23">
        <f t="shared" si="247"/>
        <v>17000</v>
      </c>
      <c r="R566" s="23">
        <f t="shared" si="270"/>
        <v>0</v>
      </c>
      <c r="S566" s="23">
        <f t="shared" si="270"/>
        <v>17000</v>
      </c>
    </row>
    <row r="567" spans="2:19" x14ac:dyDescent="0.2">
      <c r="B567" s="7">
        <f t="shared" si="249"/>
        <v>60</v>
      </c>
      <c r="C567" s="13"/>
      <c r="D567" s="13"/>
      <c r="E567" s="13"/>
      <c r="F567" s="14"/>
      <c r="G567" s="25"/>
      <c r="H567" s="1" t="s">
        <v>652</v>
      </c>
      <c r="I567" s="26"/>
      <c r="J567" s="26"/>
      <c r="K567" s="26">
        <f t="shared" si="251"/>
        <v>0</v>
      </c>
      <c r="L567" s="26"/>
      <c r="M567" s="26">
        <v>17000</v>
      </c>
      <c r="N567" s="26"/>
      <c r="O567" s="26">
        <f t="shared" si="253"/>
        <v>17000</v>
      </c>
      <c r="P567" s="26"/>
      <c r="Q567" s="28">
        <f t="shared" si="247"/>
        <v>17000</v>
      </c>
      <c r="R567" s="28">
        <f t="shared" si="270"/>
        <v>0</v>
      </c>
      <c r="S567" s="28">
        <f t="shared" si="270"/>
        <v>17000</v>
      </c>
    </row>
    <row r="568" spans="2:19" x14ac:dyDescent="0.2">
      <c r="B568" s="7">
        <f t="shared" si="249"/>
        <v>61</v>
      </c>
      <c r="C568" s="119"/>
      <c r="D568" s="119"/>
      <c r="E568" s="119" t="s">
        <v>93</v>
      </c>
      <c r="F568" s="120"/>
      <c r="G568" s="120"/>
      <c r="H568" s="119" t="s">
        <v>485</v>
      </c>
      <c r="I568" s="121">
        <f>I578+I571+I570+I569+I579</f>
        <v>368623</v>
      </c>
      <c r="J568" s="121">
        <f t="shared" ref="J568" si="272">J578+J571+J570+J569+J579</f>
        <v>0</v>
      </c>
      <c r="K568" s="121">
        <f t="shared" si="251"/>
        <v>368623</v>
      </c>
      <c r="L568" s="16"/>
      <c r="M568" s="121">
        <f>M580</f>
        <v>70000</v>
      </c>
      <c r="N568" s="121">
        <f t="shared" ref="N568" si="273">N580</f>
        <v>0</v>
      </c>
      <c r="O568" s="121">
        <f t="shared" si="253"/>
        <v>70000</v>
      </c>
      <c r="P568" s="16"/>
      <c r="Q568" s="123">
        <f t="shared" si="247"/>
        <v>438623</v>
      </c>
      <c r="R568" s="123">
        <f t="shared" si="270"/>
        <v>0</v>
      </c>
      <c r="S568" s="123">
        <f t="shared" si="270"/>
        <v>438623</v>
      </c>
    </row>
    <row r="569" spans="2:19" x14ac:dyDescent="0.2">
      <c r="B569" s="7">
        <f t="shared" si="249"/>
        <v>62</v>
      </c>
      <c r="C569" s="13"/>
      <c r="D569" s="13"/>
      <c r="E569" s="13"/>
      <c r="F569" s="14" t="s">
        <v>183</v>
      </c>
      <c r="G569" s="15">
        <v>610</v>
      </c>
      <c r="H569" s="13" t="s">
        <v>511</v>
      </c>
      <c r="I569" s="16">
        <f>199015+5804</f>
        <v>204819</v>
      </c>
      <c r="J569" s="16"/>
      <c r="K569" s="16">
        <f t="shared" si="251"/>
        <v>204819</v>
      </c>
      <c r="L569" s="16"/>
      <c r="M569" s="16"/>
      <c r="N569" s="16"/>
      <c r="O569" s="16">
        <f t="shared" si="253"/>
        <v>0</v>
      </c>
      <c r="P569" s="16"/>
      <c r="Q569" s="18">
        <f t="shared" si="247"/>
        <v>204819</v>
      </c>
      <c r="R569" s="18">
        <f t="shared" si="270"/>
        <v>0</v>
      </c>
      <c r="S569" s="18">
        <f t="shared" si="270"/>
        <v>204819</v>
      </c>
    </row>
    <row r="570" spans="2:19" x14ac:dyDescent="0.2">
      <c r="B570" s="7">
        <f t="shared" si="249"/>
        <v>63</v>
      </c>
      <c r="C570" s="13"/>
      <c r="D570" s="13"/>
      <c r="E570" s="13"/>
      <c r="F570" s="14" t="s">
        <v>183</v>
      </c>
      <c r="G570" s="15">
        <v>620</v>
      </c>
      <c r="H570" s="13" t="s">
        <v>122</v>
      </c>
      <c r="I570" s="16">
        <f>76769+4097</f>
        <v>80866</v>
      </c>
      <c r="J570" s="16"/>
      <c r="K570" s="16">
        <f t="shared" si="251"/>
        <v>80866</v>
      </c>
      <c r="L570" s="16"/>
      <c r="M570" s="16"/>
      <c r="N570" s="16"/>
      <c r="O570" s="16">
        <f t="shared" si="253"/>
        <v>0</v>
      </c>
      <c r="P570" s="16"/>
      <c r="Q570" s="18">
        <f t="shared" si="247"/>
        <v>80866</v>
      </c>
      <c r="R570" s="18">
        <f t="shared" si="270"/>
        <v>0</v>
      </c>
      <c r="S570" s="18">
        <f t="shared" si="270"/>
        <v>80866</v>
      </c>
    </row>
    <row r="571" spans="2:19" x14ac:dyDescent="0.2">
      <c r="B571" s="7">
        <f t="shared" si="249"/>
        <v>64</v>
      </c>
      <c r="C571" s="13"/>
      <c r="D571" s="13"/>
      <c r="E571" s="13"/>
      <c r="F571" s="14" t="s">
        <v>183</v>
      </c>
      <c r="G571" s="15">
        <v>630</v>
      </c>
      <c r="H571" s="13" t="s">
        <v>119</v>
      </c>
      <c r="I571" s="16">
        <f>SUM(I572:I577)</f>
        <v>75350</v>
      </c>
      <c r="J571" s="16">
        <f t="shared" ref="J571" si="274">SUM(J572:J577)</f>
        <v>0</v>
      </c>
      <c r="K571" s="16">
        <f t="shared" si="251"/>
        <v>75350</v>
      </c>
      <c r="L571" s="16"/>
      <c r="M571" s="16"/>
      <c r="N571" s="16"/>
      <c r="O571" s="16">
        <f t="shared" si="253"/>
        <v>0</v>
      </c>
      <c r="P571" s="16"/>
      <c r="Q571" s="18">
        <f t="shared" si="247"/>
        <v>75350</v>
      </c>
      <c r="R571" s="18">
        <f t="shared" si="270"/>
        <v>0</v>
      </c>
      <c r="S571" s="18">
        <f t="shared" si="270"/>
        <v>75350</v>
      </c>
    </row>
    <row r="572" spans="2:19" x14ac:dyDescent="0.2">
      <c r="B572" s="7">
        <f t="shared" si="249"/>
        <v>65</v>
      </c>
      <c r="C572" s="19"/>
      <c r="D572" s="19"/>
      <c r="E572" s="19"/>
      <c r="F572" s="20"/>
      <c r="G572" s="21">
        <v>632</v>
      </c>
      <c r="H572" s="19" t="s">
        <v>131</v>
      </c>
      <c r="I572" s="22">
        <v>26710</v>
      </c>
      <c r="J572" s="22"/>
      <c r="K572" s="22">
        <f t="shared" si="251"/>
        <v>26710</v>
      </c>
      <c r="L572" s="22"/>
      <c r="M572" s="22"/>
      <c r="N572" s="22"/>
      <c r="O572" s="22">
        <f t="shared" si="253"/>
        <v>0</v>
      </c>
      <c r="P572" s="22"/>
      <c r="Q572" s="23">
        <f t="shared" ref="Q572:Q635" si="275">M572+I572</f>
        <v>26710</v>
      </c>
      <c r="R572" s="23">
        <f t="shared" ref="R572:S587" si="276">N572+J572</f>
        <v>0</v>
      </c>
      <c r="S572" s="23">
        <f t="shared" si="276"/>
        <v>26710</v>
      </c>
    </row>
    <row r="573" spans="2:19" x14ac:dyDescent="0.2">
      <c r="B573" s="7">
        <f t="shared" ref="B573:B636" si="277">B572+1</f>
        <v>66</v>
      </c>
      <c r="C573" s="19"/>
      <c r="D573" s="19"/>
      <c r="E573" s="19"/>
      <c r="F573" s="20"/>
      <c r="G573" s="21">
        <v>633</v>
      </c>
      <c r="H573" s="19" t="s">
        <v>123</v>
      </c>
      <c r="I573" s="22">
        <f>14286+225</f>
        <v>14511</v>
      </c>
      <c r="J573" s="22"/>
      <c r="K573" s="22">
        <f t="shared" ref="K573:K636" si="278">I573+J573</f>
        <v>14511</v>
      </c>
      <c r="L573" s="22"/>
      <c r="M573" s="22"/>
      <c r="N573" s="22"/>
      <c r="O573" s="22">
        <f t="shared" ref="O573:O636" si="279">M573+N573</f>
        <v>0</v>
      </c>
      <c r="P573" s="22"/>
      <c r="Q573" s="23">
        <f t="shared" si="275"/>
        <v>14511</v>
      </c>
      <c r="R573" s="23">
        <f t="shared" si="276"/>
        <v>0</v>
      </c>
      <c r="S573" s="23">
        <f t="shared" si="276"/>
        <v>14511</v>
      </c>
    </row>
    <row r="574" spans="2:19" x14ac:dyDescent="0.2">
      <c r="B574" s="7">
        <f t="shared" si="277"/>
        <v>67</v>
      </c>
      <c r="C574" s="19"/>
      <c r="D574" s="19"/>
      <c r="E574" s="19"/>
      <c r="F574" s="20"/>
      <c r="G574" s="21">
        <v>634</v>
      </c>
      <c r="H574" s="19" t="s">
        <v>129</v>
      </c>
      <c r="I574" s="22">
        <v>23</v>
      </c>
      <c r="J574" s="22"/>
      <c r="K574" s="22">
        <f t="shared" si="278"/>
        <v>23</v>
      </c>
      <c r="L574" s="22"/>
      <c r="M574" s="22"/>
      <c r="N574" s="22"/>
      <c r="O574" s="22">
        <f t="shared" si="279"/>
        <v>0</v>
      </c>
      <c r="P574" s="22"/>
      <c r="Q574" s="23">
        <f t="shared" si="275"/>
        <v>23</v>
      </c>
      <c r="R574" s="23">
        <f t="shared" si="276"/>
        <v>0</v>
      </c>
      <c r="S574" s="23">
        <f t="shared" si="276"/>
        <v>23</v>
      </c>
    </row>
    <row r="575" spans="2:19" x14ac:dyDescent="0.2">
      <c r="B575" s="7">
        <f t="shared" si="277"/>
        <v>68</v>
      </c>
      <c r="C575" s="19"/>
      <c r="D575" s="19"/>
      <c r="E575" s="19"/>
      <c r="F575" s="20"/>
      <c r="G575" s="21">
        <v>635</v>
      </c>
      <c r="H575" s="19" t="s">
        <v>130</v>
      </c>
      <c r="I575" s="22">
        <v>11980</v>
      </c>
      <c r="J575" s="22"/>
      <c r="K575" s="22">
        <f t="shared" si="278"/>
        <v>11980</v>
      </c>
      <c r="L575" s="22"/>
      <c r="M575" s="22"/>
      <c r="N575" s="22"/>
      <c r="O575" s="22">
        <f t="shared" si="279"/>
        <v>0</v>
      </c>
      <c r="P575" s="22"/>
      <c r="Q575" s="23">
        <f t="shared" si="275"/>
        <v>11980</v>
      </c>
      <c r="R575" s="23">
        <f t="shared" si="276"/>
        <v>0</v>
      </c>
      <c r="S575" s="23">
        <f t="shared" si="276"/>
        <v>11980</v>
      </c>
    </row>
    <row r="576" spans="2:19" x14ac:dyDescent="0.2">
      <c r="B576" s="7">
        <f t="shared" si="277"/>
        <v>69</v>
      </c>
      <c r="C576" s="19"/>
      <c r="D576" s="19"/>
      <c r="E576" s="19"/>
      <c r="F576" s="20"/>
      <c r="G576" s="21">
        <v>636</v>
      </c>
      <c r="H576" s="19" t="s">
        <v>124</v>
      </c>
      <c r="I576" s="22">
        <v>200</v>
      </c>
      <c r="J576" s="22"/>
      <c r="K576" s="22">
        <f t="shared" si="278"/>
        <v>200</v>
      </c>
      <c r="L576" s="22"/>
      <c r="M576" s="22"/>
      <c r="N576" s="22"/>
      <c r="O576" s="22">
        <f t="shared" si="279"/>
        <v>0</v>
      </c>
      <c r="P576" s="22"/>
      <c r="Q576" s="23">
        <f t="shared" si="275"/>
        <v>200</v>
      </c>
      <c r="R576" s="23">
        <f t="shared" si="276"/>
        <v>0</v>
      </c>
      <c r="S576" s="23">
        <f t="shared" si="276"/>
        <v>200</v>
      </c>
    </row>
    <row r="577" spans="2:19" x14ac:dyDescent="0.2">
      <c r="B577" s="7">
        <f t="shared" si="277"/>
        <v>70</v>
      </c>
      <c r="C577" s="19"/>
      <c r="D577" s="19"/>
      <c r="E577" s="19"/>
      <c r="F577" s="20"/>
      <c r="G577" s="21">
        <v>637</v>
      </c>
      <c r="H577" s="19" t="s">
        <v>120</v>
      </c>
      <c r="I577" s="22">
        <v>21926</v>
      </c>
      <c r="J577" s="22"/>
      <c r="K577" s="22">
        <f t="shared" si="278"/>
        <v>21926</v>
      </c>
      <c r="L577" s="22"/>
      <c r="M577" s="22"/>
      <c r="N577" s="22"/>
      <c r="O577" s="22">
        <f t="shared" si="279"/>
        <v>0</v>
      </c>
      <c r="P577" s="22"/>
      <c r="Q577" s="23">
        <f t="shared" si="275"/>
        <v>21926</v>
      </c>
      <c r="R577" s="23">
        <f t="shared" si="276"/>
        <v>0</v>
      </c>
      <c r="S577" s="23">
        <f t="shared" si="276"/>
        <v>21926</v>
      </c>
    </row>
    <row r="578" spans="2:19" x14ac:dyDescent="0.2">
      <c r="B578" s="7">
        <f t="shared" si="277"/>
        <v>71</v>
      </c>
      <c r="C578" s="13"/>
      <c r="D578" s="13"/>
      <c r="E578" s="13"/>
      <c r="F578" s="14" t="s">
        <v>183</v>
      </c>
      <c r="G578" s="15">
        <v>640</v>
      </c>
      <c r="H578" s="13" t="s">
        <v>127</v>
      </c>
      <c r="I578" s="16">
        <v>3582</v>
      </c>
      <c r="J578" s="16"/>
      <c r="K578" s="16">
        <f t="shared" si="278"/>
        <v>3582</v>
      </c>
      <c r="L578" s="16"/>
      <c r="M578" s="16"/>
      <c r="N578" s="16"/>
      <c r="O578" s="16">
        <f t="shared" si="279"/>
        <v>0</v>
      </c>
      <c r="P578" s="16"/>
      <c r="Q578" s="18">
        <f t="shared" si="275"/>
        <v>3582</v>
      </c>
      <c r="R578" s="18">
        <f t="shared" si="276"/>
        <v>0</v>
      </c>
      <c r="S578" s="18">
        <f t="shared" si="276"/>
        <v>3582</v>
      </c>
    </row>
    <row r="579" spans="2:19" x14ac:dyDescent="0.2">
      <c r="B579" s="7">
        <f t="shared" si="277"/>
        <v>72</v>
      </c>
      <c r="C579" s="13"/>
      <c r="D579" s="13"/>
      <c r="E579" s="13"/>
      <c r="F579" s="14" t="s">
        <v>183</v>
      </c>
      <c r="G579" s="15">
        <v>630</v>
      </c>
      <c r="H579" s="13" t="s">
        <v>686</v>
      </c>
      <c r="I579" s="16">
        <v>4006</v>
      </c>
      <c r="J579" s="16"/>
      <c r="K579" s="16">
        <f t="shared" si="278"/>
        <v>4006</v>
      </c>
      <c r="L579" s="16"/>
      <c r="M579" s="16"/>
      <c r="N579" s="16"/>
      <c r="O579" s="16">
        <f t="shared" si="279"/>
        <v>0</v>
      </c>
      <c r="P579" s="16"/>
      <c r="Q579" s="18">
        <f t="shared" si="275"/>
        <v>4006</v>
      </c>
      <c r="R579" s="18">
        <f t="shared" si="276"/>
        <v>0</v>
      </c>
      <c r="S579" s="18">
        <f t="shared" si="276"/>
        <v>4006</v>
      </c>
    </row>
    <row r="580" spans="2:19" x14ac:dyDescent="0.2">
      <c r="B580" s="7">
        <f t="shared" si="277"/>
        <v>73</v>
      </c>
      <c r="C580" s="13"/>
      <c r="D580" s="13"/>
      <c r="E580" s="13"/>
      <c r="F580" s="14"/>
      <c r="G580" s="15">
        <v>710</v>
      </c>
      <c r="H580" s="13" t="s">
        <v>171</v>
      </c>
      <c r="I580" s="16"/>
      <c r="J580" s="16"/>
      <c r="K580" s="16">
        <f t="shared" si="278"/>
        <v>0</v>
      </c>
      <c r="L580" s="16"/>
      <c r="M580" s="16">
        <f>M581</f>
        <v>70000</v>
      </c>
      <c r="N580" s="16">
        <f t="shared" ref="N580:N581" si="280">N581</f>
        <v>0</v>
      </c>
      <c r="O580" s="16">
        <f t="shared" si="279"/>
        <v>70000</v>
      </c>
      <c r="P580" s="16"/>
      <c r="Q580" s="18">
        <f t="shared" si="275"/>
        <v>70000</v>
      </c>
      <c r="R580" s="18">
        <f t="shared" si="276"/>
        <v>0</v>
      </c>
      <c r="S580" s="18">
        <f t="shared" si="276"/>
        <v>70000</v>
      </c>
    </row>
    <row r="581" spans="2:19" x14ac:dyDescent="0.2">
      <c r="B581" s="7">
        <f t="shared" si="277"/>
        <v>74</v>
      </c>
      <c r="C581" s="13"/>
      <c r="D581" s="13"/>
      <c r="E581" s="13"/>
      <c r="F581" s="14"/>
      <c r="G581" s="21">
        <v>717</v>
      </c>
      <c r="H581" s="19" t="s">
        <v>178</v>
      </c>
      <c r="I581" s="22"/>
      <c r="J581" s="22"/>
      <c r="K581" s="22">
        <f t="shared" si="278"/>
        <v>0</v>
      </c>
      <c r="L581" s="22"/>
      <c r="M581" s="22">
        <f>M582</f>
        <v>70000</v>
      </c>
      <c r="N581" s="22">
        <f t="shared" si="280"/>
        <v>0</v>
      </c>
      <c r="O581" s="22">
        <f t="shared" si="279"/>
        <v>70000</v>
      </c>
      <c r="P581" s="22"/>
      <c r="Q581" s="23">
        <f t="shared" si="275"/>
        <v>70000</v>
      </c>
      <c r="R581" s="23">
        <f t="shared" si="276"/>
        <v>0</v>
      </c>
      <c r="S581" s="23">
        <f t="shared" si="276"/>
        <v>70000</v>
      </c>
    </row>
    <row r="582" spans="2:19" x14ac:dyDescent="0.2">
      <c r="B582" s="7">
        <f t="shared" si="277"/>
        <v>75</v>
      </c>
      <c r="C582" s="13"/>
      <c r="D582" s="13"/>
      <c r="E582" s="13"/>
      <c r="F582" s="14"/>
      <c r="G582" s="25"/>
      <c r="H582" s="1" t="s">
        <v>602</v>
      </c>
      <c r="I582" s="26"/>
      <c r="J582" s="26"/>
      <c r="K582" s="26">
        <f t="shared" si="278"/>
        <v>0</v>
      </c>
      <c r="L582" s="26"/>
      <c r="M582" s="26">
        <f>20000+50000</f>
        <v>70000</v>
      </c>
      <c r="N582" s="26"/>
      <c r="O582" s="26">
        <f t="shared" si="279"/>
        <v>70000</v>
      </c>
      <c r="P582" s="26"/>
      <c r="Q582" s="28">
        <f t="shared" si="275"/>
        <v>70000</v>
      </c>
      <c r="R582" s="28">
        <f t="shared" si="276"/>
        <v>0</v>
      </c>
      <c r="S582" s="28">
        <f t="shared" si="276"/>
        <v>70000</v>
      </c>
    </row>
    <row r="583" spans="2:19" x14ac:dyDescent="0.2">
      <c r="B583" s="7">
        <f t="shared" si="277"/>
        <v>76</v>
      </c>
      <c r="C583" s="119"/>
      <c r="D583" s="119"/>
      <c r="E583" s="119" t="s">
        <v>95</v>
      </c>
      <c r="F583" s="120"/>
      <c r="G583" s="120"/>
      <c r="H583" s="119" t="s">
        <v>96</v>
      </c>
      <c r="I583" s="121">
        <f>I593+I586+I585+I584+I594</f>
        <v>389482</v>
      </c>
      <c r="J583" s="121">
        <f t="shared" ref="J583" si="281">J593+J586+J585+J584+J594</f>
        <v>0</v>
      </c>
      <c r="K583" s="121">
        <f t="shared" si="278"/>
        <v>389482</v>
      </c>
      <c r="L583" s="16"/>
      <c r="M583" s="121"/>
      <c r="N583" s="121"/>
      <c r="O583" s="121">
        <f t="shared" si="279"/>
        <v>0</v>
      </c>
      <c r="P583" s="16"/>
      <c r="Q583" s="123">
        <f t="shared" si="275"/>
        <v>389482</v>
      </c>
      <c r="R583" s="123">
        <f t="shared" si="276"/>
        <v>0</v>
      </c>
      <c r="S583" s="123">
        <f t="shared" si="276"/>
        <v>389482</v>
      </c>
    </row>
    <row r="584" spans="2:19" x14ac:dyDescent="0.2">
      <c r="B584" s="7">
        <f t="shared" si="277"/>
        <v>77</v>
      </c>
      <c r="C584" s="13"/>
      <c r="D584" s="13"/>
      <c r="E584" s="13"/>
      <c r="F584" s="14" t="s">
        <v>183</v>
      </c>
      <c r="G584" s="15">
        <v>610</v>
      </c>
      <c r="H584" s="13" t="s">
        <v>511</v>
      </c>
      <c r="I584" s="16">
        <f>218893-3937</f>
        <v>214956</v>
      </c>
      <c r="J584" s="16"/>
      <c r="K584" s="16">
        <f t="shared" si="278"/>
        <v>214956</v>
      </c>
      <c r="L584" s="16"/>
      <c r="M584" s="16"/>
      <c r="N584" s="16"/>
      <c r="O584" s="16">
        <f t="shared" si="279"/>
        <v>0</v>
      </c>
      <c r="P584" s="16"/>
      <c r="Q584" s="18">
        <f t="shared" si="275"/>
        <v>214956</v>
      </c>
      <c r="R584" s="18">
        <f t="shared" si="276"/>
        <v>0</v>
      </c>
      <c r="S584" s="18">
        <f t="shared" si="276"/>
        <v>214956</v>
      </c>
    </row>
    <row r="585" spans="2:19" x14ac:dyDescent="0.2">
      <c r="B585" s="7">
        <f t="shared" si="277"/>
        <v>78</v>
      </c>
      <c r="C585" s="13"/>
      <c r="D585" s="13"/>
      <c r="E585" s="13"/>
      <c r="F585" s="14" t="s">
        <v>183</v>
      </c>
      <c r="G585" s="15">
        <v>620</v>
      </c>
      <c r="H585" s="13" t="s">
        <v>122</v>
      </c>
      <c r="I585" s="16">
        <f>86921-2605</f>
        <v>84316</v>
      </c>
      <c r="J585" s="16"/>
      <c r="K585" s="16">
        <f t="shared" si="278"/>
        <v>84316</v>
      </c>
      <c r="L585" s="16"/>
      <c r="M585" s="16"/>
      <c r="N585" s="16"/>
      <c r="O585" s="16">
        <f t="shared" si="279"/>
        <v>0</v>
      </c>
      <c r="P585" s="16"/>
      <c r="Q585" s="18">
        <f t="shared" si="275"/>
        <v>84316</v>
      </c>
      <c r="R585" s="18">
        <f t="shared" si="276"/>
        <v>0</v>
      </c>
      <c r="S585" s="18">
        <f t="shared" si="276"/>
        <v>84316</v>
      </c>
    </row>
    <row r="586" spans="2:19" x14ac:dyDescent="0.2">
      <c r="B586" s="7">
        <f t="shared" si="277"/>
        <v>79</v>
      </c>
      <c r="C586" s="13"/>
      <c r="D586" s="13"/>
      <c r="E586" s="13"/>
      <c r="F586" s="14" t="s">
        <v>183</v>
      </c>
      <c r="G586" s="15">
        <v>630</v>
      </c>
      <c r="H586" s="13" t="s">
        <v>119</v>
      </c>
      <c r="I586" s="16">
        <f>SUM(I587:I592)</f>
        <v>74451</v>
      </c>
      <c r="J586" s="16">
        <f t="shared" ref="J586" si="282">SUM(J587:J592)</f>
        <v>0</v>
      </c>
      <c r="K586" s="16">
        <f t="shared" si="278"/>
        <v>74451</v>
      </c>
      <c r="L586" s="16"/>
      <c r="M586" s="16"/>
      <c r="N586" s="16"/>
      <c r="O586" s="16">
        <f t="shared" si="279"/>
        <v>0</v>
      </c>
      <c r="P586" s="16"/>
      <c r="Q586" s="18">
        <f t="shared" si="275"/>
        <v>74451</v>
      </c>
      <c r="R586" s="18">
        <f t="shared" si="276"/>
        <v>0</v>
      </c>
      <c r="S586" s="18">
        <f t="shared" si="276"/>
        <v>74451</v>
      </c>
    </row>
    <row r="587" spans="2:19" x14ac:dyDescent="0.2">
      <c r="B587" s="7">
        <f t="shared" si="277"/>
        <v>80</v>
      </c>
      <c r="C587" s="19"/>
      <c r="D587" s="19"/>
      <c r="E587" s="19"/>
      <c r="F587" s="20"/>
      <c r="G587" s="21">
        <v>632</v>
      </c>
      <c r="H587" s="19" t="s">
        <v>131</v>
      </c>
      <c r="I587" s="22">
        <v>22300</v>
      </c>
      <c r="J587" s="22"/>
      <c r="K587" s="22">
        <f t="shared" si="278"/>
        <v>22300</v>
      </c>
      <c r="L587" s="22"/>
      <c r="M587" s="22"/>
      <c r="N587" s="22"/>
      <c r="O587" s="22">
        <f t="shared" si="279"/>
        <v>0</v>
      </c>
      <c r="P587" s="22"/>
      <c r="Q587" s="23">
        <f t="shared" si="275"/>
        <v>22300</v>
      </c>
      <c r="R587" s="23">
        <f t="shared" si="276"/>
        <v>0</v>
      </c>
      <c r="S587" s="23">
        <f t="shared" si="276"/>
        <v>22300</v>
      </c>
    </row>
    <row r="588" spans="2:19" x14ac:dyDescent="0.2">
      <c r="B588" s="7">
        <f t="shared" si="277"/>
        <v>81</v>
      </c>
      <c r="C588" s="19"/>
      <c r="D588" s="19"/>
      <c r="E588" s="19"/>
      <c r="F588" s="20"/>
      <c r="G588" s="21">
        <v>633</v>
      </c>
      <c r="H588" s="19" t="s">
        <v>123</v>
      </c>
      <c r="I588" s="22">
        <v>12187</v>
      </c>
      <c r="J588" s="22"/>
      <c r="K588" s="22">
        <f t="shared" si="278"/>
        <v>12187</v>
      </c>
      <c r="L588" s="22"/>
      <c r="M588" s="22"/>
      <c r="N588" s="22"/>
      <c r="O588" s="22">
        <f t="shared" si="279"/>
        <v>0</v>
      </c>
      <c r="P588" s="22"/>
      <c r="Q588" s="23">
        <f t="shared" si="275"/>
        <v>12187</v>
      </c>
      <c r="R588" s="23">
        <f t="shared" ref="R588:S603" si="283">N588+J588</f>
        <v>0</v>
      </c>
      <c r="S588" s="23">
        <f t="shared" si="283"/>
        <v>12187</v>
      </c>
    </row>
    <row r="589" spans="2:19" x14ac:dyDescent="0.2">
      <c r="B589" s="7">
        <f t="shared" si="277"/>
        <v>82</v>
      </c>
      <c r="C589" s="19"/>
      <c r="D589" s="19"/>
      <c r="E589" s="19"/>
      <c r="F589" s="20"/>
      <c r="G589" s="21">
        <v>634</v>
      </c>
      <c r="H589" s="19" t="s">
        <v>129</v>
      </c>
      <c r="I589" s="22">
        <v>226</v>
      </c>
      <c r="J589" s="22"/>
      <c r="K589" s="22">
        <f t="shared" si="278"/>
        <v>226</v>
      </c>
      <c r="L589" s="22"/>
      <c r="M589" s="22"/>
      <c r="N589" s="22"/>
      <c r="O589" s="22">
        <f t="shared" si="279"/>
        <v>0</v>
      </c>
      <c r="P589" s="22"/>
      <c r="Q589" s="23">
        <f t="shared" si="275"/>
        <v>226</v>
      </c>
      <c r="R589" s="23">
        <f t="shared" si="283"/>
        <v>0</v>
      </c>
      <c r="S589" s="23">
        <f t="shared" si="283"/>
        <v>226</v>
      </c>
    </row>
    <row r="590" spans="2:19" x14ac:dyDescent="0.2">
      <c r="B590" s="7">
        <f t="shared" si="277"/>
        <v>83</v>
      </c>
      <c r="C590" s="19"/>
      <c r="D590" s="19"/>
      <c r="E590" s="19"/>
      <c r="F590" s="20"/>
      <c r="G590" s="21">
        <v>635</v>
      </c>
      <c r="H590" s="19" t="s">
        <v>130</v>
      </c>
      <c r="I590" s="22">
        <f>8060+8000</f>
        <v>16060</v>
      </c>
      <c r="J590" s="22"/>
      <c r="K590" s="22">
        <f t="shared" si="278"/>
        <v>16060</v>
      </c>
      <c r="L590" s="22"/>
      <c r="M590" s="22"/>
      <c r="N590" s="22"/>
      <c r="O590" s="22">
        <f t="shared" si="279"/>
        <v>0</v>
      </c>
      <c r="P590" s="22"/>
      <c r="Q590" s="23">
        <f t="shared" si="275"/>
        <v>16060</v>
      </c>
      <c r="R590" s="23">
        <f t="shared" si="283"/>
        <v>0</v>
      </c>
      <c r="S590" s="23">
        <f t="shared" si="283"/>
        <v>16060</v>
      </c>
    </row>
    <row r="591" spans="2:19" x14ac:dyDescent="0.2">
      <c r="B591" s="7">
        <f t="shared" si="277"/>
        <v>84</v>
      </c>
      <c r="C591" s="19"/>
      <c r="D591" s="19"/>
      <c r="E591" s="19"/>
      <c r="F591" s="20"/>
      <c r="G591" s="21">
        <v>636</v>
      </c>
      <c r="H591" s="19" t="s">
        <v>124</v>
      </c>
      <c r="I591" s="22">
        <v>225</v>
      </c>
      <c r="J591" s="22"/>
      <c r="K591" s="22">
        <f t="shared" si="278"/>
        <v>225</v>
      </c>
      <c r="L591" s="22"/>
      <c r="M591" s="22"/>
      <c r="N591" s="22"/>
      <c r="O591" s="22">
        <f t="shared" si="279"/>
        <v>0</v>
      </c>
      <c r="P591" s="22"/>
      <c r="Q591" s="23">
        <f t="shared" si="275"/>
        <v>225</v>
      </c>
      <c r="R591" s="23">
        <f t="shared" si="283"/>
        <v>0</v>
      </c>
      <c r="S591" s="23">
        <f t="shared" si="283"/>
        <v>225</v>
      </c>
    </row>
    <row r="592" spans="2:19" x14ac:dyDescent="0.2">
      <c r="B592" s="7">
        <f t="shared" si="277"/>
        <v>85</v>
      </c>
      <c r="C592" s="19"/>
      <c r="D592" s="19"/>
      <c r="E592" s="19"/>
      <c r="F592" s="20"/>
      <c r="G592" s="21">
        <v>637</v>
      </c>
      <c r="H592" s="19" t="s">
        <v>120</v>
      </c>
      <c r="I592" s="22">
        <f>24053-600</f>
        <v>23453</v>
      </c>
      <c r="J592" s="22"/>
      <c r="K592" s="22">
        <f t="shared" si="278"/>
        <v>23453</v>
      </c>
      <c r="L592" s="22"/>
      <c r="M592" s="22"/>
      <c r="N592" s="22"/>
      <c r="O592" s="22">
        <f t="shared" si="279"/>
        <v>0</v>
      </c>
      <c r="P592" s="22"/>
      <c r="Q592" s="23">
        <f t="shared" si="275"/>
        <v>23453</v>
      </c>
      <c r="R592" s="23">
        <f t="shared" si="283"/>
        <v>0</v>
      </c>
      <c r="S592" s="23">
        <f t="shared" si="283"/>
        <v>23453</v>
      </c>
    </row>
    <row r="593" spans="2:19" x14ac:dyDescent="0.2">
      <c r="B593" s="7">
        <f t="shared" si="277"/>
        <v>86</v>
      </c>
      <c r="C593" s="13"/>
      <c r="D593" s="13"/>
      <c r="E593" s="13"/>
      <c r="F593" s="14" t="s">
        <v>183</v>
      </c>
      <c r="G593" s="15">
        <v>640</v>
      </c>
      <c r="H593" s="13" t="s">
        <v>127</v>
      </c>
      <c r="I593" s="16">
        <v>10437</v>
      </c>
      <c r="J593" s="16"/>
      <c r="K593" s="16">
        <f t="shared" si="278"/>
        <v>10437</v>
      </c>
      <c r="L593" s="16"/>
      <c r="M593" s="16"/>
      <c r="N593" s="16"/>
      <c r="O593" s="16">
        <f t="shared" si="279"/>
        <v>0</v>
      </c>
      <c r="P593" s="16"/>
      <c r="Q593" s="18">
        <f t="shared" si="275"/>
        <v>10437</v>
      </c>
      <c r="R593" s="18">
        <f t="shared" si="283"/>
        <v>0</v>
      </c>
      <c r="S593" s="18">
        <f t="shared" si="283"/>
        <v>10437</v>
      </c>
    </row>
    <row r="594" spans="2:19" x14ac:dyDescent="0.2">
      <c r="B594" s="7">
        <f t="shared" si="277"/>
        <v>87</v>
      </c>
      <c r="C594" s="13"/>
      <c r="D594" s="13"/>
      <c r="E594" s="13"/>
      <c r="F594" s="14" t="s">
        <v>183</v>
      </c>
      <c r="G594" s="15">
        <v>630</v>
      </c>
      <c r="H594" s="13" t="s">
        <v>686</v>
      </c>
      <c r="I594" s="16">
        <v>5322</v>
      </c>
      <c r="J594" s="16"/>
      <c r="K594" s="16">
        <f t="shared" si="278"/>
        <v>5322</v>
      </c>
      <c r="L594" s="16"/>
      <c r="M594" s="16"/>
      <c r="N594" s="16"/>
      <c r="O594" s="16">
        <f t="shared" si="279"/>
        <v>0</v>
      </c>
      <c r="P594" s="16"/>
      <c r="Q594" s="18">
        <f t="shared" si="275"/>
        <v>5322</v>
      </c>
      <c r="R594" s="18">
        <f t="shared" si="283"/>
        <v>0</v>
      </c>
      <c r="S594" s="18">
        <f t="shared" si="283"/>
        <v>5322</v>
      </c>
    </row>
    <row r="595" spans="2:19" x14ac:dyDescent="0.2">
      <c r="B595" s="7">
        <f t="shared" si="277"/>
        <v>88</v>
      </c>
      <c r="C595" s="119"/>
      <c r="D595" s="119"/>
      <c r="E595" s="119" t="s">
        <v>83</v>
      </c>
      <c r="F595" s="120"/>
      <c r="G595" s="120"/>
      <c r="H595" s="119" t="s">
        <v>84</v>
      </c>
      <c r="I595" s="121">
        <f>I605+I598+I597+I596+I606</f>
        <v>616766</v>
      </c>
      <c r="J595" s="121">
        <f t="shared" ref="J595" si="284">J605+J598+J597+J596+J606</f>
        <v>0</v>
      </c>
      <c r="K595" s="121">
        <f t="shared" si="278"/>
        <v>616766</v>
      </c>
      <c r="L595" s="16"/>
      <c r="M595" s="121">
        <f>M607</f>
        <v>10000</v>
      </c>
      <c r="N595" s="121">
        <f t="shared" ref="N595" si="285">N607</f>
        <v>0</v>
      </c>
      <c r="O595" s="121">
        <f t="shared" si="279"/>
        <v>10000</v>
      </c>
      <c r="P595" s="16"/>
      <c r="Q595" s="123">
        <f t="shared" si="275"/>
        <v>626766</v>
      </c>
      <c r="R595" s="123">
        <f t="shared" si="283"/>
        <v>0</v>
      </c>
      <c r="S595" s="123">
        <f t="shared" si="283"/>
        <v>626766</v>
      </c>
    </row>
    <row r="596" spans="2:19" x14ac:dyDescent="0.2">
      <c r="B596" s="7">
        <f t="shared" si="277"/>
        <v>89</v>
      </c>
      <c r="C596" s="13"/>
      <c r="D596" s="13"/>
      <c r="E596" s="13"/>
      <c r="F596" s="14" t="s">
        <v>183</v>
      </c>
      <c r="G596" s="15">
        <v>610</v>
      </c>
      <c r="H596" s="13" t="s">
        <v>511</v>
      </c>
      <c r="I596" s="16">
        <f>346387+100+21163</f>
        <v>367650</v>
      </c>
      <c r="J596" s="16"/>
      <c r="K596" s="16">
        <f t="shared" si="278"/>
        <v>367650</v>
      </c>
      <c r="L596" s="16"/>
      <c r="M596" s="16"/>
      <c r="N596" s="16"/>
      <c r="O596" s="16">
        <f t="shared" si="279"/>
        <v>0</v>
      </c>
      <c r="P596" s="16"/>
      <c r="Q596" s="18">
        <f t="shared" si="275"/>
        <v>367650</v>
      </c>
      <c r="R596" s="18">
        <f t="shared" si="283"/>
        <v>0</v>
      </c>
      <c r="S596" s="18">
        <f t="shared" si="283"/>
        <v>367650</v>
      </c>
    </row>
    <row r="597" spans="2:19" x14ac:dyDescent="0.2">
      <c r="B597" s="7">
        <f t="shared" si="277"/>
        <v>90</v>
      </c>
      <c r="C597" s="13"/>
      <c r="D597" s="13"/>
      <c r="E597" s="13"/>
      <c r="F597" s="14" t="s">
        <v>183</v>
      </c>
      <c r="G597" s="15">
        <v>620</v>
      </c>
      <c r="H597" s="13" t="s">
        <v>122</v>
      </c>
      <c r="I597" s="16">
        <f>132366+35+298</f>
        <v>132699</v>
      </c>
      <c r="J597" s="16"/>
      <c r="K597" s="16">
        <f t="shared" si="278"/>
        <v>132699</v>
      </c>
      <c r="L597" s="16"/>
      <c r="M597" s="16"/>
      <c r="N597" s="16"/>
      <c r="O597" s="16">
        <f t="shared" si="279"/>
        <v>0</v>
      </c>
      <c r="P597" s="16"/>
      <c r="Q597" s="18">
        <f t="shared" si="275"/>
        <v>132699</v>
      </c>
      <c r="R597" s="18">
        <f t="shared" si="283"/>
        <v>0</v>
      </c>
      <c r="S597" s="18">
        <f t="shared" si="283"/>
        <v>132699</v>
      </c>
    </row>
    <row r="598" spans="2:19" x14ac:dyDescent="0.2">
      <c r="B598" s="7">
        <f t="shared" si="277"/>
        <v>91</v>
      </c>
      <c r="C598" s="13"/>
      <c r="D598" s="13"/>
      <c r="E598" s="13"/>
      <c r="F598" s="14" t="s">
        <v>183</v>
      </c>
      <c r="G598" s="15">
        <v>630</v>
      </c>
      <c r="H598" s="13" t="s">
        <v>119</v>
      </c>
      <c r="I598" s="16">
        <f>SUM(I599:I604)</f>
        <v>109621</v>
      </c>
      <c r="J598" s="16">
        <f t="shared" ref="J598" si="286">SUM(J599:J604)</f>
        <v>0</v>
      </c>
      <c r="K598" s="16">
        <f t="shared" si="278"/>
        <v>109621</v>
      </c>
      <c r="L598" s="16"/>
      <c r="M598" s="16"/>
      <c r="N598" s="16"/>
      <c r="O598" s="16">
        <f t="shared" si="279"/>
        <v>0</v>
      </c>
      <c r="P598" s="16"/>
      <c r="Q598" s="18">
        <f t="shared" si="275"/>
        <v>109621</v>
      </c>
      <c r="R598" s="18">
        <f t="shared" si="283"/>
        <v>0</v>
      </c>
      <c r="S598" s="18">
        <f t="shared" si="283"/>
        <v>109621</v>
      </c>
    </row>
    <row r="599" spans="2:19" x14ac:dyDescent="0.2">
      <c r="B599" s="7">
        <f t="shared" si="277"/>
        <v>92</v>
      </c>
      <c r="C599" s="19"/>
      <c r="D599" s="19"/>
      <c r="E599" s="19"/>
      <c r="F599" s="20"/>
      <c r="G599" s="21">
        <v>632</v>
      </c>
      <c r="H599" s="19" t="s">
        <v>131</v>
      </c>
      <c r="I599" s="22">
        <v>27910</v>
      </c>
      <c r="J599" s="22"/>
      <c r="K599" s="22">
        <f t="shared" si="278"/>
        <v>27910</v>
      </c>
      <c r="L599" s="22"/>
      <c r="M599" s="22"/>
      <c r="N599" s="22"/>
      <c r="O599" s="22">
        <f t="shared" si="279"/>
        <v>0</v>
      </c>
      <c r="P599" s="22"/>
      <c r="Q599" s="23">
        <f t="shared" si="275"/>
        <v>27910</v>
      </c>
      <c r="R599" s="23">
        <f t="shared" si="283"/>
        <v>0</v>
      </c>
      <c r="S599" s="23">
        <f t="shared" si="283"/>
        <v>27910</v>
      </c>
    </row>
    <row r="600" spans="2:19" x14ac:dyDescent="0.2">
      <c r="B600" s="7">
        <f t="shared" si="277"/>
        <v>93</v>
      </c>
      <c r="C600" s="19"/>
      <c r="D600" s="19"/>
      <c r="E600" s="19"/>
      <c r="F600" s="20"/>
      <c r="G600" s="21">
        <v>633</v>
      </c>
      <c r="H600" s="19" t="s">
        <v>123</v>
      </c>
      <c r="I600" s="22">
        <f>15707+5189-3500</f>
        <v>17396</v>
      </c>
      <c r="J600" s="22"/>
      <c r="K600" s="22">
        <f t="shared" si="278"/>
        <v>17396</v>
      </c>
      <c r="L600" s="22"/>
      <c r="M600" s="22"/>
      <c r="N600" s="22"/>
      <c r="O600" s="22">
        <f t="shared" si="279"/>
        <v>0</v>
      </c>
      <c r="P600" s="22"/>
      <c r="Q600" s="23">
        <f t="shared" si="275"/>
        <v>17396</v>
      </c>
      <c r="R600" s="23">
        <f t="shared" si="283"/>
        <v>0</v>
      </c>
      <c r="S600" s="23">
        <f t="shared" si="283"/>
        <v>17396</v>
      </c>
    </row>
    <row r="601" spans="2:19" x14ac:dyDescent="0.2">
      <c r="B601" s="7">
        <f t="shared" si="277"/>
        <v>94</v>
      </c>
      <c r="C601" s="19"/>
      <c r="D601" s="19"/>
      <c r="E601" s="19"/>
      <c r="F601" s="20"/>
      <c r="G601" s="21">
        <v>634</v>
      </c>
      <c r="H601" s="19" t="s">
        <v>129</v>
      </c>
      <c r="I601" s="22">
        <v>541</v>
      </c>
      <c r="J601" s="22"/>
      <c r="K601" s="22">
        <f t="shared" si="278"/>
        <v>541</v>
      </c>
      <c r="L601" s="22"/>
      <c r="M601" s="22"/>
      <c r="N601" s="22"/>
      <c r="O601" s="22">
        <f t="shared" si="279"/>
        <v>0</v>
      </c>
      <c r="P601" s="22"/>
      <c r="Q601" s="23">
        <f t="shared" si="275"/>
        <v>541</v>
      </c>
      <c r="R601" s="23">
        <f t="shared" si="283"/>
        <v>0</v>
      </c>
      <c r="S601" s="23">
        <f t="shared" si="283"/>
        <v>541</v>
      </c>
    </row>
    <row r="602" spans="2:19" x14ac:dyDescent="0.2">
      <c r="B602" s="7">
        <f t="shared" si="277"/>
        <v>95</v>
      </c>
      <c r="C602" s="19"/>
      <c r="D602" s="19"/>
      <c r="E602" s="19"/>
      <c r="F602" s="20"/>
      <c r="G602" s="21">
        <v>635</v>
      </c>
      <c r="H602" s="19" t="s">
        <v>130</v>
      </c>
      <c r="I602" s="22">
        <f>21770+6200</f>
        <v>27970</v>
      </c>
      <c r="J602" s="22"/>
      <c r="K602" s="22">
        <f t="shared" si="278"/>
        <v>27970</v>
      </c>
      <c r="L602" s="22"/>
      <c r="M602" s="22"/>
      <c r="N602" s="22"/>
      <c r="O602" s="22">
        <f t="shared" si="279"/>
        <v>0</v>
      </c>
      <c r="P602" s="22"/>
      <c r="Q602" s="23">
        <f t="shared" si="275"/>
        <v>27970</v>
      </c>
      <c r="R602" s="23">
        <f t="shared" si="283"/>
        <v>0</v>
      </c>
      <c r="S602" s="23">
        <f t="shared" si="283"/>
        <v>27970</v>
      </c>
    </row>
    <row r="603" spans="2:19" x14ac:dyDescent="0.2">
      <c r="B603" s="7">
        <f t="shared" si="277"/>
        <v>96</v>
      </c>
      <c r="C603" s="19"/>
      <c r="D603" s="19"/>
      <c r="E603" s="19"/>
      <c r="F603" s="20"/>
      <c r="G603" s="21">
        <v>636</v>
      </c>
      <c r="H603" s="19" t="s">
        <v>124</v>
      </c>
      <c r="I603" s="22">
        <v>350</v>
      </c>
      <c r="J603" s="22"/>
      <c r="K603" s="22">
        <f t="shared" si="278"/>
        <v>350</v>
      </c>
      <c r="L603" s="22"/>
      <c r="M603" s="22"/>
      <c r="N603" s="22"/>
      <c r="O603" s="22">
        <f t="shared" si="279"/>
        <v>0</v>
      </c>
      <c r="P603" s="22"/>
      <c r="Q603" s="23">
        <f t="shared" si="275"/>
        <v>350</v>
      </c>
      <c r="R603" s="23">
        <f t="shared" si="283"/>
        <v>0</v>
      </c>
      <c r="S603" s="23">
        <f t="shared" si="283"/>
        <v>350</v>
      </c>
    </row>
    <row r="604" spans="2:19" x14ac:dyDescent="0.2">
      <c r="B604" s="7">
        <f t="shared" si="277"/>
        <v>97</v>
      </c>
      <c r="C604" s="19"/>
      <c r="D604" s="19"/>
      <c r="E604" s="19"/>
      <c r="F604" s="20"/>
      <c r="G604" s="21">
        <v>637</v>
      </c>
      <c r="H604" s="19" t="s">
        <v>120</v>
      </c>
      <c r="I604" s="22">
        <v>35454</v>
      </c>
      <c r="J604" s="22"/>
      <c r="K604" s="22">
        <f t="shared" si="278"/>
        <v>35454</v>
      </c>
      <c r="L604" s="22"/>
      <c r="M604" s="22"/>
      <c r="N604" s="22"/>
      <c r="O604" s="22">
        <f t="shared" si="279"/>
        <v>0</v>
      </c>
      <c r="P604" s="22"/>
      <c r="Q604" s="23">
        <f t="shared" si="275"/>
        <v>35454</v>
      </c>
      <c r="R604" s="23">
        <f t="shared" ref="R604:S619" si="287">N604+J604</f>
        <v>0</v>
      </c>
      <c r="S604" s="23">
        <f t="shared" si="287"/>
        <v>35454</v>
      </c>
    </row>
    <row r="605" spans="2:19" x14ac:dyDescent="0.2">
      <c r="B605" s="7">
        <f t="shared" si="277"/>
        <v>98</v>
      </c>
      <c r="C605" s="13"/>
      <c r="D605" s="13"/>
      <c r="E605" s="13"/>
      <c r="F605" s="14" t="s">
        <v>183</v>
      </c>
      <c r="G605" s="15">
        <v>640</v>
      </c>
      <c r="H605" s="13" t="s">
        <v>127</v>
      </c>
      <c r="I605" s="16">
        <v>3481</v>
      </c>
      <c r="J605" s="16"/>
      <c r="K605" s="16">
        <f t="shared" si="278"/>
        <v>3481</v>
      </c>
      <c r="L605" s="16"/>
      <c r="M605" s="16"/>
      <c r="N605" s="16"/>
      <c r="O605" s="16">
        <f t="shared" si="279"/>
        <v>0</v>
      </c>
      <c r="P605" s="16"/>
      <c r="Q605" s="18">
        <f t="shared" si="275"/>
        <v>3481</v>
      </c>
      <c r="R605" s="18">
        <f t="shared" si="287"/>
        <v>0</v>
      </c>
      <c r="S605" s="18">
        <f t="shared" si="287"/>
        <v>3481</v>
      </c>
    </row>
    <row r="606" spans="2:19" x14ac:dyDescent="0.2">
      <c r="B606" s="7">
        <f t="shared" si="277"/>
        <v>99</v>
      </c>
      <c r="C606" s="13"/>
      <c r="D606" s="13"/>
      <c r="E606" s="13"/>
      <c r="F606" s="14" t="s">
        <v>183</v>
      </c>
      <c r="G606" s="15">
        <v>630</v>
      </c>
      <c r="H606" s="13" t="s">
        <v>686</v>
      </c>
      <c r="I606" s="16">
        <v>3315</v>
      </c>
      <c r="J606" s="16"/>
      <c r="K606" s="16">
        <f t="shared" si="278"/>
        <v>3315</v>
      </c>
      <c r="L606" s="16"/>
      <c r="M606" s="16"/>
      <c r="N606" s="16"/>
      <c r="O606" s="16">
        <f t="shared" si="279"/>
        <v>0</v>
      </c>
      <c r="P606" s="16"/>
      <c r="Q606" s="18">
        <f t="shared" si="275"/>
        <v>3315</v>
      </c>
      <c r="R606" s="18">
        <f t="shared" si="287"/>
        <v>0</v>
      </c>
      <c r="S606" s="18">
        <f t="shared" si="287"/>
        <v>3315</v>
      </c>
    </row>
    <row r="607" spans="2:19" x14ac:dyDescent="0.2">
      <c r="B607" s="7">
        <f t="shared" si="277"/>
        <v>100</v>
      </c>
      <c r="C607" s="13"/>
      <c r="D607" s="13"/>
      <c r="E607" s="13"/>
      <c r="F607" s="14"/>
      <c r="G607" s="15">
        <v>710</v>
      </c>
      <c r="H607" s="13" t="s">
        <v>171</v>
      </c>
      <c r="I607" s="16"/>
      <c r="J607" s="16"/>
      <c r="K607" s="16">
        <f t="shared" si="278"/>
        <v>0</v>
      </c>
      <c r="L607" s="16"/>
      <c r="M607" s="16">
        <f>M608</f>
        <v>10000</v>
      </c>
      <c r="N607" s="16">
        <f t="shared" ref="N607:N608" si="288">N608</f>
        <v>0</v>
      </c>
      <c r="O607" s="16">
        <f t="shared" si="279"/>
        <v>10000</v>
      </c>
      <c r="P607" s="16"/>
      <c r="Q607" s="18">
        <f t="shared" si="275"/>
        <v>10000</v>
      </c>
      <c r="R607" s="18">
        <f t="shared" si="287"/>
        <v>0</v>
      </c>
      <c r="S607" s="18">
        <f t="shared" si="287"/>
        <v>10000</v>
      </c>
    </row>
    <row r="608" spans="2:19" x14ac:dyDescent="0.2">
      <c r="B608" s="7">
        <f t="shared" si="277"/>
        <v>101</v>
      </c>
      <c r="C608" s="13"/>
      <c r="D608" s="13"/>
      <c r="E608" s="13"/>
      <c r="F608" s="14"/>
      <c r="G608" s="21">
        <v>717</v>
      </c>
      <c r="H608" s="19" t="s">
        <v>178</v>
      </c>
      <c r="I608" s="22"/>
      <c r="J608" s="22"/>
      <c r="K608" s="22">
        <f t="shared" si="278"/>
        <v>0</v>
      </c>
      <c r="L608" s="22"/>
      <c r="M608" s="22">
        <f>M609</f>
        <v>10000</v>
      </c>
      <c r="N608" s="22">
        <f t="shared" si="288"/>
        <v>0</v>
      </c>
      <c r="O608" s="22">
        <f t="shared" si="279"/>
        <v>10000</v>
      </c>
      <c r="P608" s="22"/>
      <c r="Q608" s="23">
        <f t="shared" si="275"/>
        <v>10000</v>
      </c>
      <c r="R608" s="23">
        <f t="shared" si="287"/>
        <v>0</v>
      </c>
      <c r="S608" s="23">
        <f t="shared" si="287"/>
        <v>10000</v>
      </c>
    </row>
    <row r="609" spans="2:19" x14ac:dyDescent="0.2">
      <c r="B609" s="7">
        <f t="shared" si="277"/>
        <v>102</v>
      </c>
      <c r="C609" s="13"/>
      <c r="D609" s="13"/>
      <c r="E609" s="13"/>
      <c r="F609" s="14"/>
      <c r="G609" s="25"/>
      <c r="H609" s="1" t="s">
        <v>609</v>
      </c>
      <c r="I609" s="26"/>
      <c r="J609" s="26"/>
      <c r="K609" s="26">
        <f t="shared" si="278"/>
        <v>0</v>
      </c>
      <c r="L609" s="26"/>
      <c r="M609" s="26">
        <v>10000</v>
      </c>
      <c r="N609" s="26"/>
      <c r="O609" s="26">
        <f t="shared" si="279"/>
        <v>10000</v>
      </c>
      <c r="P609" s="26"/>
      <c r="Q609" s="28">
        <f t="shared" si="275"/>
        <v>10000</v>
      </c>
      <c r="R609" s="28">
        <f t="shared" si="287"/>
        <v>0</v>
      </c>
      <c r="S609" s="28">
        <f t="shared" si="287"/>
        <v>10000</v>
      </c>
    </row>
    <row r="610" spans="2:19" x14ac:dyDescent="0.2">
      <c r="B610" s="7">
        <f t="shared" si="277"/>
        <v>103</v>
      </c>
      <c r="C610" s="119"/>
      <c r="D610" s="119"/>
      <c r="E610" s="119" t="s">
        <v>81</v>
      </c>
      <c r="F610" s="120"/>
      <c r="G610" s="120"/>
      <c r="H610" s="119" t="s">
        <v>426</v>
      </c>
      <c r="I610" s="121">
        <f>I621+I613+I612+I611+I622</f>
        <v>653103</v>
      </c>
      <c r="J610" s="121">
        <f t="shared" ref="J610" si="289">J621+J613+J612+J611+J622</f>
        <v>0</v>
      </c>
      <c r="K610" s="121">
        <f t="shared" si="278"/>
        <v>653103</v>
      </c>
      <c r="L610" s="16"/>
      <c r="M610" s="121">
        <f>M623</f>
        <v>7600</v>
      </c>
      <c r="N610" s="121">
        <f t="shared" ref="N610" si="290">N623</f>
        <v>0</v>
      </c>
      <c r="O610" s="121">
        <f t="shared" si="279"/>
        <v>7600</v>
      </c>
      <c r="P610" s="16"/>
      <c r="Q610" s="123">
        <f t="shared" si="275"/>
        <v>660703</v>
      </c>
      <c r="R610" s="123">
        <f t="shared" si="287"/>
        <v>0</v>
      </c>
      <c r="S610" s="123">
        <f t="shared" si="287"/>
        <v>660703</v>
      </c>
    </row>
    <row r="611" spans="2:19" x14ac:dyDescent="0.2">
      <c r="B611" s="7">
        <f t="shared" si="277"/>
        <v>104</v>
      </c>
      <c r="C611" s="13"/>
      <c r="D611" s="13"/>
      <c r="E611" s="13"/>
      <c r="F611" s="14" t="s">
        <v>183</v>
      </c>
      <c r="G611" s="15">
        <v>610</v>
      </c>
      <c r="H611" s="13" t="s">
        <v>511</v>
      </c>
      <c r="I611" s="16">
        <f>331605+100+34650</f>
        <v>366355</v>
      </c>
      <c r="J611" s="16"/>
      <c r="K611" s="16">
        <f t="shared" si="278"/>
        <v>366355</v>
      </c>
      <c r="L611" s="16"/>
      <c r="M611" s="16"/>
      <c r="N611" s="16"/>
      <c r="O611" s="16">
        <f t="shared" si="279"/>
        <v>0</v>
      </c>
      <c r="P611" s="16"/>
      <c r="Q611" s="18">
        <f t="shared" si="275"/>
        <v>366355</v>
      </c>
      <c r="R611" s="18">
        <f t="shared" si="287"/>
        <v>0</v>
      </c>
      <c r="S611" s="18">
        <f t="shared" si="287"/>
        <v>366355</v>
      </c>
    </row>
    <row r="612" spans="2:19" x14ac:dyDescent="0.2">
      <c r="B612" s="7">
        <f t="shared" si="277"/>
        <v>105</v>
      </c>
      <c r="C612" s="13"/>
      <c r="D612" s="13"/>
      <c r="E612" s="13"/>
      <c r="F612" s="14" t="s">
        <v>183</v>
      </c>
      <c r="G612" s="15">
        <v>620</v>
      </c>
      <c r="H612" s="13" t="s">
        <v>122</v>
      </c>
      <c r="I612" s="16">
        <f>131474+35-2724</f>
        <v>128785</v>
      </c>
      <c r="J612" s="16"/>
      <c r="K612" s="16">
        <f t="shared" si="278"/>
        <v>128785</v>
      </c>
      <c r="L612" s="16"/>
      <c r="M612" s="16"/>
      <c r="N612" s="16"/>
      <c r="O612" s="16">
        <f t="shared" si="279"/>
        <v>0</v>
      </c>
      <c r="P612" s="16"/>
      <c r="Q612" s="18">
        <f t="shared" si="275"/>
        <v>128785</v>
      </c>
      <c r="R612" s="18">
        <f t="shared" si="287"/>
        <v>0</v>
      </c>
      <c r="S612" s="18">
        <f t="shared" si="287"/>
        <v>128785</v>
      </c>
    </row>
    <row r="613" spans="2:19" x14ac:dyDescent="0.2">
      <c r="B613" s="7">
        <f t="shared" si="277"/>
        <v>106</v>
      </c>
      <c r="C613" s="13"/>
      <c r="D613" s="13"/>
      <c r="E613" s="13"/>
      <c r="F613" s="14" t="s">
        <v>183</v>
      </c>
      <c r="G613" s="15">
        <v>630</v>
      </c>
      <c r="H613" s="13" t="s">
        <v>119</v>
      </c>
      <c r="I613" s="16">
        <f>SUM(I614:I620)</f>
        <v>129906</v>
      </c>
      <c r="J613" s="16">
        <f t="shared" ref="J613" si="291">SUM(J614:J620)</f>
        <v>0</v>
      </c>
      <c r="K613" s="16">
        <f t="shared" si="278"/>
        <v>129906</v>
      </c>
      <c r="L613" s="16"/>
      <c r="M613" s="16"/>
      <c r="N613" s="16"/>
      <c r="O613" s="16">
        <f t="shared" si="279"/>
        <v>0</v>
      </c>
      <c r="P613" s="16"/>
      <c r="Q613" s="18">
        <f t="shared" si="275"/>
        <v>129906</v>
      </c>
      <c r="R613" s="18">
        <f t="shared" si="287"/>
        <v>0</v>
      </c>
      <c r="S613" s="18">
        <f t="shared" si="287"/>
        <v>129906</v>
      </c>
    </row>
    <row r="614" spans="2:19" x14ac:dyDescent="0.2">
      <c r="B614" s="7">
        <f t="shared" si="277"/>
        <v>107</v>
      </c>
      <c r="C614" s="13"/>
      <c r="D614" s="13"/>
      <c r="E614" s="13"/>
      <c r="F614" s="14"/>
      <c r="G614" s="21">
        <v>631</v>
      </c>
      <c r="H614" s="19" t="s">
        <v>125</v>
      </c>
      <c r="I614" s="22">
        <v>300</v>
      </c>
      <c r="J614" s="22"/>
      <c r="K614" s="22">
        <f t="shared" si="278"/>
        <v>300</v>
      </c>
      <c r="L614" s="16"/>
      <c r="M614" s="16"/>
      <c r="N614" s="16"/>
      <c r="O614" s="16">
        <f t="shared" si="279"/>
        <v>0</v>
      </c>
      <c r="P614" s="16"/>
      <c r="Q614" s="18">
        <f t="shared" si="275"/>
        <v>300</v>
      </c>
      <c r="R614" s="18">
        <f t="shared" si="287"/>
        <v>0</v>
      </c>
      <c r="S614" s="18">
        <f t="shared" si="287"/>
        <v>300</v>
      </c>
    </row>
    <row r="615" spans="2:19" x14ac:dyDescent="0.2">
      <c r="B615" s="7">
        <f t="shared" si="277"/>
        <v>108</v>
      </c>
      <c r="C615" s="19"/>
      <c r="D615" s="19"/>
      <c r="E615" s="19"/>
      <c r="F615" s="20"/>
      <c r="G615" s="21">
        <v>632</v>
      </c>
      <c r="H615" s="19" t="s">
        <v>131</v>
      </c>
      <c r="I615" s="22">
        <v>37950</v>
      </c>
      <c r="J615" s="22"/>
      <c r="K615" s="22">
        <f t="shared" si="278"/>
        <v>37950</v>
      </c>
      <c r="L615" s="22"/>
      <c r="M615" s="22"/>
      <c r="N615" s="22"/>
      <c r="O615" s="22">
        <f t="shared" si="279"/>
        <v>0</v>
      </c>
      <c r="P615" s="22"/>
      <c r="Q615" s="23">
        <f t="shared" si="275"/>
        <v>37950</v>
      </c>
      <c r="R615" s="23">
        <f t="shared" si="287"/>
        <v>0</v>
      </c>
      <c r="S615" s="23">
        <f t="shared" si="287"/>
        <v>37950</v>
      </c>
    </row>
    <row r="616" spans="2:19" x14ac:dyDescent="0.2">
      <c r="B616" s="7">
        <f t="shared" si="277"/>
        <v>109</v>
      </c>
      <c r="C616" s="19"/>
      <c r="D616" s="19"/>
      <c r="E616" s="19"/>
      <c r="F616" s="20"/>
      <c r="G616" s="21">
        <v>633</v>
      </c>
      <c r="H616" s="19" t="s">
        <v>123</v>
      </c>
      <c r="I616" s="22">
        <f>34624+3000</f>
        <v>37624</v>
      </c>
      <c r="J616" s="22"/>
      <c r="K616" s="22">
        <f t="shared" si="278"/>
        <v>37624</v>
      </c>
      <c r="L616" s="22"/>
      <c r="M616" s="22"/>
      <c r="N616" s="22"/>
      <c r="O616" s="22">
        <f t="shared" si="279"/>
        <v>0</v>
      </c>
      <c r="P616" s="22"/>
      <c r="Q616" s="23">
        <f t="shared" si="275"/>
        <v>37624</v>
      </c>
      <c r="R616" s="23">
        <f t="shared" si="287"/>
        <v>0</v>
      </c>
      <c r="S616" s="23">
        <f t="shared" si="287"/>
        <v>37624</v>
      </c>
    </row>
    <row r="617" spans="2:19" x14ac:dyDescent="0.2">
      <c r="B617" s="7">
        <f t="shared" si="277"/>
        <v>110</v>
      </c>
      <c r="C617" s="19"/>
      <c r="D617" s="19"/>
      <c r="E617" s="19"/>
      <c r="F617" s="20"/>
      <c r="G617" s="21">
        <v>634</v>
      </c>
      <c r="H617" s="19" t="s">
        <v>129</v>
      </c>
      <c r="I617" s="22">
        <v>1038</v>
      </c>
      <c r="J617" s="22"/>
      <c r="K617" s="22">
        <f t="shared" si="278"/>
        <v>1038</v>
      </c>
      <c r="L617" s="22"/>
      <c r="M617" s="22"/>
      <c r="N617" s="22"/>
      <c r="O617" s="22">
        <f t="shared" si="279"/>
        <v>0</v>
      </c>
      <c r="P617" s="22"/>
      <c r="Q617" s="23">
        <f t="shared" si="275"/>
        <v>1038</v>
      </c>
      <c r="R617" s="23">
        <f t="shared" si="287"/>
        <v>0</v>
      </c>
      <c r="S617" s="23">
        <f t="shared" si="287"/>
        <v>1038</v>
      </c>
    </row>
    <row r="618" spans="2:19" x14ac:dyDescent="0.2">
      <c r="B618" s="7">
        <f t="shared" si="277"/>
        <v>111</v>
      </c>
      <c r="C618" s="19"/>
      <c r="D618" s="19"/>
      <c r="E618" s="19"/>
      <c r="F618" s="20"/>
      <c r="G618" s="21">
        <v>635</v>
      </c>
      <c r="H618" s="19" t="s">
        <v>130</v>
      </c>
      <c r="I618" s="22">
        <v>19040</v>
      </c>
      <c r="J618" s="22"/>
      <c r="K618" s="22">
        <f t="shared" si="278"/>
        <v>19040</v>
      </c>
      <c r="L618" s="22"/>
      <c r="M618" s="22"/>
      <c r="N618" s="22"/>
      <c r="O618" s="22">
        <f t="shared" si="279"/>
        <v>0</v>
      </c>
      <c r="P618" s="22"/>
      <c r="Q618" s="23">
        <f t="shared" si="275"/>
        <v>19040</v>
      </c>
      <c r="R618" s="23">
        <f t="shared" si="287"/>
        <v>0</v>
      </c>
      <c r="S618" s="23">
        <f t="shared" si="287"/>
        <v>19040</v>
      </c>
    </row>
    <row r="619" spans="2:19" x14ac:dyDescent="0.2">
      <c r="B619" s="7">
        <f t="shared" si="277"/>
        <v>112</v>
      </c>
      <c r="C619" s="19"/>
      <c r="D619" s="19"/>
      <c r="E619" s="19"/>
      <c r="F619" s="20"/>
      <c r="G619" s="21">
        <v>636</v>
      </c>
      <c r="H619" s="19" t="s">
        <v>124</v>
      </c>
      <c r="I619" s="22">
        <v>329</v>
      </c>
      <c r="J619" s="22"/>
      <c r="K619" s="22">
        <f t="shared" si="278"/>
        <v>329</v>
      </c>
      <c r="L619" s="22"/>
      <c r="M619" s="22"/>
      <c r="N619" s="22"/>
      <c r="O619" s="22">
        <f t="shared" si="279"/>
        <v>0</v>
      </c>
      <c r="P619" s="22"/>
      <c r="Q619" s="23">
        <f t="shared" si="275"/>
        <v>329</v>
      </c>
      <c r="R619" s="23">
        <f t="shared" si="287"/>
        <v>0</v>
      </c>
      <c r="S619" s="23">
        <f t="shared" si="287"/>
        <v>329</v>
      </c>
    </row>
    <row r="620" spans="2:19" x14ac:dyDescent="0.2">
      <c r="B620" s="7">
        <f t="shared" si="277"/>
        <v>113</v>
      </c>
      <c r="C620" s="19"/>
      <c r="D620" s="19"/>
      <c r="E620" s="19"/>
      <c r="F620" s="20"/>
      <c r="G620" s="21">
        <v>637</v>
      </c>
      <c r="H620" s="19" t="s">
        <v>120</v>
      </c>
      <c r="I620" s="22">
        <v>33625</v>
      </c>
      <c r="J620" s="22"/>
      <c r="K620" s="22">
        <f t="shared" si="278"/>
        <v>33625</v>
      </c>
      <c r="L620" s="22"/>
      <c r="M620" s="22"/>
      <c r="N620" s="22"/>
      <c r="O620" s="22">
        <f t="shared" si="279"/>
        <v>0</v>
      </c>
      <c r="P620" s="22"/>
      <c r="Q620" s="23">
        <f t="shared" si="275"/>
        <v>33625</v>
      </c>
      <c r="R620" s="23">
        <f t="shared" ref="R620:S635" si="292">N620+J620</f>
        <v>0</v>
      </c>
      <c r="S620" s="23">
        <f t="shared" si="292"/>
        <v>33625</v>
      </c>
    </row>
    <row r="621" spans="2:19" x14ac:dyDescent="0.2">
      <c r="B621" s="7">
        <f t="shared" si="277"/>
        <v>114</v>
      </c>
      <c r="C621" s="13"/>
      <c r="D621" s="13"/>
      <c r="E621" s="13"/>
      <c r="F621" s="14" t="s">
        <v>183</v>
      </c>
      <c r="G621" s="15">
        <v>640</v>
      </c>
      <c r="H621" s="13" t="s">
        <v>127</v>
      </c>
      <c r="I621" s="16">
        <v>18085</v>
      </c>
      <c r="J621" s="16"/>
      <c r="K621" s="16">
        <f t="shared" si="278"/>
        <v>18085</v>
      </c>
      <c r="L621" s="16"/>
      <c r="M621" s="16"/>
      <c r="N621" s="16"/>
      <c r="O621" s="16">
        <f t="shared" si="279"/>
        <v>0</v>
      </c>
      <c r="P621" s="16"/>
      <c r="Q621" s="18">
        <f t="shared" si="275"/>
        <v>18085</v>
      </c>
      <c r="R621" s="18">
        <f t="shared" si="292"/>
        <v>0</v>
      </c>
      <c r="S621" s="18">
        <f t="shared" si="292"/>
        <v>18085</v>
      </c>
    </row>
    <row r="622" spans="2:19" x14ac:dyDescent="0.2">
      <c r="B622" s="7">
        <f t="shared" si="277"/>
        <v>115</v>
      </c>
      <c r="C622" s="13"/>
      <c r="D622" s="13"/>
      <c r="E622" s="13"/>
      <c r="F622" s="14" t="s">
        <v>183</v>
      </c>
      <c r="G622" s="15">
        <v>630</v>
      </c>
      <c r="H622" s="13" t="s">
        <v>686</v>
      </c>
      <c r="I622" s="16">
        <v>9972</v>
      </c>
      <c r="J622" s="16"/>
      <c r="K622" s="16">
        <f t="shared" si="278"/>
        <v>9972</v>
      </c>
      <c r="L622" s="16"/>
      <c r="M622" s="16"/>
      <c r="N622" s="16"/>
      <c r="O622" s="16">
        <f t="shared" si="279"/>
        <v>0</v>
      </c>
      <c r="P622" s="16"/>
      <c r="Q622" s="18">
        <f t="shared" si="275"/>
        <v>9972</v>
      </c>
      <c r="R622" s="18">
        <f t="shared" si="292"/>
        <v>0</v>
      </c>
      <c r="S622" s="18">
        <f t="shared" si="292"/>
        <v>9972</v>
      </c>
    </row>
    <row r="623" spans="2:19" x14ac:dyDescent="0.2">
      <c r="B623" s="7">
        <f t="shared" si="277"/>
        <v>116</v>
      </c>
      <c r="C623" s="13"/>
      <c r="D623" s="13"/>
      <c r="E623" s="13"/>
      <c r="F623" s="14"/>
      <c r="G623" s="15">
        <v>710</v>
      </c>
      <c r="H623" s="13" t="s">
        <v>171</v>
      </c>
      <c r="I623" s="16"/>
      <c r="J623" s="16"/>
      <c r="K623" s="16">
        <f t="shared" si="278"/>
        <v>0</v>
      </c>
      <c r="L623" s="16"/>
      <c r="M623" s="16">
        <f>M626+M624</f>
        <v>7600</v>
      </c>
      <c r="N623" s="16">
        <f t="shared" ref="N623" si="293">N626+N624</f>
        <v>0</v>
      </c>
      <c r="O623" s="16">
        <f t="shared" si="279"/>
        <v>7600</v>
      </c>
      <c r="P623" s="16"/>
      <c r="Q623" s="18">
        <f t="shared" si="275"/>
        <v>7600</v>
      </c>
      <c r="R623" s="18">
        <f t="shared" si="292"/>
        <v>0</v>
      </c>
      <c r="S623" s="18">
        <f t="shared" si="292"/>
        <v>7600</v>
      </c>
    </row>
    <row r="624" spans="2:19" x14ac:dyDescent="0.2">
      <c r="B624" s="7">
        <f t="shared" si="277"/>
        <v>117</v>
      </c>
      <c r="C624" s="13"/>
      <c r="D624" s="13"/>
      <c r="E624" s="13"/>
      <c r="F624" s="14"/>
      <c r="G624" s="21">
        <v>716</v>
      </c>
      <c r="H624" s="19" t="s">
        <v>211</v>
      </c>
      <c r="I624" s="16"/>
      <c r="J624" s="16"/>
      <c r="K624" s="16">
        <f t="shared" si="278"/>
        <v>0</v>
      </c>
      <c r="L624" s="16"/>
      <c r="M624" s="22">
        <f>M625</f>
        <v>2600</v>
      </c>
      <c r="N624" s="22">
        <f t="shared" ref="N624" si="294">N625</f>
        <v>0</v>
      </c>
      <c r="O624" s="22">
        <f t="shared" si="279"/>
        <v>2600</v>
      </c>
      <c r="P624" s="16"/>
      <c r="Q624" s="23">
        <f t="shared" si="275"/>
        <v>2600</v>
      </c>
      <c r="R624" s="23">
        <f t="shared" si="292"/>
        <v>0</v>
      </c>
      <c r="S624" s="23">
        <f t="shared" si="292"/>
        <v>2600</v>
      </c>
    </row>
    <row r="625" spans="2:19" x14ac:dyDescent="0.2">
      <c r="B625" s="7">
        <f t="shared" si="277"/>
        <v>118</v>
      </c>
      <c r="C625" s="13"/>
      <c r="D625" s="13"/>
      <c r="E625" s="13"/>
      <c r="F625" s="14"/>
      <c r="G625" s="25"/>
      <c r="H625" s="1" t="s">
        <v>658</v>
      </c>
      <c r="I625" s="16"/>
      <c r="J625" s="16"/>
      <c r="K625" s="16">
        <f t="shared" si="278"/>
        <v>0</v>
      </c>
      <c r="L625" s="16"/>
      <c r="M625" s="26">
        <v>2600</v>
      </c>
      <c r="N625" s="26"/>
      <c r="O625" s="26">
        <f t="shared" si="279"/>
        <v>2600</v>
      </c>
      <c r="P625" s="16"/>
      <c r="Q625" s="28">
        <f t="shared" si="275"/>
        <v>2600</v>
      </c>
      <c r="R625" s="28">
        <f t="shared" si="292"/>
        <v>0</v>
      </c>
      <c r="S625" s="28">
        <f t="shared" si="292"/>
        <v>2600</v>
      </c>
    </row>
    <row r="626" spans="2:19" x14ac:dyDescent="0.2">
      <c r="B626" s="7">
        <f t="shared" si="277"/>
        <v>119</v>
      </c>
      <c r="C626" s="13"/>
      <c r="D626" s="13"/>
      <c r="E626" s="13"/>
      <c r="F626" s="14"/>
      <c r="G626" s="21">
        <v>717</v>
      </c>
      <c r="H626" s="19" t="s">
        <v>178</v>
      </c>
      <c r="I626" s="22"/>
      <c r="J626" s="22"/>
      <c r="K626" s="22">
        <f t="shared" si="278"/>
        <v>0</v>
      </c>
      <c r="L626" s="22"/>
      <c r="M626" s="22">
        <f>M627</f>
        <v>5000</v>
      </c>
      <c r="N626" s="22">
        <f t="shared" ref="N626" si="295">N627</f>
        <v>0</v>
      </c>
      <c r="O626" s="22">
        <f t="shared" si="279"/>
        <v>5000</v>
      </c>
      <c r="P626" s="22"/>
      <c r="Q626" s="23">
        <f t="shared" si="275"/>
        <v>5000</v>
      </c>
      <c r="R626" s="23">
        <f t="shared" si="292"/>
        <v>0</v>
      </c>
      <c r="S626" s="23">
        <f t="shared" si="292"/>
        <v>5000</v>
      </c>
    </row>
    <row r="627" spans="2:19" x14ac:dyDescent="0.2">
      <c r="B627" s="7">
        <f t="shared" si="277"/>
        <v>120</v>
      </c>
      <c r="C627" s="13"/>
      <c r="D627" s="13"/>
      <c r="E627" s="13"/>
      <c r="F627" s="14"/>
      <c r="G627" s="25"/>
      <c r="H627" s="1" t="s">
        <v>608</v>
      </c>
      <c r="I627" s="26"/>
      <c r="J627" s="26"/>
      <c r="K627" s="26">
        <f t="shared" si="278"/>
        <v>0</v>
      </c>
      <c r="L627" s="26"/>
      <c r="M627" s="26">
        <v>5000</v>
      </c>
      <c r="N627" s="26"/>
      <c r="O627" s="26">
        <f t="shared" si="279"/>
        <v>5000</v>
      </c>
      <c r="P627" s="26"/>
      <c r="Q627" s="28">
        <f t="shared" si="275"/>
        <v>5000</v>
      </c>
      <c r="R627" s="28">
        <f t="shared" si="292"/>
        <v>0</v>
      </c>
      <c r="S627" s="28">
        <f t="shared" si="292"/>
        <v>5000</v>
      </c>
    </row>
    <row r="628" spans="2:19" x14ac:dyDescent="0.2">
      <c r="B628" s="7">
        <f t="shared" si="277"/>
        <v>121</v>
      </c>
      <c r="C628" s="119"/>
      <c r="D628" s="119"/>
      <c r="E628" s="119" t="s">
        <v>99</v>
      </c>
      <c r="F628" s="120"/>
      <c r="G628" s="120"/>
      <c r="H628" s="119" t="s">
        <v>100</v>
      </c>
      <c r="I628" s="121">
        <f>I639+I631+I630+I629+I640</f>
        <v>337255</v>
      </c>
      <c r="J628" s="121">
        <f t="shared" ref="J628" si="296">J639+J631+J630+J629+J640</f>
        <v>0</v>
      </c>
      <c r="K628" s="121">
        <f t="shared" si="278"/>
        <v>337255</v>
      </c>
      <c r="L628" s="16"/>
      <c r="M628" s="121"/>
      <c r="N628" s="121"/>
      <c r="O628" s="121">
        <f t="shared" si="279"/>
        <v>0</v>
      </c>
      <c r="P628" s="16"/>
      <c r="Q628" s="123">
        <f t="shared" si="275"/>
        <v>337255</v>
      </c>
      <c r="R628" s="123">
        <f t="shared" si="292"/>
        <v>0</v>
      </c>
      <c r="S628" s="123">
        <f t="shared" si="292"/>
        <v>337255</v>
      </c>
    </row>
    <row r="629" spans="2:19" x14ac:dyDescent="0.2">
      <c r="B629" s="7">
        <f t="shared" si="277"/>
        <v>122</v>
      </c>
      <c r="C629" s="13"/>
      <c r="D629" s="13"/>
      <c r="E629" s="13"/>
      <c r="F629" s="14" t="s">
        <v>183</v>
      </c>
      <c r="G629" s="15">
        <v>610</v>
      </c>
      <c r="H629" s="13" t="s">
        <v>511</v>
      </c>
      <c r="I629" s="16">
        <f>226320-33324</f>
        <v>192996</v>
      </c>
      <c r="J629" s="16"/>
      <c r="K629" s="16">
        <f t="shared" si="278"/>
        <v>192996</v>
      </c>
      <c r="L629" s="16"/>
      <c r="M629" s="16"/>
      <c r="N629" s="16"/>
      <c r="O629" s="16">
        <f t="shared" si="279"/>
        <v>0</v>
      </c>
      <c r="P629" s="16"/>
      <c r="Q629" s="18">
        <f t="shared" si="275"/>
        <v>192996</v>
      </c>
      <c r="R629" s="18">
        <f t="shared" si="292"/>
        <v>0</v>
      </c>
      <c r="S629" s="18">
        <f t="shared" si="292"/>
        <v>192996</v>
      </c>
    </row>
    <row r="630" spans="2:19" x14ac:dyDescent="0.2">
      <c r="B630" s="7">
        <f t="shared" si="277"/>
        <v>123</v>
      </c>
      <c r="C630" s="13"/>
      <c r="D630" s="13"/>
      <c r="E630" s="13"/>
      <c r="F630" s="14" t="s">
        <v>183</v>
      </c>
      <c r="G630" s="15">
        <v>620</v>
      </c>
      <c r="H630" s="13" t="s">
        <v>122</v>
      </c>
      <c r="I630" s="16">
        <f>86037-10914</f>
        <v>75123</v>
      </c>
      <c r="J630" s="16"/>
      <c r="K630" s="16">
        <f t="shared" si="278"/>
        <v>75123</v>
      </c>
      <c r="L630" s="16"/>
      <c r="M630" s="16"/>
      <c r="N630" s="16"/>
      <c r="O630" s="16">
        <f t="shared" si="279"/>
        <v>0</v>
      </c>
      <c r="P630" s="16"/>
      <c r="Q630" s="18">
        <f t="shared" si="275"/>
        <v>75123</v>
      </c>
      <c r="R630" s="18">
        <f t="shared" si="292"/>
        <v>0</v>
      </c>
      <c r="S630" s="18">
        <f t="shared" si="292"/>
        <v>75123</v>
      </c>
    </row>
    <row r="631" spans="2:19" x14ac:dyDescent="0.2">
      <c r="B631" s="7">
        <f t="shared" si="277"/>
        <v>124</v>
      </c>
      <c r="C631" s="13"/>
      <c r="D631" s="13"/>
      <c r="E631" s="13"/>
      <c r="F631" s="14" t="s">
        <v>183</v>
      </c>
      <c r="G631" s="15">
        <v>630</v>
      </c>
      <c r="H631" s="13" t="s">
        <v>119</v>
      </c>
      <c r="I631" s="16">
        <f>SUM(I632:I638)</f>
        <v>59693</v>
      </c>
      <c r="J631" s="16">
        <f t="shared" ref="J631" si="297">SUM(J632:J638)</f>
        <v>0</v>
      </c>
      <c r="K631" s="16">
        <f t="shared" si="278"/>
        <v>59693</v>
      </c>
      <c r="L631" s="16"/>
      <c r="M631" s="16"/>
      <c r="N631" s="16"/>
      <c r="O631" s="16">
        <f t="shared" si="279"/>
        <v>0</v>
      </c>
      <c r="P631" s="16"/>
      <c r="Q631" s="18">
        <f t="shared" si="275"/>
        <v>59693</v>
      </c>
      <c r="R631" s="18">
        <f t="shared" si="292"/>
        <v>0</v>
      </c>
      <c r="S631" s="18">
        <f t="shared" si="292"/>
        <v>59693</v>
      </c>
    </row>
    <row r="632" spans="2:19" x14ac:dyDescent="0.2">
      <c r="B632" s="7">
        <f t="shared" si="277"/>
        <v>125</v>
      </c>
      <c r="C632" s="13"/>
      <c r="D632" s="13"/>
      <c r="E632" s="13"/>
      <c r="F632" s="14"/>
      <c r="G632" s="21">
        <v>631</v>
      </c>
      <c r="H632" s="19" t="s">
        <v>125</v>
      </c>
      <c r="I632" s="22">
        <v>30</v>
      </c>
      <c r="J632" s="22"/>
      <c r="K632" s="22">
        <f t="shared" si="278"/>
        <v>30</v>
      </c>
      <c r="L632" s="22"/>
      <c r="M632" s="22"/>
      <c r="N632" s="22"/>
      <c r="O632" s="22">
        <f t="shared" si="279"/>
        <v>0</v>
      </c>
      <c r="P632" s="22"/>
      <c r="Q632" s="23">
        <f t="shared" si="275"/>
        <v>30</v>
      </c>
      <c r="R632" s="23">
        <f t="shared" si="292"/>
        <v>0</v>
      </c>
      <c r="S632" s="23">
        <f t="shared" si="292"/>
        <v>30</v>
      </c>
    </row>
    <row r="633" spans="2:19" x14ac:dyDescent="0.2">
      <c r="B633" s="7">
        <f t="shared" si="277"/>
        <v>126</v>
      </c>
      <c r="C633" s="19"/>
      <c r="D633" s="19"/>
      <c r="E633" s="19"/>
      <c r="F633" s="20"/>
      <c r="G633" s="21">
        <v>632</v>
      </c>
      <c r="H633" s="19" t="s">
        <v>131</v>
      </c>
      <c r="I633" s="22">
        <v>13190</v>
      </c>
      <c r="J633" s="22"/>
      <c r="K633" s="22">
        <f t="shared" si="278"/>
        <v>13190</v>
      </c>
      <c r="L633" s="22"/>
      <c r="M633" s="22"/>
      <c r="N633" s="22"/>
      <c r="O633" s="22">
        <f t="shared" si="279"/>
        <v>0</v>
      </c>
      <c r="P633" s="22"/>
      <c r="Q633" s="23">
        <f t="shared" si="275"/>
        <v>13190</v>
      </c>
      <c r="R633" s="23">
        <f t="shared" si="292"/>
        <v>0</v>
      </c>
      <c r="S633" s="23">
        <f t="shared" si="292"/>
        <v>13190</v>
      </c>
    </row>
    <row r="634" spans="2:19" x14ac:dyDescent="0.2">
      <c r="B634" s="7">
        <f t="shared" si="277"/>
        <v>127</v>
      </c>
      <c r="C634" s="19"/>
      <c r="D634" s="19"/>
      <c r="E634" s="19"/>
      <c r="F634" s="20"/>
      <c r="G634" s="21">
        <v>633</v>
      </c>
      <c r="H634" s="19" t="s">
        <v>123</v>
      </c>
      <c r="I634" s="22">
        <f>16897-30</f>
        <v>16867</v>
      </c>
      <c r="J634" s="22"/>
      <c r="K634" s="22">
        <f t="shared" si="278"/>
        <v>16867</v>
      </c>
      <c r="L634" s="22"/>
      <c r="M634" s="22"/>
      <c r="N634" s="22"/>
      <c r="O634" s="22">
        <f t="shared" si="279"/>
        <v>0</v>
      </c>
      <c r="P634" s="22"/>
      <c r="Q634" s="23">
        <f t="shared" si="275"/>
        <v>16867</v>
      </c>
      <c r="R634" s="23">
        <f t="shared" si="292"/>
        <v>0</v>
      </c>
      <c r="S634" s="23">
        <f t="shared" si="292"/>
        <v>16867</v>
      </c>
    </row>
    <row r="635" spans="2:19" x14ac:dyDescent="0.2">
      <c r="B635" s="7">
        <f t="shared" si="277"/>
        <v>128</v>
      </c>
      <c r="C635" s="19"/>
      <c r="D635" s="19"/>
      <c r="E635" s="19"/>
      <c r="F635" s="20"/>
      <c r="G635" s="21">
        <v>634</v>
      </c>
      <c r="H635" s="19" t="s">
        <v>129</v>
      </c>
      <c r="I635" s="22">
        <v>226</v>
      </c>
      <c r="J635" s="22"/>
      <c r="K635" s="22">
        <f t="shared" si="278"/>
        <v>226</v>
      </c>
      <c r="L635" s="22"/>
      <c r="M635" s="22"/>
      <c r="N635" s="22"/>
      <c r="O635" s="22">
        <f t="shared" si="279"/>
        <v>0</v>
      </c>
      <c r="P635" s="22"/>
      <c r="Q635" s="23">
        <f t="shared" si="275"/>
        <v>226</v>
      </c>
      <c r="R635" s="23">
        <f t="shared" si="292"/>
        <v>0</v>
      </c>
      <c r="S635" s="23">
        <f t="shared" si="292"/>
        <v>226</v>
      </c>
    </row>
    <row r="636" spans="2:19" x14ac:dyDescent="0.2">
      <c r="B636" s="7">
        <f t="shared" si="277"/>
        <v>129</v>
      </c>
      <c r="C636" s="19"/>
      <c r="D636" s="19"/>
      <c r="E636" s="19"/>
      <c r="F636" s="20"/>
      <c r="G636" s="21">
        <v>635</v>
      </c>
      <c r="H636" s="19" t="s">
        <v>130</v>
      </c>
      <c r="I636" s="22">
        <v>9320</v>
      </c>
      <c r="J636" s="22"/>
      <c r="K636" s="22">
        <f t="shared" si="278"/>
        <v>9320</v>
      </c>
      <c r="L636" s="22"/>
      <c r="M636" s="22"/>
      <c r="N636" s="22"/>
      <c r="O636" s="22">
        <f t="shared" si="279"/>
        <v>0</v>
      </c>
      <c r="P636" s="22"/>
      <c r="Q636" s="23">
        <f t="shared" ref="Q636:Q699" si="298">M636+I636</f>
        <v>9320</v>
      </c>
      <c r="R636" s="23">
        <f t="shared" ref="R636:S651" si="299">N636+J636</f>
        <v>0</v>
      </c>
      <c r="S636" s="23">
        <f t="shared" si="299"/>
        <v>9320</v>
      </c>
    </row>
    <row r="637" spans="2:19" x14ac:dyDescent="0.2">
      <c r="B637" s="7">
        <f t="shared" ref="B637:B700" si="300">B636+1</f>
        <v>130</v>
      </c>
      <c r="C637" s="19"/>
      <c r="D637" s="19"/>
      <c r="E637" s="19"/>
      <c r="F637" s="20"/>
      <c r="G637" s="21">
        <v>636</v>
      </c>
      <c r="H637" s="19" t="s">
        <v>124</v>
      </c>
      <c r="I637" s="22">
        <v>225</v>
      </c>
      <c r="J637" s="22"/>
      <c r="K637" s="22">
        <f t="shared" ref="K637:K700" si="301">I637+J637</f>
        <v>225</v>
      </c>
      <c r="L637" s="22"/>
      <c r="M637" s="22"/>
      <c r="N637" s="22"/>
      <c r="O637" s="22">
        <f t="shared" ref="O637:O700" si="302">M637+N637</f>
        <v>0</v>
      </c>
      <c r="P637" s="22"/>
      <c r="Q637" s="23">
        <f t="shared" si="298"/>
        <v>225</v>
      </c>
      <c r="R637" s="23">
        <f t="shared" si="299"/>
        <v>0</v>
      </c>
      <c r="S637" s="23">
        <f t="shared" si="299"/>
        <v>225</v>
      </c>
    </row>
    <row r="638" spans="2:19" x14ac:dyDescent="0.2">
      <c r="B638" s="7">
        <f t="shared" si="300"/>
        <v>131</v>
      </c>
      <c r="C638" s="19"/>
      <c r="D638" s="19"/>
      <c r="E638" s="19"/>
      <c r="F638" s="20"/>
      <c r="G638" s="21">
        <v>637</v>
      </c>
      <c r="H638" s="19" t="s">
        <v>120</v>
      </c>
      <c r="I638" s="22">
        <f>19685+150</f>
        <v>19835</v>
      </c>
      <c r="J638" s="22"/>
      <c r="K638" s="22">
        <f t="shared" si="301"/>
        <v>19835</v>
      </c>
      <c r="L638" s="22"/>
      <c r="M638" s="22"/>
      <c r="N638" s="22"/>
      <c r="O638" s="22">
        <f t="shared" si="302"/>
        <v>0</v>
      </c>
      <c r="P638" s="22"/>
      <c r="Q638" s="23">
        <f t="shared" si="298"/>
        <v>19835</v>
      </c>
      <c r="R638" s="23">
        <f t="shared" si="299"/>
        <v>0</v>
      </c>
      <c r="S638" s="23">
        <f t="shared" si="299"/>
        <v>19835</v>
      </c>
    </row>
    <row r="639" spans="2:19" x14ac:dyDescent="0.2">
      <c r="B639" s="7">
        <f t="shared" si="300"/>
        <v>132</v>
      </c>
      <c r="C639" s="13"/>
      <c r="D639" s="13"/>
      <c r="E639" s="13"/>
      <c r="F639" s="14" t="s">
        <v>183</v>
      </c>
      <c r="G639" s="15">
        <v>640</v>
      </c>
      <c r="H639" s="13" t="s">
        <v>127</v>
      </c>
      <c r="I639" s="16">
        <v>1410</v>
      </c>
      <c r="J639" s="16"/>
      <c r="K639" s="16">
        <f t="shared" si="301"/>
        <v>1410</v>
      </c>
      <c r="L639" s="16"/>
      <c r="M639" s="16"/>
      <c r="N639" s="16"/>
      <c r="O639" s="16">
        <f t="shared" si="302"/>
        <v>0</v>
      </c>
      <c r="P639" s="16"/>
      <c r="Q639" s="18">
        <f t="shared" si="298"/>
        <v>1410</v>
      </c>
      <c r="R639" s="18">
        <f t="shared" si="299"/>
        <v>0</v>
      </c>
      <c r="S639" s="18">
        <f t="shared" si="299"/>
        <v>1410</v>
      </c>
    </row>
    <row r="640" spans="2:19" x14ac:dyDescent="0.2">
      <c r="B640" s="7">
        <f t="shared" si="300"/>
        <v>133</v>
      </c>
      <c r="C640" s="13"/>
      <c r="D640" s="13"/>
      <c r="E640" s="13"/>
      <c r="F640" s="14" t="s">
        <v>183</v>
      </c>
      <c r="G640" s="15">
        <v>630</v>
      </c>
      <c r="H640" s="13" t="s">
        <v>686</v>
      </c>
      <c r="I640" s="16">
        <v>8033</v>
      </c>
      <c r="J640" s="16"/>
      <c r="K640" s="16">
        <f t="shared" si="301"/>
        <v>8033</v>
      </c>
      <c r="L640" s="16"/>
      <c r="M640" s="16"/>
      <c r="N640" s="16"/>
      <c r="O640" s="16">
        <f t="shared" si="302"/>
        <v>0</v>
      </c>
      <c r="P640" s="16"/>
      <c r="Q640" s="18">
        <f t="shared" si="298"/>
        <v>8033</v>
      </c>
      <c r="R640" s="18">
        <f t="shared" si="299"/>
        <v>0</v>
      </c>
      <c r="S640" s="18">
        <f t="shared" si="299"/>
        <v>8033</v>
      </c>
    </row>
    <row r="641" spans="2:19" x14ac:dyDescent="0.2">
      <c r="B641" s="7">
        <f t="shared" si="300"/>
        <v>134</v>
      </c>
      <c r="C641" s="119"/>
      <c r="D641" s="119"/>
      <c r="E641" s="119" t="s">
        <v>98</v>
      </c>
      <c r="F641" s="120"/>
      <c r="G641" s="120"/>
      <c r="H641" s="119" t="s">
        <v>61</v>
      </c>
      <c r="I641" s="121">
        <f>I642+I643+I644+I652+I653</f>
        <v>577358</v>
      </c>
      <c r="J641" s="121">
        <f t="shared" ref="J641" si="303">J642+J643+J644+J652+J653</f>
        <v>0</v>
      </c>
      <c r="K641" s="121">
        <f t="shared" si="301"/>
        <v>577358</v>
      </c>
      <c r="L641" s="16"/>
      <c r="M641" s="121">
        <f>M654</f>
        <v>55000</v>
      </c>
      <c r="N641" s="121">
        <f t="shared" ref="N641" si="304">N654</f>
        <v>0</v>
      </c>
      <c r="O641" s="121">
        <f t="shared" si="302"/>
        <v>55000</v>
      </c>
      <c r="P641" s="16"/>
      <c r="Q641" s="123">
        <f t="shared" si="298"/>
        <v>632358</v>
      </c>
      <c r="R641" s="123">
        <f t="shared" si="299"/>
        <v>0</v>
      </c>
      <c r="S641" s="123">
        <f t="shared" si="299"/>
        <v>632358</v>
      </c>
    </row>
    <row r="642" spans="2:19" x14ac:dyDescent="0.2">
      <c r="B642" s="7">
        <f t="shared" si="300"/>
        <v>135</v>
      </c>
      <c r="C642" s="13"/>
      <c r="D642" s="13"/>
      <c r="E642" s="13"/>
      <c r="F642" s="14" t="s">
        <v>183</v>
      </c>
      <c r="G642" s="15">
        <v>610</v>
      </c>
      <c r="H642" s="13" t="s">
        <v>511</v>
      </c>
      <c r="I642" s="16">
        <f>298121+36269</f>
        <v>334390</v>
      </c>
      <c r="J642" s="16"/>
      <c r="K642" s="16">
        <f t="shared" si="301"/>
        <v>334390</v>
      </c>
      <c r="L642" s="16"/>
      <c r="M642" s="16"/>
      <c r="N642" s="16"/>
      <c r="O642" s="16">
        <f t="shared" si="302"/>
        <v>0</v>
      </c>
      <c r="P642" s="16"/>
      <c r="Q642" s="18">
        <f t="shared" si="298"/>
        <v>334390</v>
      </c>
      <c r="R642" s="18">
        <f t="shared" si="299"/>
        <v>0</v>
      </c>
      <c r="S642" s="18">
        <f t="shared" si="299"/>
        <v>334390</v>
      </c>
    </row>
    <row r="643" spans="2:19" x14ac:dyDescent="0.2">
      <c r="B643" s="7">
        <f t="shared" si="300"/>
        <v>136</v>
      </c>
      <c r="C643" s="13"/>
      <c r="D643" s="13"/>
      <c r="E643" s="13"/>
      <c r="F643" s="14" t="s">
        <v>183</v>
      </c>
      <c r="G643" s="15">
        <v>620</v>
      </c>
      <c r="H643" s="13" t="s">
        <v>122</v>
      </c>
      <c r="I643" s="16">
        <f>115698+4810</f>
        <v>120508</v>
      </c>
      <c r="J643" s="16"/>
      <c r="K643" s="16">
        <f t="shared" si="301"/>
        <v>120508</v>
      </c>
      <c r="L643" s="16"/>
      <c r="M643" s="16"/>
      <c r="N643" s="16"/>
      <c r="O643" s="16">
        <f t="shared" si="302"/>
        <v>0</v>
      </c>
      <c r="P643" s="16"/>
      <c r="Q643" s="18">
        <f t="shared" si="298"/>
        <v>120508</v>
      </c>
      <c r="R643" s="18">
        <f t="shared" si="299"/>
        <v>0</v>
      </c>
      <c r="S643" s="18">
        <f t="shared" si="299"/>
        <v>120508</v>
      </c>
    </row>
    <row r="644" spans="2:19" x14ac:dyDescent="0.2">
      <c r="B644" s="7">
        <f t="shared" si="300"/>
        <v>137</v>
      </c>
      <c r="C644" s="13"/>
      <c r="D644" s="13"/>
      <c r="E644" s="13"/>
      <c r="F644" s="14" t="s">
        <v>183</v>
      </c>
      <c r="G644" s="15">
        <v>630</v>
      </c>
      <c r="H644" s="13" t="s">
        <v>119</v>
      </c>
      <c r="I644" s="16">
        <f>SUM(I645:I651)</f>
        <v>114585</v>
      </c>
      <c r="J644" s="16">
        <f t="shared" ref="J644" si="305">SUM(J645:J651)</f>
        <v>0</v>
      </c>
      <c r="K644" s="16">
        <f t="shared" si="301"/>
        <v>114585</v>
      </c>
      <c r="L644" s="16"/>
      <c r="M644" s="16"/>
      <c r="N644" s="16"/>
      <c r="O644" s="16">
        <f t="shared" si="302"/>
        <v>0</v>
      </c>
      <c r="P644" s="16"/>
      <c r="Q644" s="18">
        <f t="shared" si="298"/>
        <v>114585</v>
      </c>
      <c r="R644" s="18">
        <f t="shared" si="299"/>
        <v>0</v>
      </c>
      <c r="S644" s="18">
        <f t="shared" si="299"/>
        <v>114585</v>
      </c>
    </row>
    <row r="645" spans="2:19" x14ac:dyDescent="0.2">
      <c r="B645" s="7">
        <f t="shared" si="300"/>
        <v>138</v>
      </c>
      <c r="C645" s="13"/>
      <c r="D645" s="13"/>
      <c r="E645" s="13"/>
      <c r="F645" s="14"/>
      <c r="G645" s="21">
        <v>631</v>
      </c>
      <c r="H645" s="19" t="s">
        <v>125</v>
      </c>
      <c r="I645" s="22">
        <v>200</v>
      </c>
      <c r="J645" s="22"/>
      <c r="K645" s="22">
        <f t="shared" si="301"/>
        <v>200</v>
      </c>
      <c r="L645" s="16"/>
      <c r="M645" s="16"/>
      <c r="N645" s="16"/>
      <c r="O645" s="16">
        <f t="shared" si="302"/>
        <v>0</v>
      </c>
      <c r="P645" s="16"/>
      <c r="Q645" s="18">
        <f t="shared" si="298"/>
        <v>200</v>
      </c>
      <c r="R645" s="18">
        <f t="shared" si="299"/>
        <v>0</v>
      </c>
      <c r="S645" s="18">
        <f t="shared" si="299"/>
        <v>200</v>
      </c>
    </row>
    <row r="646" spans="2:19" x14ac:dyDescent="0.2">
      <c r="B646" s="7">
        <f t="shared" si="300"/>
        <v>139</v>
      </c>
      <c r="C646" s="19"/>
      <c r="D646" s="19"/>
      <c r="E646" s="19"/>
      <c r="F646" s="20"/>
      <c r="G646" s="21">
        <v>632</v>
      </c>
      <c r="H646" s="19" t="s">
        <v>131</v>
      </c>
      <c r="I646" s="22">
        <v>23110</v>
      </c>
      <c r="J646" s="22"/>
      <c r="K646" s="22">
        <f t="shared" si="301"/>
        <v>23110</v>
      </c>
      <c r="L646" s="22"/>
      <c r="M646" s="22"/>
      <c r="N646" s="22"/>
      <c r="O646" s="22">
        <f t="shared" si="302"/>
        <v>0</v>
      </c>
      <c r="P646" s="22"/>
      <c r="Q646" s="23">
        <f t="shared" si="298"/>
        <v>23110</v>
      </c>
      <c r="R646" s="23">
        <f t="shared" si="299"/>
        <v>0</v>
      </c>
      <c r="S646" s="23">
        <f t="shared" si="299"/>
        <v>23110</v>
      </c>
    </row>
    <row r="647" spans="2:19" x14ac:dyDescent="0.2">
      <c r="B647" s="7">
        <f t="shared" si="300"/>
        <v>140</v>
      </c>
      <c r="C647" s="19"/>
      <c r="D647" s="19"/>
      <c r="E647" s="19"/>
      <c r="F647" s="20"/>
      <c r="G647" s="21">
        <v>633</v>
      </c>
      <c r="H647" s="19" t="s">
        <v>123</v>
      </c>
      <c r="I647" s="22">
        <v>36003</v>
      </c>
      <c r="J647" s="22"/>
      <c r="K647" s="22">
        <f t="shared" si="301"/>
        <v>36003</v>
      </c>
      <c r="L647" s="22"/>
      <c r="M647" s="22"/>
      <c r="N647" s="22"/>
      <c r="O647" s="22">
        <f t="shared" si="302"/>
        <v>0</v>
      </c>
      <c r="P647" s="22"/>
      <c r="Q647" s="23">
        <f t="shared" si="298"/>
        <v>36003</v>
      </c>
      <c r="R647" s="23">
        <f t="shared" si="299"/>
        <v>0</v>
      </c>
      <c r="S647" s="23">
        <f t="shared" si="299"/>
        <v>36003</v>
      </c>
    </row>
    <row r="648" spans="2:19" x14ac:dyDescent="0.2">
      <c r="B648" s="7">
        <f t="shared" si="300"/>
        <v>141</v>
      </c>
      <c r="C648" s="19"/>
      <c r="D648" s="19"/>
      <c r="E648" s="19"/>
      <c r="F648" s="20"/>
      <c r="G648" s="21">
        <v>634</v>
      </c>
      <c r="H648" s="19" t="s">
        <v>129</v>
      </c>
      <c r="I648" s="22">
        <v>535</v>
      </c>
      <c r="J648" s="22"/>
      <c r="K648" s="22">
        <f t="shared" si="301"/>
        <v>535</v>
      </c>
      <c r="L648" s="22"/>
      <c r="M648" s="22"/>
      <c r="N648" s="22"/>
      <c r="O648" s="22">
        <f t="shared" si="302"/>
        <v>0</v>
      </c>
      <c r="P648" s="22"/>
      <c r="Q648" s="23">
        <f t="shared" si="298"/>
        <v>535</v>
      </c>
      <c r="R648" s="23">
        <f t="shared" si="299"/>
        <v>0</v>
      </c>
      <c r="S648" s="23">
        <f t="shared" si="299"/>
        <v>535</v>
      </c>
    </row>
    <row r="649" spans="2:19" x14ac:dyDescent="0.2">
      <c r="B649" s="7">
        <f t="shared" si="300"/>
        <v>142</v>
      </c>
      <c r="C649" s="19"/>
      <c r="D649" s="19"/>
      <c r="E649" s="19"/>
      <c r="F649" s="20"/>
      <c r="G649" s="21">
        <v>635</v>
      </c>
      <c r="H649" s="19" t="s">
        <v>130</v>
      </c>
      <c r="I649" s="22">
        <v>20570</v>
      </c>
      <c r="J649" s="22"/>
      <c r="K649" s="22">
        <f t="shared" si="301"/>
        <v>20570</v>
      </c>
      <c r="L649" s="22"/>
      <c r="M649" s="22"/>
      <c r="N649" s="22"/>
      <c r="O649" s="22">
        <f t="shared" si="302"/>
        <v>0</v>
      </c>
      <c r="P649" s="22"/>
      <c r="Q649" s="23">
        <f t="shared" si="298"/>
        <v>20570</v>
      </c>
      <c r="R649" s="23">
        <f t="shared" si="299"/>
        <v>0</v>
      </c>
      <c r="S649" s="23">
        <f t="shared" si="299"/>
        <v>20570</v>
      </c>
    </row>
    <row r="650" spans="2:19" x14ac:dyDescent="0.2">
      <c r="B650" s="7">
        <f t="shared" si="300"/>
        <v>143</v>
      </c>
      <c r="C650" s="19"/>
      <c r="D650" s="19"/>
      <c r="E650" s="19"/>
      <c r="F650" s="20"/>
      <c r="G650" s="21">
        <v>636</v>
      </c>
      <c r="H650" s="19" t="s">
        <v>124</v>
      </c>
      <c r="I650" s="22">
        <v>300</v>
      </c>
      <c r="J650" s="22"/>
      <c r="K650" s="22">
        <f t="shared" si="301"/>
        <v>300</v>
      </c>
      <c r="L650" s="22"/>
      <c r="M650" s="22"/>
      <c r="N650" s="22"/>
      <c r="O650" s="22">
        <f t="shared" si="302"/>
        <v>0</v>
      </c>
      <c r="P650" s="22"/>
      <c r="Q650" s="23">
        <f t="shared" si="298"/>
        <v>300</v>
      </c>
      <c r="R650" s="23">
        <f t="shared" si="299"/>
        <v>0</v>
      </c>
      <c r="S650" s="23">
        <f t="shared" si="299"/>
        <v>300</v>
      </c>
    </row>
    <row r="651" spans="2:19" x14ac:dyDescent="0.2">
      <c r="B651" s="7">
        <f t="shared" si="300"/>
        <v>144</v>
      </c>
      <c r="C651" s="19"/>
      <c r="D651" s="19"/>
      <c r="E651" s="19"/>
      <c r="F651" s="20"/>
      <c r="G651" s="21">
        <v>637</v>
      </c>
      <c r="H651" s="19" t="s">
        <v>120</v>
      </c>
      <c r="I651" s="22">
        <f>32667+1200</f>
        <v>33867</v>
      </c>
      <c r="J651" s="22"/>
      <c r="K651" s="22">
        <f t="shared" si="301"/>
        <v>33867</v>
      </c>
      <c r="L651" s="22"/>
      <c r="M651" s="22"/>
      <c r="N651" s="22"/>
      <c r="O651" s="22">
        <f t="shared" si="302"/>
        <v>0</v>
      </c>
      <c r="P651" s="22"/>
      <c r="Q651" s="23">
        <f t="shared" si="298"/>
        <v>33867</v>
      </c>
      <c r="R651" s="23">
        <f t="shared" si="299"/>
        <v>0</v>
      </c>
      <c r="S651" s="23">
        <f t="shared" si="299"/>
        <v>33867</v>
      </c>
    </row>
    <row r="652" spans="2:19" x14ac:dyDescent="0.2">
      <c r="B652" s="7">
        <f t="shared" si="300"/>
        <v>145</v>
      </c>
      <c r="C652" s="13"/>
      <c r="D652" s="13"/>
      <c r="E652" s="13"/>
      <c r="F652" s="14" t="s">
        <v>183</v>
      </c>
      <c r="G652" s="15">
        <v>640</v>
      </c>
      <c r="H652" s="13" t="s">
        <v>127</v>
      </c>
      <c r="I652" s="16">
        <v>7852</v>
      </c>
      <c r="J652" s="16"/>
      <c r="K652" s="16">
        <f t="shared" si="301"/>
        <v>7852</v>
      </c>
      <c r="L652" s="16"/>
      <c r="M652" s="16"/>
      <c r="N652" s="16"/>
      <c r="O652" s="16">
        <f t="shared" si="302"/>
        <v>0</v>
      </c>
      <c r="P652" s="16"/>
      <c r="Q652" s="18">
        <f t="shared" si="298"/>
        <v>7852</v>
      </c>
      <c r="R652" s="18">
        <f t="shared" ref="R652:S667" si="306">N652+J652</f>
        <v>0</v>
      </c>
      <c r="S652" s="18">
        <f t="shared" si="306"/>
        <v>7852</v>
      </c>
    </row>
    <row r="653" spans="2:19" x14ac:dyDescent="0.2">
      <c r="B653" s="7">
        <f t="shared" si="300"/>
        <v>146</v>
      </c>
      <c r="C653" s="13"/>
      <c r="D653" s="13"/>
      <c r="E653" s="13"/>
      <c r="F653" s="14" t="s">
        <v>183</v>
      </c>
      <c r="G653" s="15">
        <v>630</v>
      </c>
      <c r="H653" s="13" t="s">
        <v>686</v>
      </c>
      <c r="I653" s="16">
        <v>23</v>
      </c>
      <c r="J653" s="16"/>
      <c r="K653" s="16">
        <f t="shared" si="301"/>
        <v>23</v>
      </c>
      <c r="L653" s="16"/>
      <c r="M653" s="16"/>
      <c r="N653" s="16"/>
      <c r="O653" s="16">
        <f t="shared" si="302"/>
        <v>0</v>
      </c>
      <c r="P653" s="16"/>
      <c r="Q653" s="18">
        <f t="shared" si="298"/>
        <v>23</v>
      </c>
      <c r="R653" s="18">
        <f t="shared" si="306"/>
        <v>0</v>
      </c>
      <c r="S653" s="18">
        <f t="shared" si="306"/>
        <v>23</v>
      </c>
    </row>
    <row r="654" spans="2:19" x14ac:dyDescent="0.2">
      <c r="B654" s="7">
        <f t="shared" si="300"/>
        <v>147</v>
      </c>
      <c r="C654" s="13"/>
      <c r="D654" s="13"/>
      <c r="E654" s="13"/>
      <c r="F654" s="14"/>
      <c r="G654" s="15">
        <v>710</v>
      </c>
      <c r="H654" s="13" t="s">
        <v>171</v>
      </c>
      <c r="I654" s="16"/>
      <c r="J654" s="16"/>
      <c r="K654" s="16">
        <f t="shared" si="301"/>
        <v>0</v>
      </c>
      <c r="L654" s="16"/>
      <c r="M654" s="16">
        <f>M655</f>
        <v>55000</v>
      </c>
      <c r="N654" s="16">
        <f t="shared" ref="N654:N655" si="307">N655</f>
        <v>0</v>
      </c>
      <c r="O654" s="16">
        <f t="shared" si="302"/>
        <v>55000</v>
      </c>
      <c r="P654" s="16"/>
      <c r="Q654" s="18">
        <f t="shared" si="298"/>
        <v>55000</v>
      </c>
      <c r="R654" s="18">
        <f t="shared" si="306"/>
        <v>0</v>
      </c>
      <c r="S654" s="18">
        <f t="shared" si="306"/>
        <v>55000</v>
      </c>
    </row>
    <row r="655" spans="2:19" x14ac:dyDescent="0.2">
      <c r="B655" s="7">
        <f t="shared" si="300"/>
        <v>148</v>
      </c>
      <c r="C655" s="13"/>
      <c r="D655" s="13"/>
      <c r="E655" s="13"/>
      <c r="F655" s="14"/>
      <c r="G655" s="21">
        <v>717</v>
      </c>
      <c r="H655" s="19" t="s">
        <v>178</v>
      </c>
      <c r="I655" s="22"/>
      <c r="J655" s="22"/>
      <c r="K655" s="22">
        <f t="shared" si="301"/>
        <v>0</v>
      </c>
      <c r="L655" s="22"/>
      <c r="M655" s="22">
        <f>M656</f>
        <v>55000</v>
      </c>
      <c r="N655" s="22">
        <f t="shared" si="307"/>
        <v>0</v>
      </c>
      <c r="O655" s="22">
        <f t="shared" si="302"/>
        <v>55000</v>
      </c>
      <c r="P655" s="22"/>
      <c r="Q655" s="23">
        <f t="shared" si="298"/>
        <v>55000</v>
      </c>
      <c r="R655" s="23">
        <f t="shared" si="306"/>
        <v>0</v>
      </c>
      <c r="S655" s="23">
        <f t="shared" si="306"/>
        <v>55000</v>
      </c>
    </row>
    <row r="656" spans="2:19" x14ac:dyDescent="0.2">
      <c r="B656" s="7">
        <f t="shared" si="300"/>
        <v>149</v>
      </c>
      <c r="C656" s="13"/>
      <c r="D656" s="13"/>
      <c r="E656" s="13"/>
      <c r="F656" s="14"/>
      <c r="G656" s="25"/>
      <c r="H656" s="1" t="s">
        <v>604</v>
      </c>
      <c r="I656" s="26"/>
      <c r="J656" s="26"/>
      <c r="K656" s="26">
        <f t="shared" si="301"/>
        <v>0</v>
      </c>
      <c r="L656" s="26"/>
      <c r="M656" s="26">
        <f>35000+20000</f>
        <v>55000</v>
      </c>
      <c r="N656" s="26"/>
      <c r="O656" s="26">
        <f t="shared" si="302"/>
        <v>55000</v>
      </c>
      <c r="P656" s="26"/>
      <c r="Q656" s="28">
        <f t="shared" si="298"/>
        <v>55000</v>
      </c>
      <c r="R656" s="28">
        <f t="shared" si="306"/>
        <v>0</v>
      </c>
      <c r="S656" s="28">
        <f t="shared" si="306"/>
        <v>55000</v>
      </c>
    </row>
    <row r="657" spans="2:19" x14ac:dyDescent="0.2">
      <c r="B657" s="7">
        <f t="shared" si="300"/>
        <v>150</v>
      </c>
      <c r="C657" s="119"/>
      <c r="D657" s="119"/>
      <c r="E657" s="119" t="s">
        <v>94</v>
      </c>
      <c r="F657" s="120"/>
      <c r="G657" s="120"/>
      <c r="H657" s="119" t="s">
        <v>67</v>
      </c>
      <c r="I657" s="121">
        <f>I667+I660+I659+I658+I668</f>
        <v>590838</v>
      </c>
      <c r="J657" s="121">
        <f t="shared" ref="J657" si="308">J667+J660+J659+J658+J668</f>
        <v>0</v>
      </c>
      <c r="K657" s="121">
        <f t="shared" si="301"/>
        <v>590838</v>
      </c>
      <c r="L657" s="16"/>
      <c r="M657" s="121"/>
      <c r="N657" s="121"/>
      <c r="O657" s="121">
        <f t="shared" si="302"/>
        <v>0</v>
      </c>
      <c r="P657" s="16"/>
      <c r="Q657" s="123">
        <f t="shared" si="298"/>
        <v>590838</v>
      </c>
      <c r="R657" s="123">
        <f t="shared" si="306"/>
        <v>0</v>
      </c>
      <c r="S657" s="123">
        <f t="shared" si="306"/>
        <v>590838</v>
      </c>
    </row>
    <row r="658" spans="2:19" x14ac:dyDescent="0.2">
      <c r="B658" s="7">
        <f t="shared" si="300"/>
        <v>151</v>
      </c>
      <c r="C658" s="13"/>
      <c r="D658" s="13"/>
      <c r="E658" s="13"/>
      <c r="F658" s="14" t="s">
        <v>183</v>
      </c>
      <c r="G658" s="15">
        <v>610</v>
      </c>
      <c r="H658" s="13" t="s">
        <v>511</v>
      </c>
      <c r="I658" s="16">
        <f>352803+6152</f>
        <v>358955</v>
      </c>
      <c r="J658" s="16"/>
      <c r="K658" s="16">
        <f t="shared" si="301"/>
        <v>358955</v>
      </c>
      <c r="L658" s="16"/>
      <c r="M658" s="16"/>
      <c r="N658" s="16"/>
      <c r="O658" s="16">
        <f t="shared" si="302"/>
        <v>0</v>
      </c>
      <c r="P658" s="16"/>
      <c r="Q658" s="18">
        <f t="shared" si="298"/>
        <v>358955</v>
      </c>
      <c r="R658" s="18">
        <f t="shared" si="306"/>
        <v>0</v>
      </c>
      <c r="S658" s="18">
        <f t="shared" si="306"/>
        <v>358955</v>
      </c>
    </row>
    <row r="659" spans="2:19" x14ac:dyDescent="0.2">
      <c r="B659" s="7">
        <f t="shared" si="300"/>
        <v>152</v>
      </c>
      <c r="C659" s="13"/>
      <c r="D659" s="13"/>
      <c r="E659" s="13"/>
      <c r="F659" s="14" t="s">
        <v>183</v>
      </c>
      <c r="G659" s="15">
        <v>620</v>
      </c>
      <c r="H659" s="13" t="s">
        <v>122</v>
      </c>
      <c r="I659" s="16">
        <f>133789-465</f>
        <v>133324</v>
      </c>
      <c r="J659" s="16"/>
      <c r="K659" s="16">
        <f t="shared" si="301"/>
        <v>133324</v>
      </c>
      <c r="L659" s="16"/>
      <c r="M659" s="16"/>
      <c r="N659" s="16"/>
      <c r="O659" s="16">
        <f t="shared" si="302"/>
        <v>0</v>
      </c>
      <c r="P659" s="16"/>
      <c r="Q659" s="18">
        <f t="shared" si="298"/>
        <v>133324</v>
      </c>
      <c r="R659" s="18">
        <f t="shared" si="306"/>
        <v>0</v>
      </c>
      <c r="S659" s="18">
        <f t="shared" si="306"/>
        <v>133324</v>
      </c>
    </row>
    <row r="660" spans="2:19" x14ac:dyDescent="0.2">
      <c r="B660" s="7">
        <f t="shared" si="300"/>
        <v>153</v>
      </c>
      <c r="C660" s="13"/>
      <c r="D660" s="13"/>
      <c r="E660" s="13"/>
      <c r="F660" s="14" t="s">
        <v>183</v>
      </c>
      <c r="G660" s="15">
        <v>630</v>
      </c>
      <c r="H660" s="13" t="s">
        <v>119</v>
      </c>
      <c r="I660" s="16">
        <f>SUM(I661:I666)</f>
        <v>94473</v>
      </c>
      <c r="J660" s="16">
        <f t="shared" ref="J660" si="309">SUM(J661:J666)</f>
        <v>0</v>
      </c>
      <c r="K660" s="16">
        <f t="shared" si="301"/>
        <v>94473</v>
      </c>
      <c r="L660" s="16"/>
      <c r="M660" s="16"/>
      <c r="N660" s="16"/>
      <c r="O660" s="16">
        <f t="shared" si="302"/>
        <v>0</v>
      </c>
      <c r="P660" s="16"/>
      <c r="Q660" s="18">
        <f t="shared" si="298"/>
        <v>94473</v>
      </c>
      <c r="R660" s="18">
        <f t="shared" si="306"/>
        <v>0</v>
      </c>
      <c r="S660" s="18">
        <f t="shared" si="306"/>
        <v>94473</v>
      </c>
    </row>
    <row r="661" spans="2:19" x14ac:dyDescent="0.2">
      <c r="B661" s="7">
        <f t="shared" si="300"/>
        <v>154</v>
      </c>
      <c r="C661" s="19"/>
      <c r="D661" s="19"/>
      <c r="E661" s="19"/>
      <c r="F661" s="20"/>
      <c r="G661" s="21">
        <v>632</v>
      </c>
      <c r="H661" s="19" t="s">
        <v>131</v>
      </c>
      <c r="I661" s="22">
        <v>15460</v>
      </c>
      <c r="J661" s="22"/>
      <c r="K661" s="22">
        <f t="shared" si="301"/>
        <v>15460</v>
      </c>
      <c r="L661" s="22"/>
      <c r="M661" s="22"/>
      <c r="N661" s="22"/>
      <c r="O661" s="22">
        <f t="shared" si="302"/>
        <v>0</v>
      </c>
      <c r="P661" s="22"/>
      <c r="Q661" s="23">
        <f t="shared" si="298"/>
        <v>15460</v>
      </c>
      <c r="R661" s="23">
        <f t="shared" si="306"/>
        <v>0</v>
      </c>
      <c r="S661" s="23">
        <f t="shared" si="306"/>
        <v>15460</v>
      </c>
    </row>
    <row r="662" spans="2:19" x14ac:dyDescent="0.2">
      <c r="B662" s="7">
        <f t="shared" si="300"/>
        <v>155</v>
      </c>
      <c r="C662" s="19"/>
      <c r="D662" s="19"/>
      <c r="E662" s="19"/>
      <c r="F662" s="20"/>
      <c r="G662" s="21">
        <v>633</v>
      </c>
      <c r="H662" s="19" t="s">
        <v>123</v>
      </c>
      <c r="I662" s="22">
        <f>17586+4800</f>
        <v>22386</v>
      </c>
      <c r="J662" s="22"/>
      <c r="K662" s="22">
        <f t="shared" si="301"/>
        <v>22386</v>
      </c>
      <c r="L662" s="22"/>
      <c r="M662" s="22"/>
      <c r="N662" s="22"/>
      <c r="O662" s="22">
        <f t="shared" si="302"/>
        <v>0</v>
      </c>
      <c r="P662" s="22"/>
      <c r="Q662" s="23">
        <f t="shared" si="298"/>
        <v>22386</v>
      </c>
      <c r="R662" s="23">
        <f t="shared" si="306"/>
        <v>0</v>
      </c>
      <c r="S662" s="23">
        <f t="shared" si="306"/>
        <v>22386</v>
      </c>
    </row>
    <row r="663" spans="2:19" x14ac:dyDescent="0.2">
      <c r="B663" s="7">
        <f t="shared" si="300"/>
        <v>156</v>
      </c>
      <c r="C663" s="19"/>
      <c r="D663" s="19"/>
      <c r="E663" s="19"/>
      <c r="F663" s="20"/>
      <c r="G663" s="21">
        <v>634</v>
      </c>
      <c r="H663" s="19" t="s">
        <v>129</v>
      </c>
      <c r="I663" s="22">
        <v>541</v>
      </c>
      <c r="J663" s="22"/>
      <c r="K663" s="22">
        <f t="shared" si="301"/>
        <v>541</v>
      </c>
      <c r="L663" s="22"/>
      <c r="M663" s="22"/>
      <c r="N663" s="22"/>
      <c r="O663" s="22">
        <f t="shared" si="302"/>
        <v>0</v>
      </c>
      <c r="P663" s="22"/>
      <c r="Q663" s="23">
        <f t="shared" si="298"/>
        <v>541</v>
      </c>
      <c r="R663" s="23">
        <f t="shared" si="306"/>
        <v>0</v>
      </c>
      <c r="S663" s="23">
        <f t="shared" si="306"/>
        <v>541</v>
      </c>
    </row>
    <row r="664" spans="2:19" x14ac:dyDescent="0.2">
      <c r="B664" s="7">
        <f t="shared" si="300"/>
        <v>157</v>
      </c>
      <c r="C664" s="19"/>
      <c r="D664" s="19"/>
      <c r="E664" s="19"/>
      <c r="F664" s="20"/>
      <c r="G664" s="21">
        <v>635</v>
      </c>
      <c r="H664" s="19" t="s">
        <v>130</v>
      </c>
      <c r="I664" s="22">
        <v>21190</v>
      </c>
      <c r="J664" s="22"/>
      <c r="K664" s="22">
        <f t="shared" si="301"/>
        <v>21190</v>
      </c>
      <c r="L664" s="22"/>
      <c r="M664" s="22"/>
      <c r="N664" s="22"/>
      <c r="O664" s="22">
        <f t="shared" si="302"/>
        <v>0</v>
      </c>
      <c r="P664" s="22"/>
      <c r="Q664" s="23">
        <f t="shared" si="298"/>
        <v>21190</v>
      </c>
      <c r="R664" s="23">
        <f t="shared" si="306"/>
        <v>0</v>
      </c>
      <c r="S664" s="23">
        <f t="shared" si="306"/>
        <v>21190</v>
      </c>
    </row>
    <row r="665" spans="2:19" x14ac:dyDescent="0.2">
      <c r="B665" s="7">
        <f t="shared" si="300"/>
        <v>158</v>
      </c>
      <c r="C665" s="19"/>
      <c r="D665" s="19"/>
      <c r="E665" s="19"/>
      <c r="F665" s="20"/>
      <c r="G665" s="21">
        <v>636</v>
      </c>
      <c r="H665" s="19" t="s">
        <v>124</v>
      </c>
      <c r="I665" s="22">
        <v>350</v>
      </c>
      <c r="J665" s="22"/>
      <c r="K665" s="22">
        <f t="shared" si="301"/>
        <v>350</v>
      </c>
      <c r="L665" s="22"/>
      <c r="M665" s="22"/>
      <c r="N665" s="22"/>
      <c r="O665" s="22">
        <f t="shared" si="302"/>
        <v>0</v>
      </c>
      <c r="P665" s="22"/>
      <c r="Q665" s="23">
        <f t="shared" si="298"/>
        <v>350</v>
      </c>
      <c r="R665" s="23">
        <f t="shared" si="306"/>
        <v>0</v>
      </c>
      <c r="S665" s="23">
        <f t="shared" si="306"/>
        <v>350</v>
      </c>
    </row>
    <row r="666" spans="2:19" x14ac:dyDescent="0.2">
      <c r="B666" s="7">
        <f t="shared" si="300"/>
        <v>159</v>
      </c>
      <c r="C666" s="19"/>
      <c r="D666" s="19"/>
      <c r="E666" s="19"/>
      <c r="F666" s="20"/>
      <c r="G666" s="21">
        <v>637</v>
      </c>
      <c r="H666" s="19" t="s">
        <v>120</v>
      </c>
      <c r="I666" s="22">
        <v>34546</v>
      </c>
      <c r="J666" s="22"/>
      <c r="K666" s="22">
        <f t="shared" si="301"/>
        <v>34546</v>
      </c>
      <c r="L666" s="22"/>
      <c r="M666" s="22"/>
      <c r="N666" s="22"/>
      <c r="O666" s="22">
        <f t="shared" si="302"/>
        <v>0</v>
      </c>
      <c r="P666" s="22"/>
      <c r="Q666" s="23">
        <f t="shared" si="298"/>
        <v>34546</v>
      </c>
      <c r="R666" s="23">
        <f t="shared" si="306"/>
        <v>0</v>
      </c>
      <c r="S666" s="23">
        <f t="shared" si="306"/>
        <v>34546</v>
      </c>
    </row>
    <row r="667" spans="2:19" x14ac:dyDescent="0.2">
      <c r="B667" s="7">
        <f t="shared" si="300"/>
        <v>160</v>
      </c>
      <c r="C667" s="13"/>
      <c r="D667" s="13"/>
      <c r="E667" s="13"/>
      <c r="F667" s="14" t="s">
        <v>183</v>
      </c>
      <c r="G667" s="15">
        <v>640</v>
      </c>
      <c r="H667" s="13" t="s">
        <v>127</v>
      </c>
      <c r="I667" s="16">
        <v>822</v>
      </c>
      <c r="J667" s="16"/>
      <c r="K667" s="16">
        <f t="shared" si="301"/>
        <v>822</v>
      </c>
      <c r="L667" s="16"/>
      <c r="M667" s="16"/>
      <c r="N667" s="16"/>
      <c r="O667" s="16">
        <f t="shared" si="302"/>
        <v>0</v>
      </c>
      <c r="P667" s="16"/>
      <c r="Q667" s="18">
        <f t="shared" si="298"/>
        <v>822</v>
      </c>
      <c r="R667" s="18">
        <f t="shared" si="306"/>
        <v>0</v>
      </c>
      <c r="S667" s="18">
        <f t="shared" si="306"/>
        <v>822</v>
      </c>
    </row>
    <row r="668" spans="2:19" x14ac:dyDescent="0.2">
      <c r="B668" s="7">
        <f t="shared" si="300"/>
        <v>161</v>
      </c>
      <c r="C668" s="13"/>
      <c r="D668" s="13"/>
      <c r="E668" s="13"/>
      <c r="F668" s="14" t="s">
        <v>183</v>
      </c>
      <c r="G668" s="15">
        <v>630</v>
      </c>
      <c r="H668" s="13" t="s">
        <v>686</v>
      </c>
      <c r="I668" s="16">
        <v>3264</v>
      </c>
      <c r="J668" s="16"/>
      <c r="K668" s="16">
        <f t="shared" si="301"/>
        <v>3264</v>
      </c>
      <c r="L668" s="16"/>
      <c r="M668" s="16"/>
      <c r="N668" s="16"/>
      <c r="O668" s="16">
        <f t="shared" si="302"/>
        <v>0</v>
      </c>
      <c r="P668" s="16"/>
      <c r="Q668" s="18">
        <f t="shared" si="298"/>
        <v>3264</v>
      </c>
      <c r="R668" s="18">
        <f t="shared" ref="R668:S683" si="310">N668+J668</f>
        <v>0</v>
      </c>
      <c r="S668" s="18">
        <f t="shared" si="310"/>
        <v>3264</v>
      </c>
    </row>
    <row r="669" spans="2:19" x14ac:dyDescent="0.2">
      <c r="B669" s="7">
        <f t="shared" si="300"/>
        <v>162</v>
      </c>
      <c r="C669" s="119"/>
      <c r="D669" s="119"/>
      <c r="E669" s="119" t="s">
        <v>97</v>
      </c>
      <c r="F669" s="120"/>
      <c r="G669" s="120"/>
      <c r="H669" s="119" t="s">
        <v>68</v>
      </c>
      <c r="I669" s="121">
        <f>I680+I672+I671+I670+I681</f>
        <v>513743</v>
      </c>
      <c r="J669" s="121">
        <f t="shared" ref="J669" si="311">J680+J672+J671+J670+J681</f>
        <v>0</v>
      </c>
      <c r="K669" s="121">
        <f t="shared" si="301"/>
        <v>513743</v>
      </c>
      <c r="L669" s="16"/>
      <c r="M669" s="121">
        <f>M682</f>
        <v>13500</v>
      </c>
      <c r="N669" s="121">
        <f t="shared" ref="N669" si="312">N682</f>
        <v>0</v>
      </c>
      <c r="O669" s="121">
        <f t="shared" si="302"/>
        <v>13500</v>
      </c>
      <c r="P669" s="16"/>
      <c r="Q669" s="123">
        <f t="shared" si="298"/>
        <v>527243</v>
      </c>
      <c r="R669" s="123">
        <f t="shared" si="310"/>
        <v>0</v>
      </c>
      <c r="S669" s="123">
        <f t="shared" si="310"/>
        <v>527243</v>
      </c>
    </row>
    <row r="670" spans="2:19" x14ac:dyDescent="0.2">
      <c r="B670" s="7">
        <f t="shared" si="300"/>
        <v>163</v>
      </c>
      <c r="C670" s="13"/>
      <c r="D670" s="13"/>
      <c r="E670" s="13"/>
      <c r="F670" s="14" t="s">
        <v>183</v>
      </c>
      <c r="G670" s="15">
        <v>610</v>
      </c>
      <c r="H670" s="13" t="s">
        <v>511</v>
      </c>
      <c r="I670" s="16">
        <f>273921+31685</f>
        <v>305606</v>
      </c>
      <c r="J670" s="16"/>
      <c r="K670" s="16">
        <f t="shared" si="301"/>
        <v>305606</v>
      </c>
      <c r="L670" s="16"/>
      <c r="M670" s="16"/>
      <c r="N670" s="16"/>
      <c r="O670" s="16">
        <f t="shared" si="302"/>
        <v>0</v>
      </c>
      <c r="P670" s="16"/>
      <c r="Q670" s="18">
        <f t="shared" si="298"/>
        <v>305606</v>
      </c>
      <c r="R670" s="18">
        <f t="shared" si="310"/>
        <v>0</v>
      </c>
      <c r="S670" s="18">
        <f t="shared" si="310"/>
        <v>305606</v>
      </c>
    </row>
    <row r="671" spans="2:19" x14ac:dyDescent="0.2">
      <c r="B671" s="7">
        <f t="shared" si="300"/>
        <v>164</v>
      </c>
      <c r="C671" s="13"/>
      <c r="D671" s="13"/>
      <c r="E671" s="13"/>
      <c r="F671" s="14" t="s">
        <v>183</v>
      </c>
      <c r="G671" s="15">
        <v>620</v>
      </c>
      <c r="H671" s="13" t="s">
        <v>122</v>
      </c>
      <c r="I671" s="16">
        <f>104150+8607</f>
        <v>112757</v>
      </c>
      <c r="J671" s="16"/>
      <c r="K671" s="16">
        <f t="shared" si="301"/>
        <v>112757</v>
      </c>
      <c r="L671" s="16"/>
      <c r="M671" s="16"/>
      <c r="N671" s="16"/>
      <c r="O671" s="16">
        <f t="shared" si="302"/>
        <v>0</v>
      </c>
      <c r="P671" s="16"/>
      <c r="Q671" s="18">
        <f t="shared" si="298"/>
        <v>112757</v>
      </c>
      <c r="R671" s="18">
        <f t="shared" si="310"/>
        <v>0</v>
      </c>
      <c r="S671" s="18">
        <f t="shared" si="310"/>
        <v>112757</v>
      </c>
    </row>
    <row r="672" spans="2:19" x14ac:dyDescent="0.2">
      <c r="B672" s="7">
        <f t="shared" si="300"/>
        <v>165</v>
      </c>
      <c r="C672" s="13"/>
      <c r="D672" s="13"/>
      <c r="E672" s="13"/>
      <c r="F672" s="14" t="s">
        <v>183</v>
      </c>
      <c r="G672" s="15">
        <v>630</v>
      </c>
      <c r="H672" s="13" t="s">
        <v>119</v>
      </c>
      <c r="I672" s="16">
        <f>SUM(I673:I679)</f>
        <v>86565</v>
      </c>
      <c r="J672" s="16">
        <f t="shared" ref="J672" si="313">SUM(J673:J679)</f>
        <v>0</v>
      </c>
      <c r="K672" s="16">
        <f t="shared" si="301"/>
        <v>86565</v>
      </c>
      <c r="L672" s="16"/>
      <c r="M672" s="16"/>
      <c r="N672" s="16"/>
      <c r="O672" s="16">
        <f t="shared" si="302"/>
        <v>0</v>
      </c>
      <c r="P672" s="16"/>
      <c r="Q672" s="18">
        <f t="shared" si="298"/>
        <v>86565</v>
      </c>
      <c r="R672" s="18">
        <f t="shared" si="310"/>
        <v>0</v>
      </c>
      <c r="S672" s="18">
        <f t="shared" si="310"/>
        <v>86565</v>
      </c>
    </row>
    <row r="673" spans="2:19" x14ac:dyDescent="0.2">
      <c r="B673" s="7">
        <f t="shared" si="300"/>
        <v>166</v>
      </c>
      <c r="C673" s="13"/>
      <c r="D673" s="13"/>
      <c r="E673" s="13"/>
      <c r="F673" s="14"/>
      <c r="G673" s="21">
        <v>631</v>
      </c>
      <c r="H673" s="19" t="s">
        <v>125</v>
      </c>
      <c r="I673" s="22">
        <v>30</v>
      </c>
      <c r="J673" s="22"/>
      <c r="K673" s="22">
        <f t="shared" si="301"/>
        <v>30</v>
      </c>
      <c r="L673" s="22"/>
      <c r="M673" s="22"/>
      <c r="N673" s="22"/>
      <c r="O673" s="22">
        <f t="shared" si="302"/>
        <v>0</v>
      </c>
      <c r="P673" s="22"/>
      <c r="Q673" s="23">
        <f t="shared" si="298"/>
        <v>30</v>
      </c>
      <c r="R673" s="23">
        <f t="shared" si="310"/>
        <v>0</v>
      </c>
      <c r="S673" s="23">
        <f t="shared" si="310"/>
        <v>30</v>
      </c>
    </row>
    <row r="674" spans="2:19" x14ac:dyDescent="0.2">
      <c r="B674" s="7">
        <f t="shared" si="300"/>
        <v>167</v>
      </c>
      <c r="C674" s="19"/>
      <c r="D674" s="19"/>
      <c r="E674" s="19"/>
      <c r="F674" s="20"/>
      <c r="G674" s="21">
        <v>632</v>
      </c>
      <c r="H674" s="19" t="s">
        <v>131</v>
      </c>
      <c r="I674" s="22">
        <f>15310-30</f>
        <v>15280</v>
      </c>
      <c r="J674" s="22"/>
      <c r="K674" s="22">
        <f t="shared" si="301"/>
        <v>15280</v>
      </c>
      <c r="L674" s="22"/>
      <c r="M674" s="22"/>
      <c r="N674" s="22"/>
      <c r="O674" s="22">
        <f t="shared" si="302"/>
        <v>0</v>
      </c>
      <c r="P674" s="22"/>
      <c r="Q674" s="23">
        <f t="shared" si="298"/>
        <v>15280</v>
      </c>
      <c r="R674" s="23">
        <f t="shared" si="310"/>
        <v>0</v>
      </c>
      <c r="S674" s="23">
        <f t="shared" si="310"/>
        <v>15280</v>
      </c>
    </row>
    <row r="675" spans="2:19" x14ac:dyDescent="0.2">
      <c r="B675" s="7">
        <f t="shared" si="300"/>
        <v>168</v>
      </c>
      <c r="C675" s="19"/>
      <c r="D675" s="19"/>
      <c r="E675" s="19"/>
      <c r="F675" s="20"/>
      <c r="G675" s="21">
        <v>633</v>
      </c>
      <c r="H675" s="19" t="s">
        <v>123</v>
      </c>
      <c r="I675" s="22">
        <f>22123+8400-14500</f>
        <v>16023</v>
      </c>
      <c r="J675" s="22"/>
      <c r="K675" s="22">
        <f t="shared" si="301"/>
        <v>16023</v>
      </c>
      <c r="L675" s="22"/>
      <c r="M675" s="22"/>
      <c r="N675" s="22"/>
      <c r="O675" s="22">
        <f t="shared" si="302"/>
        <v>0</v>
      </c>
      <c r="P675" s="22"/>
      <c r="Q675" s="23">
        <f t="shared" si="298"/>
        <v>16023</v>
      </c>
      <c r="R675" s="23">
        <f t="shared" si="310"/>
        <v>0</v>
      </c>
      <c r="S675" s="23">
        <f t="shared" si="310"/>
        <v>16023</v>
      </c>
    </row>
    <row r="676" spans="2:19" x14ac:dyDescent="0.2">
      <c r="B676" s="7">
        <f t="shared" si="300"/>
        <v>169</v>
      </c>
      <c r="C676" s="19"/>
      <c r="D676" s="19"/>
      <c r="E676" s="19"/>
      <c r="F676" s="20"/>
      <c r="G676" s="21">
        <v>634</v>
      </c>
      <c r="H676" s="19" t="s">
        <v>129</v>
      </c>
      <c r="I676" s="22">
        <v>35</v>
      </c>
      <c r="J676" s="22"/>
      <c r="K676" s="22">
        <f t="shared" si="301"/>
        <v>35</v>
      </c>
      <c r="L676" s="22"/>
      <c r="M676" s="22"/>
      <c r="N676" s="22"/>
      <c r="O676" s="22">
        <f t="shared" si="302"/>
        <v>0</v>
      </c>
      <c r="P676" s="22"/>
      <c r="Q676" s="23">
        <f t="shared" si="298"/>
        <v>35</v>
      </c>
      <c r="R676" s="23">
        <f t="shared" si="310"/>
        <v>0</v>
      </c>
      <c r="S676" s="23">
        <f t="shared" si="310"/>
        <v>35</v>
      </c>
    </row>
    <row r="677" spans="2:19" x14ac:dyDescent="0.2">
      <c r="B677" s="7">
        <f t="shared" si="300"/>
        <v>170</v>
      </c>
      <c r="C677" s="19"/>
      <c r="D677" s="19"/>
      <c r="E677" s="19"/>
      <c r="F677" s="20"/>
      <c r="G677" s="21">
        <v>635</v>
      </c>
      <c r="H677" s="19" t="s">
        <v>130</v>
      </c>
      <c r="I677" s="22">
        <f>7280+14500</f>
        <v>21780</v>
      </c>
      <c r="J677" s="22"/>
      <c r="K677" s="22">
        <f t="shared" si="301"/>
        <v>21780</v>
      </c>
      <c r="L677" s="22"/>
      <c r="M677" s="22"/>
      <c r="N677" s="22"/>
      <c r="O677" s="22">
        <f t="shared" si="302"/>
        <v>0</v>
      </c>
      <c r="P677" s="22"/>
      <c r="Q677" s="23">
        <f t="shared" si="298"/>
        <v>21780</v>
      </c>
      <c r="R677" s="23">
        <f t="shared" si="310"/>
        <v>0</v>
      </c>
      <c r="S677" s="23">
        <f t="shared" si="310"/>
        <v>21780</v>
      </c>
    </row>
    <row r="678" spans="2:19" x14ac:dyDescent="0.2">
      <c r="B678" s="7">
        <f t="shared" si="300"/>
        <v>171</v>
      </c>
      <c r="C678" s="19"/>
      <c r="D678" s="19"/>
      <c r="E678" s="19"/>
      <c r="F678" s="20"/>
      <c r="G678" s="21">
        <v>636</v>
      </c>
      <c r="H678" s="19" t="s">
        <v>124</v>
      </c>
      <c r="I678" s="22">
        <v>304</v>
      </c>
      <c r="J678" s="22"/>
      <c r="K678" s="22">
        <f t="shared" si="301"/>
        <v>304</v>
      </c>
      <c r="L678" s="22"/>
      <c r="M678" s="22"/>
      <c r="N678" s="22"/>
      <c r="O678" s="22">
        <f t="shared" si="302"/>
        <v>0</v>
      </c>
      <c r="P678" s="22"/>
      <c r="Q678" s="23">
        <f t="shared" si="298"/>
        <v>304</v>
      </c>
      <c r="R678" s="23">
        <f t="shared" si="310"/>
        <v>0</v>
      </c>
      <c r="S678" s="23">
        <f t="shared" si="310"/>
        <v>304</v>
      </c>
    </row>
    <row r="679" spans="2:19" x14ac:dyDescent="0.2">
      <c r="B679" s="7">
        <f t="shared" si="300"/>
        <v>172</v>
      </c>
      <c r="C679" s="19"/>
      <c r="D679" s="19"/>
      <c r="E679" s="19"/>
      <c r="F679" s="20"/>
      <c r="G679" s="21">
        <v>637</v>
      </c>
      <c r="H679" s="19" t="s">
        <v>120</v>
      </c>
      <c r="I679" s="22">
        <f>32963+150</f>
        <v>33113</v>
      </c>
      <c r="J679" s="22"/>
      <c r="K679" s="22">
        <f t="shared" si="301"/>
        <v>33113</v>
      </c>
      <c r="L679" s="22"/>
      <c r="M679" s="22"/>
      <c r="N679" s="22"/>
      <c r="O679" s="22">
        <f t="shared" si="302"/>
        <v>0</v>
      </c>
      <c r="P679" s="22"/>
      <c r="Q679" s="23">
        <f t="shared" si="298"/>
        <v>33113</v>
      </c>
      <c r="R679" s="23">
        <f t="shared" si="310"/>
        <v>0</v>
      </c>
      <c r="S679" s="23">
        <f t="shared" si="310"/>
        <v>33113</v>
      </c>
    </row>
    <row r="680" spans="2:19" x14ac:dyDescent="0.2">
      <c r="B680" s="7">
        <f t="shared" si="300"/>
        <v>173</v>
      </c>
      <c r="C680" s="13"/>
      <c r="D680" s="13"/>
      <c r="E680" s="13"/>
      <c r="F680" s="14" t="s">
        <v>183</v>
      </c>
      <c r="G680" s="15">
        <v>640</v>
      </c>
      <c r="H680" s="13" t="s">
        <v>127</v>
      </c>
      <c r="I680" s="16">
        <v>775</v>
      </c>
      <c r="J680" s="16"/>
      <c r="K680" s="16">
        <f t="shared" si="301"/>
        <v>775</v>
      </c>
      <c r="L680" s="16"/>
      <c r="M680" s="16"/>
      <c r="N680" s="16"/>
      <c r="O680" s="16">
        <f t="shared" si="302"/>
        <v>0</v>
      </c>
      <c r="P680" s="16"/>
      <c r="Q680" s="18">
        <f t="shared" si="298"/>
        <v>775</v>
      </c>
      <c r="R680" s="18">
        <f t="shared" si="310"/>
        <v>0</v>
      </c>
      <c r="S680" s="18">
        <f t="shared" si="310"/>
        <v>775</v>
      </c>
    </row>
    <row r="681" spans="2:19" x14ac:dyDescent="0.2">
      <c r="B681" s="7">
        <f t="shared" si="300"/>
        <v>174</v>
      </c>
      <c r="C681" s="13"/>
      <c r="D681" s="13"/>
      <c r="E681" s="13"/>
      <c r="F681" s="14" t="s">
        <v>183</v>
      </c>
      <c r="G681" s="15">
        <v>630</v>
      </c>
      <c r="H681" s="13" t="s">
        <v>686</v>
      </c>
      <c r="I681" s="16">
        <v>8040</v>
      </c>
      <c r="J681" s="16"/>
      <c r="K681" s="16">
        <f t="shared" si="301"/>
        <v>8040</v>
      </c>
      <c r="L681" s="16"/>
      <c r="M681" s="16"/>
      <c r="N681" s="16"/>
      <c r="O681" s="16">
        <f t="shared" si="302"/>
        <v>0</v>
      </c>
      <c r="P681" s="16"/>
      <c r="Q681" s="18">
        <f t="shared" si="298"/>
        <v>8040</v>
      </c>
      <c r="R681" s="18">
        <f t="shared" si="310"/>
        <v>0</v>
      </c>
      <c r="S681" s="18">
        <f t="shared" si="310"/>
        <v>8040</v>
      </c>
    </row>
    <row r="682" spans="2:19" x14ac:dyDescent="0.2">
      <c r="B682" s="7">
        <f t="shared" si="300"/>
        <v>175</v>
      </c>
      <c r="C682" s="13"/>
      <c r="D682" s="13"/>
      <c r="E682" s="13"/>
      <c r="F682" s="14"/>
      <c r="G682" s="15">
        <v>710</v>
      </c>
      <c r="H682" s="13" t="s">
        <v>171</v>
      </c>
      <c r="I682" s="16"/>
      <c r="J682" s="16"/>
      <c r="K682" s="16">
        <f t="shared" si="301"/>
        <v>0</v>
      </c>
      <c r="L682" s="16"/>
      <c r="M682" s="16">
        <f>M683</f>
        <v>13500</v>
      </c>
      <c r="N682" s="16">
        <f t="shared" ref="N682:N683" si="314">N683</f>
        <v>0</v>
      </c>
      <c r="O682" s="16">
        <f t="shared" si="302"/>
        <v>13500</v>
      </c>
      <c r="P682" s="16"/>
      <c r="Q682" s="18">
        <f t="shared" si="298"/>
        <v>13500</v>
      </c>
      <c r="R682" s="18">
        <f t="shared" si="310"/>
        <v>0</v>
      </c>
      <c r="S682" s="18">
        <f t="shared" si="310"/>
        <v>13500</v>
      </c>
    </row>
    <row r="683" spans="2:19" x14ac:dyDescent="0.2">
      <c r="B683" s="7">
        <f t="shared" si="300"/>
        <v>176</v>
      </c>
      <c r="C683" s="13"/>
      <c r="D683" s="13"/>
      <c r="E683" s="13"/>
      <c r="F683" s="14"/>
      <c r="G683" s="21">
        <v>717</v>
      </c>
      <c r="H683" s="19" t="s">
        <v>178</v>
      </c>
      <c r="I683" s="22"/>
      <c r="J683" s="22"/>
      <c r="K683" s="22">
        <f t="shared" si="301"/>
        <v>0</v>
      </c>
      <c r="L683" s="22"/>
      <c r="M683" s="22">
        <f>M684</f>
        <v>13500</v>
      </c>
      <c r="N683" s="22">
        <f t="shared" si="314"/>
        <v>0</v>
      </c>
      <c r="O683" s="22">
        <f t="shared" si="302"/>
        <v>13500</v>
      </c>
      <c r="P683" s="22"/>
      <c r="Q683" s="23">
        <f t="shared" si="298"/>
        <v>13500</v>
      </c>
      <c r="R683" s="23">
        <f t="shared" si="310"/>
        <v>0</v>
      </c>
      <c r="S683" s="23">
        <f t="shared" si="310"/>
        <v>13500</v>
      </c>
    </row>
    <row r="684" spans="2:19" x14ac:dyDescent="0.2">
      <c r="B684" s="7">
        <f t="shared" si="300"/>
        <v>177</v>
      </c>
      <c r="C684" s="13"/>
      <c r="D684" s="13"/>
      <c r="E684" s="13"/>
      <c r="F684" s="14"/>
      <c r="G684" s="25"/>
      <c r="H684" s="1" t="s">
        <v>724</v>
      </c>
      <c r="I684" s="26"/>
      <c r="J684" s="26"/>
      <c r="K684" s="26">
        <f t="shared" si="301"/>
        <v>0</v>
      </c>
      <c r="L684" s="26"/>
      <c r="M684" s="26">
        <f>6500+7000</f>
        <v>13500</v>
      </c>
      <c r="N684" s="26"/>
      <c r="O684" s="26">
        <f t="shared" si="302"/>
        <v>13500</v>
      </c>
      <c r="P684" s="26"/>
      <c r="Q684" s="28">
        <f t="shared" si="298"/>
        <v>13500</v>
      </c>
      <c r="R684" s="28">
        <f t="shared" ref="R684:S699" si="315">N684+J684</f>
        <v>0</v>
      </c>
      <c r="S684" s="28">
        <f t="shared" si="315"/>
        <v>13500</v>
      </c>
    </row>
    <row r="685" spans="2:19" x14ac:dyDescent="0.2">
      <c r="B685" s="7">
        <f t="shared" si="300"/>
        <v>178</v>
      </c>
      <c r="C685" s="119"/>
      <c r="D685" s="119"/>
      <c r="E685" s="119" t="s">
        <v>91</v>
      </c>
      <c r="F685" s="120"/>
      <c r="G685" s="120"/>
      <c r="H685" s="119" t="s">
        <v>92</v>
      </c>
      <c r="I685" s="121">
        <f>I696+I688+I687+I686+I697</f>
        <v>185107</v>
      </c>
      <c r="J685" s="121">
        <f t="shared" ref="J685" si="316">J696+J688+J687+J686+J697</f>
        <v>0</v>
      </c>
      <c r="K685" s="121">
        <f t="shared" si="301"/>
        <v>185107</v>
      </c>
      <c r="L685" s="16"/>
      <c r="M685" s="121"/>
      <c r="N685" s="121"/>
      <c r="O685" s="121">
        <f t="shared" si="302"/>
        <v>0</v>
      </c>
      <c r="P685" s="16"/>
      <c r="Q685" s="123">
        <f t="shared" si="298"/>
        <v>185107</v>
      </c>
      <c r="R685" s="123">
        <f t="shared" si="315"/>
        <v>0</v>
      </c>
      <c r="S685" s="123">
        <f t="shared" si="315"/>
        <v>185107</v>
      </c>
    </row>
    <row r="686" spans="2:19" x14ac:dyDescent="0.2">
      <c r="B686" s="7">
        <f t="shared" si="300"/>
        <v>179</v>
      </c>
      <c r="C686" s="13"/>
      <c r="D686" s="13"/>
      <c r="E686" s="13"/>
      <c r="F686" s="14" t="s">
        <v>183</v>
      </c>
      <c r="G686" s="15">
        <v>610</v>
      </c>
      <c r="H686" s="13" t="s">
        <v>511</v>
      </c>
      <c r="I686" s="16">
        <f>112217+100-2723</f>
        <v>109594</v>
      </c>
      <c r="J686" s="16"/>
      <c r="K686" s="16">
        <f t="shared" si="301"/>
        <v>109594</v>
      </c>
      <c r="L686" s="16"/>
      <c r="M686" s="16"/>
      <c r="N686" s="16"/>
      <c r="O686" s="16">
        <f t="shared" si="302"/>
        <v>0</v>
      </c>
      <c r="P686" s="16"/>
      <c r="Q686" s="18">
        <f t="shared" si="298"/>
        <v>109594</v>
      </c>
      <c r="R686" s="18">
        <f t="shared" si="315"/>
        <v>0</v>
      </c>
      <c r="S686" s="18">
        <f t="shared" si="315"/>
        <v>109594</v>
      </c>
    </row>
    <row r="687" spans="2:19" x14ac:dyDescent="0.2">
      <c r="B687" s="7">
        <f t="shared" si="300"/>
        <v>180</v>
      </c>
      <c r="C687" s="13"/>
      <c r="D687" s="13"/>
      <c r="E687" s="13"/>
      <c r="F687" s="14" t="s">
        <v>183</v>
      </c>
      <c r="G687" s="15">
        <v>620</v>
      </c>
      <c r="H687" s="13" t="s">
        <v>122</v>
      </c>
      <c r="I687" s="16">
        <f>42796+35-148</f>
        <v>42683</v>
      </c>
      <c r="J687" s="16"/>
      <c r="K687" s="16">
        <f t="shared" si="301"/>
        <v>42683</v>
      </c>
      <c r="L687" s="16"/>
      <c r="M687" s="16"/>
      <c r="N687" s="16"/>
      <c r="O687" s="16">
        <f t="shared" si="302"/>
        <v>0</v>
      </c>
      <c r="P687" s="16"/>
      <c r="Q687" s="18">
        <f t="shared" si="298"/>
        <v>42683</v>
      </c>
      <c r="R687" s="18">
        <f t="shared" si="315"/>
        <v>0</v>
      </c>
      <c r="S687" s="18">
        <f t="shared" si="315"/>
        <v>42683</v>
      </c>
    </row>
    <row r="688" spans="2:19" x14ac:dyDescent="0.2">
      <c r="B688" s="7">
        <f t="shared" si="300"/>
        <v>181</v>
      </c>
      <c r="C688" s="13"/>
      <c r="D688" s="13"/>
      <c r="E688" s="13"/>
      <c r="F688" s="14" t="s">
        <v>183</v>
      </c>
      <c r="G688" s="15">
        <v>630</v>
      </c>
      <c r="H688" s="13" t="s">
        <v>119</v>
      </c>
      <c r="I688" s="16">
        <f>SUM(I689:I695)</f>
        <v>29797</v>
      </c>
      <c r="J688" s="16">
        <f t="shared" ref="J688" si="317">SUM(J689:J695)</f>
        <v>0</v>
      </c>
      <c r="K688" s="16">
        <f t="shared" si="301"/>
        <v>29797</v>
      </c>
      <c r="L688" s="16"/>
      <c r="M688" s="16"/>
      <c r="N688" s="16"/>
      <c r="O688" s="16">
        <f t="shared" si="302"/>
        <v>0</v>
      </c>
      <c r="P688" s="16"/>
      <c r="Q688" s="18">
        <f t="shared" si="298"/>
        <v>29797</v>
      </c>
      <c r="R688" s="18">
        <f t="shared" si="315"/>
        <v>0</v>
      </c>
      <c r="S688" s="18">
        <f t="shared" si="315"/>
        <v>29797</v>
      </c>
    </row>
    <row r="689" spans="2:19" x14ac:dyDescent="0.2">
      <c r="B689" s="7">
        <f t="shared" si="300"/>
        <v>182</v>
      </c>
      <c r="C689" s="13"/>
      <c r="D689" s="13"/>
      <c r="E689" s="13"/>
      <c r="F689" s="14"/>
      <c r="G689" s="21">
        <v>631</v>
      </c>
      <c r="H689" s="19" t="s">
        <v>125</v>
      </c>
      <c r="I689" s="22">
        <v>50</v>
      </c>
      <c r="J689" s="22"/>
      <c r="K689" s="22">
        <f t="shared" si="301"/>
        <v>50</v>
      </c>
      <c r="L689" s="16"/>
      <c r="M689" s="16"/>
      <c r="N689" s="16"/>
      <c r="O689" s="16">
        <f t="shared" si="302"/>
        <v>0</v>
      </c>
      <c r="P689" s="16"/>
      <c r="Q689" s="18">
        <f t="shared" si="298"/>
        <v>50</v>
      </c>
      <c r="R689" s="18">
        <f t="shared" si="315"/>
        <v>0</v>
      </c>
      <c r="S689" s="18">
        <f t="shared" si="315"/>
        <v>50</v>
      </c>
    </row>
    <row r="690" spans="2:19" x14ac:dyDescent="0.2">
      <c r="B690" s="7">
        <f t="shared" si="300"/>
        <v>183</v>
      </c>
      <c r="C690" s="19"/>
      <c r="D690" s="19"/>
      <c r="E690" s="19"/>
      <c r="F690" s="20"/>
      <c r="G690" s="21">
        <v>632</v>
      </c>
      <c r="H690" s="19" t="s">
        <v>131</v>
      </c>
      <c r="I690" s="22">
        <v>7370</v>
      </c>
      <c r="J690" s="22"/>
      <c r="K690" s="22">
        <f t="shared" si="301"/>
        <v>7370</v>
      </c>
      <c r="L690" s="22"/>
      <c r="M690" s="22"/>
      <c r="N690" s="22"/>
      <c r="O690" s="22">
        <f t="shared" si="302"/>
        <v>0</v>
      </c>
      <c r="P690" s="22"/>
      <c r="Q690" s="23">
        <f t="shared" si="298"/>
        <v>7370</v>
      </c>
      <c r="R690" s="23">
        <f t="shared" si="315"/>
        <v>0</v>
      </c>
      <c r="S690" s="23">
        <f t="shared" si="315"/>
        <v>7370</v>
      </c>
    </row>
    <row r="691" spans="2:19" x14ac:dyDescent="0.2">
      <c r="B691" s="7">
        <f t="shared" si="300"/>
        <v>184</v>
      </c>
      <c r="C691" s="19"/>
      <c r="D691" s="19"/>
      <c r="E691" s="19"/>
      <c r="F691" s="20"/>
      <c r="G691" s="21">
        <v>633</v>
      </c>
      <c r="H691" s="19" t="s">
        <v>123</v>
      </c>
      <c r="I691" s="22">
        <f>7357+1700</f>
        <v>9057</v>
      </c>
      <c r="J691" s="22"/>
      <c r="K691" s="22">
        <f t="shared" si="301"/>
        <v>9057</v>
      </c>
      <c r="L691" s="22"/>
      <c r="M691" s="22"/>
      <c r="N691" s="22"/>
      <c r="O691" s="22">
        <f t="shared" si="302"/>
        <v>0</v>
      </c>
      <c r="P691" s="22"/>
      <c r="Q691" s="23">
        <f t="shared" si="298"/>
        <v>9057</v>
      </c>
      <c r="R691" s="23">
        <f t="shared" si="315"/>
        <v>0</v>
      </c>
      <c r="S691" s="23">
        <f t="shared" si="315"/>
        <v>9057</v>
      </c>
    </row>
    <row r="692" spans="2:19" x14ac:dyDescent="0.2">
      <c r="B692" s="7">
        <f t="shared" si="300"/>
        <v>185</v>
      </c>
      <c r="C692" s="19"/>
      <c r="D692" s="19"/>
      <c r="E692" s="19"/>
      <c r="F692" s="20"/>
      <c r="G692" s="21">
        <v>634</v>
      </c>
      <c r="H692" s="19" t="s">
        <v>129</v>
      </c>
      <c r="I692" s="22">
        <v>212</v>
      </c>
      <c r="J692" s="22"/>
      <c r="K692" s="22">
        <f t="shared" si="301"/>
        <v>212</v>
      </c>
      <c r="L692" s="22"/>
      <c r="M692" s="22"/>
      <c r="N692" s="22"/>
      <c r="O692" s="22">
        <f t="shared" si="302"/>
        <v>0</v>
      </c>
      <c r="P692" s="22"/>
      <c r="Q692" s="23">
        <f t="shared" si="298"/>
        <v>212</v>
      </c>
      <c r="R692" s="23">
        <f t="shared" si="315"/>
        <v>0</v>
      </c>
      <c r="S692" s="23">
        <f t="shared" si="315"/>
        <v>212</v>
      </c>
    </row>
    <row r="693" spans="2:19" x14ac:dyDescent="0.2">
      <c r="B693" s="7">
        <f t="shared" si="300"/>
        <v>186</v>
      </c>
      <c r="C693" s="19"/>
      <c r="D693" s="19"/>
      <c r="E693" s="19"/>
      <c r="F693" s="20"/>
      <c r="G693" s="21">
        <v>635</v>
      </c>
      <c r="H693" s="19" t="s">
        <v>130</v>
      </c>
      <c r="I693" s="22">
        <v>1970</v>
      </c>
      <c r="J693" s="22"/>
      <c r="K693" s="22">
        <f t="shared" si="301"/>
        <v>1970</v>
      </c>
      <c r="L693" s="22"/>
      <c r="M693" s="22"/>
      <c r="N693" s="22"/>
      <c r="O693" s="22">
        <f t="shared" si="302"/>
        <v>0</v>
      </c>
      <c r="P693" s="22"/>
      <c r="Q693" s="23">
        <f t="shared" si="298"/>
        <v>1970</v>
      </c>
      <c r="R693" s="23">
        <f t="shared" si="315"/>
        <v>0</v>
      </c>
      <c r="S693" s="23">
        <f t="shared" si="315"/>
        <v>1970</v>
      </c>
    </row>
    <row r="694" spans="2:19" x14ac:dyDescent="0.2">
      <c r="B694" s="7">
        <f t="shared" si="300"/>
        <v>187</v>
      </c>
      <c r="C694" s="19"/>
      <c r="D694" s="19"/>
      <c r="E694" s="19"/>
      <c r="F694" s="20"/>
      <c r="G694" s="21">
        <v>636</v>
      </c>
      <c r="H694" s="19" t="s">
        <v>124</v>
      </c>
      <c r="I694" s="22">
        <v>100</v>
      </c>
      <c r="J694" s="22"/>
      <c r="K694" s="22">
        <f t="shared" si="301"/>
        <v>100</v>
      </c>
      <c r="L694" s="22"/>
      <c r="M694" s="22"/>
      <c r="N694" s="22"/>
      <c r="O694" s="22">
        <f t="shared" si="302"/>
        <v>0</v>
      </c>
      <c r="P694" s="22"/>
      <c r="Q694" s="23">
        <f t="shared" si="298"/>
        <v>100</v>
      </c>
      <c r="R694" s="23">
        <f t="shared" si="315"/>
        <v>0</v>
      </c>
      <c r="S694" s="23">
        <f t="shared" si="315"/>
        <v>100</v>
      </c>
    </row>
    <row r="695" spans="2:19" x14ac:dyDescent="0.2">
      <c r="B695" s="7">
        <f t="shared" si="300"/>
        <v>188</v>
      </c>
      <c r="C695" s="19"/>
      <c r="D695" s="19"/>
      <c r="E695" s="19"/>
      <c r="F695" s="20"/>
      <c r="G695" s="21">
        <v>637</v>
      </c>
      <c r="H695" s="19" t="s">
        <v>120</v>
      </c>
      <c r="I695" s="22">
        <f>10738+300</f>
        <v>11038</v>
      </c>
      <c r="J695" s="22"/>
      <c r="K695" s="22">
        <f t="shared" si="301"/>
        <v>11038</v>
      </c>
      <c r="L695" s="22"/>
      <c r="M695" s="22"/>
      <c r="N695" s="22"/>
      <c r="O695" s="22">
        <f t="shared" si="302"/>
        <v>0</v>
      </c>
      <c r="P695" s="22"/>
      <c r="Q695" s="23">
        <f t="shared" si="298"/>
        <v>11038</v>
      </c>
      <c r="R695" s="23">
        <f t="shared" si="315"/>
        <v>0</v>
      </c>
      <c r="S695" s="23">
        <f t="shared" si="315"/>
        <v>11038</v>
      </c>
    </row>
    <row r="696" spans="2:19" x14ac:dyDescent="0.2">
      <c r="B696" s="7">
        <f t="shared" si="300"/>
        <v>189</v>
      </c>
      <c r="C696" s="13"/>
      <c r="D696" s="13"/>
      <c r="E696" s="13"/>
      <c r="F696" s="14" t="s">
        <v>183</v>
      </c>
      <c r="G696" s="15">
        <v>640</v>
      </c>
      <c r="H696" s="13" t="s">
        <v>127</v>
      </c>
      <c r="I696" s="16">
        <v>557</v>
      </c>
      <c r="J696" s="16"/>
      <c r="K696" s="16">
        <f t="shared" si="301"/>
        <v>557</v>
      </c>
      <c r="L696" s="16"/>
      <c r="M696" s="16"/>
      <c r="N696" s="16"/>
      <c r="O696" s="16">
        <f t="shared" si="302"/>
        <v>0</v>
      </c>
      <c r="P696" s="16"/>
      <c r="Q696" s="18">
        <f t="shared" si="298"/>
        <v>557</v>
      </c>
      <c r="R696" s="18">
        <f t="shared" si="315"/>
        <v>0</v>
      </c>
      <c r="S696" s="18">
        <f t="shared" si="315"/>
        <v>557</v>
      </c>
    </row>
    <row r="697" spans="2:19" x14ac:dyDescent="0.2">
      <c r="B697" s="7">
        <f t="shared" si="300"/>
        <v>190</v>
      </c>
      <c r="C697" s="13"/>
      <c r="D697" s="13"/>
      <c r="E697" s="13"/>
      <c r="F697" s="14" t="s">
        <v>183</v>
      </c>
      <c r="G697" s="15">
        <v>630</v>
      </c>
      <c r="H697" s="13" t="s">
        <v>686</v>
      </c>
      <c r="I697" s="16">
        <v>2476</v>
      </c>
      <c r="J697" s="16"/>
      <c r="K697" s="16">
        <f t="shared" si="301"/>
        <v>2476</v>
      </c>
      <c r="L697" s="16"/>
      <c r="M697" s="16"/>
      <c r="N697" s="16"/>
      <c r="O697" s="16">
        <f t="shared" si="302"/>
        <v>0</v>
      </c>
      <c r="P697" s="16"/>
      <c r="Q697" s="18">
        <f t="shared" si="298"/>
        <v>2476</v>
      </c>
      <c r="R697" s="18">
        <f t="shared" si="315"/>
        <v>0</v>
      </c>
      <c r="S697" s="18">
        <f t="shared" si="315"/>
        <v>2476</v>
      </c>
    </row>
    <row r="698" spans="2:19" x14ac:dyDescent="0.2">
      <c r="B698" s="7">
        <f t="shared" si="300"/>
        <v>191</v>
      </c>
      <c r="C698" s="119"/>
      <c r="D698" s="119"/>
      <c r="E698" s="119" t="s">
        <v>86</v>
      </c>
      <c r="F698" s="120"/>
      <c r="G698" s="120"/>
      <c r="H698" s="119" t="s">
        <v>192</v>
      </c>
      <c r="I698" s="121">
        <f>I708+I701+I700+I699+I709</f>
        <v>202005</v>
      </c>
      <c r="J698" s="121">
        <f t="shared" ref="J698" si="318">J708+J701+J700+J699+J709</f>
        <v>0</v>
      </c>
      <c r="K698" s="121">
        <f t="shared" si="301"/>
        <v>202005</v>
      </c>
      <c r="L698" s="16"/>
      <c r="M698" s="121"/>
      <c r="N698" s="121"/>
      <c r="O698" s="121">
        <f t="shared" si="302"/>
        <v>0</v>
      </c>
      <c r="P698" s="16"/>
      <c r="Q698" s="123">
        <f t="shared" si="298"/>
        <v>202005</v>
      </c>
      <c r="R698" s="123">
        <f t="shared" si="315"/>
        <v>0</v>
      </c>
      <c r="S698" s="123">
        <f t="shared" si="315"/>
        <v>202005</v>
      </c>
    </row>
    <row r="699" spans="2:19" x14ac:dyDescent="0.2">
      <c r="B699" s="7">
        <f t="shared" si="300"/>
        <v>192</v>
      </c>
      <c r="C699" s="13"/>
      <c r="D699" s="13"/>
      <c r="E699" s="13"/>
      <c r="F699" s="14" t="s">
        <v>183</v>
      </c>
      <c r="G699" s="15">
        <v>610</v>
      </c>
      <c r="H699" s="13" t="s">
        <v>511</v>
      </c>
      <c r="I699" s="16">
        <f>125668-9368</f>
        <v>116300</v>
      </c>
      <c r="J699" s="16"/>
      <c r="K699" s="16">
        <f t="shared" si="301"/>
        <v>116300</v>
      </c>
      <c r="L699" s="16"/>
      <c r="M699" s="16"/>
      <c r="N699" s="16"/>
      <c r="O699" s="16">
        <f t="shared" si="302"/>
        <v>0</v>
      </c>
      <c r="P699" s="16"/>
      <c r="Q699" s="18">
        <f t="shared" si="298"/>
        <v>116300</v>
      </c>
      <c r="R699" s="18">
        <f t="shared" si="315"/>
        <v>0</v>
      </c>
      <c r="S699" s="18">
        <f t="shared" si="315"/>
        <v>116300</v>
      </c>
    </row>
    <row r="700" spans="2:19" x14ac:dyDescent="0.2">
      <c r="B700" s="7">
        <f t="shared" si="300"/>
        <v>193</v>
      </c>
      <c r="C700" s="13"/>
      <c r="D700" s="13"/>
      <c r="E700" s="13"/>
      <c r="F700" s="14" t="s">
        <v>183</v>
      </c>
      <c r="G700" s="15">
        <v>620</v>
      </c>
      <c r="H700" s="13" t="s">
        <v>122</v>
      </c>
      <c r="I700" s="16">
        <f>50741-2546</f>
        <v>48195</v>
      </c>
      <c r="J700" s="16"/>
      <c r="K700" s="16">
        <f t="shared" si="301"/>
        <v>48195</v>
      </c>
      <c r="L700" s="16"/>
      <c r="M700" s="16"/>
      <c r="N700" s="16"/>
      <c r="O700" s="16">
        <f t="shared" si="302"/>
        <v>0</v>
      </c>
      <c r="P700" s="16"/>
      <c r="Q700" s="18">
        <f t="shared" ref="Q700:Q763" si="319">M700+I700</f>
        <v>48195</v>
      </c>
      <c r="R700" s="18">
        <f t="shared" ref="R700:S715" si="320">N700+J700</f>
        <v>0</v>
      </c>
      <c r="S700" s="18">
        <f t="shared" si="320"/>
        <v>48195</v>
      </c>
    </row>
    <row r="701" spans="2:19" x14ac:dyDescent="0.2">
      <c r="B701" s="7">
        <f t="shared" ref="B701:B764" si="321">B700+1</f>
        <v>194</v>
      </c>
      <c r="C701" s="13"/>
      <c r="D701" s="13"/>
      <c r="E701" s="13"/>
      <c r="F701" s="14" t="s">
        <v>183</v>
      </c>
      <c r="G701" s="15">
        <v>630</v>
      </c>
      <c r="H701" s="13" t="s">
        <v>119</v>
      </c>
      <c r="I701" s="16">
        <f>SUM(I702:I707)</f>
        <v>27689</v>
      </c>
      <c r="J701" s="16">
        <f t="shared" ref="J701" si="322">SUM(J702:J707)</f>
        <v>0</v>
      </c>
      <c r="K701" s="16">
        <f t="shared" ref="K701:K764" si="323">I701+J701</f>
        <v>27689</v>
      </c>
      <c r="L701" s="16"/>
      <c r="M701" s="16"/>
      <c r="N701" s="16"/>
      <c r="O701" s="16">
        <f t="shared" ref="O701:O764" si="324">M701+N701</f>
        <v>0</v>
      </c>
      <c r="P701" s="16"/>
      <c r="Q701" s="18">
        <f t="shared" si="319"/>
        <v>27689</v>
      </c>
      <c r="R701" s="18">
        <f t="shared" si="320"/>
        <v>0</v>
      </c>
      <c r="S701" s="18">
        <f t="shared" si="320"/>
        <v>27689</v>
      </c>
    </row>
    <row r="702" spans="2:19" x14ac:dyDescent="0.2">
      <c r="B702" s="7">
        <f t="shared" si="321"/>
        <v>195</v>
      </c>
      <c r="C702" s="19"/>
      <c r="D702" s="19"/>
      <c r="E702" s="19"/>
      <c r="F702" s="20"/>
      <c r="G702" s="21">
        <v>632</v>
      </c>
      <c r="H702" s="19" t="s">
        <v>131</v>
      </c>
      <c r="I702" s="22">
        <v>7130</v>
      </c>
      <c r="J702" s="22"/>
      <c r="K702" s="22">
        <f t="shared" si="323"/>
        <v>7130</v>
      </c>
      <c r="L702" s="22"/>
      <c r="M702" s="22"/>
      <c r="N702" s="22"/>
      <c r="O702" s="22">
        <f t="shared" si="324"/>
        <v>0</v>
      </c>
      <c r="P702" s="22"/>
      <c r="Q702" s="23">
        <f t="shared" si="319"/>
        <v>7130</v>
      </c>
      <c r="R702" s="23">
        <f t="shared" si="320"/>
        <v>0</v>
      </c>
      <c r="S702" s="23">
        <f t="shared" si="320"/>
        <v>7130</v>
      </c>
    </row>
    <row r="703" spans="2:19" x14ac:dyDescent="0.2">
      <c r="B703" s="7">
        <f t="shared" si="321"/>
        <v>196</v>
      </c>
      <c r="C703" s="19"/>
      <c r="D703" s="19"/>
      <c r="E703" s="19"/>
      <c r="F703" s="20"/>
      <c r="G703" s="21">
        <v>633</v>
      </c>
      <c r="H703" s="19" t="s">
        <v>123</v>
      </c>
      <c r="I703" s="22">
        <v>3474</v>
      </c>
      <c r="J703" s="22"/>
      <c r="K703" s="22">
        <f t="shared" si="323"/>
        <v>3474</v>
      </c>
      <c r="L703" s="22"/>
      <c r="M703" s="22"/>
      <c r="N703" s="22"/>
      <c r="O703" s="22">
        <f t="shared" si="324"/>
        <v>0</v>
      </c>
      <c r="P703" s="22"/>
      <c r="Q703" s="23">
        <f t="shared" si="319"/>
        <v>3474</v>
      </c>
      <c r="R703" s="23">
        <f t="shared" si="320"/>
        <v>0</v>
      </c>
      <c r="S703" s="23">
        <f t="shared" si="320"/>
        <v>3474</v>
      </c>
    </row>
    <row r="704" spans="2:19" x14ac:dyDescent="0.2">
      <c r="B704" s="7">
        <f t="shared" si="321"/>
        <v>197</v>
      </c>
      <c r="C704" s="19"/>
      <c r="D704" s="19"/>
      <c r="E704" s="19"/>
      <c r="F704" s="20"/>
      <c r="G704" s="21">
        <v>634</v>
      </c>
      <c r="H704" s="19" t="s">
        <v>129</v>
      </c>
      <c r="I704" s="22">
        <v>15</v>
      </c>
      <c r="J704" s="22"/>
      <c r="K704" s="22">
        <f t="shared" si="323"/>
        <v>15</v>
      </c>
      <c r="L704" s="22"/>
      <c r="M704" s="22"/>
      <c r="N704" s="22"/>
      <c r="O704" s="22">
        <f t="shared" si="324"/>
        <v>0</v>
      </c>
      <c r="P704" s="22"/>
      <c r="Q704" s="23">
        <f t="shared" si="319"/>
        <v>15</v>
      </c>
      <c r="R704" s="23">
        <f t="shared" si="320"/>
        <v>0</v>
      </c>
      <c r="S704" s="23">
        <f t="shared" si="320"/>
        <v>15</v>
      </c>
    </row>
    <row r="705" spans="2:19" x14ac:dyDescent="0.2">
      <c r="B705" s="7">
        <f t="shared" si="321"/>
        <v>198</v>
      </c>
      <c r="C705" s="19"/>
      <c r="D705" s="19"/>
      <c r="E705" s="19"/>
      <c r="F705" s="20"/>
      <c r="G705" s="21">
        <v>635</v>
      </c>
      <c r="H705" s="19" t="s">
        <v>130</v>
      </c>
      <c r="I705" s="22">
        <v>4310</v>
      </c>
      <c r="J705" s="22"/>
      <c r="K705" s="22">
        <f t="shared" si="323"/>
        <v>4310</v>
      </c>
      <c r="L705" s="22"/>
      <c r="M705" s="22"/>
      <c r="N705" s="22"/>
      <c r="O705" s="22">
        <f t="shared" si="324"/>
        <v>0</v>
      </c>
      <c r="P705" s="22"/>
      <c r="Q705" s="23">
        <f t="shared" si="319"/>
        <v>4310</v>
      </c>
      <c r="R705" s="23">
        <f t="shared" si="320"/>
        <v>0</v>
      </c>
      <c r="S705" s="23">
        <f t="shared" si="320"/>
        <v>4310</v>
      </c>
    </row>
    <row r="706" spans="2:19" x14ac:dyDescent="0.2">
      <c r="B706" s="7">
        <f t="shared" si="321"/>
        <v>199</v>
      </c>
      <c r="C706" s="19"/>
      <c r="D706" s="19"/>
      <c r="E706" s="19"/>
      <c r="F706" s="20"/>
      <c r="G706" s="21">
        <v>636</v>
      </c>
      <c r="H706" s="19" t="s">
        <v>124</v>
      </c>
      <c r="I706" s="22">
        <v>130</v>
      </c>
      <c r="J706" s="22"/>
      <c r="K706" s="22">
        <f t="shared" si="323"/>
        <v>130</v>
      </c>
      <c r="L706" s="22"/>
      <c r="M706" s="22"/>
      <c r="N706" s="22"/>
      <c r="O706" s="22">
        <f t="shared" si="324"/>
        <v>0</v>
      </c>
      <c r="P706" s="22"/>
      <c r="Q706" s="23">
        <f t="shared" si="319"/>
        <v>130</v>
      </c>
      <c r="R706" s="23">
        <f t="shared" si="320"/>
        <v>0</v>
      </c>
      <c r="S706" s="23">
        <f t="shared" si="320"/>
        <v>130</v>
      </c>
    </row>
    <row r="707" spans="2:19" x14ac:dyDescent="0.2">
      <c r="B707" s="7">
        <f t="shared" si="321"/>
        <v>200</v>
      </c>
      <c r="C707" s="19"/>
      <c r="D707" s="19"/>
      <c r="E707" s="19"/>
      <c r="F707" s="20"/>
      <c r="G707" s="21">
        <v>637</v>
      </c>
      <c r="H707" s="19" t="s">
        <v>120</v>
      </c>
      <c r="I707" s="22">
        <v>12630</v>
      </c>
      <c r="J707" s="22"/>
      <c r="K707" s="22">
        <f t="shared" si="323"/>
        <v>12630</v>
      </c>
      <c r="L707" s="22"/>
      <c r="M707" s="22"/>
      <c r="N707" s="22"/>
      <c r="O707" s="22">
        <f t="shared" si="324"/>
        <v>0</v>
      </c>
      <c r="P707" s="22"/>
      <c r="Q707" s="23">
        <f t="shared" si="319"/>
        <v>12630</v>
      </c>
      <c r="R707" s="23">
        <f t="shared" si="320"/>
        <v>0</v>
      </c>
      <c r="S707" s="23">
        <f t="shared" si="320"/>
        <v>12630</v>
      </c>
    </row>
    <row r="708" spans="2:19" x14ac:dyDescent="0.2">
      <c r="B708" s="7">
        <f t="shared" si="321"/>
        <v>201</v>
      </c>
      <c r="C708" s="13"/>
      <c r="D708" s="13"/>
      <c r="E708" s="13"/>
      <c r="F708" s="14" t="s">
        <v>183</v>
      </c>
      <c r="G708" s="15">
        <v>640</v>
      </c>
      <c r="H708" s="13" t="s">
        <v>127</v>
      </c>
      <c r="I708" s="16">
        <v>8023</v>
      </c>
      <c r="J708" s="16"/>
      <c r="K708" s="16">
        <f t="shared" si="323"/>
        <v>8023</v>
      </c>
      <c r="L708" s="16"/>
      <c r="M708" s="16"/>
      <c r="N708" s="16"/>
      <c r="O708" s="16">
        <f t="shared" si="324"/>
        <v>0</v>
      </c>
      <c r="P708" s="16"/>
      <c r="Q708" s="18">
        <f t="shared" si="319"/>
        <v>8023</v>
      </c>
      <c r="R708" s="18">
        <f t="shared" si="320"/>
        <v>0</v>
      </c>
      <c r="S708" s="18">
        <f t="shared" si="320"/>
        <v>8023</v>
      </c>
    </row>
    <row r="709" spans="2:19" x14ac:dyDescent="0.2">
      <c r="B709" s="7">
        <f t="shared" si="321"/>
        <v>202</v>
      </c>
      <c r="C709" s="13"/>
      <c r="D709" s="13"/>
      <c r="E709" s="13"/>
      <c r="F709" s="14" t="s">
        <v>183</v>
      </c>
      <c r="G709" s="15">
        <v>630</v>
      </c>
      <c r="H709" s="13" t="s">
        <v>686</v>
      </c>
      <c r="I709" s="16">
        <v>1798</v>
      </c>
      <c r="J709" s="16"/>
      <c r="K709" s="16">
        <f t="shared" si="323"/>
        <v>1798</v>
      </c>
      <c r="L709" s="16"/>
      <c r="M709" s="16"/>
      <c r="N709" s="16"/>
      <c r="O709" s="16">
        <f t="shared" si="324"/>
        <v>0</v>
      </c>
      <c r="P709" s="16"/>
      <c r="Q709" s="18">
        <f t="shared" si="319"/>
        <v>1798</v>
      </c>
      <c r="R709" s="18">
        <f t="shared" si="320"/>
        <v>0</v>
      </c>
      <c r="S709" s="18">
        <f t="shared" si="320"/>
        <v>1798</v>
      </c>
    </row>
    <row r="710" spans="2:19" x14ac:dyDescent="0.2">
      <c r="B710" s="7">
        <f t="shared" si="321"/>
        <v>203</v>
      </c>
      <c r="C710" s="119"/>
      <c r="D710" s="119"/>
      <c r="E710" s="119" t="s">
        <v>101</v>
      </c>
      <c r="F710" s="120"/>
      <c r="G710" s="120"/>
      <c r="H710" s="119" t="s">
        <v>69</v>
      </c>
      <c r="I710" s="121">
        <f>I720+I713+I712+I711+I721</f>
        <v>243512</v>
      </c>
      <c r="J710" s="121">
        <f t="shared" ref="J710" si="325">J720+J713+J712+J711+J721</f>
        <v>0</v>
      </c>
      <c r="K710" s="121">
        <f t="shared" si="323"/>
        <v>243512</v>
      </c>
      <c r="L710" s="16"/>
      <c r="M710" s="121"/>
      <c r="N710" s="121"/>
      <c r="O710" s="121">
        <f t="shared" si="324"/>
        <v>0</v>
      </c>
      <c r="P710" s="16"/>
      <c r="Q710" s="123">
        <f t="shared" si="319"/>
        <v>243512</v>
      </c>
      <c r="R710" s="123">
        <f t="shared" si="320"/>
        <v>0</v>
      </c>
      <c r="S710" s="123">
        <f t="shared" si="320"/>
        <v>243512</v>
      </c>
    </row>
    <row r="711" spans="2:19" x14ac:dyDescent="0.2">
      <c r="B711" s="7">
        <f t="shared" si="321"/>
        <v>204</v>
      </c>
      <c r="C711" s="13"/>
      <c r="D711" s="13"/>
      <c r="E711" s="13"/>
      <c r="F711" s="14" t="s">
        <v>183</v>
      </c>
      <c r="G711" s="15">
        <v>610</v>
      </c>
      <c r="H711" s="13" t="s">
        <v>511</v>
      </c>
      <c r="I711" s="16">
        <f>131079-925</f>
        <v>130154</v>
      </c>
      <c r="J711" s="16"/>
      <c r="K711" s="16">
        <f t="shared" si="323"/>
        <v>130154</v>
      </c>
      <c r="L711" s="16"/>
      <c r="M711" s="16"/>
      <c r="N711" s="16"/>
      <c r="O711" s="16">
        <f t="shared" si="324"/>
        <v>0</v>
      </c>
      <c r="P711" s="16"/>
      <c r="Q711" s="18">
        <f t="shared" si="319"/>
        <v>130154</v>
      </c>
      <c r="R711" s="18">
        <f t="shared" si="320"/>
        <v>0</v>
      </c>
      <c r="S711" s="18">
        <f t="shared" si="320"/>
        <v>130154</v>
      </c>
    </row>
    <row r="712" spans="2:19" x14ac:dyDescent="0.2">
      <c r="B712" s="7">
        <f t="shared" si="321"/>
        <v>205</v>
      </c>
      <c r="C712" s="13"/>
      <c r="D712" s="13"/>
      <c r="E712" s="13"/>
      <c r="F712" s="14" t="s">
        <v>183</v>
      </c>
      <c r="G712" s="15">
        <v>620</v>
      </c>
      <c r="H712" s="13" t="s">
        <v>122</v>
      </c>
      <c r="I712" s="16">
        <f>53889+788</f>
        <v>54677</v>
      </c>
      <c r="J712" s="16"/>
      <c r="K712" s="16">
        <f t="shared" si="323"/>
        <v>54677</v>
      </c>
      <c r="L712" s="16"/>
      <c r="M712" s="16"/>
      <c r="N712" s="16"/>
      <c r="O712" s="16">
        <f t="shared" si="324"/>
        <v>0</v>
      </c>
      <c r="P712" s="16"/>
      <c r="Q712" s="18">
        <f t="shared" si="319"/>
        <v>54677</v>
      </c>
      <c r="R712" s="18">
        <f t="shared" si="320"/>
        <v>0</v>
      </c>
      <c r="S712" s="18">
        <f t="shared" si="320"/>
        <v>54677</v>
      </c>
    </row>
    <row r="713" spans="2:19" x14ac:dyDescent="0.2">
      <c r="B713" s="7">
        <f t="shared" si="321"/>
        <v>206</v>
      </c>
      <c r="C713" s="13"/>
      <c r="D713" s="13"/>
      <c r="E713" s="13"/>
      <c r="F713" s="14" t="s">
        <v>183</v>
      </c>
      <c r="G713" s="15">
        <v>630</v>
      </c>
      <c r="H713" s="13" t="s">
        <v>119</v>
      </c>
      <c r="I713" s="16">
        <f>SUM(I714:I719)</f>
        <v>44663</v>
      </c>
      <c r="J713" s="16">
        <f t="shared" ref="J713" si="326">SUM(J714:J719)</f>
        <v>0</v>
      </c>
      <c r="K713" s="16">
        <f t="shared" si="323"/>
        <v>44663</v>
      </c>
      <c r="L713" s="16"/>
      <c r="M713" s="16"/>
      <c r="N713" s="16"/>
      <c r="O713" s="16">
        <f t="shared" si="324"/>
        <v>0</v>
      </c>
      <c r="P713" s="16"/>
      <c r="Q713" s="18">
        <f t="shared" si="319"/>
        <v>44663</v>
      </c>
      <c r="R713" s="18">
        <f t="shared" si="320"/>
        <v>0</v>
      </c>
      <c r="S713" s="18">
        <f t="shared" si="320"/>
        <v>44663</v>
      </c>
    </row>
    <row r="714" spans="2:19" x14ac:dyDescent="0.2">
      <c r="B714" s="7">
        <f t="shared" si="321"/>
        <v>207</v>
      </c>
      <c r="C714" s="19"/>
      <c r="D714" s="19"/>
      <c r="E714" s="19"/>
      <c r="F714" s="20"/>
      <c r="G714" s="21">
        <v>632</v>
      </c>
      <c r="H714" s="19" t="s">
        <v>131</v>
      </c>
      <c r="I714" s="22">
        <v>360</v>
      </c>
      <c r="J714" s="22"/>
      <c r="K714" s="22">
        <f t="shared" si="323"/>
        <v>360</v>
      </c>
      <c r="L714" s="22"/>
      <c r="M714" s="22"/>
      <c r="N714" s="22"/>
      <c r="O714" s="22">
        <f t="shared" si="324"/>
        <v>0</v>
      </c>
      <c r="P714" s="22"/>
      <c r="Q714" s="23">
        <f t="shared" si="319"/>
        <v>360</v>
      </c>
      <c r="R714" s="23">
        <f t="shared" si="320"/>
        <v>0</v>
      </c>
      <c r="S714" s="23">
        <f t="shared" si="320"/>
        <v>360</v>
      </c>
    </row>
    <row r="715" spans="2:19" x14ac:dyDescent="0.2">
      <c r="B715" s="7">
        <f t="shared" si="321"/>
        <v>208</v>
      </c>
      <c r="C715" s="19"/>
      <c r="D715" s="19"/>
      <c r="E715" s="19"/>
      <c r="F715" s="20"/>
      <c r="G715" s="21">
        <v>633</v>
      </c>
      <c r="H715" s="19" t="s">
        <v>123</v>
      </c>
      <c r="I715" s="22">
        <v>5306</v>
      </c>
      <c r="J715" s="22"/>
      <c r="K715" s="22">
        <f t="shared" si="323"/>
        <v>5306</v>
      </c>
      <c r="L715" s="22"/>
      <c r="M715" s="22"/>
      <c r="N715" s="22"/>
      <c r="O715" s="22">
        <f t="shared" si="324"/>
        <v>0</v>
      </c>
      <c r="P715" s="22"/>
      <c r="Q715" s="23">
        <f t="shared" si="319"/>
        <v>5306</v>
      </c>
      <c r="R715" s="23">
        <f t="shared" si="320"/>
        <v>0</v>
      </c>
      <c r="S715" s="23">
        <f t="shared" si="320"/>
        <v>5306</v>
      </c>
    </row>
    <row r="716" spans="2:19" x14ac:dyDescent="0.2">
      <c r="B716" s="7">
        <f t="shared" si="321"/>
        <v>209</v>
      </c>
      <c r="C716" s="19"/>
      <c r="D716" s="19"/>
      <c r="E716" s="19"/>
      <c r="F716" s="20"/>
      <c r="G716" s="21">
        <v>634</v>
      </c>
      <c r="H716" s="19" t="s">
        <v>129</v>
      </c>
      <c r="I716" s="22">
        <f>264-250</f>
        <v>14</v>
      </c>
      <c r="J716" s="22"/>
      <c r="K716" s="22">
        <f t="shared" si="323"/>
        <v>14</v>
      </c>
      <c r="L716" s="22"/>
      <c r="M716" s="22"/>
      <c r="N716" s="22"/>
      <c r="O716" s="22">
        <f t="shared" si="324"/>
        <v>0</v>
      </c>
      <c r="P716" s="22"/>
      <c r="Q716" s="23">
        <f t="shared" si="319"/>
        <v>14</v>
      </c>
      <c r="R716" s="23">
        <f t="shared" ref="R716:S731" si="327">N716+J716</f>
        <v>0</v>
      </c>
      <c r="S716" s="23">
        <f t="shared" si="327"/>
        <v>14</v>
      </c>
    </row>
    <row r="717" spans="2:19" x14ac:dyDescent="0.2">
      <c r="B717" s="7">
        <f t="shared" si="321"/>
        <v>210</v>
      </c>
      <c r="C717" s="19"/>
      <c r="D717" s="19"/>
      <c r="E717" s="19"/>
      <c r="F717" s="20"/>
      <c r="G717" s="21">
        <v>635</v>
      </c>
      <c r="H717" s="19" t="s">
        <v>130</v>
      </c>
      <c r="I717" s="22">
        <v>6330</v>
      </c>
      <c r="J717" s="22"/>
      <c r="K717" s="22">
        <f t="shared" si="323"/>
        <v>6330</v>
      </c>
      <c r="L717" s="22"/>
      <c r="M717" s="22"/>
      <c r="N717" s="22"/>
      <c r="O717" s="22">
        <f t="shared" si="324"/>
        <v>0</v>
      </c>
      <c r="P717" s="22"/>
      <c r="Q717" s="23">
        <f t="shared" si="319"/>
        <v>6330</v>
      </c>
      <c r="R717" s="23">
        <f t="shared" si="327"/>
        <v>0</v>
      </c>
      <c r="S717" s="23">
        <f t="shared" si="327"/>
        <v>6330</v>
      </c>
    </row>
    <row r="718" spans="2:19" x14ac:dyDescent="0.2">
      <c r="B718" s="7">
        <f t="shared" si="321"/>
        <v>211</v>
      </c>
      <c r="C718" s="19"/>
      <c r="D718" s="19"/>
      <c r="E718" s="19"/>
      <c r="F718" s="20"/>
      <c r="G718" s="21">
        <v>636</v>
      </c>
      <c r="H718" s="19" t="s">
        <v>124</v>
      </c>
      <c r="I718" s="22">
        <v>21120</v>
      </c>
      <c r="J718" s="22"/>
      <c r="K718" s="22">
        <f t="shared" si="323"/>
        <v>21120</v>
      </c>
      <c r="L718" s="22"/>
      <c r="M718" s="22"/>
      <c r="N718" s="22"/>
      <c r="O718" s="22">
        <f t="shared" si="324"/>
        <v>0</v>
      </c>
      <c r="P718" s="22"/>
      <c r="Q718" s="23">
        <f t="shared" si="319"/>
        <v>21120</v>
      </c>
      <c r="R718" s="23">
        <f t="shared" si="327"/>
        <v>0</v>
      </c>
      <c r="S718" s="23">
        <f t="shared" si="327"/>
        <v>21120</v>
      </c>
    </row>
    <row r="719" spans="2:19" x14ac:dyDescent="0.2">
      <c r="B719" s="7">
        <f t="shared" si="321"/>
        <v>212</v>
      </c>
      <c r="C719" s="19"/>
      <c r="D719" s="19"/>
      <c r="E719" s="19"/>
      <c r="F719" s="20"/>
      <c r="G719" s="21">
        <v>637</v>
      </c>
      <c r="H719" s="19" t="s">
        <v>120</v>
      </c>
      <c r="I719" s="22">
        <f>11133+400</f>
        <v>11533</v>
      </c>
      <c r="J719" s="22"/>
      <c r="K719" s="22">
        <f t="shared" si="323"/>
        <v>11533</v>
      </c>
      <c r="L719" s="22"/>
      <c r="M719" s="22"/>
      <c r="N719" s="22"/>
      <c r="O719" s="22">
        <f t="shared" si="324"/>
        <v>0</v>
      </c>
      <c r="P719" s="22"/>
      <c r="Q719" s="23">
        <f t="shared" si="319"/>
        <v>11533</v>
      </c>
      <c r="R719" s="23">
        <f t="shared" si="327"/>
        <v>0</v>
      </c>
      <c r="S719" s="23">
        <f t="shared" si="327"/>
        <v>11533</v>
      </c>
    </row>
    <row r="720" spans="2:19" x14ac:dyDescent="0.2">
      <c r="B720" s="7">
        <f t="shared" si="321"/>
        <v>213</v>
      </c>
      <c r="C720" s="13"/>
      <c r="D720" s="13"/>
      <c r="E720" s="13"/>
      <c r="F720" s="14" t="s">
        <v>183</v>
      </c>
      <c r="G720" s="15">
        <v>640</v>
      </c>
      <c r="H720" s="13" t="s">
        <v>127</v>
      </c>
      <c r="I720" s="16">
        <v>10925</v>
      </c>
      <c r="J720" s="16"/>
      <c r="K720" s="16">
        <f t="shared" si="323"/>
        <v>10925</v>
      </c>
      <c r="L720" s="16"/>
      <c r="M720" s="16"/>
      <c r="N720" s="16"/>
      <c r="O720" s="16">
        <f t="shared" si="324"/>
        <v>0</v>
      </c>
      <c r="P720" s="16"/>
      <c r="Q720" s="18">
        <f t="shared" si="319"/>
        <v>10925</v>
      </c>
      <c r="R720" s="18">
        <f t="shared" si="327"/>
        <v>0</v>
      </c>
      <c r="S720" s="18">
        <f t="shared" si="327"/>
        <v>10925</v>
      </c>
    </row>
    <row r="721" spans="2:19" x14ac:dyDescent="0.2">
      <c r="B721" s="7">
        <f t="shared" si="321"/>
        <v>214</v>
      </c>
      <c r="C721" s="13"/>
      <c r="D721" s="13"/>
      <c r="E721" s="13"/>
      <c r="F721" s="14" t="s">
        <v>183</v>
      </c>
      <c r="G721" s="15">
        <v>630</v>
      </c>
      <c r="H721" s="13" t="s">
        <v>686</v>
      </c>
      <c r="I721" s="16">
        <v>3093</v>
      </c>
      <c r="J721" s="16"/>
      <c r="K721" s="16">
        <f t="shared" si="323"/>
        <v>3093</v>
      </c>
      <c r="L721" s="16"/>
      <c r="M721" s="16"/>
      <c r="N721" s="16"/>
      <c r="O721" s="16">
        <f t="shared" si="324"/>
        <v>0</v>
      </c>
      <c r="P721" s="16"/>
      <c r="Q721" s="18">
        <f t="shared" si="319"/>
        <v>3093</v>
      </c>
      <c r="R721" s="18">
        <f t="shared" si="327"/>
        <v>0</v>
      </c>
      <c r="S721" s="18">
        <f t="shared" si="327"/>
        <v>3093</v>
      </c>
    </row>
    <row r="722" spans="2:19" x14ac:dyDescent="0.2">
      <c r="B722" s="7">
        <f t="shared" si="321"/>
        <v>215</v>
      </c>
      <c r="C722" s="119"/>
      <c r="D722" s="119"/>
      <c r="E722" s="119" t="s">
        <v>102</v>
      </c>
      <c r="F722" s="120"/>
      <c r="G722" s="120"/>
      <c r="H722" s="119" t="s">
        <v>103</v>
      </c>
      <c r="I722" s="121">
        <f>I733+I725+I724+I723+I734</f>
        <v>719421</v>
      </c>
      <c r="J722" s="121">
        <f t="shared" ref="J722" si="328">J733+J725+J724+J723+J734</f>
        <v>0</v>
      </c>
      <c r="K722" s="121">
        <f t="shared" si="323"/>
        <v>719421</v>
      </c>
      <c r="L722" s="16"/>
      <c r="M722" s="121"/>
      <c r="N722" s="121"/>
      <c r="O722" s="121">
        <f t="shared" si="324"/>
        <v>0</v>
      </c>
      <c r="P722" s="16"/>
      <c r="Q722" s="123">
        <f t="shared" si="319"/>
        <v>719421</v>
      </c>
      <c r="R722" s="123">
        <f t="shared" si="327"/>
        <v>0</v>
      </c>
      <c r="S722" s="123">
        <f t="shared" si="327"/>
        <v>719421</v>
      </c>
    </row>
    <row r="723" spans="2:19" x14ac:dyDescent="0.2">
      <c r="B723" s="7">
        <f t="shared" si="321"/>
        <v>216</v>
      </c>
      <c r="C723" s="13"/>
      <c r="D723" s="13"/>
      <c r="E723" s="13"/>
      <c r="F723" s="14" t="s">
        <v>183</v>
      </c>
      <c r="G723" s="15">
        <v>610</v>
      </c>
      <c r="H723" s="13" t="s">
        <v>511</v>
      </c>
      <c r="I723" s="16">
        <f>415264-9835</f>
        <v>405429</v>
      </c>
      <c r="J723" s="16"/>
      <c r="K723" s="16">
        <f t="shared" si="323"/>
        <v>405429</v>
      </c>
      <c r="L723" s="16"/>
      <c r="M723" s="16"/>
      <c r="N723" s="16"/>
      <c r="O723" s="16">
        <f t="shared" si="324"/>
        <v>0</v>
      </c>
      <c r="P723" s="16"/>
      <c r="Q723" s="18">
        <f t="shared" si="319"/>
        <v>405429</v>
      </c>
      <c r="R723" s="18">
        <f t="shared" si="327"/>
        <v>0</v>
      </c>
      <c r="S723" s="18">
        <f t="shared" si="327"/>
        <v>405429</v>
      </c>
    </row>
    <row r="724" spans="2:19" x14ac:dyDescent="0.2">
      <c r="B724" s="7">
        <f t="shared" si="321"/>
        <v>217</v>
      </c>
      <c r="C724" s="13"/>
      <c r="D724" s="13"/>
      <c r="E724" s="13"/>
      <c r="F724" s="14" t="s">
        <v>183</v>
      </c>
      <c r="G724" s="15">
        <v>620</v>
      </c>
      <c r="H724" s="13" t="s">
        <v>122</v>
      </c>
      <c r="I724" s="16">
        <f>162602-3543</f>
        <v>159059</v>
      </c>
      <c r="J724" s="16"/>
      <c r="K724" s="16">
        <f t="shared" si="323"/>
        <v>159059</v>
      </c>
      <c r="L724" s="16"/>
      <c r="M724" s="16"/>
      <c r="N724" s="16"/>
      <c r="O724" s="16">
        <f t="shared" si="324"/>
        <v>0</v>
      </c>
      <c r="P724" s="16"/>
      <c r="Q724" s="18">
        <f t="shared" si="319"/>
        <v>159059</v>
      </c>
      <c r="R724" s="18">
        <f t="shared" si="327"/>
        <v>0</v>
      </c>
      <c r="S724" s="18">
        <f t="shared" si="327"/>
        <v>159059</v>
      </c>
    </row>
    <row r="725" spans="2:19" x14ac:dyDescent="0.2">
      <c r="B725" s="7">
        <f t="shared" si="321"/>
        <v>218</v>
      </c>
      <c r="C725" s="13"/>
      <c r="D725" s="13"/>
      <c r="E725" s="13"/>
      <c r="F725" s="14" t="s">
        <v>183</v>
      </c>
      <c r="G725" s="15">
        <v>630</v>
      </c>
      <c r="H725" s="13" t="s">
        <v>119</v>
      </c>
      <c r="I725" s="16">
        <f>SUM(I726:I732)</f>
        <v>137920</v>
      </c>
      <c r="J725" s="16">
        <f t="shared" ref="J725" si="329">SUM(J726:J732)</f>
        <v>0</v>
      </c>
      <c r="K725" s="16">
        <f t="shared" si="323"/>
        <v>137920</v>
      </c>
      <c r="L725" s="16"/>
      <c r="M725" s="16"/>
      <c r="N725" s="16"/>
      <c r="O725" s="16">
        <f t="shared" si="324"/>
        <v>0</v>
      </c>
      <c r="P725" s="16"/>
      <c r="Q725" s="18">
        <f t="shared" si="319"/>
        <v>137920</v>
      </c>
      <c r="R725" s="18">
        <f t="shared" si="327"/>
        <v>0</v>
      </c>
      <c r="S725" s="18">
        <f t="shared" si="327"/>
        <v>137920</v>
      </c>
    </row>
    <row r="726" spans="2:19" x14ac:dyDescent="0.2">
      <c r="B726" s="7">
        <f t="shared" si="321"/>
        <v>219</v>
      </c>
      <c r="C726" s="13"/>
      <c r="D726" s="13"/>
      <c r="E726" s="13"/>
      <c r="F726" s="14"/>
      <c r="G726" s="21">
        <v>631</v>
      </c>
      <c r="H726" s="19" t="s">
        <v>125</v>
      </c>
      <c r="I726" s="22">
        <v>300</v>
      </c>
      <c r="J726" s="22"/>
      <c r="K726" s="22">
        <f t="shared" si="323"/>
        <v>300</v>
      </c>
      <c r="L726" s="16"/>
      <c r="M726" s="16"/>
      <c r="N726" s="16"/>
      <c r="O726" s="16">
        <f t="shared" si="324"/>
        <v>0</v>
      </c>
      <c r="P726" s="16"/>
      <c r="Q726" s="18">
        <f t="shared" si="319"/>
        <v>300</v>
      </c>
      <c r="R726" s="18">
        <f t="shared" si="327"/>
        <v>0</v>
      </c>
      <c r="S726" s="18">
        <f t="shared" si="327"/>
        <v>300</v>
      </c>
    </row>
    <row r="727" spans="2:19" x14ac:dyDescent="0.2">
      <c r="B727" s="7">
        <f t="shared" si="321"/>
        <v>220</v>
      </c>
      <c r="C727" s="19"/>
      <c r="D727" s="19"/>
      <c r="E727" s="19"/>
      <c r="F727" s="20"/>
      <c r="G727" s="21">
        <v>632</v>
      </c>
      <c r="H727" s="19" t="s">
        <v>131</v>
      </c>
      <c r="I727" s="22">
        <v>28510</v>
      </c>
      <c r="J727" s="22"/>
      <c r="K727" s="22">
        <f t="shared" si="323"/>
        <v>28510</v>
      </c>
      <c r="L727" s="22"/>
      <c r="M727" s="22"/>
      <c r="N727" s="22"/>
      <c r="O727" s="22">
        <f t="shared" si="324"/>
        <v>0</v>
      </c>
      <c r="P727" s="22"/>
      <c r="Q727" s="23">
        <f t="shared" si="319"/>
        <v>28510</v>
      </c>
      <c r="R727" s="23">
        <f t="shared" si="327"/>
        <v>0</v>
      </c>
      <c r="S727" s="23">
        <f t="shared" si="327"/>
        <v>28510</v>
      </c>
    </row>
    <row r="728" spans="2:19" x14ac:dyDescent="0.2">
      <c r="B728" s="7">
        <f t="shared" si="321"/>
        <v>221</v>
      </c>
      <c r="C728" s="19"/>
      <c r="D728" s="19"/>
      <c r="E728" s="19"/>
      <c r="F728" s="20"/>
      <c r="G728" s="21">
        <v>633</v>
      </c>
      <c r="H728" s="19" t="s">
        <v>123</v>
      </c>
      <c r="I728" s="22">
        <f>23038+10000</f>
        <v>33038</v>
      </c>
      <c r="J728" s="22"/>
      <c r="K728" s="22">
        <f t="shared" si="323"/>
        <v>33038</v>
      </c>
      <c r="L728" s="22"/>
      <c r="M728" s="22"/>
      <c r="N728" s="22"/>
      <c r="O728" s="22">
        <f t="shared" si="324"/>
        <v>0</v>
      </c>
      <c r="P728" s="22"/>
      <c r="Q728" s="23">
        <f t="shared" si="319"/>
        <v>33038</v>
      </c>
      <c r="R728" s="23">
        <f t="shared" si="327"/>
        <v>0</v>
      </c>
      <c r="S728" s="23">
        <f t="shared" si="327"/>
        <v>33038</v>
      </c>
    </row>
    <row r="729" spans="2:19" x14ac:dyDescent="0.2">
      <c r="B729" s="7">
        <f t="shared" si="321"/>
        <v>222</v>
      </c>
      <c r="C729" s="19"/>
      <c r="D729" s="19"/>
      <c r="E729" s="19"/>
      <c r="F729" s="20"/>
      <c r="G729" s="21">
        <v>634</v>
      </c>
      <c r="H729" s="19" t="s">
        <v>129</v>
      </c>
      <c r="I729" s="22">
        <v>952</v>
      </c>
      <c r="J729" s="22"/>
      <c r="K729" s="22">
        <f t="shared" si="323"/>
        <v>952</v>
      </c>
      <c r="L729" s="22"/>
      <c r="M729" s="22"/>
      <c r="N729" s="22"/>
      <c r="O729" s="22">
        <f t="shared" si="324"/>
        <v>0</v>
      </c>
      <c r="P729" s="22"/>
      <c r="Q729" s="23">
        <f t="shared" si="319"/>
        <v>952</v>
      </c>
      <c r="R729" s="23">
        <f t="shared" si="327"/>
        <v>0</v>
      </c>
      <c r="S729" s="23">
        <f t="shared" si="327"/>
        <v>952</v>
      </c>
    </row>
    <row r="730" spans="2:19" x14ac:dyDescent="0.2">
      <c r="B730" s="7">
        <f t="shared" si="321"/>
        <v>223</v>
      </c>
      <c r="C730" s="19"/>
      <c r="D730" s="19"/>
      <c r="E730" s="19"/>
      <c r="F730" s="20"/>
      <c r="G730" s="21">
        <v>635</v>
      </c>
      <c r="H730" s="19" t="s">
        <v>130</v>
      </c>
      <c r="I730" s="22">
        <v>17960</v>
      </c>
      <c r="J730" s="22"/>
      <c r="K730" s="22">
        <f t="shared" si="323"/>
        <v>17960</v>
      </c>
      <c r="L730" s="22"/>
      <c r="M730" s="22"/>
      <c r="N730" s="22"/>
      <c r="O730" s="22">
        <f t="shared" si="324"/>
        <v>0</v>
      </c>
      <c r="P730" s="22"/>
      <c r="Q730" s="23">
        <f t="shared" si="319"/>
        <v>17960</v>
      </c>
      <c r="R730" s="23">
        <f t="shared" si="327"/>
        <v>0</v>
      </c>
      <c r="S730" s="23">
        <f t="shared" si="327"/>
        <v>17960</v>
      </c>
    </row>
    <row r="731" spans="2:19" x14ac:dyDescent="0.2">
      <c r="B731" s="7">
        <f t="shared" si="321"/>
        <v>224</v>
      </c>
      <c r="C731" s="19"/>
      <c r="D731" s="19"/>
      <c r="E731" s="19"/>
      <c r="F731" s="20"/>
      <c r="G731" s="21">
        <v>636</v>
      </c>
      <c r="H731" s="19" t="s">
        <v>124</v>
      </c>
      <c r="I731" s="22">
        <v>10449</v>
      </c>
      <c r="J731" s="22"/>
      <c r="K731" s="22">
        <f t="shared" si="323"/>
        <v>10449</v>
      </c>
      <c r="L731" s="22"/>
      <c r="M731" s="22"/>
      <c r="N731" s="22"/>
      <c r="O731" s="22">
        <f t="shared" si="324"/>
        <v>0</v>
      </c>
      <c r="P731" s="22"/>
      <c r="Q731" s="23">
        <f t="shared" si="319"/>
        <v>10449</v>
      </c>
      <c r="R731" s="23">
        <f t="shared" si="327"/>
        <v>0</v>
      </c>
      <c r="S731" s="23">
        <f t="shared" si="327"/>
        <v>10449</v>
      </c>
    </row>
    <row r="732" spans="2:19" x14ac:dyDescent="0.2">
      <c r="B732" s="7">
        <f t="shared" si="321"/>
        <v>225</v>
      </c>
      <c r="C732" s="19"/>
      <c r="D732" s="19"/>
      <c r="E732" s="19"/>
      <c r="F732" s="20"/>
      <c r="G732" s="21">
        <v>637</v>
      </c>
      <c r="H732" s="19" t="s">
        <v>120</v>
      </c>
      <c r="I732" s="22">
        <f>46861-150</f>
        <v>46711</v>
      </c>
      <c r="J732" s="22"/>
      <c r="K732" s="22">
        <f t="shared" si="323"/>
        <v>46711</v>
      </c>
      <c r="L732" s="22"/>
      <c r="M732" s="22"/>
      <c r="N732" s="22"/>
      <c r="O732" s="22">
        <f t="shared" si="324"/>
        <v>0</v>
      </c>
      <c r="P732" s="22"/>
      <c r="Q732" s="23">
        <f t="shared" si="319"/>
        <v>46711</v>
      </c>
      <c r="R732" s="23">
        <f t="shared" ref="R732:S747" si="330">N732+J732</f>
        <v>0</v>
      </c>
      <c r="S732" s="23">
        <f t="shared" si="330"/>
        <v>46711</v>
      </c>
    </row>
    <row r="733" spans="2:19" x14ac:dyDescent="0.2">
      <c r="B733" s="7">
        <f t="shared" si="321"/>
        <v>226</v>
      </c>
      <c r="C733" s="13"/>
      <c r="D733" s="13"/>
      <c r="E733" s="13"/>
      <c r="F733" s="14" t="s">
        <v>183</v>
      </c>
      <c r="G733" s="15">
        <v>640</v>
      </c>
      <c r="H733" s="13" t="s">
        <v>127</v>
      </c>
      <c r="I733" s="16">
        <v>14238</v>
      </c>
      <c r="J733" s="16"/>
      <c r="K733" s="16">
        <f t="shared" si="323"/>
        <v>14238</v>
      </c>
      <c r="L733" s="16"/>
      <c r="M733" s="16"/>
      <c r="N733" s="16"/>
      <c r="O733" s="16">
        <f t="shared" si="324"/>
        <v>0</v>
      </c>
      <c r="P733" s="16"/>
      <c r="Q733" s="18">
        <f t="shared" si="319"/>
        <v>14238</v>
      </c>
      <c r="R733" s="18">
        <f t="shared" si="330"/>
        <v>0</v>
      </c>
      <c r="S733" s="18">
        <f t="shared" si="330"/>
        <v>14238</v>
      </c>
    </row>
    <row r="734" spans="2:19" x14ac:dyDescent="0.2">
      <c r="B734" s="7">
        <f t="shared" si="321"/>
        <v>227</v>
      </c>
      <c r="C734" s="13"/>
      <c r="D734" s="13"/>
      <c r="E734" s="13"/>
      <c r="F734" s="14" t="s">
        <v>183</v>
      </c>
      <c r="G734" s="15">
        <v>630</v>
      </c>
      <c r="H734" s="13" t="s">
        <v>686</v>
      </c>
      <c r="I734" s="16">
        <v>2775</v>
      </c>
      <c r="J734" s="16"/>
      <c r="K734" s="16">
        <f t="shared" si="323"/>
        <v>2775</v>
      </c>
      <c r="L734" s="16"/>
      <c r="M734" s="16"/>
      <c r="N734" s="16"/>
      <c r="O734" s="16">
        <f t="shared" si="324"/>
        <v>0</v>
      </c>
      <c r="P734" s="16"/>
      <c r="Q734" s="18">
        <f t="shared" si="319"/>
        <v>2775</v>
      </c>
      <c r="R734" s="18">
        <f t="shared" si="330"/>
        <v>0</v>
      </c>
      <c r="S734" s="18">
        <f t="shared" si="330"/>
        <v>2775</v>
      </c>
    </row>
    <row r="735" spans="2:19" ht="15" x14ac:dyDescent="0.2">
      <c r="B735" s="7">
        <f t="shared" si="321"/>
        <v>228</v>
      </c>
      <c r="C735" s="10">
        <v>2</v>
      </c>
      <c r="D735" s="420" t="s">
        <v>177</v>
      </c>
      <c r="E735" s="421"/>
      <c r="F735" s="421"/>
      <c r="G735" s="421"/>
      <c r="H735" s="421"/>
      <c r="I735" s="11">
        <f>I736+I741+I763+I784+I810+I837+I868+I896+I918</f>
        <v>19006108</v>
      </c>
      <c r="J735" s="11">
        <f t="shared" ref="J735" si="331">J736+J741+J763+J784+J810+J837+J868+J896+J918</f>
        <v>6544</v>
      </c>
      <c r="K735" s="11">
        <f t="shared" si="323"/>
        <v>19012652</v>
      </c>
      <c r="L735" s="320"/>
      <c r="M735" s="11">
        <f>M736+M741+M763+M784+M810+M837+M868+M896+M918</f>
        <v>665690</v>
      </c>
      <c r="N735" s="11">
        <f t="shared" ref="N735" si="332">N736+N741+N763+N784+N810+N837+N868+N896+N918</f>
        <v>0</v>
      </c>
      <c r="O735" s="11">
        <f t="shared" si="324"/>
        <v>665690</v>
      </c>
      <c r="P735" s="320"/>
      <c r="Q735" s="35">
        <f t="shared" si="319"/>
        <v>19671798</v>
      </c>
      <c r="R735" s="35">
        <f t="shared" si="330"/>
        <v>6544</v>
      </c>
      <c r="S735" s="35">
        <f t="shared" si="330"/>
        <v>19678342</v>
      </c>
    </row>
    <row r="736" spans="2:19" x14ac:dyDescent="0.2">
      <c r="B736" s="7">
        <f t="shared" si="321"/>
        <v>229</v>
      </c>
      <c r="C736" s="13"/>
      <c r="D736" s="13"/>
      <c r="E736" s="13"/>
      <c r="F736" s="14" t="s">
        <v>117</v>
      </c>
      <c r="G736" s="15">
        <v>630</v>
      </c>
      <c r="H736" s="13" t="s">
        <v>119</v>
      </c>
      <c r="I736" s="16">
        <f>SUM(I737:I740)</f>
        <v>54764</v>
      </c>
      <c r="J736" s="16">
        <f t="shared" ref="J736" si="333">SUM(J737:J740)</f>
        <v>0</v>
      </c>
      <c r="K736" s="16">
        <f t="shared" si="323"/>
        <v>54764</v>
      </c>
      <c r="L736" s="16"/>
      <c r="M736" s="16"/>
      <c r="N736" s="16"/>
      <c r="O736" s="16">
        <f t="shared" si="324"/>
        <v>0</v>
      </c>
      <c r="P736" s="16"/>
      <c r="Q736" s="18">
        <f t="shared" si="319"/>
        <v>54764</v>
      </c>
      <c r="R736" s="18">
        <f t="shared" si="330"/>
        <v>0</v>
      </c>
      <c r="S736" s="18">
        <f t="shared" si="330"/>
        <v>54764</v>
      </c>
    </row>
    <row r="737" spans="2:19" x14ac:dyDescent="0.2">
      <c r="B737" s="7">
        <f t="shared" si="321"/>
        <v>230</v>
      </c>
      <c r="C737" s="13"/>
      <c r="D737" s="13"/>
      <c r="E737" s="13"/>
      <c r="F737" s="14"/>
      <c r="G737" s="21">
        <v>633</v>
      </c>
      <c r="H737" s="19" t="s">
        <v>123</v>
      </c>
      <c r="I737" s="22">
        <f>12000-10800</f>
        <v>1200</v>
      </c>
      <c r="J737" s="22"/>
      <c r="K737" s="22">
        <f t="shared" si="323"/>
        <v>1200</v>
      </c>
      <c r="L737" s="22"/>
      <c r="M737" s="16"/>
      <c r="N737" s="16"/>
      <c r="O737" s="16">
        <f t="shared" si="324"/>
        <v>0</v>
      </c>
      <c r="P737" s="16"/>
      <c r="Q737" s="23">
        <f t="shared" si="319"/>
        <v>1200</v>
      </c>
      <c r="R737" s="23">
        <f t="shared" si="330"/>
        <v>0</v>
      </c>
      <c r="S737" s="23">
        <f t="shared" si="330"/>
        <v>1200</v>
      </c>
    </row>
    <row r="738" spans="2:19" x14ac:dyDescent="0.2">
      <c r="B738" s="7">
        <f t="shared" si="321"/>
        <v>231</v>
      </c>
      <c r="C738" s="19"/>
      <c r="D738" s="19"/>
      <c r="E738" s="19"/>
      <c r="F738" s="20"/>
      <c r="G738" s="21">
        <v>635</v>
      </c>
      <c r="H738" s="19" t="s">
        <v>130</v>
      </c>
      <c r="I738" s="22">
        <f>45834-270</f>
        <v>45564</v>
      </c>
      <c r="J738" s="22"/>
      <c r="K738" s="22">
        <f t="shared" si="323"/>
        <v>45564</v>
      </c>
      <c r="L738" s="22"/>
      <c r="M738" s="22"/>
      <c r="N738" s="22"/>
      <c r="O738" s="22">
        <f t="shared" si="324"/>
        <v>0</v>
      </c>
      <c r="P738" s="22"/>
      <c r="Q738" s="23">
        <f t="shared" si="319"/>
        <v>45564</v>
      </c>
      <c r="R738" s="23">
        <f t="shared" si="330"/>
        <v>0</v>
      </c>
      <c r="S738" s="23">
        <f t="shared" si="330"/>
        <v>45564</v>
      </c>
    </row>
    <row r="739" spans="2:19" x14ac:dyDescent="0.2">
      <c r="B739" s="7">
        <f t="shared" si="321"/>
        <v>232</v>
      </c>
      <c r="C739" s="19"/>
      <c r="D739" s="19"/>
      <c r="E739" s="19"/>
      <c r="F739" s="20"/>
      <c r="G739" s="21">
        <v>635</v>
      </c>
      <c r="H739" s="19" t="s">
        <v>687</v>
      </c>
      <c r="I739" s="22">
        <f>40000-38000</f>
        <v>2000</v>
      </c>
      <c r="J739" s="22"/>
      <c r="K739" s="22">
        <f t="shared" si="323"/>
        <v>2000</v>
      </c>
      <c r="L739" s="22"/>
      <c r="M739" s="22"/>
      <c r="N739" s="22"/>
      <c r="O739" s="22">
        <f t="shared" si="324"/>
        <v>0</v>
      </c>
      <c r="P739" s="22"/>
      <c r="Q739" s="23">
        <f t="shared" si="319"/>
        <v>2000</v>
      </c>
      <c r="R739" s="23">
        <f t="shared" si="330"/>
        <v>0</v>
      </c>
      <c r="S739" s="23">
        <f t="shared" si="330"/>
        <v>2000</v>
      </c>
    </row>
    <row r="740" spans="2:19" x14ac:dyDescent="0.2">
      <c r="B740" s="7">
        <f t="shared" si="321"/>
        <v>233</v>
      </c>
      <c r="C740" s="19"/>
      <c r="D740" s="19"/>
      <c r="E740" s="19"/>
      <c r="F740" s="20"/>
      <c r="G740" s="21">
        <v>637</v>
      </c>
      <c r="H740" s="19" t="s">
        <v>120</v>
      </c>
      <c r="I740" s="22">
        <v>6000</v>
      </c>
      <c r="J740" s="22"/>
      <c r="K740" s="22">
        <f t="shared" si="323"/>
        <v>6000</v>
      </c>
      <c r="L740" s="22"/>
      <c r="M740" s="22"/>
      <c r="N740" s="22"/>
      <c r="O740" s="22">
        <f t="shared" si="324"/>
        <v>0</v>
      </c>
      <c r="P740" s="22"/>
      <c r="Q740" s="23">
        <f t="shared" si="319"/>
        <v>6000</v>
      </c>
      <c r="R740" s="23">
        <f t="shared" si="330"/>
        <v>0</v>
      </c>
      <c r="S740" s="23">
        <f t="shared" si="330"/>
        <v>6000</v>
      </c>
    </row>
    <row r="741" spans="2:19" ht="15" x14ac:dyDescent="0.25">
      <c r="B741" s="7">
        <f t="shared" si="321"/>
        <v>234</v>
      </c>
      <c r="C741" s="108"/>
      <c r="D741" s="108"/>
      <c r="E741" s="108">
        <v>6</v>
      </c>
      <c r="F741" s="109"/>
      <c r="G741" s="109"/>
      <c r="H741" s="108" t="s">
        <v>278</v>
      </c>
      <c r="I741" s="110">
        <f>I742+I743+I744+I751+I752+I753+I754+I761+I762</f>
        <v>1674476</v>
      </c>
      <c r="J741" s="110">
        <f t="shared" ref="J741" si="334">J742+J743+J744+J751+J752+J753+J754+J761+J762</f>
        <v>0</v>
      </c>
      <c r="K741" s="110">
        <f t="shared" si="323"/>
        <v>1674476</v>
      </c>
      <c r="L741" s="321"/>
      <c r="M741" s="110"/>
      <c r="N741" s="110"/>
      <c r="O741" s="110">
        <f t="shared" si="324"/>
        <v>0</v>
      </c>
      <c r="P741" s="321"/>
      <c r="Q741" s="112">
        <f t="shared" si="319"/>
        <v>1674476</v>
      </c>
      <c r="R741" s="112">
        <f t="shared" si="330"/>
        <v>0</v>
      </c>
      <c r="S741" s="112">
        <f t="shared" si="330"/>
        <v>1674476</v>
      </c>
    </row>
    <row r="742" spans="2:19" x14ac:dyDescent="0.2">
      <c r="B742" s="7">
        <f t="shared" si="321"/>
        <v>235</v>
      </c>
      <c r="C742" s="13"/>
      <c r="D742" s="13"/>
      <c r="E742" s="13"/>
      <c r="F742" s="14" t="s">
        <v>117</v>
      </c>
      <c r="G742" s="15">
        <v>610</v>
      </c>
      <c r="H742" s="13" t="s">
        <v>511</v>
      </c>
      <c r="I742" s="16">
        <f>328244+38773</f>
        <v>367017</v>
      </c>
      <c r="J742" s="16"/>
      <c r="K742" s="16">
        <f t="shared" si="323"/>
        <v>367017</v>
      </c>
      <c r="L742" s="16"/>
      <c r="M742" s="16"/>
      <c r="N742" s="16"/>
      <c r="O742" s="16">
        <f t="shared" si="324"/>
        <v>0</v>
      </c>
      <c r="P742" s="16"/>
      <c r="Q742" s="18">
        <f t="shared" si="319"/>
        <v>367017</v>
      </c>
      <c r="R742" s="18">
        <f t="shared" si="330"/>
        <v>0</v>
      </c>
      <c r="S742" s="18">
        <f t="shared" si="330"/>
        <v>367017</v>
      </c>
    </row>
    <row r="743" spans="2:19" x14ac:dyDescent="0.2">
      <c r="B743" s="7">
        <f t="shared" si="321"/>
        <v>236</v>
      </c>
      <c r="C743" s="13"/>
      <c r="D743" s="13"/>
      <c r="E743" s="13"/>
      <c r="F743" s="14" t="s">
        <v>117</v>
      </c>
      <c r="G743" s="15">
        <v>620</v>
      </c>
      <c r="H743" s="13" t="s">
        <v>122</v>
      </c>
      <c r="I743" s="16">
        <f>113792+13939</f>
        <v>127731</v>
      </c>
      <c r="J743" s="16"/>
      <c r="K743" s="16">
        <f t="shared" si="323"/>
        <v>127731</v>
      </c>
      <c r="L743" s="16"/>
      <c r="M743" s="16"/>
      <c r="N743" s="16"/>
      <c r="O743" s="16">
        <f t="shared" si="324"/>
        <v>0</v>
      </c>
      <c r="P743" s="16"/>
      <c r="Q743" s="18">
        <f t="shared" si="319"/>
        <v>127731</v>
      </c>
      <c r="R743" s="18">
        <f t="shared" si="330"/>
        <v>0</v>
      </c>
      <c r="S743" s="18">
        <f t="shared" si="330"/>
        <v>127731</v>
      </c>
    </row>
    <row r="744" spans="2:19" x14ac:dyDescent="0.2">
      <c r="B744" s="7">
        <f t="shared" si="321"/>
        <v>237</v>
      </c>
      <c r="C744" s="13"/>
      <c r="D744" s="13"/>
      <c r="E744" s="13"/>
      <c r="F744" s="14" t="s">
        <v>117</v>
      </c>
      <c r="G744" s="15">
        <v>630</v>
      </c>
      <c r="H744" s="13" t="s">
        <v>119</v>
      </c>
      <c r="I744" s="16">
        <f>SUM(I745:I750)</f>
        <v>150716</v>
      </c>
      <c r="J744" s="16">
        <f t="shared" ref="J744" si="335">SUM(J745:J750)</f>
        <v>0</v>
      </c>
      <c r="K744" s="16">
        <f t="shared" si="323"/>
        <v>150716</v>
      </c>
      <c r="L744" s="16"/>
      <c r="M744" s="16"/>
      <c r="N744" s="16"/>
      <c r="O744" s="16">
        <f t="shared" si="324"/>
        <v>0</v>
      </c>
      <c r="P744" s="16"/>
      <c r="Q744" s="18">
        <f t="shared" si="319"/>
        <v>150716</v>
      </c>
      <c r="R744" s="18">
        <f t="shared" si="330"/>
        <v>0</v>
      </c>
      <c r="S744" s="18">
        <f t="shared" si="330"/>
        <v>150716</v>
      </c>
    </row>
    <row r="745" spans="2:19" x14ac:dyDescent="0.2">
      <c r="B745" s="7">
        <f t="shared" si="321"/>
        <v>238</v>
      </c>
      <c r="C745" s="19"/>
      <c r="D745" s="19"/>
      <c r="E745" s="19"/>
      <c r="F745" s="20"/>
      <c r="G745" s="21">
        <v>631</v>
      </c>
      <c r="H745" s="19" t="s">
        <v>125</v>
      </c>
      <c r="I745" s="22">
        <v>455</v>
      </c>
      <c r="J745" s="22"/>
      <c r="K745" s="22">
        <f t="shared" si="323"/>
        <v>455</v>
      </c>
      <c r="L745" s="22"/>
      <c r="M745" s="22"/>
      <c r="N745" s="22"/>
      <c r="O745" s="22">
        <f t="shared" si="324"/>
        <v>0</v>
      </c>
      <c r="P745" s="22"/>
      <c r="Q745" s="23">
        <f t="shared" si="319"/>
        <v>455</v>
      </c>
      <c r="R745" s="23">
        <f t="shared" si="330"/>
        <v>0</v>
      </c>
      <c r="S745" s="23">
        <f t="shared" si="330"/>
        <v>455</v>
      </c>
    </row>
    <row r="746" spans="2:19" x14ac:dyDescent="0.2">
      <c r="B746" s="7">
        <f t="shared" si="321"/>
        <v>239</v>
      </c>
      <c r="C746" s="19"/>
      <c r="D746" s="19"/>
      <c r="E746" s="19"/>
      <c r="F746" s="20"/>
      <c r="G746" s="21">
        <v>632</v>
      </c>
      <c r="H746" s="19" t="s">
        <v>131</v>
      </c>
      <c r="I746" s="22">
        <f>69652+33136</f>
        <v>102788</v>
      </c>
      <c r="J746" s="22"/>
      <c r="K746" s="22">
        <f t="shared" si="323"/>
        <v>102788</v>
      </c>
      <c r="L746" s="22"/>
      <c r="M746" s="22"/>
      <c r="N746" s="22"/>
      <c r="O746" s="22">
        <f t="shared" si="324"/>
        <v>0</v>
      </c>
      <c r="P746" s="22"/>
      <c r="Q746" s="23">
        <f t="shared" si="319"/>
        <v>102788</v>
      </c>
      <c r="R746" s="23">
        <f t="shared" si="330"/>
        <v>0</v>
      </c>
      <c r="S746" s="23">
        <f t="shared" si="330"/>
        <v>102788</v>
      </c>
    </row>
    <row r="747" spans="2:19" x14ac:dyDescent="0.2">
      <c r="B747" s="7">
        <f t="shared" si="321"/>
        <v>240</v>
      </c>
      <c r="C747" s="19"/>
      <c r="D747" s="19"/>
      <c r="E747" s="19"/>
      <c r="F747" s="20"/>
      <c r="G747" s="21">
        <v>633</v>
      </c>
      <c r="H747" s="19" t="s">
        <v>123</v>
      </c>
      <c r="I747" s="22">
        <v>8869</v>
      </c>
      <c r="J747" s="22"/>
      <c r="K747" s="22">
        <f t="shared" si="323"/>
        <v>8869</v>
      </c>
      <c r="L747" s="22"/>
      <c r="M747" s="22"/>
      <c r="N747" s="22"/>
      <c r="O747" s="22">
        <f t="shared" si="324"/>
        <v>0</v>
      </c>
      <c r="P747" s="22"/>
      <c r="Q747" s="23">
        <f t="shared" si="319"/>
        <v>8869</v>
      </c>
      <c r="R747" s="23">
        <f t="shared" si="330"/>
        <v>0</v>
      </c>
      <c r="S747" s="23">
        <f t="shared" si="330"/>
        <v>8869</v>
      </c>
    </row>
    <row r="748" spans="2:19" x14ac:dyDescent="0.2">
      <c r="B748" s="7">
        <f t="shared" si="321"/>
        <v>241</v>
      </c>
      <c r="C748" s="19"/>
      <c r="D748" s="19"/>
      <c r="E748" s="19"/>
      <c r="F748" s="20"/>
      <c r="G748" s="21">
        <v>634</v>
      </c>
      <c r="H748" s="19" t="s">
        <v>129</v>
      </c>
      <c r="I748" s="22">
        <v>1064</v>
      </c>
      <c r="J748" s="22"/>
      <c r="K748" s="22">
        <f t="shared" si="323"/>
        <v>1064</v>
      </c>
      <c r="L748" s="22"/>
      <c r="M748" s="22"/>
      <c r="N748" s="22"/>
      <c r="O748" s="22">
        <f t="shared" si="324"/>
        <v>0</v>
      </c>
      <c r="P748" s="22"/>
      <c r="Q748" s="23">
        <f t="shared" si="319"/>
        <v>1064</v>
      </c>
      <c r="R748" s="23">
        <f t="shared" ref="R748:S763" si="336">N748+J748</f>
        <v>0</v>
      </c>
      <c r="S748" s="23">
        <f t="shared" si="336"/>
        <v>1064</v>
      </c>
    </row>
    <row r="749" spans="2:19" x14ac:dyDescent="0.2">
      <c r="B749" s="7">
        <f t="shared" si="321"/>
        <v>242</v>
      </c>
      <c r="C749" s="19"/>
      <c r="D749" s="19"/>
      <c r="E749" s="19"/>
      <c r="F749" s="20"/>
      <c r="G749" s="21">
        <v>635</v>
      </c>
      <c r="H749" s="19" t="s">
        <v>130</v>
      </c>
      <c r="I749" s="22">
        <v>11399</v>
      </c>
      <c r="J749" s="22"/>
      <c r="K749" s="22">
        <f t="shared" si="323"/>
        <v>11399</v>
      </c>
      <c r="L749" s="22"/>
      <c r="M749" s="22"/>
      <c r="N749" s="22"/>
      <c r="O749" s="22">
        <f t="shared" si="324"/>
        <v>0</v>
      </c>
      <c r="P749" s="22"/>
      <c r="Q749" s="23">
        <f t="shared" si="319"/>
        <v>11399</v>
      </c>
      <c r="R749" s="23">
        <f t="shared" si="336"/>
        <v>0</v>
      </c>
      <c r="S749" s="23">
        <f t="shared" si="336"/>
        <v>11399</v>
      </c>
    </row>
    <row r="750" spans="2:19" x14ac:dyDescent="0.2">
      <c r="B750" s="7">
        <f t="shared" si="321"/>
        <v>243</v>
      </c>
      <c r="C750" s="19"/>
      <c r="D750" s="19"/>
      <c r="E750" s="19"/>
      <c r="F750" s="20"/>
      <c r="G750" s="21">
        <v>637</v>
      </c>
      <c r="H750" s="19" t="s">
        <v>120</v>
      </c>
      <c r="I750" s="22">
        <v>26141</v>
      </c>
      <c r="J750" s="22"/>
      <c r="K750" s="22">
        <f t="shared" si="323"/>
        <v>26141</v>
      </c>
      <c r="L750" s="22"/>
      <c r="M750" s="22"/>
      <c r="N750" s="22"/>
      <c r="O750" s="22">
        <f t="shared" si="324"/>
        <v>0</v>
      </c>
      <c r="P750" s="22"/>
      <c r="Q750" s="23">
        <f t="shared" si="319"/>
        <v>26141</v>
      </c>
      <c r="R750" s="23">
        <f t="shared" si="336"/>
        <v>0</v>
      </c>
      <c r="S750" s="23">
        <f t="shared" si="336"/>
        <v>26141</v>
      </c>
    </row>
    <row r="751" spans="2:19" x14ac:dyDescent="0.2">
      <c r="B751" s="7">
        <f t="shared" si="321"/>
        <v>244</v>
      </c>
      <c r="C751" s="13"/>
      <c r="D751" s="13"/>
      <c r="E751" s="13"/>
      <c r="F751" s="14" t="s">
        <v>117</v>
      </c>
      <c r="G751" s="15">
        <v>640</v>
      </c>
      <c r="H751" s="13" t="s">
        <v>127</v>
      </c>
      <c r="I751" s="16">
        <v>3526</v>
      </c>
      <c r="J751" s="16"/>
      <c r="K751" s="16">
        <f t="shared" si="323"/>
        <v>3526</v>
      </c>
      <c r="L751" s="16"/>
      <c r="M751" s="16"/>
      <c r="N751" s="16"/>
      <c r="O751" s="16">
        <f t="shared" si="324"/>
        <v>0</v>
      </c>
      <c r="P751" s="16"/>
      <c r="Q751" s="18">
        <f t="shared" si="319"/>
        <v>3526</v>
      </c>
      <c r="R751" s="18">
        <f t="shared" si="336"/>
        <v>0</v>
      </c>
      <c r="S751" s="18">
        <f t="shared" si="336"/>
        <v>3526</v>
      </c>
    </row>
    <row r="752" spans="2:19" x14ac:dyDescent="0.2">
      <c r="B752" s="7">
        <f t="shared" si="321"/>
        <v>245</v>
      </c>
      <c r="C752" s="13"/>
      <c r="D752" s="13"/>
      <c r="E752" s="13"/>
      <c r="F752" s="14" t="s">
        <v>106</v>
      </c>
      <c r="G752" s="15">
        <v>610</v>
      </c>
      <c r="H752" s="13" t="s">
        <v>511</v>
      </c>
      <c r="I752" s="16">
        <f>539782+100+47648</f>
        <v>587530</v>
      </c>
      <c r="J752" s="16"/>
      <c r="K752" s="16">
        <f t="shared" si="323"/>
        <v>587530</v>
      </c>
      <c r="L752" s="16"/>
      <c r="M752" s="16"/>
      <c r="N752" s="16"/>
      <c r="O752" s="16">
        <f t="shared" si="324"/>
        <v>0</v>
      </c>
      <c r="P752" s="16"/>
      <c r="Q752" s="18">
        <f t="shared" si="319"/>
        <v>587530</v>
      </c>
      <c r="R752" s="18">
        <f t="shared" si="336"/>
        <v>0</v>
      </c>
      <c r="S752" s="18">
        <f t="shared" si="336"/>
        <v>587530</v>
      </c>
    </row>
    <row r="753" spans="2:19" x14ac:dyDescent="0.2">
      <c r="B753" s="7">
        <f t="shared" si="321"/>
        <v>246</v>
      </c>
      <c r="C753" s="13"/>
      <c r="D753" s="13"/>
      <c r="E753" s="13"/>
      <c r="F753" s="14" t="s">
        <v>106</v>
      </c>
      <c r="G753" s="15">
        <v>620</v>
      </c>
      <c r="H753" s="13" t="s">
        <v>122</v>
      </c>
      <c r="I753" s="16">
        <f>188256+35+17127</f>
        <v>205418</v>
      </c>
      <c r="J753" s="16"/>
      <c r="K753" s="16">
        <f t="shared" si="323"/>
        <v>205418</v>
      </c>
      <c r="L753" s="16"/>
      <c r="M753" s="16"/>
      <c r="N753" s="16"/>
      <c r="O753" s="16">
        <f t="shared" si="324"/>
        <v>0</v>
      </c>
      <c r="P753" s="16"/>
      <c r="Q753" s="18">
        <f t="shared" si="319"/>
        <v>205418</v>
      </c>
      <c r="R753" s="18">
        <f t="shared" si="336"/>
        <v>0</v>
      </c>
      <c r="S753" s="18">
        <f t="shared" si="336"/>
        <v>205418</v>
      </c>
    </row>
    <row r="754" spans="2:19" x14ac:dyDescent="0.2">
      <c r="B754" s="7">
        <f t="shared" si="321"/>
        <v>247</v>
      </c>
      <c r="C754" s="13"/>
      <c r="D754" s="13"/>
      <c r="E754" s="13"/>
      <c r="F754" s="14" t="s">
        <v>106</v>
      </c>
      <c r="G754" s="15">
        <v>630</v>
      </c>
      <c r="H754" s="13" t="s">
        <v>119</v>
      </c>
      <c r="I754" s="16">
        <f>SUM(I755:I760)</f>
        <v>142563</v>
      </c>
      <c r="J754" s="16">
        <f t="shared" ref="J754" si="337">SUM(J755:J760)</f>
        <v>0</v>
      </c>
      <c r="K754" s="16">
        <f t="shared" si="323"/>
        <v>142563</v>
      </c>
      <c r="L754" s="16"/>
      <c r="M754" s="17"/>
      <c r="N754" s="17"/>
      <c r="O754" s="17">
        <f t="shared" si="324"/>
        <v>0</v>
      </c>
      <c r="P754" s="17"/>
      <c r="Q754" s="18">
        <f t="shared" si="319"/>
        <v>142563</v>
      </c>
      <c r="R754" s="18">
        <f t="shared" si="336"/>
        <v>0</v>
      </c>
      <c r="S754" s="18">
        <f t="shared" si="336"/>
        <v>142563</v>
      </c>
    </row>
    <row r="755" spans="2:19" x14ac:dyDescent="0.2">
      <c r="B755" s="7">
        <f t="shared" si="321"/>
        <v>248</v>
      </c>
      <c r="C755" s="19"/>
      <c r="D755" s="19"/>
      <c r="E755" s="19"/>
      <c r="F755" s="20"/>
      <c r="G755" s="21">
        <v>631</v>
      </c>
      <c r="H755" s="19" t="s">
        <v>125</v>
      </c>
      <c r="I755" s="22">
        <v>377</v>
      </c>
      <c r="J755" s="22"/>
      <c r="K755" s="22">
        <f t="shared" si="323"/>
        <v>377</v>
      </c>
      <c r="L755" s="22"/>
      <c r="M755" s="22"/>
      <c r="N755" s="22"/>
      <c r="O755" s="22">
        <f t="shared" si="324"/>
        <v>0</v>
      </c>
      <c r="P755" s="22"/>
      <c r="Q755" s="23">
        <f t="shared" si="319"/>
        <v>377</v>
      </c>
      <c r="R755" s="23">
        <f t="shared" si="336"/>
        <v>0</v>
      </c>
      <c r="S755" s="23">
        <f t="shared" si="336"/>
        <v>377</v>
      </c>
    </row>
    <row r="756" spans="2:19" x14ac:dyDescent="0.2">
      <c r="B756" s="7">
        <f t="shared" si="321"/>
        <v>249</v>
      </c>
      <c r="C756" s="19"/>
      <c r="D756" s="19"/>
      <c r="E756" s="19"/>
      <c r="F756" s="20"/>
      <c r="G756" s="21">
        <v>632</v>
      </c>
      <c r="H756" s="19" t="s">
        <v>131</v>
      </c>
      <c r="I756" s="22">
        <f>56476+28371</f>
        <v>84847</v>
      </c>
      <c r="J756" s="22"/>
      <c r="K756" s="22">
        <f t="shared" si="323"/>
        <v>84847</v>
      </c>
      <c r="L756" s="22"/>
      <c r="M756" s="22"/>
      <c r="N756" s="22"/>
      <c r="O756" s="22">
        <f t="shared" si="324"/>
        <v>0</v>
      </c>
      <c r="P756" s="22"/>
      <c r="Q756" s="23">
        <f t="shared" si="319"/>
        <v>84847</v>
      </c>
      <c r="R756" s="23">
        <f t="shared" si="336"/>
        <v>0</v>
      </c>
      <c r="S756" s="23">
        <f t="shared" si="336"/>
        <v>84847</v>
      </c>
    </row>
    <row r="757" spans="2:19" x14ac:dyDescent="0.2">
      <c r="B757" s="7">
        <f t="shared" si="321"/>
        <v>250</v>
      </c>
      <c r="C757" s="19"/>
      <c r="D757" s="19"/>
      <c r="E757" s="19"/>
      <c r="F757" s="20"/>
      <c r="G757" s="21">
        <v>633</v>
      </c>
      <c r="H757" s="19" t="s">
        <v>123</v>
      </c>
      <c r="I757" s="22">
        <f>13760+1000</f>
        <v>14760</v>
      </c>
      <c r="J757" s="22"/>
      <c r="K757" s="22">
        <f t="shared" si="323"/>
        <v>14760</v>
      </c>
      <c r="L757" s="22"/>
      <c r="M757" s="22"/>
      <c r="N757" s="22"/>
      <c r="O757" s="22">
        <f t="shared" si="324"/>
        <v>0</v>
      </c>
      <c r="P757" s="22"/>
      <c r="Q757" s="23">
        <f t="shared" si="319"/>
        <v>14760</v>
      </c>
      <c r="R757" s="23">
        <f t="shared" si="336"/>
        <v>0</v>
      </c>
      <c r="S757" s="23">
        <f t="shared" si="336"/>
        <v>14760</v>
      </c>
    </row>
    <row r="758" spans="2:19" x14ac:dyDescent="0.2">
      <c r="B758" s="7">
        <f t="shared" si="321"/>
        <v>251</v>
      </c>
      <c r="C758" s="19"/>
      <c r="D758" s="19"/>
      <c r="E758" s="19"/>
      <c r="F758" s="20"/>
      <c r="G758" s="21">
        <v>634</v>
      </c>
      <c r="H758" s="19" t="s">
        <v>129</v>
      </c>
      <c r="I758" s="22">
        <v>3677</v>
      </c>
      <c r="J758" s="22"/>
      <c r="K758" s="22">
        <f t="shared" si="323"/>
        <v>3677</v>
      </c>
      <c r="L758" s="22"/>
      <c r="M758" s="22"/>
      <c r="N758" s="22"/>
      <c r="O758" s="22">
        <f t="shared" si="324"/>
        <v>0</v>
      </c>
      <c r="P758" s="22"/>
      <c r="Q758" s="23">
        <f t="shared" si="319"/>
        <v>3677</v>
      </c>
      <c r="R758" s="23">
        <f t="shared" si="336"/>
        <v>0</v>
      </c>
      <c r="S758" s="23">
        <f t="shared" si="336"/>
        <v>3677</v>
      </c>
    </row>
    <row r="759" spans="2:19" x14ac:dyDescent="0.2">
      <c r="B759" s="7">
        <f t="shared" si="321"/>
        <v>252</v>
      </c>
      <c r="C759" s="19"/>
      <c r="D759" s="19"/>
      <c r="E759" s="19"/>
      <c r="F759" s="20"/>
      <c r="G759" s="21">
        <v>635</v>
      </c>
      <c r="H759" s="19" t="s">
        <v>130</v>
      </c>
      <c r="I759" s="22">
        <v>9419</v>
      </c>
      <c r="J759" s="22"/>
      <c r="K759" s="22">
        <f t="shared" si="323"/>
        <v>9419</v>
      </c>
      <c r="L759" s="22"/>
      <c r="M759" s="22"/>
      <c r="N759" s="22"/>
      <c r="O759" s="22">
        <f t="shared" si="324"/>
        <v>0</v>
      </c>
      <c r="P759" s="22"/>
      <c r="Q759" s="23">
        <f t="shared" si="319"/>
        <v>9419</v>
      </c>
      <c r="R759" s="23">
        <f t="shared" si="336"/>
        <v>0</v>
      </c>
      <c r="S759" s="23">
        <f t="shared" si="336"/>
        <v>9419</v>
      </c>
    </row>
    <row r="760" spans="2:19" x14ac:dyDescent="0.2">
      <c r="B760" s="7">
        <f t="shared" si="321"/>
        <v>253</v>
      </c>
      <c r="C760" s="19"/>
      <c r="D760" s="19"/>
      <c r="E760" s="19"/>
      <c r="F760" s="20"/>
      <c r="G760" s="21">
        <v>637</v>
      </c>
      <c r="H760" s="19" t="s">
        <v>120</v>
      </c>
      <c r="I760" s="22">
        <v>29483</v>
      </c>
      <c r="J760" s="22"/>
      <c r="K760" s="22">
        <f t="shared" si="323"/>
        <v>29483</v>
      </c>
      <c r="L760" s="22"/>
      <c r="M760" s="22"/>
      <c r="N760" s="22"/>
      <c r="O760" s="22">
        <f t="shared" si="324"/>
        <v>0</v>
      </c>
      <c r="P760" s="22"/>
      <c r="Q760" s="23">
        <f t="shared" si="319"/>
        <v>29483</v>
      </c>
      <c r="R760" s="23">
        <f t="shared" si="336"/>
        <v>0</v>
      </c>
      <c r="S760" s="23">
        <f t="shared" si="336"/>
        <v>29483</v>
      </c>
    </row>
    <row r="761" spans="2:19" x14ac:dyDescent="0.2">
      <c r="B761" s="7">
        <f t="shared" si="321"/>
        <v>254</v>
      </c>
      <c r="C761" s="13"/>
      <c r="D761" s="13"/>
      <c r="E761" s="13"/>
      <c r="F761" s="14" t="s">
        <v>106</v>
      </c>
      <c r="G761" s="15">
        <v>640</v>
      </c>
      <c r="H761" s="13" t="s">
        <v>127</v>
      </c>
      <c r="I761" s="16">
        <v>10473</v>
      </c>
      <c r="J761" s="16"/>
      <c r="K761" s="16">
        <f t="shared" si="323"/>
        <v>10473</v>
      </c>
      <c r="L761" s="16"/>
      <c r="M761" s="16"/>
      <c r="N761" s="16"/>
      <c r="O761" s="16">
        <f t="shared" si="324"/>
        <v>0</v>
      </c>
      <c r="P761" s="16"/>
      <c r="Q761" s="18">
        <f t="shared" si="319"/>
        <v>10473</v>
      </c>
      <c r="R761" s="18">
        <f t="shared" si="336"/>
        <v>0</v>
      </c>
      <c r="S761" s="18">
        <f t="shared" si="336"/>
        <v>10473</v>
      </c>
    </row>
    <row r="762" spans="2:19" x14ac:dyDescent="0.2">
      <c r="B762" s="7">
        <f t="shared" si="321"/>
        <v>255</v>
      </c>
      <c r="C762" s="13"/>
      <c r="D762" s="13"/>
      <c r="E762" s="13"/>
      <c r="F762" s="14" t="s">
        <v>106</v>
      </c>
      <c r="G762" s="15">
        <v>600</v>
      </c>
      <c r="H762" s="13" t="s">
        <v>686</v>
      </c>
      <c r="I762" s="16">
        <v>79502</v>
      </c>
      <c r="J762" s="16"/>
      <c r="K762" s="16">
        <f t="shared" si="323"/>
        <v>79502</v>
      </c>
      <c r="L762" s="16"/>
      <c r="M762" s="16"/>
      <c r="N762" s="16"/>
      <c r="O762" s="16">
        <f t="shared" si="324"/>
        <v>0</v>
      </c>
      <c r="P762" s="16"/>
      <c r="Q762" s="18">
        <f t="shared" si="319"/>
        <v>79502</v>
      </c>
      <c r="R762" s="18">
        <f t="shared" si="336"/>
        <v>0</v>
      </c>
      <c r="S762" s="18">
        <f t="shared" si="336"/>
        <v>79502</v>
      </c>
    </row>
    <row r="763" spans="2:19" ht="15" x14ac:dyDescent="0.25">
      <c r="B763" s="7">
        <f t="shared" si="321"/>
        <v>256</v>
      </c>
      <c r="C763" s="108"/>
      <c r="D763" s="108"/>
      <c r="E763" s="108">
        <v>7</v>
      </c>
      <c r="F763" s="109"/>
      <c r="G763" s="109"/>
      <c r="H763" s="108" t="s">
        <v>280</v>
      </c>
      <c r="I763" s="110">
        <f>I764+I765+I766+I771+I772+I773+I774+I782+I783</f>
        <v>2260368</v>
      </c>
      <c r="J763" s="110">
        <f t="shared" ref="J763" si="338">J764+J765+J766+J771+J772+J773+J774+J782+J783</f>
        <v>0</v>
      </c>
      <c r="K763" s="110">
        <f t="shared" si="323"/>
        <v>2260368</v>
      </c>
      <c r="L763" s="321"/>
      <c r="M763" s="110"/>
      <c r="N763" s="110"/>
      <c r="O763" s="110">
        <f t="shared" si="324"/>
        <v>0</v>
      </c>
      <c r="P763" s="321"/>
      <c r="Q763" s="112">
        <f t="shared" si="319"/>
        <v>2260368</v>
      </c>
      <c r="R763" s="112">
        <f t="shared" si="336"/>
        <v>0</v>
      </c>
      <c r="S763" s="112">
        <f t="shared" si="336"/>
        <v>2260368</v>
      </c>
    </row>
    <row r="764" spans="2:19" x14ac:dyDescent="0.2">
      <c r="B764" s="7">
        <f t="shared" si="321"/>
        <v>257</v>
      </c>
      <c r="C764" s="13"/>
      <c r="D764" s="13"/>
      <c r="E764" s="13"/>
      <c r="F764" s="14" t="s">
        <v>117</v>
      </c>
      <c r="G764" s="15">
        <v>610</v>
      </c>
      <c r="H764" s="13" t="s">
        <v>511</v>
      </c>
      <c r="I764" s="16">
        <f>508463+21000</f>
        <v>529463</v>
      </c>
      <c r="J764" s="16"/>
      <c r="K764" s="16">
        <f t="shared" si="323"/>
        <v>529463</v>
      </c>
      <c r="L764" s="16"/>
      <c r="M764" s="16"/>
      <c r="N764" s="16"/>
      <c r="O764" s="16">
        <f t="shared" si="324"/>
        <v>0</v>
      </c>
      <c r="P764" s="16"/>
      <c r="Q764" s="18">
        <f t="shared" ref="Q764:Q827" si="339">M764+I764</f>
        <v>529463</v>
      </c>
      <c r="R764" s="18">
        <f t="shared" ref="R764:S779" si="340">N764+J764</f>
        <v>0</v>
      </c>
      <c r="S764" s="18">
        <f t="shared" si="340"/>
        <v>529463</v>
      </c>
    </row>
    <row r="765" spans="2:19" x14ac:dyDescent="0.2">
      <c r="B765" s="7">
        <f t="shared" ref="B765:B827" si="341">B764+1</f>
        <v>258</v>
      </c>
      <c r="C765" s="13"/>
      <c r="D765" s="13"/>
      <c r="E765" s="13"/>
      <c r="F765" s="14" t="s">
        <v>117</v>
      </c>
      <c r="G765" s="15">
        <v>620</v>
      </c>
      <c r="H765" s="13" t="s">
        <v>122</v>
      </c>
      <c r="I765" s="16">
        <f>191780+5000</f>
        <v>196780</v>
      </c>
      <c r="J765" s="16"/>
      <c r="K765" s="16">
        <f t="shared" ref="K765:K829" si="342">I765+J765</f>
        <v>196780</v>
      </c>
      <c r="L765" s="16"/>
      <c r="M765" s="16"/>
      <c r="N765" s="16"/>
      <c r="O765" s="16">
        <f t="shared" ref="O765:O829" si="343">M765+N765</f>
        <v>0</v>
      </c>
      <c r="P765" s="16"/>
      <c r="Q765" s="18">
        <f t="shared" si="339"/>
        <v>196780</v>
      </c>
      <c r="R765" s="18">
        <f t="shared" si="340"/>
        <v>0</v>
      </c>
      <c r="S765" s="18">
        <f t="shared" si="340"/>
        <v>196780</v>
      </c>
    </row>
    <row r="766" spans="2:19" x14ac:dyDescent="0.2">
      <c r="B766" s="7">
        <f t="shared" si="341"/>
        <v>259</v>
      </c>
      <c r="C766" s="13"/>
      <c r="D766" s="13"/>
      <c r="E766" s="13"/>
      <c r="F766" s="14" t="s">
        <v>117</v>
      </c>
      <c r="G766" s="15">
        <v>630</v>
      </c>
      <c r="H766" s="13" t="s">
        <v>119</v>
      </c>
      <c r="I766" s="16">
        <f>SUM(I767:I770)</f>
        <v>84290</v>
      </c>
      <c r="J766" s="16">
        <f t="shared" ref="J766" si="344">SUM(J767:J770)</f>
        <v>0</v>
      </c>
      <c r="K766" s="16">
        <f t="shared" si="342"/>
        <v>84290</v>
      </c>
      <c r="L766" s="16"/>
      <c r="M766" s="16"/>
      <c r="N766" s="16"/>
      <c r="O766" s="16">
        <f t="shared" si="343"/>
        <v>0</v>
      </c>
      <c r="P766" s="16"/>
      <c r="Q766" s="18">
        <f t="shared" si="339"/>
        <v>84290</v>
      </c>
      <c r="R766" s="18">
        <f t="shared" si="340"/>
        <v>0</v>
      </c>
      <c r="S766" s="18">
        <f t="shared" si="340"/>
        <v>84290</v>
      </c>
    </row>
    <row r="767" spans="2:19" x14ac:dyDescent="0.2">
      <c r="B767" s="7">
        <f t="shared" si="341"/>
        <v>260</v>
      </c>
      <c r="C767" s="19"/>
      <c r="D767" s="19"/>
      <c r="E767" s="19"/>
      <c r="F767" s="20"/>
      <c r="G767" s="21">
        <v>632</v>
      </c>
      <c r="H767" s="19" t="s">
        <v>131</v>
      </c>
      <c r="I767" s="22">
        <f>26800+2000</f>
        <v>28800</v>
      </c>
      <c r="J767" s="22"/>
      <c r="K767" s="22">
        <f t="shared" si="342"/>
        <v>28800</v>
      </c>
      <c r="L767" s="22"/>
      <c r="M767" s="22"/>
      <c r="N767" s="22"/>
      <c r="O767" s="22">
        <f t="shared" si="343"/>
        <v>0</v>
      </c>
      <c r="P767" s="22"/>
      <c r="Q767" s="23">
        <f t="shared" si="339"/>
        <v>28800</v>
      </c>
      <c r="R767" s="23">
        <f t="shared" si="340"/>
        <v>0</v>
      </c>
      <c r="S767" s="23">
        <f t="shared" si="340"/>
        <v>28800</v>
      </c>
    </row>
    <row r="768" spans="2:19" x14ac:dyDescent="0.2">
      <c r="B768" s="7">
        <f t="shared" si="341"/>
        <v>261</v>
      </c>
      <c r="C768" s="19"/>
      <c r="D768" s="19"/>
      <c r="E768" s="19"/>
      <c r="F768" s="20"/>
      <c r="G768" s="21">
        <v>633</v>
      </c>
      <c r="H768" s="19" t="s">
        <v>123</v>
      </c>
      <c r="I768" s="22">
        <v>8450</v>
      </c>
      <c r="J768" s="22"/>
      <c r="K768" s="22">
        <f t="shared" si="342"/>
        <v>8450</v>
      </c>
      <c r="L768" s="22"/>
      <c r="M768" s="22"/>
      <c r="N768" s="22"/>
      <c r="O768" s="22">
        <f t="shared" si="343"/>
        <v>0</v>
      </c>
      <c r="P768" s="22"/>
      <c r="Q768" s="23">
        <f t="shared" si="339"/>
        <v>8450</v>
      </c>
      <c r="R768" s="23">
        <f t="shared" si="340"/>
        <v>0</v>
      </c>
      <c r="S768" s="23">
        <f t="shared" si="340"/>
        <v>8450</v>
      </c>
    </row>
    <row r="769" spans="2:19" x14ac:dyDescent="0.2">
      <c r="B769" s="7">
        <f t="shared" si="341"/>
        <v>262</v>
      </c>
      <c r="C769" s="19"/>
      <c r="D769" s="19"/>
      <c r="E769" s="19"/>
      <c r="F769" s="20"/>
      <c r="G769" s="21">
        <v>635</v>
      </c>
      <c r="H769" s="19" t="s">
        <v>130</v>
      </c>
      <c r="I769" s="22">
        <v>10000</v>
      </c>
      <c r="J769" s="22"/>
      <c r="K769" s="22">
        <f t="shared" si="342"/>
        <v>10000</v>
      </c>
      <c r="L769" s="22"/>
      <c r="M769" s="22"/>
      <c r="N769" s="22"/>
      <c r="O769" s="22">
        <f t="shared" si="343"/>
        <v>0</v>
      </c>
      <c r="P769" s="22"/>
      <c r="Q769" s="23">
        <f t="shared" si="339"/>
        <v>10000</v>
      </c>
      <c r="R769" s="23">
        <f t="shared" si="340"/>
        <v>0</v>
      </c>
      <c r="S769" s="23">
        <f t="shared" si="340"/>
        <v>10000</v>
      </c>
    </row>
    <row r="770" spans="2:19" x14ac:dyDescent="0.2">
      <c r="B770" s="7">
        <f t="shared" si="341"/>
        <v>263</v>
      </c>
      <c r="C770" s="19"/>
      <c r="D770" s="19"/>
      <c r="E770" s="19"/>
      <c r="F770" s="20"/>
      <c r="G770" s="21">
        <v>637</v>
      </c>
      <c r="H770" s="19" t="s">
        <v>120</v>
      </c>
      <c r="I770" s="22">
        <f>35840+1200</f>
        <v>37040</v>
      </c>
      <c r="J770" s="22"/>
      <c r="K770" s="22">
        <f t="shared" si="342"/>
        <v>37040</v>
      </c>
      <c r="L770" s="22"/>
      <c r="M770" s="22"/>
      <c r="N770" s="22"/>
      <c r="O770" s="22">
        <f t="shared" si="343"/>
        <v>0</v>
      </c>
      <c r="P770" s="22"/>
      <c r="Q770" s="23">
        <f t="shared" si="339"/>
        <v>37040</v>
      </c>
      <c r="R770" s="23">
        <f t="shared" si="340"/>
        <v>0</v>
      </c>
      <c r="S770" s="23">
        <f t="shared" si="340"/>
        <v>37040</v>
      </c>
    </row>
    <row r="771" spans="2:19" x14ac:dyDescent="0.2">
      <c r="B771" s="7">
        <f t="shared" si="341"/>
        <v>264</v>
      </c>
      <c r="C771" s="13"/>
      <c r="D771" s="13"/>
      <c r="E771" s="13"/>
      <c r="F771" s="14" t="s">
        <v>117</v>
      </c>
      <c r="G771" s="15">
        <v>640</v>
      </c>
      <c r="H771" s="13" t="s">
        <v>127</v>
      </c>
      <c r="I771" s="16">
        <v>1570</v>
      </c>
      <c r="J771" s="16"/>
      <c r="K771" s="16">
        <f t="shared" si="342"/>
        <v>1570</v>
      </c>
      <c r="L771" s="16"/>
      <c r="M771" s="16"/>
      <c r="N771" s="16"/>
      <c r="O771" s="16">
        <f t="shared" si="343"/>
        <v>0</v>
      </c>
      <c r="P771" s="16"/>
      <c r="Q771" s="18">
        <f t="shared" si="339"/>
        <v>1570</v>
      </c>
      <c r="R771" s="18">
        <f t="shared" si="340"/>
        <v>0</v>
      </c>
      <c r="S771" s="18">
        <f t="shared" si="340"/>
        <v>1570</v>
      </c>
    </row>
    <row r="772" spans="2:19" x14ac:dyDescent="0.2">
      <c r="B772" s="7">
        <f t="shared" si="341"/>
        <v>265</v>
      </c>
      <c r="C772" s="13"/>
      <c r="D772" s="13"/>
      <c r="E772" s="13"/>
      <c r="F772" s="14" t="s">
        <v>106</v>
      </c>
      <c r="G772" s="15">
        <v>610</v>
      </c>
      <c r="H772" s="13" t="s">
        <v>511</v>
      </c>
      <c r="I772" s="16">
        <f>881491+100+43851</f>
        <v>925442</v>
      </c>
      <c r="J772" s="16"/>
      <c r="K772" s="16">
        <f t="shared" si="342"/>
        <v>925442</v>
      </c>
      <c r="L772" s="16"/>
      <c r="M772" s="16"/>
      <c r="N772" s="16"/>
      <c r="O772" s="16">
        <f t="shared" si="343"/>
        <v>0</v>
      </c>
      <c r="P772" s="16"/>
      <c r="Q772" s="18">
        <f t="shared" si="339"/>
        <v>925442</v>
      </c>
      <c r="R772" s="18">
        <f t="shared" si="340"/>
        <v>0</v>
      </c>
      <c r="S772" s="18">
        <f t="shared" si="340"/>
        <v>925442</v>
      </c>
    </row>
    <row r="773" spans="2:19" x14ac:dyDescent="0.2">
      <c r="B773" s="7">
        <f t="shared" si="341"/>
        <v>266</v>
      </c>
      <c r="C773" s="13"/>
      <c r="D773" s="13"/>
      <c r="E773" s="13"/>
      <c r="F773" s="14" t="s">
        <v>106</v>
      </c>
      <c r="G773" s="15">
        <v>620</v>
      </c>
      <c r="H773" s="13" t="s">
        <v>122</v>
      </c>
      <c r="I773" s="16">
        <f>331400+35+9052</f>
        <v>340487</v>
      </c>
      <c r="J773" s="16"/>
      <c r="K773" s="16">
        <f t="shared" si="342"/>
        <v>340487</v>
      </c>
      <c r="L773" s="16"/>
      <c r="M773" s="16"/>
      <c r="N773" s="16"/>
      <c r="O773" s="16">
        <f t="shared" si="343"/>
        <v>0</v>
      </c>
      <c r="P773" s="16"/>
      <c r="Q773" s="18">
        <f t="shared" si="339"/>
        <v>340487</v>
      </c>
      <c r="R773" s="18">
        <f t="shared" si="340"/>
        <v>0</v>
      </c>
      <c r="S773" s="18">
        <f t="shared" si="340"/>
        <v>340487</v>
      </c>
    </row>
    <row r="774" spans="2:19" x14ac:dyDescent="0.2">
      <c r="B774" s="7">
        <f t="shared" si="341"/>
        <v>267</v>
      </c>
      <c r="C774" s="13"/>
      <c r="D774" s="13"/>
      <c r="E774" s="13"/>
      <c r="F774" s="14" t="s">
        <v>106</v>
      </c>
      <c r="G774" s="15">
        <v>630</v>
      </c>
      <c r="H774" s="13" t="s">
        <v>119</v>
      </c>
      <c r="I774" s="16">
        <f>SUM(I775:I781)</f>
        <v>131360</v>
      </c>
      <c r="J774" s="16">
        <f t="shared" ref="J774" si="345">SUM(J775:J781)</f>
        <v>0</v>
      </c>
      <c r="K774" s="16">
        <f t="shared" si="342"/>
        <v>131360</v>
      </c>
      <c r="L774" s="16"/>
      <c r="M774" s="16"/>
      <c r="N774" s="16"/>
      <c r="O774" s="16">
        <f t="shared" si="343"/>
        <v>0</v>
      </c>
      <c r="P774" s="16"/>
      <c r="Q774" s="18">
        <f t="shared" si="339"/>
        <v>131360</v>
      </c>
      <c r="R774" s="18">
        <f t="shared" si="340"/>
        <v>0</v>
      </c>
      <c r="S774" s="18">
        <f t="shared" si="340"/>
        <v>131360</v>
      </c>
    </row>
    <row r="775" spans="2:19" x14ac:dyDescent="0.2">
      <c r="B775" s="7">
        <f t="shared" si="341"/>
        <v>268</v>
      </c>
      <c r="C775" s="19"/>
      <c r="D775" s="19"/>
      <c r="E775" s="19"/>
      <c r="F775" s="20"/>
      <c r="G775" s="21">
        <v>631</v>
      </c>
      <c r="H775" s="19" t="s">
        <v>125</v>
      </c>
      <c r="I775" s="22">
        <v>1650</v>
      </c>
      <c r="J775" s="22"/>
      <c r="K775" s="22">
        <f t="shared" si="342"/>
        <v>1650</v>
      </c>
      <c r="L775" s="22"/>
      <c r="M775" s="22"/>
      <c r="N775" s="22"/>
      <c r="O775" s="22">
        <f t="shared" si="343"/>
        <v>0</v>
      </c>
      <c r="P775" s="22"/>
      <c r="Q775" s="23">
        <f t="shared" si="339"/>
        <v>1650</v>
      </c>
      <c r="R775" s="23">
        <f t="shared" si="340"/>
        <v>0</v>
      </c>
      <c r="S775" s="23">
        <f t="shared" si="340"/>
        <v>1650</v>
      </c>
    </row>
    <row r="776" spans="2:19" x14ac:dyDescent="0.2">
      <c r="B776" s="7">
        <f t="shared" si="341"/>
        <v>269</v>
      </c>
      <c r="C776" s="19"/>
      <c r="D776" s="19"/>
      <c r="E776" s="19"/>
      <c r="F776" s="20"/>
      <c r="G776" s="21">
        <v>632</v>
      </c>
      <c r="H776" s="19" t="s">
        <v>131</v>
      </c>
      <c r="I776" s="22">
        <f>34540+1400</f>
        <v>35940</v>
      </c>
      <c r="J776" s="22"/>
      <c r="K776" s="22">
        <f t="shared" si="342"/>
        <v>35940</v>
      </c>
      <c r="L776" s="22"/>
      <c r="M776" s="22"/>
      <c r="N776" s="22"/>
      <c r="O776" s="22">
        <f t="shared" si="343"/>
        <v>0</v>
      </c>
      <c r="P776" s="22"/>
      <c r="Q776" s="23">
        <f t="shared" si="339"/>
        <v>35940</v>
      </c>
      <c r="R776" s="23">
        <f t="shared" si="340"/>
        <v>0</v>
      </c>
      <c r="S776" s="23">
        <f t="shared" si="340"/>
        <v>35940</v>
      </c>
    </row>
    <row r="777" spans="2:19" x14ac:dyDescent="0.2">
      <c r="B777" s="7">
        <f t="shared" si="341"/>
        <v>270</v>
      </c>
      <c r="C777" s="19"/>
      <c r="D777" s="19"/>
      <c r="E777" s="19"/>
      <c r="F777" s="20"/>
      <c r="G777" s="21">
        <v>633</v>
      </c>
      <c r="H777" s="19" t="s">
        <v>123</v>
      </c>
      <c r="I777" s="22">
        <f>8000+1000</f>
        <v>9000</v>
      </c>
      <c r="J777" s="22"/>
      <c r="K777" s="22">
        <f t="shared" si="342"/>
        <v>9000</v>
      </c>
      <c r="L777" s="22"/>
      <c r="M777" s="22"/>
      <c r="N777" s="22"/>
      <c r="O777" s="22">
        <f t="shared" si="343"/>
        <v>0</v>
      </c>
      <c r="P777" s="22"/>
      <c r="Q777" s="23">
        <f t="shared" si="339"/>
        <v>9000</v>
      </c>
      <c r="R777" s="23">
        <f t="shared" si="340"/>
        <v>0</v>
      </c>
      <c r="S777" s="23">
        <f t="shared" si="340"/>
        <v>9000</v>
      </c>
    </row>
    <row r="778" spans="2:19" s="34" customFormat="1" x14ac:dyDescent="0.2">
      <c r="B778" s="7">
        <f t="shared" si="341"/>
        <v>271</v>
      </c>
      <c r="C778" s="19"/>
      <c r="D778" s="19"/>
      <c r="E778" s="19"/>
      <c r="F778" s="20"/>
      <c r="G778" s="21">
        <v>634</v>
      </c>
      <c r="H778" s="19" t="s">
        <v>129</v>
      </c>
      <c r="I778" s="22">
        <v>1400</v>
      </c>
      <c r="J778" s="22"/>
      <c r="K778" s="22">
        <f t="shared" si="342"/>
        <v>1400</v>
      </c>
      <c r="L778" s="22"/>
      <c r="M778" s="22"/>
      <c r="N778" s="22"/>
      <c r="O778" s="22">
        <f t="shared" si="343"/>
        <v>0</v>
      </c>
      <c r="P778" s="22"/>
      <c r="Q778" s="23">
        <f t="shared" si="339"/>
        <v>1400</v>
      </c>
      <c r="R778" s="23">
        <f t="shared" si="340"/>
        <v>0</v>
      </c>
      <c r="S778" s="23">
        <f t="shared" si="340"/>
        <v>1400</v>
      </c>
    </row>
    <row r="779" spans="2:19" s="34" customFormat="1" x14ac:dyDescent="0.2">
      <c r="B779" s="7">
        <f t="shared" si="341"/>
        <v>272</v>
      </c>
      <c r="C779" s="19"/>
      <c r="D779" s="19"/>
      <c r="E779" s="19"/>
      <c r="F779" s="20"/>
      <c r="G779" s="21">
        <v>635</v>
      </c>
      <c r="H779" s="19" t="s">
        <v>130</v>
      </c>
      <c r="I779" s="22">
        <v>17000</v>
      </c>
      <c r="J779" s="22"/>
      <c r="K779" s="22">
        <f t="shared" si="342"/>
        <v>17000</v>
      </c>
      <c r="L779" s="22"/>
      <c r="M779" s="22"/>
      <c r="N779" s="22"/>
      <c r="O779" s="22">
        <f t="shared" si="343"/>
        <v>0</v>
      </c>
      <c r="P779" s="22"/>
      <c r="Q779" s="23">
        <f t="shared" si="339"/>
        <v>17000</v>
      </c>
      <c r="R779" s="23">
        <f t="shared" si="340"/>
        <v>0</v>
      </c>
      <c r="S779" s="23">
        <f t="shared" si="340"/>
        <v>17000</v>
      </c>
    </row>
    <row r="780" spans="2:19" x14ac:dyDescent="0.2">
      <c r="B780" s="7">
        <f t="shared" si="341"/>
        <v>273</v>
      </c>
      <c r="C780" s="19"/>
      <c r="D780" s="19"/>
      <c r="E780" s="19"/>
      <c r="F780" s="20"/>
      <c r="G780" s="21">
        <v>636</v>
      </c>
      <c r="H780" s="19" t="s">
        <v>124</v>
      </c>
      <c r="I780" s="22">
        <v>250</v>
      </c>
      <c r="J780" s="22"/>
      <c r="K780" s="22">
        <f t="shared" si="342"/>
        <v>250</v>
      </c>
      <c r="L780" s="22"/>
      <c r="M780" s="22"/>
      <c r="N780" s="22"/>
      <c r="O780" s="22">
        <f t="shared" si="343"/>
        <v>0</v>
      </c>
      <c r="P780" s="22"/>
      <c r="Q780" s="23">
        <f t="shared" si="339"/>
        <v>250</v>
      </c>
      <c r="R780" s="23">
        <f t="shared" ref="R780:S795" si="346">N780+J780</f>
        <v>0</v>
      </c>
      <c r="S780" s="23">
        <f t="shared" si="346"/>
        <v>250</v>
      </c>
    </row>
    <row r="781" spans="2:19" x14ac:dyDescent="0.2">
      <c r="B781" s="7">
        <f t="shared" si="341"/>
        <v>274</v>
      </c>
      <c r="C781" s="19"/>
      <c r="D781" s="19"/>
      <c r="E781" s="19"/>
      <c r="F781" s="20"/>
      <c r="G781" s="21">
        <v>637</v>
      </c>
      <c r="H781" s="19" t="s">
        <v>120</v>
      </c>
      <c r="I781" s="22">
        <f>58345+7775</f>
        <v>66120</v>
      </c>
      <c r="J781" s="22"/>
      <c r="K781" s="22">
        <f t="shared" si="342"/>
        <v>66120</v>
      </c>
      <c r="L781" s="22"/>
      <c r="M781" s="22"/>
      <c r="N781" s="22"/>
      <c r="O781" s="22">
        <f t="shared" si="343"/>
        <v>0</v>
      </c>
      <c r="P781" s="22"/>
      <c r="Q781" s="23">
        <f t="shared" si="339"/>
        <v>66120</v>
      </c>
      <c r="R781" s="23">
        <f t="shared" si="346"/>
        <v>0</v>
      </c>
      <c r="S781" s="23">
        <f t="shared" si="346"/>
        <v>66120</v>
      </c>
    </row>
    <row r="782" spans="2:19" x14ac:dyDescent="0.2">
      <c r="B782" s="7">
        <f t="shared" si="341"/>
        <v>275</v>
      </c>
      <c r="C782" s="13"/>
      <c r="D782" s="13"/>
      <c r="E782" s="13"/>
      <c r="F782" s="14" t="s">
        <v>106</v>
      </c>
      <c r="G782" s="15">
        <v>640</v>
      </c>
      <c r="H782" s="13" t="s">
        <v>127</v>
      </c>
      <c r="I782" s="16">
        <v>3500</v>
      </c>
      <c r="J782" s="16"/>
      <c r="K782" s="16">
        <f t="shared" si="342"/>
        <v>3500</v>
      </c>
      <c r="L782" s="16"/>
      <c r="M782" s="16"/>
      <c r="N782" s="16"/>
      <c r="O782" s="16">
        <f t="shared" si="343"/>
        <v>0</v>
      </c>
      <c r="P782" s="16"/>
      <c r="Q782" s="18">
        <f t="shared" si="339"/>
        <v>3500</v>
      </c>
      <c r="R782" s="18">
        <f t="shared" si="346"/>
        <v>0</v>
      </c>
      <c r="S782" s="18">
        <f t="shared" si="346"/>
        <v>3500</v>
      </c>
    </row>
    <row r="783" spans="2:19" x14ac:dyDescent="0.2">
      <c r="B783" s="7">
        <f t="shared" si="341"/>
        <v>276</v>
      </c>
      <c r="C783" s="13"/>
      <c r="D783" s="13"/>
      <c r="E783" s="13"/>
      <c r="F783" s="14" t="s">
        <v>106</v>
      </c>
      <c r="G783" s="15">
        <v>600</v>
      </c>
      <c r="H783" s="13" t="s">
        <v>686</v>
      </c>
      <c r="I783" s="16">
        <v>47476</v>
      </c>
      <c r="J783" s="16"/>
      <c r="K783" s="16">
        <f t="shared" si="342"/>
        <v>47476</v>
      </c>
      <c r="L783" s="16"/>
      <c r="M783" s="16"/>
      <c r="N783" s="16"/>
      <c r="O783" s="16">
        <f t="shared" si="343"/>
        <v>0</v>
      </c>
      <c r="P783" s="16"/>
      <c r="Q783" s="18">
        <f t="shared" si="339"/>
        <v>47476</v>
      </c>
      <c r="R783" s="18">
        <f t="shared" si="346"/>
        <v>0</v>
      </c>
      <c r="S783" s="18">
        <f t="shared" si="346"/>
        <v>47476</v>
      </c>
    </row>
    <row r="784" spans="2:19" ht="15" x14ac:dyDescent="0.25">
      <c r="B784" s="7">
        <f t="shared" si="341"/>
        <v>277</v>
      </c>
      <c r="C784" s="108"/>
      <c r="D784" s="108"/>
      <c r="E784" s="108">
        <v>8</v>
      </c>
      <c r="F784" s="109"/>
      <c r="G784" s="109"/>
      <c r="H784" s="108" t="s">
        <v>6</v>
      </c>
      <c r="I784" s="110">
        <f>I785+I786+I787+I794+I795+I796+I797+I804+I806+I805</f>
        <v>3334349</v>
      </c>
      <c r="J784" s="110">
        <f t="shared" ref="J784" si="347">J785+J786+J787+J794+J795+J796+J797+J804+J806+J805</f>
        <v>0</v>
      </c>
      <c r="K784" s="110">
        <f t="shared" si="342"/>
        <v>3334349</v>
      </c>
      <c r="L784" s="321"/>
      <c r="M784" s="110">
        <f>M807</f>
        <v>91358</v>
      </c>
      <c r="N784" s="110">
        <f t="shared" ref="N784" si="348">N807</f>
        <v>0</v>
      </c>
      <c r="O784" s="110">
        <f t="shared" si="343"/>
        <v>91358</v>
      </c>
      <c r="P784" s="321"/>
      <c r="Q784" s="112">
        <f t="shared" si="339"/>
        <v>3425707</v>
      </c>
      <c r="R784" s="112">
        <f t="shared" si="346"/>
        <v>0</v>
      </c>
      <c r="S784" s="112">
        <f t="shared" si="346"/>
        <v>3425707</v>
      </c>
    </row>
    <row r="785" spans="2:19" x14ac:dyDescent="0.2">
      <c r="B785" s="7">
        <f t="shared" si="341"/>
        <v>278</v>
      </c>
      <c r="C785" s="13"/>
      <c r="D785" s="13"/>
      <c r="E785" s="13"/>
      <c r="F785" s="14" t="s">
        <v>117</v>
      </c>
      <c r="G785" s="15">
        <v>610</v>
      </c>
      <c r="H785" s="13" t="s">
        <v>511</v>
      </c>
      <c r="I785" s="16">
        <f>691350-29344</f>
        <v>662006</v>
      </c>
      <c r="J785" s="16"/>
      <c r="K785" s="16">
        <f t="shared" si="342"/>
        <v>662006</v>
      </c>
      <c r="L785" s="16"/>
      <c r="M785" s="16"/>
      <c r="N785" s="16"/>
      <c r="O785" s="16">
        <f t="shared" si="343"/>
        <v>0</v>
      </c>
      <c r="P785" s="16"/>
      <c r="Q785" s="18">
        <f t="shared" si="339"/>
        <v>662006</v>
      </c>
      <c r="R785" s="18">
        <f t="shared" si="346"/>
        <v>0</v>
      </c>
      <c r="S785" s="18">
        <f t="shared" si="346"/>
        <v>662006</v>
      </c>
    </row>
    <row r="786" spans="2:19" x14ac:dyDescent="0.2">
      <c r="B786" s="7">
        <f t="shared" si="341"/>
        <v>279</v>
      </c>
      <c r="C786" s="13"/>
      <c r="D786" s="13"/>
      <c r="E786" s="13"/>
      <c r="F786" s="14" t="s">
        <v>117</v>
      </c>
      <c r="G786" s="15">
        <v>620</v>
      </c>
      <c r="H786" s="13" t="s">
        <v>122</v>
      </c>
      <c r="I786" s="16">
        <f>255454-10544</f>
        <v>244910</v>
      </c>
      <c r="J786" s="16"/>
      <c r="K786" s="16">
        <f t="shared" si="342"/>
        <v>244910</v>
      </c>
      <c r="L786" s="16"/>
      <c r="M786" s="16"/>
      <c r="N786" s="16"/>
      <c r="O786" s="16">
        <f t="shared" si="343"/>
        <v>0</v>
      </c>
      <c r="P786" s="16"/>
      <c r="Q786" s="18">
        <f t="shared" si="339"/>
        <v>244910</v>
      </c>
      <c r="R786" s="18">
        <f t="shared" si="346"/>
        <v>0</v>
      </c>
      <c r="S786" s="18">
        <f t="shared" si="346"/>
        <v>244910</v>
      </c>
    </row>
    <row r="787" spans="2:19" x14ac:dyDescent="0.2">
      <c r="B787" s="7">
        <f t="shared" si="341"/>
        <v>280</v>
      </c>
      <c r="C787" s="13"/>
      <c r="D787" s="13"/>
      <c r="E787" s="13"/>
      <c r="F787" s="14" t="s">
        <v>117</v>
      </c>
      <c r="G787" s="15">
        <v>630</v>
      </c>
      <c r="H787" s="13" t="s">
        <v>119</v>
      </c>
      <c r="I787" s="16">
        <f>SUM(I788:I793)</f>
        <v>100430</v>
      </c>
      <c r="J787" s="16">
        <f t="shared" ref="J787" si="349">SUM(J788:J793)</f>
        <v>0</v>
      </c>
      <c r="K787" s="16">
        <f t="shared" si="342"/>
        <v>100430</v>
      </c>
      <c r="L787" s="16"/>
      <c r="M787" s="16"/>
      <c r="N787" s="16"/>
      <c r="O787" s="16">
        <f t="shared" si="343"/>
        <v>0</v>
      </c>
      <c r="P787" s="16"/>
      <c r="Q787" s="18">
        <f t="shared" si="339"/>
        <v>100430</v>
      </c>
      <c r="R787" s="18">
        <f t="shared" si="346"/>
        <v>0</v>
      </c>
      <c r="S787" s="18">
        <f t="shared" si="346"/>
        <v>100430</v>
      </c>
    </row>
    <row r="788" spans="2:19" x14ac:dyDescent="0.2">
      <c r="B788" s="7">
        <f t="shared" si="341"/>
        <v>281</v>
      </c>
      <c r="C788" s="19"/>
      <c r="D788" s="19"/>
      <c r="E788" s="19"/>
      <c r="F788" s="20"/>
      <c r="G788" s="21">
        <v>631</v>
      </c>
      <c r="H788" s="19" t="s">
        <v>125</v>
      </c>
      <c r="I788" s="22">
        <v>200</v>
      </c>
      <c r="J788" s="22"/>
      <c r="K788" s="22">
        <f t="shared" si="342"/>
        <v>200</v>
      </c>
      <c r="L788" s="22"/>
      <c r="M788" s="22"/>
      <c r="N788" s="22"/>
      <c r="O788" s="22">
        <f t="shared" si="343"/>
        <v>0</v>
      </c>
      <c r="P788" s="22"/>
      <c r="Q788" s="23">
        <f t="shared" si="339"/>
        <v>200</v>
      </c>
      <c r="R788" s="23">
        <f t="shared" si="346"/>
        <v>0</v>
      </c>
      <c r="S788" s="23">
        <f t="shared" si="346"/>
        <v>200</v>
      </c>
    </row>
    <row r="789" spans="2:19" x14ac:dyDescent="0.2">
      <c r="B789" s="7">
        <f t="shared" si="341"/>
        <v>282</v>
      </c>
      <c r="C789" s="19"/>
      <c r="D789" s="19"/>
      <c r="E789" s="19"/>
      <c r="F789" s="20"/>
      <c r="G789" s="21">
        <v>632</v>
      </c>
      <c r="H789" s="19" t="s">
        <v>131</v>
      </c>
      <c r="I789" s="22">
        <v>43300</v>
      </c>
      <c r="J789" s="22"/>
      <c r="K789" s="22">
        <f t="shared" si="342"/>
        <v>43300</v>
      </c>
      <c r="L789" s="22"/>
      <c r="M789" s="22"/>
      <c r="N789" s="22"/>
      <c r="O789" s="22">
        <f t="shared" si="343"/>
        <v>0</v>
      </c>
      <c r="P789" s="22"/>
      <c r="Q789" s="23">
        <f t="shared" si="339"/>
        <v>43300</v>
      </c>
      <c r="R789" s="23">
        <f t="shared" si="346"/>
        <v>0</v>
      </c>
      <c r="S789" s="23">
        <f t="shared" si="346"/>
        <v>43300</v>
      </c>
    </row>
    <row r="790" spans="2:19" x14ac:dyDescent="0.2">
      <c r="B790" s="7">
        <f t="shared" si="341"/>
        <v>283</v>
      </c>
      <c r="C790" s="19"/>
      <c r="D790" s="19"/>
      <c r="E790" s="19"/>
      <c r="F790" s="20"/>
      <c r="G790" s="21">
        <v>633</v>
      </c>
      <c r="H790" s="19" t="s">
        <v>123</v>
      </c>
      <c r="I790" s="22">
        <v>13370</v>
      </c>
      <c r="J790" s="22"/>
      <c r="K790" s="22">
        <f t="shared" si="342"/>
        <v>13370</v>
      </c>
      <c r="L790" s="22"/>
      <c r="M790" s="22"/>
      <c r="N790" s="22"/>
      <c r="O790" s="22">
        <f t="shared" si="343"/>
        <v>0</v>
      </c>
      <c r="P790" s="22"/>
      <c r="Q790" s="23">
        <f t="shared" si="339"/>
        <v>13370</v>
      </c>
      <c r="R790" s="23">
        <f t="shared" si="346"/>
        <v>0</v>
      </c>
      <c r="S790" s="23">
        <f t="shared" si="346"/>
        <v>13370</v>
      </c>
    </row>
    <row r="791" spans="2:19" x14ac:dyDescent="0.2">
      <c r="B791" s="7">
        <f t="shared" si="341"/>
        <v>284</v>
      </c>
      <c r="C791" s="19"/>
      <c r="D791" s="19"/>
      <c r="E791" s="19"/>
      <c r="F791" s="20"/>
      <c r="G791" s="21">
        <v>635</v>
      </c>
      <c r="H791" s="19" t="s">
        <v>130</v>
      </c>
      <c r="I791" s="22">
        <v>7000</v>
      </c>
      <c r="J791" s="22"/>
      <c r="K791" s="22">
        <f t="shared" si="342"/>
        <v>7000</v>
      </c>
      <c r="L791" s="22"/>
      <c r="M791" s="22"/>
      <c r="N791" s="22"/>
      <c r="O791" s="22">
        <f t="shared" si="343"/>
        <v>0</v>
      </c>
      <c r="P791" s="22"/>
      <c r="Q791" s="23">
        <f t="shared" si="339"/>
        <v>7000</v>
      </c>
      <c r="R791" s="23">
        <f t="shared" si="346"/>
        <v>0</v>
      </c>
      <c r="S791" s="23">
        <f t="shared" si="346"/>
        <v>7000</v>
      </c>
    </row>
    <row r="792" spans="2:19" x14ac:dyDescent="0.2">
      <c r="B792" s="7">
        <f t="shared" si="341"/>
        <v>285</v>
      </c>
      <c r="C792" s="19"/>
      <c r="D792" s="19"/>
      <c r="E792" s="19"/>
      <c r="F792" s="20"/>
      <c r="G792" s="21">
        <v>636</v>
      </c>
      <c r="H792" s="19" t="s">
        <v>124</v>
      </c>
      <c r="I792" s="22">
        <v>1800</v>
      </c>
      <c r="J792" s="22"/>
      <c r="K792" s="22">
        <f t="shared" si="342"/>
        <v>1800</v>
      </c>
      <c r="L792" s="22"/>
      <c r="M792" s="22"/>
      <c r="N792" s="22"/>
      <c r="O792" s="22">
        <f t="shared" si="343"/>
        <v>0</v>
      </c>
      <c r="P792" s="22"/>
      <c r="Q792" s="23">
        <f t="shared" si="339"/>
        <v>1800</v>
      </c>
      <c r="R792" s="23">
        <f t="shared" si="346"/>
        <v>0</v>
      </c>
      <c r="S792" s="23">
        <f t="shared" si="346"/>
        <v>1800</v>
      </c>
    </row>
    <row r="793" spans="2:19" x14ac:dyDescent="0.2">
      <c r="B793" s="7">
        <f t="shared" si="341"/>
        <v>286</v>
      </c>
      <c r="C793" s="19"/>
      <c r="D793" s="19"/>
      <c r="E793" s="19"/>
      <c r="F793" s="20"/>
      <c r="G793" s="21">
        <v>637</v>
      </c>
      <c r="H793" s="19" t="s">
        <v>120</v>
      </c>
      <c r="I793" s="22">
        <v>34760</v>
      </c>
      <c r="J793" s="22"/>
      <c r="K793" s="22">
        <f t="shared" si="342"/>
        <v>34760</v>
      </c>
      <c r="L793" s="22"/>
      <c r="M793" s="22"/>
      <c r="N793" s="22"/>
      <c r="O793" s="22">
        <f t="shared" si="343"/>
        <v>0</v>
      </c>
      <c r="P793" s="22"/>
      <c r="Q793" s="23">
        <f t="shared" si="339"/>
        <v>34760</v>
      </c>
      <c r="R793" s="23">
        <f t="shared" si="346"/>
        <v>0</v>
      </c>
      <c r="S793" s="23">
        <f t="shared" si="346"/>
        <v>34760</v>
      </c>
    </row>
    <row r="794" spans="2:19" x14ac:dyDescent="0.2">
      <c r="B794" s="7">
        <f t="shared" si="341"/>
        <v>287</v>
      </c>
      <c r="C794" s="13"/>
      <c r="D794" s="13"/>
      <c r="E794" s="13"/>
      <c r="F794" s="14" t="s">
        <v>117</v>
      </c>
      <c r="G794" s="15">
        <v>640</v>
      </c>
      <c r="H794" s="13" t="s">
        <v>127</v>
      </c>
      <c r="I794" s="16">
        <v>12140</v>
      </c>
      <c r="J794" s="16"/>
      <c r="K794" s="16">
        <f t="shared" si="342"/>
        <v>12140</v>
      </c>
      <c r="L794" s="16"/>
      <c r="M794" s="16"/>
      <c r="N794" s="16"/>
      <c r="O794" s="16">
        <f t="shared" si="343"/>
        <v>0</v>
      </c>
      <c r="P794" s="16"/>
      <c r="Q794" s="18">
        <f t="shared" si="339"/>
        <v>12140</v>
      </c>
      <c r="R794" s="18">
        <f t="shared" si="346"/>
        <v>0</v>
      </c>
      <c r="S794" s="18">
        <f t="shared" si="346"/>
        <v>12140</v>
      </c>
    </row>
    <row r="795" spans="2:19" x14ac:dyDescent="0.2">
      <c r="B795" s="7">
        <f t="shared" si="341"/>
        <v>288</v>
      </c>
      <c r="C795" s="13"/>
      <c r="D795" s="13"/>
      <c r="E795" s="13"/>
      <c r="F795" s="14" t="s">
        <v>106</v>
      </c>
      <c r="G795" s="15">
        <v>610</v>
      </c>
      <c r="H795" s="13" t="s">
        <v>511</v>
      </c>
      <c r="I795" s="16">
        <f>1190353+100+17659+29344</f>
        <v>1237456</v>
      </c>
      <c r="J795" s="16"/>
      <c r="K795" s="16">
        <f t="shared" si="342"/>
        <v>1237456</v>
      </c>
      <c r="L795" s="16"/>
      <c r="M795" s="16"/>
      <c r="N795" s="16"/>
      <c r="O795" s="16">
        <f t="shared" si="343"/>
        <v>0</v>
      </c>
      <c r="P795" s="16"/>
      <c r="Q795" s="18">
        <f t="shared" si="339"/>
        <v>1237456</v>
      </c>
      <c r="R795" s="18">
        <f t="shared" si="346"/>
        <v>0</v>
      </c>
      <c r="S795" s="18">
        <f t="shared" si="346"/>
        <v>1237456</v>
      </c>
    </row>
    <row r="796" spans="2:19" x14ac:dyDescent="0.2">
      <c r="B796" s="7">
        <f t="shared" si="341"/>
        <v>289</v>
      </c>
      <c r="C796" s="13"/>
      <c r="D796" s="13"/>
      <c r="E796" s="13"/>
      <c r="F796" s="14" t="s">
        <v>106</v>
      </c>
      <c r="G796" s="15">
        <v>620</v>
      </c>
      <c r="H796" s="13" t="s">
        <v>122</v>
      </c>
      <c r="I796" s="16">
        <f>439836+35+6691+33749</f>
        <v>480311</v>
      </c>
      <c r="J796" s="16"/>
      <c r="K796" s="16">
        <f t="shared" si="342"/>
        <v>480311</v>
      </c>
      <c r="L796" s="16"/>
      <c r="M796" s="16"/>
      <c r="N796" s="16"/>
      <c r="O796" s="16">
        <f t="shared" si="343"/>
        <v>0</v>
      </c>
      <c r="P796" s="16"/>
      <c r="Q796" s="18">
        <f t="shared" si="339"/>
        <v>480311</v>
      </c>
      <c r="R796" s="18">
        <f t="shared" ref="R796:S811" si="350">N796+J796</f>
        <v>0</v>
      </c>
      <c r="S796" s="18">
        <f t="shared" si="350"/>
        <v>480311</v>
      </c>
    </row>
    <row r="797" spans="2:19" x14ac:dyDescent="0.2">
      <c r="B797" s="7">
        <f t="shared" si="341"/>
        <v>290</v>
      </c>
      <c r="C797" s="13"/>
      <c r="D797" s="13"/>
      <c r="E797" s="13"/>
      <c r="F797" s="14" t="s">
        <v>106</v>
      </c>
      <c r="G797" s="15">
        <v>630</v>
      </c>
      <c r="H797" s="13" t="s">
        <v>119</v>
      </c>
      <c r="I797" s="16">
        <f>SUM(I798:I803)</f>
        <v>329114</v>
      </c>
      <c r="J797" s="16">
        <f t="shared" ref="J797" si="351">SUM(J798:J803)</f>
        <v>0</v>
      </c>
      <c r="K797" s="16">
        <f t="shared" si="342"/>
        <v>329114</v>
      </c>
      <c r="L797" s="16"/>
      <c r="M797" s="16"/>
      <c r="N797" s="16"/>
      <c r="O797" s="16">
        <f t="shared" si="343"/>
        <v>0</v>
      </c>
      <c r="P797" s="16"/>
      <c r="Q797" s="18">
        <f t="shared" si="339"/>
        <v>329114</v>
      </c>
      <c r="R797" s="18">
        <f t="shared" si="350"/>
        <v>0</v>
      </c>
      <c r="S797" s="18">
        <f t="shared" si="350"/>
        <v>329114</v>
      </c>
    </row>
    <row r="798" spans="2:19" x14ac:dyDescent="0.2">
      <c r="B798" s="7">
        <f t="shared" si="341"/>
        <v>291</v>
      </c>
      <c r="C798" s="19"/>
      <c r="D798" s="19"/>
      <c r="E798" s="19"/>
      <c r="F798" s="20"/>
      <c r="G798" s="21">
        <v>631</v>
      </c>
      <c r="H798" s="19" t="s">
        <v>125</v>
      </c>
      <c r="I798" s="22">
        <v>300</v>
      </c>
      <c r="J798" s="22"/>
      <c r="K798" s="22">
        <f t="shared" si="342"/>
        <v>300</v>
      </c>
      <c r="L798" s="22"/>
      <c r="M798" s="22"/>
      <c r="N798" s="22"/>
      <c r="O798" s="22">
        <f t="shared" si="343"/>
        <v>0</v>
      </c>
      <c r="P798" s="22"/>
      <c r="Q798" s="23">
        <f t="shared" si="339"/>
        <v>300</v>
      </c>
      <c r="R798" s="23">
        <f t="shared" si="350"/>
        <v>0</v>
      </c>
      <c r="S798" s="23">
        <f t="shared" si="350"/>
        <v>300</v>
      </c>
    </row>
    <row r="799" spans="2:19" x14ac:dyDescent="0.2">
      <c r="B799" s="7">
        <f t="shared" si="341"/>
        <v>292</v>
      </c>
      <c r="C799" s="19"/>
      <c r="D799" s="19"/>
      <c r="E799" s="19"/>
      <c r="F799" s="20"/>
      <c r="G799" s="21">
        <v>632</v>
      </c>
      <c r="H799" s="19" t="s">
        <v>131</v>
      </c>
      <c r="I799" s="22">
        <f>184860-12000</f>
        <v>172860</v>
      </c>
      <c r="J799" s="22"/>
      <c r="K799" s="22">
        <f t="shared" si="342"/>
        <v>172860</v>
      </c>
      <c r="L799" s="22"/>
      <c r="M799" s="22"/>
      <c r="N799" s="22"/>
      <c r="O799" s="22">
        <f t="shared" si="343"/>
        <v>0</v>
      </c>
      <c r="P799" s="22"/>
      <c r="Q799" s="23">
        <f t="shared" si="339"/>
        <v>172860</v>
      </c>
      <c r="R799" s="23">
        <f t="shared" si="350"/>
        <v>0</v>
      </c>
      <c r="S799" s="23">
        <f t="shared" si="350"/>
        <v>172860</v>
      </c>
    </row>
    <row r="800" spans="2:19" x14ac:dyDescent="0.2">
      <c r="B800" s="7">
        <f t="shared" si="341"/>
        <v>293</v>
      </c>
      <c r="C800" s="19"/>
      <c r="D800" s="19"/>
      <c r="E800" s="19"/>
      <c r="F800" s="20"/>
      <c r="G800" s="21">
        <v>633</v>
      </c>
      <c r="H800" s="19" t="s">
        <v>123</v>
      </c>
      <c r="I800" s="22">
        <f>23398+1000</f>
        <v>24398</v>
      </c>
      <c r="J800" s="22">
        <v>2000</v>
      </c>
      <c r="K800" s="22">
        <f t="shared" si="342"/>
        <v>26398</v>
      </c>
      <c r="L800" s="22"/>
      <c r="M800" s="22"/>
      <c r="N800" s="22"/>
      <c r="O800" s="22">
        <f t="shared" si="343"/>
        <v>0</v>
      </c>
      <c r="P800" s="22"/>
      <c r="Q800" s="23">
        <f t="shared" si="339"/>
        <v>24398</v>
      </c>
      <c r="R800" s="23">
        <f t="shared" si="350"/>
        <v>2000</v>
      </c>
      <c r="S800" s="23">
        <f t="shared" si="350"/>
        <v>26398</v>
      </c>
    </row>
    <row r="801" spans="2:19" x14ac:dyDescent="0.2">
      <c r="B801" s="7">
        <f t="shared" si="341"/>
        <v>294</v>
      </c>
      <c r="C801" s="19"/>
      <c r="D801" s="19"/>
      <c r="E801" s="19"/>
      <c r="F801" s="20"/>
      <c r="G801" s="21">
        <v>635</v>
      </c>
      <c r="H801" s="19" t="s">
        <v>130</v>
      </c>
      <c r="I801" s="22">
        <f>21600+12525</f>
        <v>34125</v>
      </c>
      <c r="J801" s="22">
        <v>-5000</v>
      </c>
      <c r="K801" s="22">
        <f t="shared" si="342"/>
        <v>29125</v>
      </c>
      <c r="L801" s="22"/>
      <c r="M801" s="22"/>
      <c r="N801" s="22"/>
      <c r="O801" s="22">
        <f t="shared" si="343"/>
        <v>0</v>
      </c>
      <c r="P801" s="22"/>
      <c r="Q801" s="23">
        <f t="shared" si="339"/>
        <v>34125</v>
      </c>
      <c r="R801" s="23">
        <f t="shared" si="350"/>
        <v>-5000</v>
      </c>
      <c r="S801" s="23">
        <f t="shared" si="350"/>
        <v>29125</v>
      </c>
    </row>
    <row r="802" spans="2:19" x14ac:dyDescent="0.2">
      <c r="B802" s="7">
        <f t="shared" si="341"/>
        <v>295</v>
      </c>
      <c r="C802" s="19"/>
      <c r="D802" s="19"/>
      <c r="E802" s="19"/>
      <c r="F802" s="20"/>
      <c r="G802" s="21">
        <v>636</v>
      </c>
      <c r="H802" s="19" t="s">
        <v>124</v>
      </c>
      <c r="I802" s="22">
        <v>3300</v>
      </c>
      <c r="J802" s="22"/>
      <c r="K802" s="22">
        <f t="shared" si="342"/>
        <v>3300</v>
      </c>
      <c r="L802" s="22"/>
      <c r="M802" s="22"/>
      <c r="N802" s="22"/>
      <c r="O802" s="22">
        <f t="shared" si="343"/>
        <v>0</v>
      </c>
      <c r="P802" s="22"/>
      <c r="Q802" s="23">
        <f t="shared" si="339"/>
        <v>3300</v>
      </c>
      <c r="R802" s="23">
        <f t="shared" si="350"/>
        <v>0</v>
      </c>
      <c r="S802" s="23">
        <f t="shared" si="350"/>
        <v>3300</v>
      </c>
    </row>
    <row r="803" spans="2:19" x14ac:dyDescent="0.2">
      <c r="B803" s="7">
        <f t="shared" si="341"/>
        <v>296</v>
      </c>
      <c r="C803" s="19"/>
      <c r="D803" s="19"/>
      <c r="E803" s="19"/>
      <c r="F803" s="20"/>
      <c r="G803" s="21">
        <v>637</v>
      </c>
      <c r="H803" s="19" t="s">
        <v>120</v>
      </c>
      <c r="I803" s="22">
        <v>94131</v>
      </c>
      <c r="J803" s="22">
        <v>3000</v>
      </c>
      <c r="K803" s="22">
        <f t="shared" si="342"/>
        <v>97131</v>
      </c>
      <c r="L803" s="22"/>
      <c r="M803" s="22"/>
      <c r="N803" s="22"/>
      <c r="O803" s="22">
        <f t="shared" si="343"/>
        <v>0</v>
      </c>
      <c r="P803" s="22"/>
      <c r="Q803" s="23">
        <f t="shared" si="339"/>
        <v>94131</v>
      </c>
      <c r="R803" s="23">
        <f t="shared" si="350"/>
        <v>3000</v>
      </c>
      <c r="S803" s="23">
        <f t="shared" si="350"/>
        <v>97131</v>
      </c>
    </row>
    <row r="804" spans="2:19" x14ac:dyDescent="0.2">
      <c r="B804" s="7">
        <f t="shared" si="341"/>
        <v>297</v>
      </c>
      <c r="C804" s="13"/>
      <c r="D804" s="13"/>
      <c r="E804" s="13"/>
      <c r="F804" s="14" t="s">
        <v>106</v>
      </c>
      <c r="G804" s="15">
        <v>640</v>
      </c>
      <c r="H804" s="13" t="s">
        <v>127</v>
      </c>
      <c r="I804" s="16">
        <v>15431</v>
      </c>
      <c r="J804" s="16"/>
      <c r="K804" s="16">
        <f t="shared" si="342"/>
        <v>15431</v>
      </c>
      <c r="L804" s="16"/>
      <c r="M804" s="16"/>
      <c r="N804" s="16"/>
      <c r="O804" s="16">
        <f t="shared" si="343"/>
        <v>0</v>
      </c>
      <c r="P804" s="16"/>
      <c r="Q804" s="18">
        <f t="shared" si="339"/>
        <v>15431</v>
      </c>
      <c r="R804" s="18">
        <f t="shared" si="350"/>
        <v>0</v>
      </c>
      <c r="S804" s="18">
        <f t="shared" si="350"/>
        <v>15431</v>
      </c>
    </row>
    <row r="805" spans="2:19" x14ac:dyDescent="0.2">
      <c r="B805" s="7">
        <f t="shared" si="341"/>
        <v>298</v>
      </c>
      <c r="C805" s="13"/>
      <c r="D805" s="13"/>
      <c r="E805" s="13"/>
      <c r="F805" s="14" t="s">
        <v>106</v>
      </c>
      <c r="G805" s="15">
        <v>600</v>
      </c>
      <c r="H805" s="13" t="s">
        <v>686</v>
      </c>
      <c r="I805" s="16">
        <v>78051</v>
      </c>
      <c r="J805" s="16"/>
      <c r="K805" s="16">
        <f t="shared" si="342"/>
        <v>78051</v>
      </c>
      <c r="L805" s="16"/>
      <c r="M805" s="16"/>
      <c r="N805" s="16"/>
      <c r="O805" s="16">
        <f t="shared" si="343"/>
        <v>0</v>
      </c>
      <c r="P805" s="16"/>
      <c r="Q805" s="18">
        <f t="shared" si="339"/>
        <v>78051</v>
      </c>
      <c r="R805" s="18">
        <f t="shared" si="350"/>
        <v>0</v>
      </c>
      <c r="S805" s="18">
        <f t="shared" si="350"/>
        <v>78051</v>
      </c>
    </row>
    <row r="806" spans="2:19" x14ac:dyDescent="0.2">
      <c r="B806" s="7">
        <f t="shared" si="341"/>
        <v>299</v>
      </c>
      <c r="C806" s="13"/>
      <c r="D806" s="13"/>
      <c r="E806" s="13"/>
      <c r="F806" s="14" t="s">
        <v>76</v>
      </c>
      <c r="G806" s="15">
        <v>633</v>
      </c>
      <c r="H806" s="13" t="s">
        <v>407</v>
      </c>
      <c r="I806" s="16">
        <v>174500</v>
      </c>
      <c r="J806" s="16"/>
      <c r="K806" s="16">
        <f t="shared" si="342"/>
        <v>174500</v>
      </c>
      <c r="L806" s="16"/>
      <c r="M806" s="16"/>
      <c r="N806" s="16"/>
      <c r="O806" s="16">
        <f t="shared" si="343"/>
        <v>0</v>
      </c>
      <c r="P806" s="16"/>
      <c r="Q806" s="18">
        <f t="shared" si="339"/>
        <v>174500</v>
      </c>
      <c r="R806" s="18">
        <f t="shared" si="350"/>
        <v>0</v>
      </c>
      <c r="S806" s="18">
        <f t="shared" si="350"/>
        <v>174500</v>
      </c>
    </row>
    <row r="807" spans="2:19" x14ac:dyDescent="0.2">
      <c r="B807" s="7">
        <f t="shared" si="341"/>
        <v>300</v>
      </c>
      <c r="C807" s="13"/>
      <c r="D807" s="13"/>
      <c r="E807" s="13"/>
      <c r="F807" s="14" t="s">
        <v>106</v>
      </c>
      <c r="G807" s="15">
        <v>710</v>
      </c>
      <c r="H807" s="13" t="s">
        <v>171</v>
      </c>
      <c r="I807" s="16"/>
      <c r="J807" s="16"/>
      <c r="K807" s="16">
        <f t="shared" si="342"/>
        <v>0</v>
      </c>
      <c r="L807" s="16"/>
      <c r="M807" s="16">
        <f>M808</f>
        <v>91358</v>
      </c>
      <c r="N807" s="16">
        <f t="shared" ref="N807:N808" si="352">N808</f>
        <v>0</v>
      </c>
      <c r="O807" s="16">
        <f t="shared" si="343"/>
        <v>91358</v>
      </c>
      <c r="P807" s="16"/>
      <c r="Q807" s="18">
        <f t="shared" si="339"/>
        <v>91358</v>
      </c>
      <c r="R807" s="18">
        <f t="shared" si="350"/>
        <v>0</v>
      </c>
      <c r="S807" s="18">
        <f t="shared" si="350"/>
        <v>91358</v>
      </c>
    </row>
    <row r="808" spans="2:19" x14ac:dyDescent="0.2">
      <c r="B808" s="7">
        <f t="shared" si="341"/>
        <v>301</v>
      </c>
      <c r="C808" s="13"/>
      <c r="D808" s="13"/>
      <c r="E808" s="13"/>
      <c r="F808" s="20"/>
      <c r="G808" s="21">
        <v>717</v>
      </c>
      <c r="H808" s="19" t="s">
        <v>178</v>
      </c>
      <c r="I808" s="16"/>
      <c r="J808" s="16"/>
      <c r="K808" s="16">
        <f t="shared" si="342"/>
        <v>0</v>
      </c>
      <c r="L808" s="16"/>
      <c r="M808" s="22">
        <f>M809</f>
        <v>91358</v>
      </c>
      <c r="N808" s="22">
        <f t="shared" si="352"/>
        <v>0</v>
      </c>
      <c r="O808" s="22">
        <f t="shared" si="343"/>
        <v>91358</v>
      </c>
      <c r="P808" s="16"/>
      <c r="Q808" s="23">
        <f t="shared" si="339"/>
        <v>91358</v>
      </c>
      <c r="R808" s="23">
        <f t="shared" si="350"/>
        <v>0</v>
      </c>
      <c r="S808" s="23">
        <f t="shared" si="350"/>
        <v>91358</v>
      </c>
    </row>
    <row r="809" spans="2:19" x14ac:dyDescent="0.2">
      <c r="B809" s="7">
        <f t="shared" si="341"/>
        <v>302</v>
      </c>
      <c r="C809" s="13"/>
      <c r="D809" s="13"/>
      <c r="E809" s="13"/>
      <c r="F809" s="113"/>
      <c r="G809" s="25"/>
      <c r="H809" s="1" t="s">
        <v>647</v>
      </c>
      <c r="I809" s="16"/>
      <c r="J809" s="16"/>
      <c r="K809" s="16">
        <f t="shared" si="342"/>
        <v>0</v>
      </c>
      <c r="L809" s="16"/>
      <c r="M809" s="26">
        <f>91758-400</f>
        <v>91358</v>
      </c>
      <c r="N809" s="26"/>
      <c r="O809" s="26">
        <f t="shared" si="343"/>
        <v>91358</v>
      </c>
      <c r="P809" s="16"/>
      <c r="Q809" s="28">
        <f t="shared" si="339"/>
        <v>91358</v>
      </c>
      <c r="R809" s="28">
        <f t="shared" si="350"/>
        <v>0</v>
      </c>
      <c r="S809" s="28">
        <f t="shared" si="350"/>
        <v>91358</v>
      </c>
    </row>
    <row r="810" spans="2:19" ht="15" x14ac:dyDescent="0.25">
      <c r="B810" s="7">
        <f t="shared" si="341"/>
        <v>303</v>
      </c>
      <c r="C810" s="108"/>
      <c r="D810" s="108"/>
      <c r="E810" s="108">
        <v>9</v>
      </c>
      <c r="F810" s="109"/>
      <c r="G810" s="109"/>
      <c r="H810" s="108" t="s">
        <v>4</v>
      </c>
      <c r="I810" s="110">
        <f>I811+I812+I813+I821+I822+I823+I824+I832+I833</f>
        <v>2629036</v>
      </c>
      <c r="J810" s="110">
        <f t="shared" ref="J810" si="353">J811+J812+J813+J821+J822+J823+J824+J832+J833</f>
        <v>6444</v>
      </c>
      <c r="K810" s="110">
        <f t="shared" si="342"/>
        <v>2635480</v>
      </c>
      <c r="L810" s="321"/>
      <c r="M810" s="110">
        <f>M834</f>
        <v>35000</v>
      </c>
      <c r="N810" s="110">
        <f t="shared" ref="N810" si="354">N834</f>
        <v>0</v>
      </c>
      <c r="O810" s="110">
        <f t="shared" si="343"/>
        <v>35000</v>
      </c>
      <c r="P810" s="321"/>
      <c r="Q810" s="112">
        <f t="shared" si="339"/>
        <v>2664036</v>
      </c>
      <c r="R810" s="112">
        <f t="shared" si="350"/>
        <v>6444</v>
      </c>
      <c r="S810" s="112">
        <f t="shared" si="350"/>
        <v>2670480</v>
      </c>
    </row>
    <row r="811" spans="2:19" x14ac:dyDescent="0.2">
      <c r="B811" s="7">
        <f t="shared" si="341"/>
        <v>304</v>
      </c>
      <c r="C811" s="13"/>
      <c r="D811" s="13"/>
      <c r="E811" s="13"/>
      <c r="F811" s="14" t="s">
        <v>117</v>
      </c>
      <c r="G811" s="15">
        <v>610</v>
      </c>
      <c r="H811" s="13" t="s">
        <v>511</v>
      </c>
      <c r="I811" s="16">
        <v>660500</v>
      </c>
      <c r="J811" s="16"/>
      <c r="K811" s="16">
        <f t="shared" si="342"/>
        <v>660500</v>
      </c>
      <c r="L811" s="16"/>
      <c r="M811" s="16"/>
      <c r="N811" s="16"/>
      <c r="O811" s="16">
        <f t="shared" si="343"/>
        <v>0</v>
      </c>
      <c r="P811" s="16"/>
      <c r="Q811" s="18">
        <f t="shared" si="339"/>
        <v>660500</v>
      </c>
      <c r="R811" s="18">
        <f t="shared" si="350"/>
        <v>0</v>
      </c>
      <c r="S811" s="18">
        <f t="shared" si="350"/>
        <v>660500</v>
      </c>
    </row>
    <row r="812" spans="2:19" x14ac:dyDescent="0.2">
      <c r="B812" s="7">
        <f t="shared" si="341"/>
        <v>305</v>
      </c>
      <c r="C812" s="13"/>
      <c r="D812" s="13"/>
      <c r="E812" s="13"/>
      <c r="F812" s="14" t="s">
        <v>117</v>
      </c>
      <c r="G812" s="15">
        <v>620</v>
      </c>
      <c r="H812" s="13" t="s">
        <v>122</v>
      </c>
      <c r="I812" s="16">
        <v>248700</v>
      </c>
      <c r="J812" s="16"/>
      <c r="K812" s="16">
        <f t="shared" si="342"/>
        <v>248700</v>
      </c>
      <c r="L812" s="16"/>
      <c r="M812" s="16"/>
      <c r="N812" s="16"/>
      <c r="O812" s="16">
        <f t="shared" si="343"/>
        <v>0</v>
      </c>
      <c r="P812" s="16"/>
      <c r="Q812" s="18">
        <f t="shared" si="339"/>
        <v>248700</v>
      </c>
      <c r="R812" s="18">
        <f t="shared" ref="R812:S827" si="355">N812+J812</f>
        <v>0</v>
      </c>
      <c r="S812" s="18">
        <f t="shared" si="355"/>
        <v>248700</v>
      </c>
    </row>
    <row r="813" spans="2:19" x14ac:dyDescent="0.2">
      <c r="B813" s="7">
        <f t="shared" si="341"/>
        <v>306</v>
      </c>
      <c r="C813" s="13"/>
      <c r="D813" s="13"/>
      <c r="E813" s="13"/>
      <c r="F813" s="14" t="s">
        <v>117</v>
      </c>
      <c r="G813" s="15">
        <v>630</v>
      </c>
      <c r="H813" s="13" t="s">
        <v>119</v>
      </c>
      <c r="I813" s="16">
        <f>SUM(I814:I820)</f>
        <v>100675</v>
      </c>
      <c r="J813" s="16">
        <f t="shared" ref="J813" si="356">SUM(J814:J820)</f>
        <v>13235</v>
      </c>
      <c r="K813" s="16">
        <f t="shared" si="342"/>
        <v>113910</v>
      </c>
      <c r="L813" s="16"/>
      <c r="M813" s="16"/>
      <c r="N813" s="16"/>
      <c r="O813" s="16">
        <f t="shared" si="343"/>
        <v>0</v>
      </c>
      <c r="P813" s="16"/>
      <c r="Q813" s="18">
        <f t="shared" si="339"/>
        <v>100675</v>
      </c>
      <c r="R813" s="18">
        <f t="shared" si="355"/>
        <v>13235</v>
      </c>
      <c r="S813" s="18">
        <f t="shared" si="355"/>
        <v>113910</v>
      </c>
    </row>
    <row r="814" spans="2:19" x14ac:dyDescent="0.2">
      <c r="B814" s="7">
        <f t="shared" si="341"/>
        <v>307</v>
      </c>
      <c r="C814" s="19"/>
      <c r="D814" s="19"/>
      <c r="E814" s="19"/>
      <c r="F814" s="20"/>
      <c r="G814" s="21">
        <v>631</v>
      </c>
      <c r="H814" s="19" t="s">
        <v>125</v>
      </c>
      <c r="I814" s="22">
        <v>300</v>
      </c>
      <c r="J814" s="22"/>
      <c r="K814" s="22">
        <f t="shared" si="342"/>
        <v>300</v>
      </c>
      <c r="L814" s="22"/>
      <c r="M814" s="22"/>
      <c r="N814" s="22"/>
      <c r="O814" s="22">
        <f t="shared" si="343"/>
        <v>0</v>
      </c>
      <c r="P814" s="22"/>
      <c r="Q814" s="23">
        <f t="shared" si="339"/>
        <v>300</v>
      </c>
      <c r="R814" s="23">
        <f t="shared" si="355"/>
        <v>0</v>
      </c>
      <c r="S814" s="23">
        <f t="shared" si="355"/>
        <v>300</v>
      </c>
    </row>
    <row r="815" spans="2:19" x14ac:dyDescent="0.2">
      <c r="B815" s="7">
        <f t="shared" si="341"/>
        <v>308</v>
      </c>
      <c r="C815" s="19"/>
      <c r="D815" s="19"/>
      <c r="E815" s="19"/>
      <c r="F815" s="20"/>
      <c r="G815" s="21">
        <v>632</v>
      </c>
      <c r="H815" s="19" t="s">
        <v>131</v>
      </c>
      <c r="I815" s="22">
        <v>30520</v>
      </c>
      <c r="J815" s="22">
        <v>-2000</v>
      </c>
      <c r="K815" s="22">
        <f t="shared" si="342"/>
        <v>28520</v>
      </c>
      <c r="L815" s="22"/>
      <c r="M815" s="22"/>
      <c r="N815" s="22"/>
      <c r="O815" s="22">
        <f t="shared" si="343"/>
        <v>0</v>
      </c>
      <c r="P815" s="22"/>
      <c r="Q815" s="23">
        <f t="shared" si="339"/>
        <v>30520</v>
      </c>
      <c r="R815" s="23">
        <f t="shared" si="355"/>
        <v>-2000</v>
      </c>
      <c r="S815" s="23">
        <f t="shared" si="355"/>
        <v>28520</v>
      </c>
    </row>
    <row r="816" spans="2:19" x14ac:dyDescent="0.2">
      <c r="B816" s="7">
        <f t="shared" si="341"/>
        <v>309</v>
      </c>
      <c r="C816" s="19"/>
      <c r="D816" s="19"/>
      <c r="E816" s="19"/>
      <c r="F816" s="20"/>
      <c r="G816" s="21">
        <v>633</v>
      </c>
      <c r="H816" s="19" t="s">
        <v>123</v>
      </c>
      <c r="I816" s="22">
        <v>17100</v>
      </c>
      <c r="J816" s="22">
        <v>2000</v>
      </c>
      <c r="K816" s="22">
        <f t="shared" si="342"/>
        <v>19100</v>
      </c>
      <c r="L816" s="22"/>
      <c r="M816" s="22"/>
      <c r="N816" s="22"/>
      <c r="O816" s="22">
        <f t="shared" si="343"/>
        <v>0</v>
      </c>
      <c r="P816" s="22"/>
      <c r="Q816" s="23">
        <f t="shared" si="339"/>
        <v>17100</v>
      </c>
      <c r="R816" s="23">
        <f t="shared" si="355"/>
        <v>2000</v>
      </c>
      <c r="S816" s="23">
        <f t="shared" si="355"/>
        <v>19100</v>
      </c>
    </row>
    <row r="817" spans="2:19" x14ac:dyDescent="0.2">
      <c r="B817" s="7">
        <f t="shared" si="341"/>
        <v>310</v>
      </c>
      <c r="C817" s="19"/>
      <c r="D817" s="19"/>
      <c r="E817" s="19"/>
      <c r="F817" s="20"/>
      <c r="G817" s="21">
        <v>634</v>
      </c>
      <c r="H817" s="19" t="s">
        <v>129</v>
      </c>
      <c r="I817" s="22">
        <v>1500</v>
      </c>
      <c r="J817" s="22">
        <v>135</v>
      </c>
      <c r="K817" s="22">
        <f t="shared" si="342"/>
        <v>1635</v>
      </c>
      <c r="L817" s="22"/>
      <c r="M817" s="22"/>
      <c r="N817" s="22"/>
      <c r="O817" s="22">
        <f t="shared" si="343"/>
        <v>0</v>
      </c>
      <c r="P817" s="22"/>
      <c r="Q817" s="23">
        <f t="shared" si="339"/>
        <v>1500</v>
      </c>
      <c r="R817" s="23">
        <f t="shared" si="355"/>
        <v>135</v>
      </c>
      <c r="S817" s="23">
        <f t="shared" si="355"/>
        <v>1635</v>
      </c>
    </row>
    <row r="818" spans="2:19" x14ac:dyDescent="0.2">
      <c r="B818" s="7">
        <f t="shared" si="341"/>
        <v>311</v>
      </c>
      <c r="C818" s="19"/>
      <c r="D818" s="19"/>
      <c r="E818" s="19"/>
      <c r="F818" s="20"/>
      <c r="G818" s="21">
        <v>635</v>
      </c>
      <c r="H818" s="19" t="s">
        <v>130</v>
      </c>
      <c r="I818" s="22">
        <v>5000</v>
      </c>
      <c r="J818" s="22">
        <v>10100</v>
      </c>
      <c r="K818" s="22">
        <f t="shared" si="342"/>
        <v>15100</v>
      </c>
      <c r="L818" s="22"/>
      <c r="M818" s="22"/>
      <c r="N818" s="22"/>
      <c r="O818" s="22">
        <f t="shared" si="343"/>
        <v>0</v>
      </c>
      <c r="P818" s="22"/>
      <c r="Q818" s="23">
        <f t="shared" si="339"/>
        <v>5000</v>
      </c>
      <c r="R818" s="23">
        <f t="shared" si="355"/>
        <v>10100</v>
      </c>
      <c r="S818" s="23">
        <f t="shared" si="355"/>
        <v>15100</v>
      </c>
    </row>
    <row r="819" spans="2:19" x14ac:dyDescent="0.2">
      <c r="B819" s="7">
        <f t="shared" si="341"/>
        <v>312</v>
      </c>
      <c r="C819" s="19"/>
      <c r="D819" s="19"/>
      <c r="E819" s="19"/>
      <c r="F819" s="20"/>
      <c r="G819" s="21">
        <v>636</v>
      </c>
      <c r="H819" s="19" t="s">
        <v>124</v>
      </c>
      <c r="I819" s="22">
        <v>1750</v>
      </c>
      <c r="J819" s="22"/>
      <c r="K819" s="22">
        <f t="shared" si="342"/>
        <v>1750</v>
      </c>
      <c r="L819" s="22"/>
      <c r="M819" s="22"/>
      <c r="N819" s="22"/>
      <c r="O819" s="22">
        <f t="shared" si="343"/>
        <v>0</v>
      </c>
      <c r="P819" s="22"/>
      <c r="Q819" s="23">
        <f t="shared" si="339"/>
        <v>1750</v>
      </c>
      <c r="R819" s="23">
        <f t="shared" si="355"/>
        <v>0</v>
      </c>
      <c r="S819" s="23">
        <f t="shared" si="355"/>
        <v>1750</v>
      </c>
    </row>
    <row r="820" spans="2:19" x14ac:dyDescent="0.2">
      <c r="B820" s="7">
        <f t="shared" si="341"/>
        <v>313</v>
      </c>
      <c r="C820" s="19"/>
      <c r="D820" s="19"/>
      <c r="E820" s="19"/>
      <c r="F820" s="20"/>
      <c r="G820" s="21">
        <v>637</v>
      </c>
      <c r="H820" s="19" t="s">
        <v>120</v>
      </c>
      <c r="I820" s="22">
        <v>44505</v>
      </c>
      <c r="J820" s="22">
        <v>3000</v>
      </c>
      <c r="K820" s="22">
        <f t="shared" si="342"/>
        <v>47505</v>
      </c>
      <c r="L820" s="22"/>
      <c r="M820" s="22"/>
      <c r="N820" s="22"/>
      <c r="O820" s="22">
        <f t="shared" si="343"/>
        <v>0</v>
      </c>
      <c r="P820" s="22"/>
      <c r="Q820" s="23">
        <f t="shared" si="339"/>
        <v>44505</v>
      </c>
      <c r="R820" s="23">
        <f t="shared" si="355"/>
        <v>3000</v>
      </c>
      <c r="S820" s="23">
        <f t="shared" si="355"/>
        <v>47505</v>
      </c>
    </row>
    <row r="821" spans="2:19" x14ac:dyDescent="0.2">
      <c r="B821" s="7">
        <f t="shared" si="341"/>
        <v>314</v>
      </c>
      <c r="C821" s="13"/>
      <c r="D821" s="13"/>
      <c r="E821" s="13"/>
      <c r="F821" s="14" t="s">
        <v>117</v>
      </c>
      <c r="G821" s="15">
        <v>640</v>
      </c>
      <c r="H821" s="13" t="s">
        <v>127</v>
      </c>
      <c r="I821" s="16">
        <v>12200</v>
      </c>
      <c r="J821" s="16"/>
      <c r="K821" s="16">
        <f t="shared" si="342"/>
        <v>12200</v>
      </c>
      <c r="L821" s="16"/>
      <c r="M821" s="16"/>
      <c r="N821" s="16"/>
      <c r="O821" s="16">
        <f t="shared" si="343"/>
        <v>0</v>
      </c>
      <c r="P821" s="16"/>
      <c r="Q821" s="18">
        <f t="shared" si="339"/>
        <v>12200</v>
      </c>
      <c r="R821" s="18">
        <f t="shared" si="355"/>
        <v>0</v>
      </c>
      <c r="S821" s="18">
        <f t="shared" si="355"/>
        <v>12200</v>
      </c>
    </row>
    <row r="822" spans="2:19" x14ac:dyDescent="0.2">
      <c r="B822" s="7">
        <f t="shared" si="341"/>
        <v>315</v>
      </c>
      <c r="C822" s="13"/>
      <c r="D822" s="13"/>
      <c r="E822" s="13"/>
      <c r="F822" s="14" t="s">
        <v>106</v>
      </c>
      <c r="G822" s="15">
        <v>610</v>
      </c>
      <c r="H822" s="13" t="s">
        <v>511</v>
      </c>
      <c r="I822" s="16">
        <f>819600+100+106099</f>
        <v>925799</v>
      </c>
      <c r="J822" s="16"/>
      <c r="K822" s="16">
        <f t="shared" si="342"/>
        <v>925799</v>
      </c>
      <c r="L822" s="16"/>
      <c r="M822" s="16"/>
      <c r="N822" s="16"/>
      <c r="O822" s="16">
        <f t="shared" si="343"/>
        <v>0</v>
      </c>
      <c r="P822" s="16"/>
      <c r="Q822" s="18">
        <f t="shared" si="339"/>
        <v>925799</v>
      </c>
      <c r="R822" s="18">
        <f t="shared" si="355"/>
        <v>0</v>
      </c>
      <c r="S822" s="18">
        <f t="shared" si="355"/>
        <v>925799</v>
      </c>
    </row>
    <row r="823" spans="2:19" x14ac:dyDescent="0.2">
      <c r="B823" s="7">
        <f t="shared" si="341"/>
        <v>316</v>
      </c>
      <c r="C823" s="13"/>
      <c r="D823" s="13"/>
      <c r="E823" s="13"/>
      <c r="F823" s="14" t="s">
        <v>106</v>
      </c>
      <c r="G823" s="15">
        <v>620</v>
      </c>
      <c r="H823" s="13" t="s">
        <v>122</v>
      </c>
      <c r="I823" s="16">
        <f>306105+35+38140</f>
        <v>344280</v>
      </c>
      <c r="J823" s="16"/>
      <c r="K823" s="16">
        <f t="shared" si="342"/>
        <v>344280</v>
      </c>
      <c r="L823" s="16"/>
      <c r="M823" s="16"/>
      <c r="N823" s="16"/>
      <c r="O823" s="16">
        <f t="shared" si="343"/>
        <v>0</v>
      </c>
      <c r="P823" s="16"/>
      <c r="Q823" s="18">
        <f t="shared" si="339"/>
        <v>344280</v>
      </c>
      <c r="R823" s="18">
        <f t="shared" si="355"/>
        <v>0</v>
      </c>
      <c r="S823" s="18">
        <f t="shared" si="355"/>
        <v>344280</v>
      </c>
    </row>
    <row r="824" spans="2:19" x14ac:dyDescent="0.2">
      <c r="B824" s="7">
        <f t="shared" si="341"/>
        <v>317</v>
      </c>
      <c r="C824" s="13"/>
      <c r="D824" s="13"/>
      <c r="E824" s="13"/>
      <c r="F824" s="14" t="s">
        <v>106</v>
      </c>
      <c r="G824" s="15">
        <v>630</v>
      </c>
      <c r="H824" s="13" t="s">
        <v>119</v>
      </c>
      <c r="I824" s="16">
        <f>SUM(I825:I831)</f>
        <v>148285</v>
      </c>
      <c r="J824" s="16">
        <f t="shared" ref="J824" si="357">SUM(J825:J831)</f>
        <v>-5522</v>
      </c>
      <c r="K824" s="16">
        <f t="shared" si="342"/>
        <v>142763</v>
      </c>
      <c r="L824" s="16"/>
      <c r="M824" s="17"/>
      <c r="N824" s="17"/>
      <c r="O824" s="17">
        <f t="shared" si="343"/>
        <v>0</v>
      </c>
      <c r="P824" s="17"/>
      <c r="Q824" s="18">
        <f t="shared" si="339"/>
        <v>148285</v>
      </c>
      <c r="R824" s="18">
        <f t="shared" si="355"/>
        <v>-5522</v>
      </c>
      <c r="S824" s="18">
        <f t="shared" si="355"/>
        <v>142763</v>
      </c>
    </row>
    <row r="825" spans="2:19" x14ac:dyDescent="0.2">
      <c r="B825" s="7">
        <f t="shared" si="341"/>
        <v>318</v>
      </c>
      <c r="C825" s="19"/>
      <c r="D825" s="19"/>
      <c r="E825" s="19"/>
      <c r="F825" s="20"/>
      <c r="G825" s="21">
        <v>631</v>
      </c>
      <c r="H825" s="19" t="s">
        <v>125</v>
      </c>
      <c r="I825" s="22">
        <v>300</v>
      </c>
      <c r="J825" s="22">
        <v>2333</v>
      </c>
      <c r="K825" s="22">
        <f t="shared" si="342"/>
        <v>2633</v>
      </c>
      <c r="L825" s="22"/>
      <c r="M825" s="22"/>
      <c r="N825" s="22"/>
      <c r="O825" s="22">
        <f t="shared" si="343"/>
        <v>0</v>
      </c>
      <c r="P825" s="22"/>
      <c r="Q825" s="23">
        <f t="shared" si="339"/>
        <v>300</v>
      </c>
      <c r="R825" s="23">
        <f t="shared" si="355"/>
        <v>2333</v>
      </c>
      <c r="S825" s="23">
        <f t="shared" si="355"/>
        <v>2633</v>
      </c>
    </row>
    <row r="826" spans="2:19" x14ac:dyDescent="0.2">
      <c r="B826" s="7">
        <f t="shared" si="341"/>
        <v>319</v>
      </c>
      <c r="C826" s="19"/>
      <c r="D826" s="19"/>
      <c r="E826" s="19"/>
      <c r="F826" s="20"/>
      <c r="G826" s="21">
        <v>632</v>
      </c>
      <c r="H826" s="19" t="s">
        <v>131</v>
      </c>
      <c r="I826" s="22">
        <v>29020</v>
      </c>
      <c r="J826" s="22"/>
      <c r="K826" s="22">
        <f t="shared" si="342"/>
        <v>29020</v>
      </c>
      <c r="L826" s="22"/>
      <c r="M826" s="22"/>
      <c r="N826" s="22"/>
      <c r="O826" s="22">
        <f t="shared" si="343"/>
        <v>0</v>
      </c>
      <c r="P826" s="22"/>
      <c r="Q826" s="23">
        <f t="shared" si="339"/>
        <v>29020</v>
      </c>
      <c r="R826" s="23">
        <f t="shared" si="355"/>
        <v>0</v>
      </c>
      <c r="S826" s="23">
        <f t="shared" si="355"/>
        <v>29020</v>
      </c>
    </row>
    <row r="827" spans="2:19" x14ac:dyDescent="0.2">
      <c r="B827" s="7">
        <f t="shared" si="341"/>
        <v>320</v>
      </c>
      <c r="C827" s="19"/>
      <c r="D827" s="19"/>
      <c r="E827" s="19"/>
      <c r="F827" s="20"/>
      <c r="G827" s="21">
        <v>633</v>
      </c>
      <c r="H827" s="19" t="s">
        <v>123</v>
      </c>
      <c r="I827" s="22">
        <f>29210+1000</f>
        <v>30210</v>
      </c>
      <c r="J827" s="22"/>
      <c r="K827" s="22">
        <f t="shared" si="342"/>
        <v>30210</v>
      </c>
      <c r="L827" s="22"/>
      <c r="M827" s="22"/>
      <c r="N827" s="22"/>
      <c r="O827" s="22">
        <f t="shared" si="343"/>
        <v>0</v>
      </c>
      <c r="P827" s="22"/>
      <c r="Q827" s="23">
        <f t="shared" si="339"/>
        <v>30210</v>
      </c>
      <c r="R827" s="23">
        <f t="shared" si="355"/>
        <v>0</v>
      </c>
      <c r="S827" s="23">
        <f t="shared" si="355"/>
        <v>30210</v>
      </c>
    </row>
    <row r="828" spans="2:19" x14ac:dyDescent="0.2">
      <c r="B828" s="7"/>
      <c r="C828" s="19"/>
      <c r="D828" s="19"/>
      <c r="E828" s="19"/>
      <c r="F828" s="20"/>
      <c r="G828" s="21">
        <v>634</v>
      </c>
      <c r="H828" s="19" t="s">
        <v>129</v>
      </c>
      <c r="I828" s="22">
        <v>0</v>
      </c>
      <c r="J828" s="22">
        <v>135</v>
      </c>
      <c r="K828" s="22">
        <f t="shared" ref="K828" si="358">I828+J828</f>
        <v>135</v>
      </c>
      <c r="L828" s="22"/>
      <c r="M828" s="22"/>
      <c r="N828" s="22"/>
      <c r="O828" s="22">
        <f t="shared" ref="O828" si="359">M828+N828</f>
        <v>0</v>
      </c>
      <c r="P828" s="22"/>
      <c r="Q828" s="23">
        <f t="shared" ref="Q828" si="360">M828+I828</f>
        <v>0</v>
      </c>
      <c r="R828" s="23">
        <f t="shared" ref="R828" si="361">N828+J828</f>
        <v>135</v>
      </c>
      <c r="S828" s="23">
        <f t="shared" ref="S828" si="362">O828+K828</f>
        <v>135</v>
      </c>
    </row>
    <row r="829" spans="2:19" x14ac:dyDescent="0.2">
      <c r="B829" s="7">
        <f>B827+1</f>
        <v>321</v>
      </c>
      <c r="C829" s="19"/>
      <c r="D829" s="19"/>
      <c r="E829" s="19"/>
      <c r="F829" s="20"/>
      <c r="G829" s="21">
        <v>635</v>
      </c>
      <c r="H829" s="19" t="s">
        <v>130</v>
      </c>
      <c r="I829" s="22">
        <v>5000</v>
      </c>
      <c r="J829" s="22">
        <v>10100</v>
      </c>
      <c r="K829" s="22">
        <f t="shared" si="342"/>
        <v>15100</v>
      </c>
      <c r="L829" s="22"/>
      <c r="M829" s="22"/>
      <c r="N829" s="22"/>
      <c r="O829" s="22">
        <f t="shared" si="343"/>
        <v>0</v>
      </c>
      <c r="P829" s="22"/>
      <c r="Q829" s="23">
        <f t="shared" ref="Q829:Q892" si="363">M829+I829</f>
        <v>5000</v>
      </c>
      <c r="R829" s="23">
        <f t="shared" ref="R829:S844" si="364">N829+J829</f>
        <v>10100</v>
      </c>
      <c r="S829" s="23">
        <f t="shared" si="364"/>
        <v>15100</v>
      </c>
    </row>
    <row r="830" spans="2:19" x14ac:dyDescent="0.2">
      <c r="B830" s="7">
        <f t="shared" ref="B830:B893" si="365">B829+1</f>
        <v>322</v>
      </c>
      <c r="C830" s="19"/>
      <c r="D830" s="19"/>
      <c r="E830" s="19"/>
      <c r="F830" s="20"/>
      <c r="G830" s="21">
        <v>636</v>
      </c>
      <c r="H830" s="19" t="s">
        <v>124</v>
      </c>
      <c r="I830" s="22">
        <v>1000</v>
      </c>
      <c r="J830" s="22"/>
      <c r="K830" s="22">
        <f t="shared" ref="K830:K893" si="366">I830+J830</f>
        <v>1000</v>
      </c>
      <c r="L830" s="22"/>
      <c r="M830" s="22"/>
      <c r="N830" s="22"/>
      <c r="O830" s="22">
        <f t="shared" ref="O830:O893" si="367">M830+N830</f>
        <v>0</v>
      </c>
      <c r="P830" s="22"/>
      <c r="Q830" s="23">
        <f t="shared" si="363"/>
        <v>1000</v>
      </c>
      <c r="R830" s="23">
        <f t="shared" si="364"/>
        <v>0</v>
      </c>
      <c r="S830" s="23">
        <f t="shared" si="364"/>
        <v>1000</v>
      </c>
    </row>
    <row r="831" spans="2:19" x14ac:dyDescent="0.2">
      <c r="B831" s="7">
        <f t="shared" si="365"/>
        <v>323</v>
      </c>
      <c r="C831" s="19"/>
      <c r="D831" s="19"/>
      <c r="E831" s="19"/>
      <c r="F831" s="20"/>
      <c r="G831" s="21">
        <v>637</v>
      </c>
      <c r="H831" s="19" t="s">
        <v>120</v>
      </c>
      <c r="I831" s="22">
        <f>48950+33805</f>
        <v>82755</v>
      </c>
      <c r="J831" s="22">
        <v>-18090</v>
      </c>
      <c r="K831" s="22">
        <f t="shared" si="366"/>
        <v>64665</v>
      </c>
      <c r="L831" s="22"/>
      <c r="M831" s="22"/>
      <c r="N831" s="22"/>
      <c r="O831" s="22">
        <f t="shared" si="367"/>
        <v>0</v>
      </c>
      <c r="P831" s="22"/>
      <c r="Q831" s="23">
        <f t="shared" si="363"/>
        <v>82755</v>
      </c>
      <c r="R831" s="23">
        <f t="shared" si="364"/>
        <v>-18090</v>
      </c>
      <c r="S831" s="23">
        <f t="shared" si="364"/>
        <v>64665</v>
      </c>
    </row>
    <row r="832" spans="2:19" x14ac:dyDescent="0.2">
      <c r="B832" s="7">
        <f t="shared" si="365"/>
        <v>324</v>
      </c>
      <c r="C832" s="13"/>
      <c r="D832" s="13"/>
      <c r="E832" s="13"/>
      <c r="F832" s="14" t="s">
        <v>106</v>
      </c>
      <c r="G832" s="15">
        <v>640</v>
      </c>
      <c r="H832" s="13" t="s">
        <v>127</v>
      </c>
      <c r="I832" s="16">
        <v>81423</v>
      </c>
      <c r="J832" s="16">
        <v>-1269</v>
      </c>
      <c r="K832" s="16">
        <f t="shared" si="366"/>
        <v>80154</v>
      </c>
      <c r="L832" s="16"/>
      <c r="M832" s="16"/>
      <c r="N832" s="16"/>
      <c r="O832" s="16">
        <f t="shared" si="367"/>
        <v>0</v>
      </c>
      <c r="P832" s="16"/>
      <c r="Q832" s="18">
        <f t="shared" si="363"/>
        <v>81423</v>
      </c>
      <c r="R832" s="18">
        <f t="shared" si="364"/>
        <v>-1269</v>
      </c>
      <c r="S832" s="18">
        <f t="shared" si="364"/>
        <v>80154</v>
      </c>
    </row>
    <row r="833" spans="2:19" x14ac:dyDescent="0.2">
      <c r="B833" s="7">
        <f t="shared" si="365"/>
        <v>325</v>
      </c>
      <c r="C833" s="13"/>
      <c r="D833" s="13"/>
      <c r="E833" s="13"/>
      <c r="F833" s="14" t="s">
        <v>106</v>
      </c>
      <c r="G833" s="15">
        <v>600</v>
      </c>
      <c r="H833" s="13" t="s">
        <v>686</v>
      </c>
      <c r="I833" s="16">
        <v>107174</v>
      </c>
      <c r="J833" s="16"/>
      <c r="K833" s="16">
        <f t="shared" si="366"/>
        <v>107174</v>
      </c>
      <c r="L833" s="16"/>
      <c r="M833" s="16"/>
      <c r="N833" s="16"/>
      <c r="O833" s="16">
        <f t="shared" si="367"/>
        <v>0</v>
      </c>
      <c r="P833" s="16"/>
      <c r="Q833" s="18">
        <f t="shared" si="363"/>
        <v>107174</v>
      </c>
      <c r="R833" s="18">
        <f t="shared" si="364"/>
        <v>0</v>
      </c>
      <c r="S833" s="18">
        <f t="shared" si="364"/>
        <v>107174</v>
      </c>
    </row>
    <row r="834" spans="2:19" x14ac:dyDescent="0.2">
      <c r="B834" s="7">
        <f t="shared" si="365"/>
        <v>326</v>
      </c>
      <c r="C834" s="13"/>
      <c r="D834" s="13"/>
      <c r="E834" s="13"/>
      <c r="F834" s="14" t="s">
        <v>106</v>
      </c>
      <c r="G834" s="15">
        <v>710</v>
      </c>
      <c r="H834" s="13" t="s">
        <v>171</v>
      </c>
      <c r="I834" s="16"/>
      <c r="J834" s="16"/>
      <c r="K834" s="16">
        <f t="shared" si="366"/>
        <v>0</v>
      </c>
      <c r="L834" s="16"/>
      <c r="M834" s="16">
        <f>M835</f>
        <v>35000</v>
      </c>
      <c r="N834" s="16">
        <f t="shared" ref="N834:N835" si="368">N835</f>
        <v>0</v>
      </c>
      <c r="O834" s="16">
        <f t="shared" si="367"/>
        <v>35000</v>
      </c>
      <c r="P834" s="16"/>
      <c r="Q834" s="18">
        <f t="shared" si="363"/>
        <v>35000</v>
      </c>
      <c r="R834" s="18">
        <f t="shared" si="364"/>
        <v>0</v>
      </c>
      <c r="S834" s="18">
        <f t="shared" si="364"/>
        <v>35000</v>
      </c>
    </row>
    <row r="835" spans="2:19" x14ac:dyDescent="0.2">
      <c r="B835" s="7">
        <f t="shared" si="365"/>
        <v>327</v>
      </c>
      <c r="C835" s="13"/>
      <c r="D835" s="13"/>
      <c r="E835" s="13"/>
      <c r="F835" s="20"/>
      <c r="G835" s="21">
        <v>717</v>
      </c>
      <c r="H835" s="19" t="s">
        <v>178</v>
      </c>
      <c r="I835" s="22"/>
      <c r="J835" s="22"/>
      <c r="K835" s="22">
        <f t="shared" si="366"/>
        <v>0</v>
      </c>
      <c r="L835" s="22"/>
      <c r="M835" s="22">
        <f>M836</f>
        <v>35000</v>
      </c>
      <c r="N835" s="22">
        <f t="shared" si="368"/>
        <v>0</v>
      </c>
      <c r="O835" s="22">
        <f t="shared" si="367"/>
        <v>35000</v>
      </c>
      <c r="P835" s="22"/>
      <c r="Q835" s="23">
        <f t="shared" si="363"/>
        <v>35000</v>
      </c>
      <c r="R835" s="23">
        <f t="shared" si="364"/>
        <v>0</v>
      </c>
      <c r="S835" s="23">
        <f t="shared" si="364"/>
        <v>35000</v>
      </c>
    </row>
    <row r="836" spans="2:19" x14ac:dyDescent="0.2">
      <c r="B836" s="7">
        <f t="shared" si="365"/>
        <v>328</v>
      </c>
      <c r="C836" s="13"/>
      <c r="D836" s="13"/>
      <c r="E836" s="13"/>
      <c r="F836" s="113"/>
      <c r="G836" s="25"/>
      <c r="H836" s="1" t="s">
        <v>605</v>
      </c>
      <c r="I836" s="26"/>
      <c r="J836" s="26"/>
      <c r="K836" s="26">
        <f t="shared" si="366"/>
        <v>0</v>
      </c>
      <c r="L836" s="26"/>
      <c r="M836" s="26">
        <v>35000</v>
      </c>
      <c r="N836" s="26"/>
      <c r="O836" s="26">
        <f t="shared" si="367"/>
        <v>35000</v>
      </c>
      <c r="P836" s="26"/>
      <c r="Q836" s="28">
        <f t="shared" si="363"/>
        <v>35000</v>
      </c>
      <c r="R836" s="28">
        <f t="shared" si="364"/>
        <v>0</v>
      </c>
      <c r="S836" s="28">
        <f t="shared" si="364"/>
        <v>35000</v>
      </c>
    </row>
    <row r="837" spans="2:19" ht="15" x14ac:dyDescent="0.25">
      <c r="B837" s="7">
        <f t="shared" si="365"/>
        <v>329</v>
      </c>
      <c r="C837" s="108"/>
      <c r="D837" s="108"/>
      <c r="E837" s="108">
        <v>10</v>
      </c>
      <c r="F837" s="109"/>
      <c r="G837" s="109"/>
      <c r="H837" s="108" t="s">
        <v>0</v>
      </c>
      <c r="I837" s="110">
        <f>I838+I839+I840+I847+I848+I849+I850+I857+I858</f>
        <v>1784269</v>
      </c>
      <c r="J837" s="110">
        <f t="shared" ref="J837" si="369">J838+J839+J840+J847+J848+J849+J850+J857+J858</f>
        <v>100</v>
      </c>
      <c r="K837" s="110">
        <f t="shared" si="366"/>
        <v>1784369</v>
      </c>
      <c r="L837" s="321"/>
      <c r="M837" s="110">
        <f>M859</f>
        <v>506695</v>
      </c>
      <c r="N837" s="110">
        <f t="shared" ref="N837" si="370">N859</f>
        <v>0</v>
      </c>
      <c r="O837" s="110">
        <f t="shared" si="367"/>
        <v>506695</v>
      </c>
      <c r="P837" s="321"/>
      <c r="Q837" s="112">
        <f t="shared" si="363"/>
        <v>2290964</v>
      </c>
      <c r="R837" s="112">
        <f t="shared" si="364"/>
        <v>100</v>
      </c>
      <c r="S837" s="112">
        <f t="shared" si="364"/>
        <v>2291064</v>
      </c>
    </row>
    <row r="838" spans="2:19" x14ac:dyDescent="0.2">
      <c r="B838" s="7">
        <f t="shared" si="365"/>
        <v>330</v>
      </c>
      <c r="C838" s="13"/>
      <c r="D838" s="13"/>
      <c r="E838" s="13"/>
      <c r="F838" s="14" t="s">
        <v>117</v>
      </c>
      <c r="G838" s="15">
        <v>610</v>
      </c>
      <c r="H838" s="13" t="s">
        <v>511</v>
      </c>
      <c r="I838" s="16">
        <f>330907+32261</f>
        <v>363168</v>
      </c>
      <c r="J838" s="16"/>
      <c r="K838" s="16">
        <f t="shared" si="366"/>
        <v>363168</v>
      </c>
      <c r="L838" s="16"/>
      <c r="M838" s="16"/>
      <c r="N838" s="16"/>
      <c r="O838" s="16">
        <f t="shared" si="367"/>
        <v>0</v>
      </c>
      <c r="P838" s="16"/>
      <c r="Q838" s="18">
        <f t="shared" si="363"/>
        <v>363168</v>
      </c>
      <c r="R838" s="18">
        <f t="shared" si="364"/>
        <v>0</v>
      </c>
      <c r="S838" s="18">
        <f t="shared" si="364"/>
        <v>363168</v>
      </c>
    </row>
    <row r="839" spans="2:19" x14ac:dyDescent="0.2">
      <c r="B839" s="7">
        <f t="shared" si="365"/>
        <v>331</v>
      </c>
      <c r="C839" s="13"/>
      <c r="D839" s="13"/>
      <c r="E839" s="13"/>
      <c r="F839" s="14" t="s">
        <v>117</v>
      </c>
      <c r="G839" s="15">
        <v>620</v>
      </c>
      <c r="H839" s="13" t="s">
        <v>122</v>
      </c>
      <c r="I839" s="16">
        <f>139311+11598</f>
        <v>150909</v>
      </c>
      <c r="J839" s="16"/>
      <c r="K839" s="16">
        <f t="shared" si="366"/>
        <v>150909</v>
      </c>
      <c r="L839" s="16"/>
      <c r="M839" s="16"/>
      <c r="N839" s="16"/>
      <c r="O839" s="16">
        <f t="shared" si="367"/>
        <v>0</v>
      </c>
      <c r="P839" s="16"/>
      <c r="Q839" s="18">
        <f t="shared" si="363"/>
        <v>150909</v>
      </c>
      <c r="R839" s="18">
        <f t="shared" si="364"/>
        <v>0</v>
      </c>
      <c r="S839" s="18">
        <f t="shared" si="364"/>
        <v>150909</v>
      </c>
    </row>
    <row r="840" spans="2:19" x14ac:dyDescent="0.2">
      <c r="B840" s="7">
        <f t="shared" si="365"/>
        <v>332</v>
      </c>
      <c r="C840" s="13"/>
      <c r="D840" s="13"/>
      <c r="E840" s="13"/>
      <c r="F840" s="14" t="s">
        <v>117</v>
      </c>
      <c r="G840" s="15">
        <v>630</v>
      </c>
      <c r="H840" s="13" t="s">
        <v>119</v>
      </c>
      <c r="I840" s="16">
        <f>SUM(I841:I846)</f>
        <v>84185</v>
      </c>
      <c r="J840" s="16">
        <f t="shared" ref="J840" si="371">SUM(J841:J846)</f>
        <v>-590</v>
      </c>
      <c r="K840" s="16">
        <f t="shared" si="366"/>
        <v>83595</v>
      </c>
      <c r="L840" s="16"/>
      <c r="M840" s="16"/>
      <c r="N840" s="16"/>
      <c r="O840" s="16">
        <f t="shared" si="367"/>
        <v>0</v>
      </c>
      <c r="P840" s="16"/>
      <c r="Q840" s="18">
        <f t="shared" si="363"/>
        <v>84185</v>
      </c>
      <c r="R840" s="18">
        <f t="shared" si="364"/>
        <v>-590</v>
      </c>
      <c r="S840" s="18">
        <f t="shared" si="364"/>
        <v>83595</v>
      </c>
    </row>
    <row r="841" spans="2:19" x14ac:dyDescent="0.2">
      <c r="B841" s="7">
        <f t="shared" si="365"/>
        <v>333</v>
      </c>
      <c r="C841" s="19"/>
      <c r="D841" s="19"/>
      <c r="E841" s="19"/>
      <c r="F841" s="20"/>
      <c r="G841" s="21">
        <v>631</v>
      </c>
      <c r="H841" s="19" t="s">
        <v>125</v>
      </c>
      <c r="I841" s="22">
        <v>100</v>
      </c>
      <c r="J841" s="22"/>
      <c r="K841" s="22">
        <f t="shared" si="366"/>
        <v>100</v>
      </c>
      <c r="L841" s="22"/>
      <c r="M841" s="22"/>
      <c r="N841" s="22"/>
      <c r="O841" s="22">
        <f t="shared" si="367"/>
        <v>0</v>
      </c>
      <c r="P841" s="22"/>
      <c r="Q841" s="23">
        <f t="shared" si="363"/>
        <v>100</v>
      </c>
      <c r="R841" s="23">
        <f t="shared" si="364"/>
        <v>0</v>
      </c>
      <c r="S841" s="23">
        <f t="shared" si="364"/>
        <v>100</v>
      </c>
    </row>
    <row r="842" spans="2:19" x14ac:dyDescent="0.2">
      <c r="B842" s="7">
        <f t="shared" si="365"/>
        <v>334</v>
      </c>
      <c r="C842" s="19"/>
      <c r="D842" s="19"/>
      <c r="E842" s="19"/>
      <c r="F842" s="20"/>
      <c r="G842" s="21">
        <v>632</v>
      </c>
      <c r="H842" s="19" t="s">
        <v>131</v>
      </c>
      <c r="I842" s="22">
        <v>55845</v>
      </c>
      <c r="J842" s="22">
        <v>-6990</v>
      </c>
      <c r="K842" s="22">
        <f t="shared" si="366"/>
        <v>48855</v>
      </c>
      <c r="L842" s="22"/>
      <c r="M842" s="22"/>
      <c r="N842" s="22"/>
      <c r="O842" s="22">
        <f t="shared" si="367"/>
        <v>0</v>
      </c>
      <c r="P842" s="22"/>
      <c r="Q842" s="23">
        <f t="shared" si="363"/>
        <v>55845</v>
      </c>
      <c r="R842" s="23">
        <f t="shared" si="364"/>
        <v>-6990</v>
      </c>
      <c r="S842" s="23">
        <f t="shared" si="364"/>
        <v>48855</v>
      </c>
    </row>
    <row r="843" spans="2:19" x14ac:dyDescent="0.2">
      <c r="B843" s="7">
        <f t="shared" si="365"/>
        <v>335</v>
      </c>
      <c r="C843" s="19"/>
      <c r="D843" s="19"/>
      <c r="E843" s="19"/>
      <c r="F843" s="20"/>
      <c r="G843" s="21">
        <v>633</v>
      </c>
      <c r="H843" s="19" t="s">
        <v>123</v>
      </c>
      <c r="I843" s="22">
        <v>5050</v>
      </c>
      <c r="J843" s="22"/>
      <c r="K843" s="22">
        <f t="shared" si="366"/>
        <v>5050</v>
      </c>
      <c r="L843" s="22"/>
      <c r="M843" s="22"/>
      <c r="N843" s="22"/>
      <c r="O843" s="22">
        <f t="shared" si="367"/>
        <v>0</v>
      </c>
      <c r="P843" s="22"/>
      <c r="Q843" s="23">
        <f t="shared" si="363"/>
        <v>5050</v>
      </c>
      <c r="R843" s="23">
        <f t="shared" si="364"/>
        <v>0</v>
      </c>
      <c r="S843" s="23">
        <f t="shared" si="364"/>
        <v>5050</v>
      </c>
    </row>
    <row r="844" spans="2:19" x14ac:dyDescent="0.2">
      <c r="B844" s="7">
        <f t="shared" si="365"/>
        <v>336</v>
      </c>
      <c r="C844" s="19"/>
      <c r="D844" s="19"/>
      <c r="E844" s="19"/>
      <c r="F844" s="20"/>
      <c r="G844" s="21">
        <v>634</v>
      </c>
      <c r="H844" s="19" t="s">
        <v>129</v>
      </c>
      <c r="I844" s="22">
        <v>1500</v>
      </c>
      <c r="J844" s="22"/>
      <c r="K844" s="22">
        <f t="shared" si="366"/>
        <v>1500</v>
      </c>
      <c r="L844" s="22"/>
      <c r="M844" s="22"/>
      <c r="N844" s="22"/>
      <c r="O844" s="22">
        <f t="shared" si="367"/>
        <v>0</v>
      </c>
      <c r="P844" s="22"/>
      <c r="Q844" s="23">
        <f t="shared" si="363"/>
        <v>1500</v>
      </c>
      <c r="R844" s="23">
        <f t="shared" si="364"/>
        <v>0</v>
      </c>
      <c r="S844" s="23">
        <f t="shared" si="364"/>
        <v>1500</v>
      </c>
    </row>
    <row r="845" spans="2:19" x14ac:dyDescent="0.2">
      <c r="B845" s="7">
        <f t="shared" si="365"/>
        <v>337</v>
      </c>
      <c r="C845" s="19"/>
      <c r="D845" s="19"/>
      <c r="E845" s="19"/>
      <c r="F845" s="20"/>
      <c r="G845" s="21">
        <v>635</v>
      </c>
      <c r="H845" s="19" t="s">
        <v>130</v>
      </c>
      <c r="I845" s="22">
        <v>1900</v>
      </c>
      <c r="J845" s="22">
        <v>6400</v>
      </c>
      <c r="K845" s="22">
        <f t="shared" si="366"/>
        <v>8300</v>
      </c>
      <c r="L845" s="22"/>
      <c r="M845" s="22"/>
      <c r="N845" s="22"/>
      <c r="O845" s="22">
        <f t="shared" si="367"/>
        <v>0</v>
      </c>
      <c r="P845" s="22"/>
      <c r="Q845" s="23">
        <f t="shared" si="363"/>
        <v>1900</v>
      </c>
      <c r="R845" s="23">
        <f t="shared" ref="R845:S860" si="372">N845+J845</f>
        <v>6400</v>
      </c>
      <c r="S845" s="23">
        <f t="shared" si="372"/>
        <v>8300</v>
      </c>
    </row>
    <row r="846" spans="2:19" x14ac:dyDescent="0.2">
      <c r="B846" s="7">
        <f t="shared" si="365"/>
        <v>338</v>
      </c>
      <c r="C846" s="19"/>
      <c r="D846" s="19"/>
      <c r="E846" s="19"/>
      <c r="F846" s="20"/>
      <c r="G846" s="21">
        <v>637</v>
      </c>
      <c r="H846" s="19" t="s">
        <v>120</v>
      </c>
      <c r="I846" s="22">
        <v>19790</v>
      </c>
      <c r="J846" s="22"/>
      <c r="K846" s="22">
        <f t="shared" si="366"/>
        <v>19790</v>
      </c>
      <c r="L846" s="22"/>
      <c r="M846" s="22"/>
      <c r="N846" s="22"/>
      <c r="O846" s="22">
        <f t="shared" si="367"/>
        <v>0</v>
      </c>
      <c r="P846" s="22"/>
      <c r="Q846" s="23">
        <f t="shared" si="363"/>
        <v>19790</v>
      </c>
      <c r="R846" s="23">
        <f t="shared" si="372"/>
        <v>0</v>
      </c>
      <c r="S846" s="23">
        <f t="shared" si="372"/>
        <v>19790</v>
      </c>
    </row>
    <row r="847" spans="2:19" x14ac:dyDescent="0.2">
      <c r="B847" s="7">
        <f t="shared" si="365"/>
        <v>339</v>
      </c>
      <c r="C847" s="13"/>
      <c r="D847" s="13"/>
      <c r="E847" s="13"/>
      <c r="F847" s="14" t="s">
        <v>117</v>
      </c>
      <c r="G847" s="15">
        <v>640</v>
      </c>
      <c r="H847" s="13" t="s">
        <v>127</v>
      </c>
      <c r="I847" s="16">
        <v>37180</v>
      </c>
      <c r="J847" s="16">
        <v>590</v>
      </c>
      <c r="K847" s="16">
        <f t="shared" si="366"/>
        <v>37770</v>
      </c>
      <c r="L847" s="16"/>
      <c r="M847" s="16"/>
      <c r="N847" s="16"/>
      <c r="O847" s="16">
        <f t="shared" si="367"/>
        <v>0</v>
      </c>
      <c r="P847" s="16"/>
      <c r="Q847" s="18">
        <f t="shared" si="363"/>
        <v>37180</v>
      </c>
      <c r="R847" s="18">
        <f t="shared" si="372"/>
        <v>590</v>
      </c>
      <c r="S847" s="18">
        <f t="shared" si="372"/>
        <v>37770</v>
      </c>
    </row>
    <row r="848" spans="2:19" x14ac:dyDescent="0.2">
      <c r="B848" s="7">
        <f t="shared" si="365"/>
        <v>340</v>
      </c>
      <c r="C848" s="13"/>
      <c r="D848" s="13"/>
      <c r="E848" s="13"/>
      <c r="F848" s="14" t="s">
        <v>106</v>
      </c>
      <c r="G848" s="15">
        <v>610</v>
      </c>
      <c r="H848" s="13" t="s">
        <v>511</v>
      </c>
      <c r="I848" s="16">
        <f>672465+100+48889</f>
        <v>721454</v>
      </c>
      <c r="J848" s="16">
        <v>-290</v>
      </c>
      <c r="K848" s="16">
        <f t="shared" si="366"/>
        <v>721164</v>
      </c>
      <c r="L848" s="16"/>
      <c r="M848" s="16"/>
      <c r="N848" s="16"/>
      <c r="O848" s="16">
        <f t="shared" si="367"/>
        <v>0</v>
      </c>
      <c r="P848" s="16"/>
      <c r="Q848" s="18">
        <f t="shared" si="363"/>
        <v>721454</v>
      </c>
      <c r="R848" s="18">
        <f t="shared" si="372"/>
        <v>-290</v>
      </c>
      <c r="S848" s="18">
        <f t="shared" si="372"/>
        <v>721164</v>
      </c>
    </row>
    <row r="849" spans="2:19" x14ac:dyDescent="0.2">
      <c r="B849" s="7">
        <f t="shared" si="365"/>
        <v>341</v>
      </c>
      <c r="C849" s="13"/>
      <c r="D849" s="13"/>
      <c r="E849" s="13"/>
      <c r="F849" s="14" t="s">
        <v>106</v>
      </c>
      <c r="G849" s="15">
        <v>620</v>
      </c>
      <c r="H849" s="13" t="s">
        <v>122</v>
      </c>
      <c r="I849" s="16">
        <f>254981+35+17724</f>
        <v>272740</v>
      </c>
      <c r="J849" s="16"/>
      <c r="K849" s="16">
        <f t="shared" si="366"/>
        <v>272740</v>
      </c>
      <c r="L849" s="16"/>
      <c r="M849" s="16"/>
      <c r="N849" s="16"/>
      <c r="O849" s="16">
        <f t="shared" si="367"/>
        <v>0</v>
      </c>
      <c r="P849" s="16"/>
      <c r="Q849" s="18">
        <f t="shared" si="363"/>
        <v>272740</v>
      </c>
      <c r="R849" s="18">
        <f t="shared" si="372"/>
        <v>0</v>
      </c>
      <c r="S849" s="18">
        <f t="shared" si="372"/>
        <v>272740</v>
      </c>
    </row>
    <row r="850" spans="2:19" x14ac:dyDescent="0.2">
      <c r="B850" s="7">
        <f t="shared" si="365"/>
        <v>342</v>
      </c>
      <c r="C850" s="13"/>
      <c r="D850" s="13"/>
      <c r="E850" s="13"/>
      <c r="F850" s="14" t="s">
        <v>106</v>
      </c>
      <c r="G850" s="15">
        <v>630</v>
      </c>
      <c r="H850" s="13" t="s">
        <v>119</v>
      </c>
      <c r="I850" s="16">
        <f>SUM(I851:I856)</f>
        <v>114977</v>
      </c>
      <c r="J850" s="16">
        <f t="shared" ref="J850" si="373">SUM(J851:J856)</f>
        <v>-490</v>
      </c>
      <c r="K850" s="16">
        <f t="shared" si="366"/>
        <v>114487</v>
      </c>
      <c r="L850" s="16"/>
      <c r="M850" s="16"/>
      <c r="N850" s="16"/>
      <c r="O850" s="16">
        <f t="shared" si="367"/>
        <v>0</v>
      </c>
      <c r="P850" s="16"/>
      <c r="Q850" s="18">
        <f t="shared" si="363"/>
        <v>114977</v>
      </c>
      <c r="R850" s="18">
        <f t="shared" si="372"/>
        <v>-490</v>
      </c>
      <c r="S850" s="18">
        <f t="shared" si="372"/>
        <v>114487</v>
      </c>
    </row>
    <row r="851" spans="2:19" x14ac:dyDescent="0.2">
      <c r="B851" s="7">
        <f t="shared" si="365"/>
        <v>343</v>
      </c>
      <c r="C851" s="19"/>
      <c r="D851" s="19"/>
      <c r="E851" s="19"/>
      <c r="F851" s="20"/>
      <c r="G851" s="21">
        <v>631</v>
      </c>
      <c r="H851" s="19" t="s">
        <v>125</v>
      </c>
      <c r="I851" s="22">
        <v>100</v>
      </c>
      <c r="J851" s="22"/>
      <c r="K851" s="22">
        <f t="shared" si="366"/>
        <v>100</v>
      </c>
      <c r="L851" s="22"/>
      <c r="M851" s="22"/>
      <c r="N851" s="22"/>
      <c r="O851" s="22">
        <f t="shared" si="367"/>
        <v>0</v>
      </c>
      <c r="P851" s="22"/>
      <c r="Q851" s="23">
        <f t="shared" si="363"/>
        <v>100</v>
      </c>
      <c r="R851" s="23">
        <f t="shared" si="372"/>
        <v>0</v>
      </c>
      <c r="S851" s="23">
        <f t="shared" si="372"/>
        <v>100</v>
      </c>
    </row>
    <row r="852" spans="2:19" x14ac:dyDescent="0.2">
      <c r="B852" s="7">
        <f t="shared" si="365"/>
        <v>344</v>
      </c>
      <c r="C852" s="19"/>
      <c r="D852" s="19"/>
      <c r="E852" s="19"/>
      <c r="F852" s="20"/>
      <c r="G852" s="21">
        <v>632</v>
      </c>
      <c r="H852" s="19" t="s">
        <v>131</v>
      </c>
      <c r="I852" s="22">
        <v>65845</v>
      </c>
      <c r="J852" s="22">
        <v>-5590</v>
      </c>
      <c r="K852" s="22">
        <f t="shared" si="366"/>
        <v>60255</v>
      </c>
      <c r="L852" s="22"/>
      <c r="M852" s="22"/>
      <c r="N852" s="22"/>
      <c r="O852" s="22">
        <f t="shared" si="367"/>
        <v>0</v>
      </c>
      <c r="P852" s="22"/>
      <c r="Q852" s="23">
        <f t="shared" si="363"/>
        <v>65845</v>
      </c>
      <c r="R852" s="23">
        <f t="shared" si="372"/>
        <v>-5590</v>
      </c>
      <c r="S852" s="23">
        <f t="shared" si="372"/>
        <v>60255</v>
      </c>
    </row>
    <row r="853" spans="2:19" x14ac:dyDescent="0.2">
      <c r="B853" s="7">
        <f t="shared" si="365"/>
        <v>345</v>
      </c>
      <c r="C853" s="19"/>
      <c r="D853" s="19"/>
      <c r="E853" s="19"/>
      <c r="F853" s="20"/>
      <c r="G853" s="21">
        <v>633</v>
      </c>
      <c r="H853" s="19" t="s">
        <v>123</v>
      </c>
      <c r="I853" s="22">
        <f>17098+900</f>
        <v>17998</v>
      </c>
      <c r="J853" s="22">
        <v>100</v>
      </c>
      <c r="K853" s="22">
        <f t="shared" si="366"/>
        <v>18098</v>
      </c>
      <c r="L853" s="22"/>
      <c r="M853" s="22"/>
      <c r="N853" s="22"/>
      <c r="O853" s="22">
        <f t="shared" si="367"/>
        <v>0</v>
      </c>
      <c r="P853" s="22"/>
      <c r="Q853" s="23">
        <f t="shared" si="363"/>
        <v>17998</v>
      </c>
      <c r="R853" s="23">
        <f t="shared" si="372"/>
        <v>100</v>
      </c>
      <c r="S853" s="23">
        <f t="shared" si="372"/>
        <v>18098</v>
      </c>
    </row>
    <row r="854" spans="2:19" x14ac:dyDescent="0.2">
      <c r="B854" s="7">
        <f t="shared" si="365"/>
        <v>346</v>
      </c>
      <c r="C854" s="19"/>
      <c r="D854" s="19"/>
      <c r="E854" s="19"/>
      <c r="F854" s="20"/>
      <c r="G854" s="21">
        <v>634</v>
      </c>
      <c r="H854" s="19" t="s">
        <v>129</v>
      </c>
      <c r="I854" s="22">
        <v>100</v>
      </c>
      <c r="J854" s="22"/>
      <c r="K854" s="22">
        <f t="shared" si="366"/>
        <v>100</v>
      </c>
      <c r="L854" s="22"/>
      <c r="M854" s="22"/>
      <c r="N854" s="22"/>
      <c r="O854" s="22">
        <f t="shared" si="367"/>
        <v>0</v>
      </c>
      <c r="P854" s="22"/>
      <c r="Q854" s="23">
        <f t="shared" si="363"/>
        <v>100</v>
      </c>
      <c r="R854" s="23">
        <f t="shared" si="372"/>
        <v>0</v>
      </c>
      <c r="S854" s="23">
        <f t="shared" si="372"/>
        <v>100</v>
      </c>
    </row>
    <row r="855" spans="2:19" x14ac:dyDescent="0.2">
      <c r="B855" s="7">
        <f t="shared" si="365"/>
        <v>347</v>
      </c>
      <c r="C855" s="19"/>
      <c r="D855" s="19"/>
      <c r="E855" s="19"/>
      <c r="F855" s="20"/>
      <c r="G855" s="21">
        <v>635</v>
      </c>
      <c r="H855" s="19" t="s">
        <v>130</v>
      </c>
      <c r="I855" s="22">
        <v>1900</v>
      </c>
      <c r="J855" s="22">
        <v>5000</v>
      </c>
      <c r="K855" s="22">
        <f t="shared" si="366"/>
        <v>6900</v>
      </c>
      <c r="L855" s="22"/>
      <c r="M855" s="22"/>
      <c r="N855" s="22"/>
      <c r="O855" s="22">
        <f t="shared" si="367"/>
        <v>0</v>
      </c>
      <c r="P855" s="22"/>
      <c r="Q855" s="23">
        <f t="shared" si="363"/>
        <v>1900</v>
      </c>
      <c r="R855" s="23">
        <f t="shared" si="372"/>
        <v>5000</v>
      </c>
      <c r="S855" s="23">
        <f t="shared" si="372"/>
        <v>6900</v>
      </c>
    </row>
    <row r="856" spans="2:19" x14ac:dyDescent="0.2">
      <c r="B856" s="7">
        <f t="shared" si="365"/>
        <v>348</v>
      </c>
      <c r="C856" s="19"/>
      <c r="D856" s="19"/>
      <c r="E856" s="19"/>
      <c r="F856" s="20"/>
      <c r="G856" s="21">
        <v>637</v>
      </c>
      <c r="H856" s="19" t="s">
        <v>120</v>
      </c>
      <c r="I856" s="22">
        <f>28185+849</f>
        <v>29034</v>
      </c>
      <c r="J856" s="22"/>
      <c r="K856" s="22">
        <f t="shared" si="366"/>
        <v>29034</v>
      </c>
      <c r="L856" s="22"/>
      <c r="M856" s="22"/>
      <c r="N856" s="22"/>
      <c r="O856" s="22">
        <f t="shared" si="367"/>
        <v>0</v>
      </c>
      <c r="P856" s="22"/>
      <c r="Q856" s="23">
        <f t="shared" si="363"/>
        <v>29034</v>
      </c>
      <c r="R856" s="23">
        <f t="shared" si="372"/>
        <v>0</v>
      </c>
      <c r="S856" s="23">
        <f t="shared" si="372"/>
        <v>29034</v>
      </c>
    </row>
    <row r="857" spans="2:19" x14ac:dyDescent="0.2">
      <c r="B857" s="7">
        <f t="shared" si="365"/>
        <v>349</v>
      </c>
      <c r="C857" s="13"/>
      <c r="D857" s="13"/>
      <c r="E857" s="13"/>
      <c r="F857" s="14" t="s">
        <v>106</v>
      </c>
      <c r="G857" s="15">
        <v>640</v>
      </c>
      <c r="H857" s="13" t="s">
        <v>127</v>
      </c>
      <c r="I857" s="16">
        <v>2425</v>
      </c>
      <c r="J857" s="16">
        <v>880</v>
      </c>
      <c r="K857" s="16">
        <f t="shared" si="366"/>
        <v>3305</v>
      </c>
      <c r="L857" s="16"/>
      <c r="M857" s="16"/>
      <c r="N857" s="16"/>
      <c r="O857" s="16">
        <f t="shared" si="367"/>
        <v>0</v>
      </c>
      <c r="P857" s="16"/>
      <c r="Q857" s="18">
        <f t="shared" si="363"/>
        <v>2425</v>
      </c>
      <c r="R857" s="18">
        <f t="shared" si="372"/>
        <v>880</v>
      </c>
      <c r="S857" s="18">
        <f t="shared" si="372"/>
        <v>3305</v>
      </c>
    </row>
    <row r="858" spans="2:19" x14ac:dyDescent="0.2">
      <c r="B858" s="7">
        <f t="shared" si="365"/>
        <v>350</v>
      </c>
      <c r="C858" s="13"/>
      <c r="D858" s="13"/>
      <c r="E858" s="13"/>
      <c r="F858" s="14" t="s">
        <v>106</v>
      </c>
      <c r="G858" s="15">
        <v>600</v>
      </c>
      <c r="H858" s="13" t="s">
        <v>686</v>
      </c>
      <c r="I858" s="16">
        <v>37231</v>
      </c>
      <c r="J858" s="16"/>
      <c r="K858" s="16">
        <f t="shared" si="366"/>
        <v>37231</v>
      </c>
      <c r="L858" s="16"/>
      <c r="M858" s="16"/>
      <c r="N858" s="16"/>
      <c r="O858" s="16">
        <f t="shared" si="367"/>
        <v>0</v>
      </c>
      <c r="P858" s="16"/>
      <c r="Q858" s="18">
        <f t="shared" si="363"/>
        <v>37231</v>
      </c>
      <c r="R858" s="18">
        <f t="shared" si="372"/>
        <v>0</v>
      </c>
      <c r="S858" s="18">
        <f t="shared" si="372"/>
        <v>37231</v>
      </c>
    </row>
    <row r="859" spans="2:19" x14ac:dyDescent="0.2">
      <c r="B859" s="7">
        <f t="shared" si="365"/>
        <v>351</v>
      </c>
      <c r="C859" s="13"/>
      <c r="D859" s="13"/>
      <c r="E859" s="13"/>
      <c r="F859" s="14" t="s">
        <v>106</v>
      </c>
      <c r="G859" s="15">
        <v>710</v>
      </c>
      <c r="H859" s="13" t="s">
        <v>171</v>
      </c>
      <c r="I859" s="16"/>
      <c r="J859" s="16"/>
      <c r="K859" s="16">
        <f t="shared" si="366"/>
        <v>0</v>
      </c>
      <c r="L859" s="16"/>
      <c r="M859" s="16">
        <f>M864+M860+M862</f>
        <v>506695</v>
      </c>
      <c r="N859" s="16">
        <f t="shared" ref="N859" si="374">N864+N860+N862</f>
        <v>0</v>
      </c>
      <c r="O859" s="16">
        <f t="shared" si="367"/>
        <v>506695</v>
      </c>
      <c r="P859" s="16"/>
      <c r="Q859" s="18">
        <f t="shared" si="363"/>
        <v>506695</v>
      </c>
      <c r="R859" s="18">
        <f t="shared" si="372"/>
        <v>0</v>
      </c>
      <c r="S859" s="18">
        <f t="shared" si="372"/>
        <v>506695</v>
      </c>
    </row>
    <row r="860" spans="2:19" x14ac:dyDescent="0.2">
      <c r="B860" s="7">
        <f t="shared" si="365"/>
        <v>352</v>
      </c>
      <c r="C860" s="13"/>
      <c r="D860" s="13"/>
      <c r="E860" s="13"/>
      <c r="F860" s="14"/>
      <c r="G860" s="21">
        <v>713</v>
      </c>
      <c r="H860" s="19" t="s">
        <v>215</v>
      </c>
      <c r="I860" s="22"/>
      <c r="J860" s="22"/>
      <c r="K860" s="22">
        <f t="shared" si="366"/>
        <v>0</v>
      </c>
      <c r="L860" s="16"/>
      <c r="M860" s="22">
        <f>M861</f>
        <v>9995</v>
      </c>
      <c r="N860" s="22">
        <f t="shared" ref="N860" si="375">N861</f>
        <v>0</v>
      </c>
      <c r="O860" s="22">
        <f t="shared" si="367"/>
        <v>9995</v>
      </c>
      <c r="P860" s="16"/>
      <c r="Q860" s="18">
        <f t="shared" si="363"/>
        <v>9995</v>
      </c>
      <c r="R860" s="18">
        <f t="shared" si="372"/>
        <v>0</v>
      </c>
      <c r="S860" s="18">
        <f t="shared" si="372"/>
        <v>9995</v>
      </c>
    </row>
    <row r="861" spans="2:19" x14ac:dyDescent="0.2">
      <c r="B861" s="7">
        <f t="shared" si="365"/>
        <v>353</v>
      </c>
      <c r="C861" s="13"/>
      <c r="D861" s="13"/>
      <c r="E861" s="13"/>
      <c r="F861" s="14"/>
      <c r="G861" s="25"/>
      <c r="H861" s="1" t="s">
        <v>688</v>
      </c>
      <c r="I861" s="26"/>
      <c r="J861" s="26"/>
      <c r="K861" s="26">
        <f t="shared" si="366"/>
        <v>0</v>
      </c>
      <c r="L861" s="16"/>
      <c r="M861" s="26">
        <v>9995</v>
      </c>
      <c r="N861" s="26"/>
      <c r="O861" s="26">
        <f t="shared" si="367"/>
        <v>9995</v>
      </c>
      <c r="P861" s="16"/>
      <c r="Q861" s="28">
        <f t="shared" si="363"/>
        <v>9995</v>
      </c>
      <c r="R861" s="28">
        <f t="shared" ref="R861:S876" si="376">N861+J861</f>
        <v>0</v>
      </c>
      <c r="S861" s="28">
        <f t="shared" si="376"/>
        <v>9995</v>
      </c>
    </row>
    <row r="862" spans="2:19" x14ac:dyDescent="0.2">
      <c r="B862" s="7">
        <f t="shared" si="365"/>
        <v>354</v>
      </c>
      <c r="C862" s="13"/>
      <c r="D862" s="13"/>
      <c r="E862" s="13"/>
      <c r="F862" s="14"/>
      <c r="G862" s="21">
        <v>716</v>
      </c>
      <c r="H862" s="19" t="s">
        <v>211</v>
      </c>
      <c r="I862" s="16"/>
      <c r="J862" s="16"/>
      <c r="K862" s="16">
        <f t="shared" si="366"/>
        <v>0</v>
      </c>
      <c r="L862" s="16"/>
      <c r="M862" s="22">
        <f>M863</f>
        <v>10000</v>
      </c>
      <c r="N862" s="22">
        <f t="shared" ref="N862" si="377">N863</f>
        <v>0</v>
      </c>
      <c r="O862" s="22">
        <f t="shared" si="367"/>
        <v>10000</v>
      </c>
      <c r="P862" s="16"/>
      <c r="Q862" s="23">
        <f t="shared" si="363"/>
        <v>10000</v>
      </c>
      <c r="R862" s="23">
        <f t="shared" si="376"/>
        <v>0</v>
      </c>
      <c r="S862" s="23">
        <f t="shared" si="376"/>
        <v>10000</v>
      </c>
    </row>
    <row r="863" spans="2:19" x14ac:dyDescent="0.2">
      <c r="B863" s="7">
        <f t="shared" si="365"/>
        <v>355</v>
      </c>
      <c r="C863" s="13"/>
      <c r="D863" s="13"/>
      <c r="E863" s="13"/>
      <c r="F863" s="14"/>
      <c r="G863" s="25"/>
      <c r="H863" s="1" t="s">
        <v>707</v>
      </c>
      <c r="I863" s="16"/>
      <c r="J863" s="16"/>
      <c r="K863" s="16">
        <f t="shared" si="366"/>
        <v>0</v>
      </c>
      <c r="L863" s="16"/>
      <c r="M863" s="26">
        <v>10000</v>
      </c>
      <c r="N863" s="26"/>
      <c r="O863" s="26">
        <f t="shared" si="367"/>
        <v>10000</v>
      </c>
      <c r="P863" s="16"/>
      <c r="Q863" s="28">
        <f t="shared" si="363"/>
        <v>10000</v>
      </c>
      <c r="R863" s="28">
        <f t="shared" si="376"/>
        <v>0</v>
      </c>
      <c r="S863" s="28">
        <f t="shared" si="376"/>
        <v>10000</v>
      </c>
    </row>
    <row r="864" spans="2:19" x14ac:dyDescent="0.2">
      <c r="B864" s="7">
        <f t="shared" si="365"/>
        <v>356</v>
      </c>
      <c r="C864" s="19"/>
      <c r="D864" s="19"/>
      <c r="E864" s="19"/>
      <c r="F864" s="20"/>
      <c r="G864" s="21">
        <v>717</v>
      </c>
      <c r="H864" s="19" t="s">
        <v>178</v>
      </c>
      <c r="I864" s="22"/>
      <c r="J864" s="22"/>
      <c r="K864" s="22">
        <f t="shared" si="366"/>
        <v>0</v>
      </c>
      <c r="L864" s="22"/>
      <c r="M864" s="22">
        <f>SUM(M865:M867)</f>
        <v>486700</v>
      </c>
      <c r="N864" s="22">
        <f t="shared" ref="N864" si="378">SUM(N865:N867)</f>
        <v>0</v>
      </c>
      <c r="O864" s="22">
        <f t="shared" si="367"/>
        <v>486700</v>
      </c>
      <c r="P864" s="22"/>
      <c r="Q864" s="23">
        <f t="shared" si="363"/>
        <v>486700</v>
      </c>
      <c r="R864" s="23">
        <f t="shared" si="376"/>
        <v>0</v>
      </c>
      <c r="S864" s="23">
        <f t="shared" si="376"/>
        <v>486700</v>
      </c>
    </row>
    <row r="865" spans="2:19" x14ac:dyDescent="0.2">
      <c r="B865" s="7">
        <f t="shared" si="365"/>
        <v>357</v>
      </c>
      <c r="C865" s="1"/>
      <c r="D865" s="1"/>
      <c r="E865" s="1"/>
      <c r="F865" s="113"/>
      <c r="G865" s="25"/>
      <c r="H865" s="1" t="s">
        <v>580</v>
      </c>
      <c r="I865" s="26"/>
      <c r="J865" s="26"/>
      <c r="K865" s="26">
        <f t="shared" si="366"/>
        <v>0</v>
      </c>
      <c r="L865" s="26"/>
      <c r="M865" s="26">
        <v>70000</v>
      </c>
      <c r="N865" s="26"/>
      <c r="O865" s="26">
        <f t="shared" si="367"/>
        <v>70000</v>
      </c>
      <c r="P865" s="26"/>
      <c r="Q865" s="28">
        <f t="shared" si="363"/>
        <v>70000</v>
      </c>
      <c r="R865" s="28">
        <f t="shared" si="376"/>
        <v>0</v>
      </c>
      <c r="S865" s="28">
        <f t="shared" si="376"/>
        <v>70000</v>
      </c>
    </row>
    <row r="866" spans="2:19" x14ac:dyDescent="0.2">
      <c r="B866" s="7">
        <f t="shared" si="365"/>
        <v>358</v>
      </c>
      <c r="C866" s="1"/>
      <c r="D866" s="1"/>
      <c r="E866" s="1"/>
      <c r="F866" s="113"/>
      <c r="G866" s="25"/>
      <c r="H866" s="1" t="s">
        <v>689</v>
      </c>
      <c r="I866" s="26"/>
      <c r="J866" s="26"/>
      <c r="K866" s="26">
        <f t="shared" si="366"/>
        <v>0</v>
      </c>
      <c r="L866" s="26"/>
      <c r="M866" s="26">
        <f>160000-10000</f>
        <v>150000</v>
      </c>
      <c r="N866" s="26"/>
      <c r="O866" s="26">
        <f t="shared" si="367"/>
        <v>150000</v>
      </c>
      <c r="P866" s="26"/>
      <c r="Q866" s="28">
        <f t="shared" si="363"/>
        <v>150000</v>
      </c>
      <c r="R866" s="28">
        <f t="shared" si="376"/>
        <v>0</v>
      </c>
      <c r="S866" s="28">
        <f t="shared" si="376"/>
        <v>150000</v>
      </c>
    </row>
    <row r="867" spans="2:19" x14ac:dyDescent="0.2">
      <c r="B867" s="7">
        <f t="shared" si="365"/>
        <v>359</v>
      </c>
      <c r="C867" s="1"/>
      <c r="D867" s="1"/>
      <c r="E867" s="1"/>
      <c r="F867" s="113"/>
      <c r="G867" s="25"/>
      <c r="H867" s="1" t="s">
        <v>551</v>
      </c>
      <c r="I867" s="26"/>
      <c r="J867" s="26"/>
      <c r="K867" s="26">
        <f t="shared" si="366"/>
        <v>0</v>
      </c>
      <c r="L867" s="26"/>
      <c r="M867" s="26">
        <f>166700+100000</f>
        <v>266700</v>
      </c>
      <c r="N867" s="26"/>
      <c r="O867" s="26">
        <f t="shared" si="367"/>
        <v>266700</v>
      </c>
      <c r="P867" s="26"/>
      <c r="Q867" s="28">
        <f t="shared" si="363"/>
        <v>266700</v>
      </c>
      <c r="R867" s="28">
        <f t="shared" si="376"/>
        <v>0</v>
      </c>
      <c r="S867" s="28">
        <f t="shared" si="376"/>
        <v>266700</v>
      </c>
    </row>
    <row r="868" spans="2:19" ht="15" x14ac:dyDescent="0.25">
      <c r="B868" s="7">
        <f t="shared" si="365"/>
        <v>360</v>
      </c>
      <c r="C868" s="108"/>
      <c r="D868" s="108"/>
      <c r="E868" s="108">
        <v>11</v>
      </c>
      <c r="F868" s="109"/>
      <c r="G868" s="109"/>
      <c r="H868" s="108" t="s">
        <v>7</v>
      </c>
      <c r="I868" s="110">
        <f>I869+I870+I871+I878+I879+I880+I881+I889+I890</f>
        <v>3269864</v>
      </c>
      <c r="J868" s="110">
        <f t="shared" ref="J868" si="379">J869+J870+J871+J878+J879+J880+J881+J889+J890</f>
        <v>0</v>
      </c>
      <c r="K868" s="110">
        <f t="shared" si="366"/>
        <v>3269864</v>
      </c>
      <c r="L868" s="321"/>
      <c r="M868" s="110">
        <f>M891</f>
        <v>24637</v>
      </c>
      <c r="N868" s="110">
        <f t="shared" ref="N868" si="380">N891</f>
        <v>0</v>
      </c>
      <c r="O868" s="110">
        <f t="shared" si="367"/>
        <v>24637</v>
      </c>
      <c r="P868" s="321"/>
      <c r="Q868" s="112">
        <f t="shared" si="363"/>
        <v>3294501</v>
      </c>
      <c r="R868" s="112">
        <f t="shared" si="376"/>
        <v>0</v>
      </c>
      <c r="S868" s="112">
        <f t="shared" si="376"/>
        <v>3294501</v>
      </c>
    </row>
    <row r="869" spans="2:19" x14ac:dyDescent="0.2">
      <c r="B869" s="7">
        <f t="shared" si="365"/>
        <v>361</v>
      </c>
      <c r="C869" s="13"/>
      <c r="D869" s="13"/>
      <c r="E869" s="13"/>
      <c r="F869" s="14" t="s">
        <v>117</v>
      </c>
      <c r="G869" s="15">
        <v>610</v>
      </c>
      <c r="H869" s="13" t="s">
        <v>511</v>
      </c>
      <c r="I869" s="16">
        <f>601800+40000</f>
        <v>641800</v>
      </c>
      <c r="J869" s="16"/>
      <c r="K869" s="16">
        <f t="shared" si="366"/>
        <v>641800</v>
      </c>
      <c r="L869" s="16"/>
      <c r="M869" s="16"/>
      <c r="N869" s="16"/>
      <c r="O869" s="16">
        <f t="shared" si="367"/>
        <v>0</v>
      </c>
      <c r="P869" s="16"/>
      <c r="Q869" s="18">
        <f t="shared" si="363"/>
        <v>641800</v>
      </c>
      <c r="R869" s="18">
        <f t="shared" si="376"/>
        <v>0</v>
      </c>
      <c r="S869" s="18">
        <f t="shared" si="376"/>
        <v>641800</v>
      </c>
    </row>
    <row r="870" spans="2:19" x14ac:dyDescent="0.2">
      <c r="B870" s="7">
        <f t="shared" si="365"/>
        <v>362</v>
      </c>
      <c r="C870" s="13"/>
      <c r="D870" s="13"/>
      <c r="E870" s="13"/>
      <c r="F870" s="14" t="s">
        <v>117</v>
      </c>
      <c r="G870" s="15">
        <v>620</v>
      </c>
      <c r="H870" s="13" t="s">
        <v>122</v>
      </c>
      <c r="I870" s="16">
        <f>232255-2000</f>
        <v>230255</v>
      </c>
      <c r="J870" s="16"/>
      <c r="K870" s="16">
        <f t="shared" si="366"/>
        <v>230255</v>
      </c>
      <c r="L870" s="16"/>
      <c r="M870" s="16"/>
      <c r="N870" s="16"/>
      <c r="O870" s="16">
        <f t="shared" si="367"/>
        <v>0</v>
      </c>
      <c r="P870" s="16"/>
      <c r="Q870" s="18">
        <f t="shared" si="363"/>
        <v>230255</v>
      </c>
      <c r="R870" s="18">
        <f t="shared" si="376"/>
        <v>0</v>
      </c>
      <c r="S870" s="18">
        <f t="shared" si="376"/>
        <v>230255</v>
      </c>
    </row>
    <row r="871" spans="2:19" x14ac:dyDescent="0.2">
      <c r="B871" s="7">
        <f t="shared" si="365"/>
        <v>363</v>
      </c>
      <c r="C871" s="13"/>
      <c r="D871" s="13"/>
      <c r="E871" s="13"/>
      <c r="F871" s="14" t="s">
        <v>117</v>
      </c>
      <c r="G871" s="15">
        <v>630</v>
      </c>
      <c r="H871" s="13" t="s">
        <v>119</v>
      </c>
      <c r="I871" s="16">
        <f>SUM(I872:I877)</f>
        <v>109568</v>
      </c>
      <c r="J871" s="16">
        <f t="shared" ref="J871" si="381">SUM(J872:J877)</f>
        <v>0</v>
      </c>
      <c r="K871" s="16">
        <f t="shared" si="366"/>
        <v>109568</v>
      </c>
      <c r="L871" s="16"/>
      <c r="M871" s="16"/>
      <c r="N871" s="16"/>
      <c r="O871" s="16">
        <f t="shared" si="367"/>
        <v>0</v>
      </c>
      <c r="P871" s="16"/>
      <c r="Q871" s="18">
        <f t="shared" si="363"/>
        <v>109568</v>
      </c>
      <c r="R871" s="18">
        <f t="shared" si="376"/>
        <v>0</v>
      </c>
      <c r="S871" s="18">
        <f t="shared" si="376"/>
        <v>109568</v>
      </c>
    </row>
    <row r="872" spans="2:19" x14ac:dyDescent="0.2">
      <c r="B872" s="7">
        <f t="shared" si="365"/>
        <v>364</v>
      </c>
      <c r="C872" s="19"/>
      <c r="D872" s="19"/>
      <c r="E872" s="19"/>
      <c r="F872" s="20"/>
      <c r="G872" s="21">
        <v>631</v>
      </c>
      <c r="H872" s="19" t="s">
        <v>125</v>
      </c>
      <c r="I872" s="22">
        <v>100</v>
      </c>
      <c r="J872" s="22"/>
      <c r="K872" s="22">
        <f t="shared" si="366"/>
        <v>100</v>
      </c>
      <c r="L872" s="22"/>
      <c r="M872" s="22"/>
      <c r="N872" s="22"/>
      <c r="O872" s="22">
        <f t="shared" si="367"/>
        <v>0</v>
      </c>
      <c r="P872" s="22"/>
      <c r="Q872" s="23">
        <f t="shared" si="363"/>
        <v>100</v>
      </c>
      <c r="R872" s="23">
        <f t="shared" si="376"/>
        <v>0</v>
      </c>
      <c r="S872" s="23">
        <f t="shared" si="376"/>
        <v>100</v>
      </c>
    </row>
    <row r="873" spans="2:19" x14ac:dyDescent="0.2">
      <c r="B873" s="7">
        <f t="shared" si="365"/>
        <v>365</v>
      </c>
      <c r="C873" s="19"/>
      <c r="D873" s="19"/>
      <c r="E873" s="19"/>
      <c r="F873" s="20"/>
      <c r="G873" s="21">
        <v>632</v>
      </c>
      <c r="H873" s="19" t="s">
        <v>131</v>
      </c>
      <c r="I873" s="22">
        <f>31780-19780</f>
        <v>12000</v>
      </c>
      <c r="J873" s="22"/>
      <c r="K873" s="22">
        <f t="shared" si="366"/>
        <v>12000</v>
      </c>
      <c r="L873" s="22"/>
      <c r="M873" s="22"/>
      <c r="N873" s="22"/>
      <c r="O873" s="22">
        <f t="shared" si="367"/>
        <v>0</v>
      </c>
      <c r="P873" s="22"/>
      <c r="Q873" s="23">
        <f t="shared" si="363"/>
        <v>12000</v>
      </c>
      <c r="R873" s="23">
        <f t="shared" si="376"/>
        <v>0</v>
      </c>
      <c r="S873" s="23">
        <f t="shared" si="376"/>
        <v>12000</v>
      </c>
    </row>
    <row r="874" spans="2:19" x14ac:dyDescent="0.2">
      <c r="B874" s="7">
        <f t="shared" si="365"/>
        <v>366</v>
      </c>
      <c r="C874" s="19"/>
      <c r="D874" s="19"/>
      <c r="E874" s="19"/>
      <c r="F874" s="20"/>
      <c r="G874" s="21">
        <v>633</v>
      </c>
      <c r="H874" s="19" t="s">
        <v>123</v>
      </c>
      <c r="I874" s="22">
        <v>32000</v>
      </c>
      <c r="J874" s="22"/>
      <c r="K874" s="22">
        <f t="shared" si="366"/>
        <v>32000</v>
      </c>
      <c r="L874" s="22"/>
      <c r="M874" s="22"/>
      <c r="N874" s="22"/>
      <c r="O874" s="22">
        <f t="shared" si="367"/>
        <v>0</v>
      </c>
      <c r="P874" s="22"/>
      <c r="Q874" s="23">
        <f t="shared" si="363"/>
        <v>32000</v>
      </c>
      <c r="R874" s="23">
        <f t="shared" si="376"/>
        <v>0</v>
      </c>
      <c r="S874" s="23">
        <f t="shared" si="376"/>
        <v>32000</v>
      </c>
    </row>
    <row r="875" spans="2:19" x14ac:dyDescent="0.2">
      <c r="B875" s="7">
        <f t="shared" si="365"/>
        <v>367</v>
      </c>
      <c r="C875" s="19"/>
      <c r="D875" s="19"/>
      <c r="E875" s="19"/>
      <c r="F875" s="20"/>
      <c r="G875" s="21">
        <v>635</v>
      </c>
      <c r="H875" s="19" t="s">
        <v>130</v>
      </c>
      <c r="I875" s="22">
        <v>16190</v>
      </c>
      <c r="J875" s="22"/>
      <c r="K875" s="22">
        <f t="shared" si="366"/>
        <v>16190</v>
      </c>
      <c r="L875" s="22"/>
      <c r="M875" s="22"/>
      <c r="N875" s="22"/>
      <c r="O875" s="22">
        <f t="shared" si="367"/>
        <v>0</v>
      </c>
      <c r="P875" s="22"/>
      <c r="Q875" s="23">
        <f t="shared" si="363"/>
        <v>16190</v>
      </c>
      <c r="R875" s="23">
        <f t="shared" si="376"/>
        <v>0</v>
      </c>
      <c r="S875" s="23">
        <f t="shared" si="376"/>
        <v>16190</v>
      </c>
    </row>
    <row r="876" spans="2:19" x14ac:dyDescent="0.2">
      <c r="B876" s="7">
        <f t="shared" si="365"/>
        <v>368</v>
      </c>
      <c r="C876" s="19"/>
      <c r="D876" s="19"/>
      <c r="E876" s="19"/>
      <c r="F876" s="20"/>
      <c r="G876" s="21">
        <v>636</v>
      </c>
      <c r="H876" s="19" t="s">
        <v>124</v>
      </c>
      <c r="I876" s="22">
        <v>3800</v>
      </c>
      <c r="J876" s="22"/>
      <c r="K876" s="22">
        <f t="shared" si="366"/>
        <v>3800</v>
      </c>
      <c r="L876" s="22"/>
      <c r="M876" s="22"/>
      <c r="N876" s="22"/>
      <c r="O876" s="22">
        <f t="shared" si="367"/>
        <v>0</v>
      </c>
      <c r="P876" s="22"/>
      <c r="Q876" s="23">
        <f t="shared" si="363"/>
        <v>3800</v>
      </c>
      <c r="R876" s="23">
        <f t="shared" si="376"/>
        <v>0</v>
      </c>
      <c r="S876" s="23">
        <f t="shared" si="376"/>
        <v>3800</v>
      </c>
    </row>
    <row r="877" spans="2:19" x14ac:dyDescent="0.2">
      <c r="B877" s="7">
        <f t="shared" si="365"/>
        <v>369</v>
      </c>
      <c r="C877" s="19"/>
      <c r="D877" s="19"/>
      <c r="E877" s="19"/>
      <c r="F877" s="20"/>
      <c r="G877" s="21">
        <v>637</v>
      </c>
      <c r="H877" s="19" t="s">
        <v>120</v>
      </c>
      <c r="I877" s="22">
        <f>50478-5000</f>
        <v>45478</v>
      </c>
      <c r="J877" s="22"/>
      <c r="K877" s="22">
        <f t="shared" si="366"/>
        <v>45478</v>
      </c>
      <c r="L877" s="22"/>
      <c r="M877" s="22"/>
      <c r="N877" s="22"/>
      <c r="O877" s="22">
        <f t="shared" si="367"/>
        <v>0</v>
      </c>
      <c r="P877" s="22"/>
      <c r="Q877" s="23">
        <f t="shared" si="363"/>
        <v>45478</v>
      </c>
      <c r="R877" s="23">
        <f t="shared" ref="R877:S892" si="382">N877+J877</f>
        <v>0</v>
      </c>
      <c r="S877" s="23">
        <f t="shared" si="382"/>
        <v>45478</v>
      </c>
    </row>
    <row r="878" spans="2:19" x14ac:dyDescent="0.2">
      <c r="B878" s="7">
        <f t="shared" si="365"/>
        <v>370</v>
      </c>
      <c r="C878" s="13"/>
      <c r="D878" s="13"/>
      <c r="E878" s="13"/>
      <c r="F878" s="14" t="s">
        <v>117</v>
      </c>
      <c r="G878" s="15">
        <v>640</v>
      </c>
      <c r="H878" s="13" t="s">
        <v>127</v>
      </c>
      <c r="I878" s="16">
        <f>9200-4500</f>
        <v>4700</v>
      </c>
      <c r="J878" s="16"/>
      <c r="K878" s="16">
        <f t="shared" si="366"/>
        <v>4700</v>
      </c>
      <c r="L878" s="16"/>
      <c r="M878" s="16"/>
      <c r="N878" s="16"/>
      <c r="O878" s="16">
        <f t="shared" si="367"/>
        <v>0</v>
      </c>
      <c r="P878" s="16"/>
      <c r="Q878" s="18">
        <f t="shared" si="363"/>
        <v>4700</v>
      </c>
      <c r="R878" s="18">
        <f t="shared" si="382"/>
        <v>0</v>
      </c>
      <c r="S878" s="18">
        <f t="shared" si="382"/>
        <v>4700</v>
      </c>
    </row>
    <row r="879" spans="2:19" x14ac:dyDescent="0.2">
      <c r="B879" s="7">
        <f t="shared" si="365"/>
        <v>371</v>
      </c>
      <c r="C879" s="13"/>
      <c r="D879" s="13"/>
      <c r="E879" s="13"/>
      <c r="F879" s="14" t="s">
        <v>106</v>
      </c>
      <c r="G879" s="15">
        <v>610</v>
      </c>
      <c r="H879" s="13" t="s">
        <v>511</v>
      </c>
      <c r="I879" s="16">
        <f>1272223+100+65659</f>
        <v>1337982</v>
      </c>
      <c r="J879" s="16"/>
      <c r="K879" s="16">
        <f t="shared" si="366"/>
        <v>1337982</v>
      </c>
      <c r="L879" s="16"/>
      <c r="M879" s="16"/>
      <c r="N879" s="16"/>
      <c r="O879" s="16">
        <f t="shared" si="367"/>
        <v>0</v>
      </c>
      <c r="P879" s="16"/>
      <c r="Q879" s="18">
        <f t="shared" si="363"/>
        <v>1337982</v>
      </c>
      <c r="R879" s="18">
        <f t="shared" si="382"/>
        <v>0</v>
      </c>
      <c r="S879" s="18">
        <f t="shared" si="382"/>
        <v>1337982</v>
      </c>
    </row>
    <row r="880" spans="2:19" x14ac:dyDescent="0.2">
      <c r="B880" s="7">
        <f t="shared" si="365"/>
        <v>372</v>
      </c>
      <c r="C880" s="13"/>
      <c r="D880" s="13"/>
      <c r="E880" s="13"/>
      <c r="F880" s="14" t="s">
        <v>106</v>
      </c>
      <c r="G880" s="15">
        <v>620</v>
      </c>
      <c r="H880" s="13" t="s">
        <v>122</v>
      </c>
      <c r="I880" s="16">
        <f>502314+35-2699</f>
        <v>499650</v>
      </c>
      <c r="J880" s="16"/>
      <c r="K880" s="16">
        <f t="shared" si="366"/>
        <v>499650</v>
      </c>
      <c r="L880" s="16"/>
      <c r="M880" s="16"/>
      <c r="N880" s="16"/>
      <c r="O880" s="16">
        <f t="shared" si="367"/>
        <v>0</v>
      </c>
      <c r="P880" s="16"/>
      <c r="Q880" s="18">
        <f t="shared" si="363"/>
        <v>499650</v>
      </c>
      <c r="R880" s="18">
        <f t="shared" si="382"/>
        <v>0</v>
      </c>
      <c r="S880" s="18">
        <f t="shared" si="382"/>
        <v>499650</v>
      </c>
    </row>
    <row r="881" spans="2:19" x14ac:dyDescent="0.2">
      <c r="B881" s="7">
        <f t="shared" si="365"/>
        <v>373</v>
      </c>
      <c r="C881" s="13"/>
      <c r="D881" s="13"/>
      <c r="E881" s="13"/>
      <c r="F881" s="14" t="s">
        <v>106</v>
      </c>
      <c r="G881" s="15">
        <v>630</v>
      </c>
      <c r="H881" s="13" t="s">
        <v>119</v>
      </c>
      <c r="I881" s="16">
        <f>SUM(I882:I888)</f>
        <v>375572</v>
      </c>
      <c r="J881" s="16">
        <f t="shared" ref="J881" si="383">SUM(J882:J888)</f>
        <v>0</v>
      </c>
      <c r="K881" s="16">
        <f t="shared" si="366"/>
        <v>375572</v>
      </c>
      <c r="L881" s="16"/>
      <c r="M881" s="17"/>
      <c r="N881" s="17"/>
      <c r="O881" s="17">
        <f t="shared" si="367"/>
        <v>0</v>
      </c>
      <c r="P881" s="17"/>
      <c r="Q881" s="18">
        <f t="shared" si="363"/>
        <v>375572</v>
      </c>
      <c r="R881" s="18">
        <f t="shared" si="382"/>
        <v>0</v>
      </c>
      <c r="S881" s="18">
        <f t="shared" si="382"/>
        <v>375572</v>
      </c>
    </row>
    <row r="882" spans="2:19" x14ac:dyDescent="0.2">
      <c r="B882" s="7">
        <f t="shared" si="365"/>
        <v>374</v>
      </c>
      <c r="C882" s="19"/>
      <c r="D882" s="19"/>
      <c r="E882" s="19"/>
      <c r="F882" s="20"/>
      <c r="G882" s="21">
        <v>631</v>
      </c>
      <c r="H882" s="19" t="s">
        <v>125</v>
      </c>
      <c r="I882" s="22">
        <v>170</v>
      </c>
      <c r="J882" s="22"/>
      <c r="K882" s="22">
        <f t="shared" si="366"/>
        <v>170</v>
      </c>
      <c r="L882" s="22"/>
      <c r="M882" s="22"/>
      <c r="N882" s="22"/>
      <c r="O882" s="22">
        <f t="shared" si="367"/>
        <v>0</v>
      </c>
      <c r="P882" s="22"/>
      <c r="Q882" s="23">
        <f t="shared" si="363"/>
        <v>170</v>
      </c>
      <c r="R882" s="23">
        <f t="shared" si="382"/>
        <v>0</v>
      </c>
      <c r="S882" s="23">
        <f t="shared" si="382"/>
        <v>170</v>
      </c>
    </row>
    <row r="883" spans="2:19" x14ac:dyDescent="0.2">
      <c r="B883" s="7">
        <f t="shared" si="365"/>
        <v>375</v>
      </c>
      <c r="C883" s="19"/>
      <c r="D883" s="19"/>
      <c r="E883" s="19"/>
      <c r="F883" s="20"/>
      <c r="G883" s="21">
        <v>632</v>
      </c>
      <c r="H883" s="19" t="s">
        <v>131</v>
      </c>
      <c r="I883" s="22">
        <f>177920-29100</f>
        <v>148820</v>
      </c>
      <c r="J883" s="22"/>
      <c r="K883" s="22">
        <f t="shared" si="366"/>
        <v>148820</v>
      </c>
      <c r="L883" s="22"/>
      <c r="M883" s="22"/>
      <c r="N883" s="22"/>
      <c r="O883" s="22">
        <f t="shared" si="367"/>
        <v>0</v>
      </c>
      <c r="P883" s="22"/>
      <c r="Q883" s="23">
        <f t="shared" si="363"/>
        <v>148820</v>
      </c>
      <c r="R883" s="23">
        <f t="shared" si="382"/>
        <v>0</v>
      </c>
      <c r="S883" s="23">
        <f t="shared" si="382"/>
        <v>148820</v>
      </c>
    </row>
    <row r="884" spans="2:19" x14ac:dyDescent="0.2">
      <c r="B884" s="7">
        <f t="shared" si="365"/>
        <v>376</v>
      </c>
      <c r="C884" s="19"/>
      <c r="D884" s="19"/>
      <c r="E884" s="19"/>
      <c r="F884" s="20"/>
      <c r="G884" s="21">
        <v>633</v>
      </c>
      <c r="H884" s="19" t="s">
        <v>123</v>
      </c>
      <c r="I884" s="22">
        <f>74520-3637+2000</f>
        <v>72883</v>
      </c>
      <c r="J884" s="22"/>
      <c r="K884" s="22">
        <f t="shared" si="366"/>
        <v>72883</v>
      </c>
      <c r="L884" s="22"/>
      <c r="M884" s="22"/>
      <c r="N884" s="22"/>
      <c r="O884" s="22">
        <f t="shared" si="367"/>
        <v>0</v>
      </c>
      <c r="P884" s="22"/>
      <c r="Q884" s="23">
        <f t="shared" si="363"/>
        <v>72883</v>
      </c>
      <c r="R884" s="23">
        <f t="shared" si="382"/>
        <v>0</v>
      </c>
      <c r="S884" s="23">
        <f t="shared" si="382"/>
        <v>72883</v>
      </c>
    </row>
    <row r="885" spans="2:19" x14ac:dyDescent="0.2">
      <c r="B885" s="7">
        <f t="shared" si="365"/>
        <v>377</v>
      </c>
      <c r="C885" s="19"/>
      <c r="D885" s="19"/>
      <c r="E885" s="19"/>
      <c r="F885" s="20"/>
      <c r="G885" s="21">
        <v>634</v>
      </c>
      <c r="H885" s="19" t="s">
        <v>129</v>
      </c>
      <c r="I885" s="22">
        <v>1800</v>
      </c>
      <c r="J885" s="22"/>
      <c r="K885" s="22">
        <f t="shared" si="366"/>
        <v>1800</v>
      </c>
      <c r="L885" s="22"/>
      <c r="M885" s="22"/>
      <c r="N885" s="22"/>
      <c r="O885" s="22">
        <f t="shared" si="367"/>
        <v>0</v>
      </c>
      <c r="P885" s="22"/>
      <c r="Q885" s="23">
        <f t="shared" si="363"/>
        <v>1800</v>
      </c>
      <c r="R885" s="23">
        <f t="shared" si="382"/>
        <v>0</v>
      </c>
      <c r="S885" s="23">
        <f t="shared" si="382"/>
        <v>1800</v>
      </c>
    </row>
    <row r="886" spans="2:19" x14ac:dyDescent="0.2">
      <c r="B886" s="7">
        <f t="shared" si="365"/>
        <v>378</v>
      </c>
      <c r="C886" s="19"/>
      <c r="D886" s="19"/>
      <c r="E886" s="19"/>
      <c r="F886" s="20"/>
      <c r="G886" s="21">
        <v>635</v>
      </c>
      <c r="H886" s="19" t="s">
        <v>130</v>
      </c>
      <c r="I886" s="22">
        <v>47870</v>
      </c>
      <c r="J886" s="22"/>
      <c r="K886" s="22">
        <f t="shared" si="366"/>
        <v>47870</v>
      </c>
      <c r="L886" s="22"/>
      <c r="M886" s="22"/>
      <c r="N886" s="22"/>
      <c r="O886" s="22">
        <f t="shared" si="367"/>
        <v>0</v>
      </c>
      <c r="P886" s="22"/>
      <c r="Q886" s="23">
        <f t="shared" si="363"/>
        <v>47870</v>
      </c>
      <c r="R886" s="23">
        <f t="shared" si="382"/>
        <v>0</v>
      </c>
      <c r="S886" s="23">
        <f t="shared" si="382"/>
        <v>47870</v>
      </c>
    </row>
    <row r="887" spans="2:19" x14ac:dyDescent="0.2">
      <c r="B887" s="7">
        <f t="shared" si="365"/>
        <v>379</v>
      </c>
      <c r="C887" s="19"/>
      <c r="D887" s="19"/>
      <c r="E887" s="19"/>
      <c r="F887" s="20"/>
      <c r="G887" s="21">
        <v>636</v>
      </c>
      <c r="H887" s="19" t="s">
        <v>124</v>
      </c>
      <c r="I887" s="22">
        <v>4100</v>
      </c>
      <c r="J887" s="22"/>
      <c r="K887" s="22">
        <f t="shared" si="366"/>
        <v>4100</v>
      </c>
      <c r="L887" s="22"/>
      <c r="M887" s="22"/>
      <c r="N887" s="22"/>
      <c r="O887" s="22">
        <f t="shared" si="367"/>
        <v>0</v>
      </c>
      <c r="P887" s="22"/>
      <c r="Q887" s="23">
        <f t="shared" si="363"/>
        <v>4100</v>
      </c>
      <c r="R887" s="23">
        <f t="shared" si="382"/>
        <v>0</v>
      </c>
      <c r="S887" s="23">
        <f t="shared" si="382"/>
        <v>4100</v>
      </c>
    </row>
    <row r="888" spans="2:19" x14ac:dyDescent="0.2">
      <c r="B888" s="7">
        <f t="shared" si="365"/>
        <v>380</v>
      </c>
      <c r="C888" s="19"/>
      <c r="D888" s="19"/>
      <c r="E888" s="19"/>
      <c r="F888" s="20"/>
      <c r="G888" s="21">
        <v>637</v>
      </c>
      <c r="H888" s="19" t="s">
        <v>120</v>
      </c>
      <c r="I888" s="22">
        <f>106113-6184</f>
        <v>99929</v>
      </c>
      <c r="J888" s="22"/>
      <c r="K888" s="22">
        <f t="shared" si="366"/>
        <v>99929</v>
      </c>
      <c r="L888" s="22"/>
      <c r="M888" s="22"/>
      <c r="N888" s="22"/>
      <c r="O888" s="22">
        <f t="shared" si="367"/>
        <v>0</v>
      </c>
      <c r="P888" s="22"/>
      <c r="Q888" s="23">
        <f t="shared" si="363"/>
        <v>99929</v>
      </c>
      <c r="R888" s="23">
        <f t="shared" si="382"/>
        <v>0</v>
      </c>
      <c r="S888" s="23">
        <f t="shared" si="382"/>
        <v>99929</v>
      </c>
    </row>
    <row r="889" spans="2:19" x14ac:dyDescent="0.2">
      <c r="B889" s="7">
        <f t="shared" si="365"/>
        <v>381</v>
      </c>
      <c r="C889" s="13"/>
      <c r="D889" s="13"/>
      <c r="E889" s="13"/>
      <c r="F889" s="14" t="s">
        <v>106</v>
      </c>
      <c r="G889" s="15">
        <v>640</v>
      </c>
      <c r="H889" s="13" t="s">
        <v>127</v>
      </c>
      <c r="I889" s="16">
        <f>25331-6500</f>
        <v>18831</v>
      </c>
      <c r="J889" s="16"/>
      <c r="K889" s="16">
        <f t="shared" si="366"/>
        <v>18831</v>
      </c>
      <c r="L889" s="16"/>
      <c r="M889" s="16"/>
      <c r="N889" s="16"/>
      <c r="O889" s="16">
        <f t="shared" si="367"/>
        <v>0</v>
      </c>
      <c r="P889" s="16"/>
      <c r="Q889" s="18">
        <f t="shared" si="363"/>
        <v>18831</v>
      </c>
      <c r="R889" s="18">
        <f t="shared" si="382"/>
        <v>0</v>
      </c>
      <c r="S889" s="18">
        <f t="shared" si="382"/>
        <v>18831</v>
      </c>
    </row>
    <row r="890" spans="2:19" x14ac:dyDescent="0.2">
      <c r="B890" s="7">
        <f t="shared" si="365"/>
        <v>382</v>
      </c>
      <c r="C890" s="13"/>
      <c r="D890" s="13"/>
      <c r="E890" s="13"/>
      <c r="F890" s="14" t="s">
        <v>106</v>
      </c>
      <c r="G890" s="15">
        <v>600</v>
      </c>
      <c r="H890" s="13" t="s">
        <v>686</v>
      </c>
      <c r="I890" s="16">
        <v>51506</v>
      </c>
      <c r="J890" s="16"/>
      <c r="K890" s="16">
        <f t="shared" si="366"/>
        <v>51506</v>
      </c>
      <c r="L890" s="16"/>
      <c r="M890" s="16"/>
      <c r="N890" s="16"/>
      <c r="O890" s="16">
        <f t="shared" si="367"/>
        <v>0</v>
      </c>
      <c r="P890" s="16"/>
      <c r="Q890" s="18">
        <f t="shared" si="363"/>
        <v>51506</v>
      </c>
      <c r="R890" s="18">
        <f t="shared" si="382"/>
        <v>0</v>
      </c>
      <c r="S890" s="18">
        <f t="shared" si="382"/>
        <v>51506</v>
      </c>
    </row>
    <row r="891" spans="2:19" x14ac:dyDescent="0.2">
      <c r="B891" s="7">
        <f t="shared" si="365"/>
        <v>383</v>
      </c>
      <c r="C891" s="13"/>
      <c r="D891" s="13"/>
      <c r="E891" s="13"/>
      <c r="F891" s="14" t="s">
        <v>106</v>
      </c>
      <c r="G891" s="15">
        <v>710</v>
      </c>
      <c r="H891" s="13" t="s">
        <v>171</v>
      </c>
      <c r="I891" s="16"/>
      <c r="J891" s="16"/>
      <c r="K891" s="16">
        <f t="shared" si="366"/>
        <v>0</v>
      </c>
      <c r="L891" s="16"/>
      <c r="M891" s="16">
        <f>M894+M892</f>
        <v>24637</v>
      </c>
      <c r="N891" s="16">
        <f t="shared" ref="N891" si="384">N894+N892</f>
        <v>0</v>
      </c>
      <c r="O891" s="16">
        <f t="shared" si="367"/>
        <v>24637</v>
      </c>
      <c r="P891" s="16"/>
      <c r="Q891" s="18">
        <f t="shared" si="363"/>
        <v>24637</v>
      </c>
      <c r="R891" s="18">
        <f t="shared" si="382"/>
        <v>0</v>
      </c>
      <c r="S891" s="18">
        <f t="shared" si="382"/>
        <v>24637</v>
      </c>
    </row>
    <row r="892" spans="2:19" x14ac:dyDescent="0.2">
      <c r="B892" s="7">
        <f t="shared" si="365"/>
        <v>384</v>
      </c>
      <c r="C892" s="13"/>
      <c r="D892" s="13"/>
      <c r="E892" s="13"/>
      <c r="F892" s="14"/>
      <c r="G892" s="21">
        <v>713</v>
      </c>
      <c r="H892" s="19" t="s">
        <v>215</v>
      </c>
      <c r="I892" s="16"/>
      <c r="J892" s="16"/>
      <c r="K892" s="16">
        <f t="shared" si="366"/>
        <v>0</v>
      </c>
      <c r="L892" s="16"/>
      <c r="M892" s="22">
        <f>M893</f>
        <v>4637</v>
      </c>
      <c r="N892" s="22">
        <f t="shared" ref="N892" si="385">N893</f>
        <v>0</v>
      </c>
      <c r="O892" s="22">
        <f t="shared" si="367"/>
        <v>4637</v>
      </c>
      <c r="P892" s="16"/>
      <c r="Q892" s="23">
        <f t="shared" si="363"/>
        <v>4637</v>
      </c>
      <c r="R892" s="23">
        <f t="shared" si="382"/>
        <v>0</v>
      </c>
      <c r="S892" s="23">
        <f t="shared" si="382"/>
        <v>4637</v>
      </c>
    </row>
    <row r="893" spans="2:19" x14ac:dyDescent="0.2">
      <c r="B893" s="7">
        <f t="shared" si="365"/>
        <v>385</v>
      </c>
      <c r="C893" s="13"/>
      <c r="D893" s="13"/>
      <c r="E893" s="13"/>
      <c r="F893" s="14"/>
      <c r="G893" s="21"/>
      <c r="H893" s="19" t="s">
        <v>690</v>
      </c>
      <c r="I893" s="16"/>
      <c r="J893" s="16"/>
      <c r="K893" s="16">
        <f t="shared" si="366"/>
        <v>0</v>
      </c>
      <c r="L893" s="16"/>
      <c r="M893" s="26">
        <v>4637</v>
      </c>
      <c r="N893" s="26"/>
      <c r="O893" s="26">
        <f t="shared" si="367"/>
        <v>4637</v>
      </c>
      <c r="P893" s="16"/>
      <c r="Q893" s="28">
        <f t="shared" ref="Q893:Q956" si="386">M893+I893</f>
        <v>4637</v>
      </c>
      <c r="R893" s="28">
        <f t="shared" ref="R893:S908" si="387">N893+J893</f>
        <v>0</v>
      </c>
      <c r="S893" s="28">
        <f t="shared" si="387"/>
        <v>4637</v>
      </c>
    </row>
    <row r="894" spans="2:19" x14ac:dyDescent="0.2">
      <c r="B894" s="7">
        <f t="shared" ref="B894:B957" si="388">B893+1</f>
        <v>386</v>
      </c>
      <c r="C894" s="13"/>
      <c r="D894" s="13"/>
      <c r="E894" s="13"/>
      <c r="F894" s="20"/>
      <c r="G894" s="21">
        <v>717</v>
      </c>
      <c r="H894" s="19" t="s">
        <v>178</v>
      </c>
      <c r="I894" s="22"/>
      <c r="J894" s="22"/>
      <c r="K894" s="22">
        <f t="shared" ref="K894:K957" si="389">I894+J894</f>
        <v>0</v>
      </c>
      <c r="L894" s="22"/>
      <c r="M894" s="22">
        <f>M895</f>
        <v>20000</v>
      </c>
      <c r="N894" s="22">
        <f t="shared" ref="N894" si="390">N895</f>
        <v>0</v>
      </c>
      <c r="O894" s="22">
        <f t="shared" ref="O894:O957" si="391">M894+N894</f>
        <v>20000</v>
      </c>
      <c r="P894" s="22"/>
      <c r="Q894" s="23">
        <f t="shared" si="386"/>
        <v>20000</v>
      </c>
      <c r="R894" s="23">
        <f t="shared" si="387"/>
        <v>0</v>
      </c>
      <c r="S894" s="23">
        <f t="shared" si="387"/>
        <v>20000</v>
      </c>
    </row>
    <row r="895" spans="2:19" x14ac:dyDescent="0.2">
      <c r="B895" s="7">
        <f t="shared" si="388"/>
        <v>387</v>
      </c>
      <c r="C895" s="13"/>
      <c r="D895" s="13"/>
      <c r="E895" s="13"/>
      <c r="F895" s="113"/>
      <c r="G895" s="25"/>
      <c r="H895" s="1" t="s">
        <v>610</v>
      </c>
      <c r="I895" s="26"/>
      <c r="J895" s="26"/>
      <c r="K895" s="26">
        <f t="shared" si="389"/>
        <v>0</v>
      </c>
      <c r="L895" s="26"/>
      <c r="M895" s="26">
        <v>20000</v>
      </c>
      <c r="N895" s="26"/>
      <c r="O895" s="26">
        <f t="shared" si="391"/>
        <v>20000</v>
      </c>
      <c r="P895" s="26"/>
      <c r="Q895" s="28">
        <f t="shared" si="386"/>
        <v>20000</v>
      </c>
      <c r="R895" s="28">
        <f t="shared" si="387"/>
        <v>0</v>
      </c>
      <c r="S895" s="28">
        <f t="shared" si="387"/>
        <v>20000</v>
      </c>
    </row>
    <row r="896" spans="2:19" ht="15" x14ac:dyDescent="0.25">
      <c r="B896" s="7">
        <f t="shared" si="388"/>
        <v>388</v>
      </c>
      <c r="C896" s="108"/>
      <c r="D896" s="108"/>
      <c r="E896" s="108">
        <v>12</v>
      </c>
      <c r="F896" s="109"/>
      <c r="G896" s="109"/>
      <c r="H896" s="108" t="s">
        <v>5</v>
      </c>
      <c r="I896" s="110">
        <f>I897+I898+I899+I906+I907+I908+I909+I916+I917</f>
        <v>2965186</v>
      </c>
      <c r="J896" s="110">
        <f t="shared" ref="J896" si="392">J897+J898+J899+J906+J907+J908+J909+J916+J917</f>
        <v>0</v>
      </c>
      <c r="K896" s="110">
        <f t="shared" si="389"/>
        <v>2965186</v>
      </c>
      <c r="L896" s="321"/>
      <c r="M896" s="110"/>
      <c r="N896" s="110"/>
      <c r="O896" s="110">
        <f t="shared" si="391"/>
        <v>0</v>
      </c>
      <c r="P896" s="321"/>
      <c r="Q896" s="112">
        <f t="shared" si="386"/>
        <v>2965186</v>
      </c>
      <c r="R896" s="112">
        <f t="shared" si="387"/>
        <v>0</v>
      </c>
      <c r="S896" s="112">
        <f t="shared" si="387"/>
        <v>2965186</v>
      </c>
    </row>
    <row r="897" spans="2:19" x14ac:dyDescent="0.2">
      <c r="B897" s="7">
        <f t="shared" si="388"/>
        <v>389</v>
      </c>
      <c r="C897" s="13"/>
      <c r="D897" s="13"/>
      <c r="E897" s="13"/>
      <c r="F897" s="14" t="s">
        <v>117</v>
      </c>
      <c r="G897" s="15">
        <v>610</v>
      </c>
      <c r="H897" s="13" t="s">
        <v>511</v>
      </c>
      <c r="I897" s="16">
        <f>871320-62733</f>
        <v>808587</v>
      </c>
      <c r="J897" s="16"/>
      <c r="K897" s="16">
        <f t="shared" si="389"/>
        <v>808587</v>
      </c>
      <c r="L897" s="16"/>
      <c r="M897" s="16"/>
      <c r="N897" s="16"/>
      <c r="O897" s="16">
        <f t="shared" si="391"/>
        <v>0</v>
      </c>
      <c r="P897" s="16"/>
      <c r="Q897" s="18">
        <f t="shared" si="386"/>
        <v>808587</v>
      </c>
      <c r="R897" s="18">
        <f t="shared" si="387"/>
        <v>0</v>
      </c>
      <c r="S897" s="18">
        <f t="shared" si="387"/>
        <v>808587</v>
      </c>
    </row>
    <row r="898" spans="2:19" x14ac:dyDescent="0.2">
      <c r="B898" s="7">
        <f t="shared" si="388"/>
        <v>390</v>
      </c>
      <c r="C898" s="13"/>
      <c r="D898" s="13"/>
      <c r="E898" s="13"/>
      <c r="F898" s="14" t="s">
        <v>117</v>
      </c>
      <c r="G898" s="15">
        <v>620</v>
      </c>
      <c r="H898" s="13" t="s">
        <v>122</v>
      </c>
      <c r="I898" s="16">
        <v>271930</v>
      </c>
      <c r="J898" s="16"/>
      <c r="K898" s="16">
        <f t="shared" si="389"/>
        <v>271930</v>
      </c>
      <c r="L898" s="16"/>
      <c r="M898" s="16"/>
      <c r="N898" s="16"/>
      <c r="O898" s="16">
        <f t="shared" si="391"/>
        <v>0</v>
      </c>
      <c r="P898" s="16"/>
      <c r="Q898" s="18">
        <f t="shared" si="386"/>
        <v>271930</v>
      </c>
      <c r="R898" s="18">
        <f t="shared" si="387"/>
        <v>0</v>
      </c>
      <c r="S898" s="18">
        <f t="shared" si="387"/>
        <v>271930</v>
      </c>
    </row>
    <row r="899" spans="2:19" x14ac:dyDescent="0.2">
      <c r="B899" s="7">
        <f t="shared" si="388"/>
        <v>391</v>
      </c>
      <c r="C899" s="13"/>
      <c r="D899" s="13"/>
      <c r="E899" s="13"/>
      <c r="F899" s="14" t="s">
        <v>117</v>
      </c>
      <c r="G899" s="15">
        <v>630</v>
      </c>
      <c r="H899" s="13" t="s">
        <v>119</v>
      </c>
      <c r="I899" s="16">
        <f>SUM(I900:I905)</f>
        <v>84900</v>
      </c>
      <c r="J899" s="16">
        <f t="shared" ref="J899" si="393">SUM(J900:J905)</f>
        <v>0</v>
      </c>
      <c r="K899" s="16">
        <f t="shared" si="389"/>
        <v>84900</v>
      </c>
      <c r="L899" s="16"/>
      <c r="M899" s="16"/>
      <c r="N899" s="16"/>
      <c r="O899" s="16">
        <f t="shared" si="391"/>
        <v>0</v>
      </c>
      <c r="P899" s="16"/>
      <c r="Q899" s="18">
        <f t="shared" si="386"/>
        <v>84900</v>
      </c>
      <c r="R899" s="18">
        <f t="shared" si="387"/>
        <v>0</v>
      </c>
      <c r="S899" s="18">
        <f t="shared" si="387"/>
        <v>84900</v>
      </c>
    </row>
    <row r="900" spans="2:19" x14ac:dyDescent="0.2">
      <c r="B900" s="7">
        <f t="shared" si="388"/>
        <v>392</v>
      </c>
      <c r="C900" s="19"/>
      <c r="D900" s="19"/>
      <c r="E900" s="19"/>
      <c r="F900" s="20"/>
      <c r="G900" s="21">
        <v>631</v>
      </c>
      <c r="H900" s="19" t="s">
        <v>125</v>
      </c>
      <c r="I900" s="22">
        <v>2000</v>
      </c>
      <c r="J900" s="22"/>
      <c r="K900" s="22">
        <f t="shared" si="389"/>
        <v>2000</v>
      </c>
      <c r="L900" s="22"/>
      <c r="M900" s="22"/>
      <c r="N900" s="22"/>
      <c r="O900" s="22">
        <f t="shared" si="391"/>
        <v>0</v>
      </c>
      <c r="P900" s="22"/>
      <c r="Q900" s="23">
        <f t="shared" si="386"/>
        <v>2000</v>
      </c>
      <c r="R900" s="23">
        <f t="shared" si="387"/>
        <v>0</v>
      </c>
      <c r="S900" s="23">
        <f t="shared" si="387"/>
        <v>2000</v>
      </c>
    </row>
    <row r="901" spans="2:19" x14ac:dyDescent="0.2">
      <c r="B901" s="7">
        <f t="shared" si="388"/>
        <v>393</v>
      </c>
      <c r="C901" s="19"/>
      <c r="D901" s="19"/>
      <c r="E901" s="19"/>
      <c r="F901" s="20"/>
      <c r="G901" s="21">
        <v>632</v>
      </c>
      <c r="H901" s="19" t="s">
        <v>131</v>
      </c>
      <c r="I901" s="22">
        <f>32300-15000</f>
        <v>17300</v>
      </c>
      <c r="J901" s="22"/>
      <c r="K901" s="22">
        <f t="shared" si="389"/>
        <v>17300</v>
      </c>
      <c r="L901" s="22"/>
      <c r="M901" s="22"/>
      <c r="N901" s="22"/>
      <c r="O901" s="22">
        <f t="shared" si="391"/>
        <v>0</v>
      </c>
      <c r="P901" s="22"/>
      <c r="Q901" s="23">
        <f t="shared" si="386"/>
        <v>17300</v>
      </c>
      <c r="R901" s="23">
        <f t="shared" si="387"/>
        <v>0</v>
      </c>
      <c r="S901" s="23">
        <f t="shared" si="387"/>
        <v>17300</v>
      </c>
    </row>
    <row r="902" spans="2:19" x14ac:dyDescent="0.2">
      <c r="B902" s="7">
        <f t="shared" si="388"/>
        <v>394</v>
      </c>
      <c r="C902" s="19"/>
      <c r="D902" s="19"/>
      <c r="E902" s="19"/>
      <c r="F902" s="20"/>
      <c r="G902" s="21">
        <v>633</v>
      </c>
      <c r="H902" s="19" t="s">
        <v>123</v>
      </c>
      <c r="I902" s="22">
        <f>35500-15000</f>
        <v>20500</v>
      </c>
      <c r="J902" s="22"/>
      <c r="K902" s="22">
        <f t="shared" si="389"/>
        <v>20500</v>
      </c>
      <c r="L902" s="22"/>
      <c r="M902" s="22"/>
      <c r="N902" s="22"/>
      <c r="O902" s="22">
        <f t="shared" si="391"/>
        <v>0</v>
      </c>
      <c r="P902" s="22"/>
      <c r="Q902" s="23">
        <f t="shared" si="386"/>
        <v>20500</v>
      </c>
      <c r="R902" s="23">
        <f t="shared" si="387"/>
        <v>0</v>
      </c>
      <c r="S902" s="23">
        <f t="shared" si="387"/>
        <v>20500</v>
      </c>
    </row>
    <row r="903" spans="2:19" x14ac:dyDescent="0.2">
      <c r="B903" s="7">
        <f t="shared" si="388"/>
        <v>395</v>
      </c>
      <c r="C903" s="19"/>
      <c r="D903" s="19"/>
      <c r="E903" s="19"/>
      <c r="F903" s="20"/>
      <c r="G903" s="21">
        <v>635</v>
      </c>
      <c r="H903" s="19" t="s">
        <v>130</v>
      </c>
      <c r="I903" s="22">
        <v>6500</v>
      </c>
      <c r="J903" s="22"/>
      <c r="K903" s="22">
        <f t="shared" si="389"/>
        <v>6500</v>
      </c>
      <c r="L903" s="22"/>
      <c r="M903" s="22"/>
      <c r="N903" s="22"/>
      <c r="O903" s="22">
        <f t="shared" si="391"/>
        <v>0</v>
      </c>
      <c r="P903" s="22"/>
      <c r="Q903" s="23">
        <f t="shared" si="386"/>
        <v>6500</v>
      </c>
      <c r="R903" s="23">
        <f t="shared" si="387"/>
        <v>0</v>
      </c>
      <c r="S903" s="23">
        <f t="shared" si="387"/>
        <v>6500</v>
      </c>
    </row>
    <row r="904" spans="2:19" x14ac:dyDescent="0.2">
      <c r="B904" s="7">
        <f t="shared" si="388"/>
        <v>396</v>
      </c>
      <c r="C904" s="19"/>
      <c r="D904" s="19"/>
      <c r="E904" s="19"/>
      <c r="F904" s="20"/>
      <c r="G904" s="21">
        <v>636</v>
      </c>
      <c r="H904" s="19" t="s">
        <v>124</v>
      </c>
      <c r="I904" s="22">
        <v>3700</v>
      </c>
      <c r="J904" s="22"/>
      <c r="K904" s="22">
        <f t="shared" si="389"/>
        <v>3700</v>
      </c>
      <c r="L904" s="22"/>
      <c r="M904" s="22"/>
      <c r="N904" s="22"/>
      <c r="O904" s="22">
        <f t="shared" si="391"/>
        <v>0</v>
      </c>
      <c r="P904" s="22"/>
      <c r="Q904" s="23">
        <f t="shared" si="386"/>
        <v>3700</v>
      </c>
      <c r="R904" s="23">
        <f t="shared" si="387"/>
        <v>0</v>
      </c>
      <c r="S904" s="23">
        <f t="shared" si="387"/>
        <v>3700</v>
      </c>
    </row>
    <row r="905" spans="2:19" x14ac:dyDescent="0.2">
      <c r="B905" s="7">
        <f t="shared" si="388"/>
        <v>397</v>
      </c>
      <c r="C905" s="19"/>
      <c r="D905" s="19"/>
      <c r="E905" s="19"/>
      <c r="F905" s="20"/>
      <c r="G905" s="21">
        <v>637</v>
      </c>
      <c r="H905" s="19" t="s">
        <v>120</v>
      </c>
      <c r="I905" s="22">
        <f>40900-6000</f>
        <v>34900</v>
      </c>
      <c r="J905" s="22"/>
      <c r="K905" s="22">
        <f t="shared" si="389"/>
        <v>34900</v>
      </c>
      <c r="L905" s="22"/>
      <c r="M905" s="22"/>
      <c r="N905" s="22"/>
      <c r="O905" s="22">
        <f t="shared" si="391"/>
        <v>0</v>
      </c>
      <c r="P905" s="22"/>
      <c r="Q905" s="23">
        <f t="shared" si="386"/>
        <v>34900</v>
      </c>
      <c r="R905" s="23">
        <f t="shared" si="387"/>
        <v>0</v>
      </c>
      <c r="S905" s="23">
        <f t="shared" si="387"/>
        <v>34900</v>
      </c>
    </row>
    <row r="906" spans="2:19" x14ac:dyDescent="0.2">
      <c r="B906" s="7">
        <f t="shared" si="388"/>
        <v>398</v>
      </c>
      <c r="C906" s="13"/>
      <c r="D906" s="13"/>
      <c r="E906" s="13"/>
      <c r="F906" s="14" t="s">
        <v>117</v>
      </c>
      <c r="G906" s="15">
        <v>640</v>
      </c>
      <c r="H906" s="13" t="s">
        <v>127</v>
      </c>
      <c r="I906" s="16">
        <v>87023</v>
      </c>
      <c r="J906" s="16"/>
      <c r="K906" s="16">
        <f t="shared" si="389"/>
        <v>87023</v>
      </c>
      <c r="L906" s="16"/>
      <c r="M906" s="16"/>
      <c r="N906" s="16"/>
      <c r="O906" s="16">
        <f t="shared" si="391"/>
        <v>0</v>
      </c>
      <c r="P906" s="16"/>
      <c r="Q906" s="18">
        <f t="shared" si="386"/>
        <v>87023</v>
      </c>
      <c r="R906" s="18">
        <f t="shared" si="387"/>
        <v>0</v>
      </c>
      <c r="S906" s="18">
        <f t="shared" si="387"/>
        <v>87023</v>
      </c>
    </row>
    <row r="907" spans="2:19" x14ac:dyDescent="0.2">
      <c r="B907" s="7">
        <f t="shared" si="388"/>
        <v>399</v>
      </c>
      <c r="C907" s="13"/>
      <c r="D907" s="13"/>
      <c r="E907" s="13"/>
      <c r="F907" s="14" t="s">
        <v>106</v>
      </c>
      <c r="G907" s="15">
        <v>610</v>
      </c>
      <c r="H907" s="13" t="s">
        <v>511</v>
      </c>
      <c r="I907" s="16">
        <f>1082600+100+259</f>
        <v>1082959</v>
      </c>
      <c r="J907" s="16"/>
      <c r="K907" s="16">
        <f t="shared" si="389"/>
        <v>1082959</v>
      </c>
      <c r="L907" s="16"/>
      <c r="M907" s="16"/>
      <c r="N907" s="16"/>
      <c r="O907" s="16">
        <f t="shared" si="391"/>
        <v>0</v>
      </c>
      <c r="P907" s="16"/>
      <c r="Q907" s="18">
        <f t="shared" si="386"/>
        <v>1082959</v>
      </c>
      <c r="R907" s="18">
        <f t="shared" si="387"/>
        <v>0</v>
      </c>
      <c r="S907" s="18">
        <f t="shared" si="387"/>
        <v>1082959</v>
      </c>
    </row>
    <row r="908" spans="2:19" x14ac:dyDescent="0.2">
      <c r="B908" s="7">
        <f t="shared" si="388"/>
        <v>400</v>
      </c>
      <c r="C908" s="13"/>
      <c r="D908" s="13"/>
      <c r="E908" s="13"/>
      <c r="F908" s="14" t="s">
        <v>106</v>
      </c>
      <c r="G908" s="15">
        <v>620</v>
      </c>
      <c r="H908" s="13" t="s">
        <v>122</v>
      </c>
      <c r="I908" s="16">
        <f>373541+35+91</f>
        <v>373667</v>
      </c>
      <c r="J908" s="16"/>
      <c r="K908" s="16">
        <f t="shared" si="389"/>
        <v>373667</v>
      </c>
      <c r="L908" s="16"/>
      <c r="M908" s="16"/>
      <c r="N908" s="16"/>
      <c r="O908" s="16">
        <f t="shared" si="391"/>
        <v>0</v>
      </c>
      <c r="P908" s="16"/>
      <c r="Q908" s="18">
        <f t="shared" si="386"/>
        <v>373667</v>
      </c>
      <c r="R908" s="18">
        <f t="shared" si="387"/>
        <v>0</v>
      </c>
      <c r="S908" s="18">
        <f t="shared" si="387"/>
        <v>373667</v>
      </c>
    </row>
    <row r="909" spans="2:19" x14ac:dyDescent="0.2">
      <c r="B909" s="7">
        <f t="shared" si="388"/>
        <v>401</v>
      </c>
      <c r="C909" s="13"/>
      <c r="D909" s="13"/>
      <c r="E909" s="13"/>
      <c r="F909" s="14" t="s">
        <v>106</v>
      </c>
      <c r="G909" s="15">
        <v>630</v>
      </c>
      <c r="H909" s="13" t="s">
        <v>119</v>
      </c>
      <c r="I909" s="16">
        <f>SUM(I910:I915)</f>
        <v>151160</v>
      </c>
      <c r="J909" s="16">
        <f t="shared" ref="J909" si="394">SUM(J910:J915)</f>
        <v>0</v>
      </c>
      <c r="K909" s="16">
        <f t="shared" si="389"/>
        <v>151160</v>
      </c>
      <c r="L909" s="16"/>
      <c r="M909" s="16"/>
      <c r="N909" s="16"/>
      <c r="O909" s="16">
        <f t="shared" si="391"/>
        <v>0</v>
      </c>
      <c r="P909" s="16"/>
      <c r="Q909" s="18">
        <f t="shared" si="386"/>
        <v>151160</v>
      </c>
      <c r="R909" s="18">
        <f t="shared" ref="R909:S924" si="395">N909+J909</f>
        <v>0</v>
      </c>
      <c r="S909" s="18">
        <f t="shared" si="395"/>
        <v>151160</v>
      </c>
    </row>
    <row r="910" spans="2:19" x14ac:dyDescent="0.2">
      <c r="B910" s="7">
        <f t="shared" si="388"/>
        <v>402</v>
      </c>
      <c r="C910" s="19"/>
      <c r="D910" s="19"/>
      <c r="E910" s="19"/>
      <c r="F910" s="20"/>
      <c r="G910" s="21">
        <v>631</v>
      </c>
      <c r="H910" s="19" t="s">
        <v>125</v>
      </c>
      <c r="I910" s="22">
        <v>1700</v>
      </c>
      <c r="J910" s="22"/>
      <c r="K910" s="22">
        <f t="shared" si="389"/>
        <v>1700</v>
      </c>
      <c r="L910" s="22"/>
      <c r="M910" s="22"/>
      <c r="N910" s="22"/>
      <c r="O910" s="22">
        <f t="shared" si="391"/>
        <v>0</v>
      </c>
      <c r="P910" s="22"/>
      <c r="Q910" s="23">
        <f t="shared" si="386"/>
        <v>1700</v>
      </c>
      <c r="R910" s="23">
        <f t="shared" si="395"/>
        <v>0</v>
      </c>
      <c r="S910" s="23">
        <f t="shared" si="395"/>
        <v>1700</v>
      </c>
    </row>
    <row r="911" spans="2:19" x14ac:dyDescent="0.2">
      <c r="B911" s="7">
        <f t="shared" si="388"/>
        <v>403</v>
      </c>
      <c r="C911" s="19"/>
      <c r="D911" s="19"/>
      <c r="E911" s="19"/>
      <c r="F911" s="20"/>
      <c r="G911" s="21">
        <v>632</v>
      </c>
      <c r="H911" s="19" t="s">
        <v>131</v>
      </c>
      <c r="I911" s="22">
        <f>31500-15000</f>
        <v>16500</v>
      </c>
      <c r="J911" s="22"/>
      <c r="K911" s="22">
        <f t="shared" si="389"/>
        <v>16500</v>
      </c>
      <c r="L911" s="22"/>
      <c r="M911" s="22"/>
      <c r="N911" s="22"/>
      <c r="O911" s="22">
        <f t="shared" si="391"/>
        <v>0</v>
      </c>
      <c r="P911" s="22"/>
      <c r="Q911" s="23">
        <f t="shared" si="386"/>
        <v>16500</v>
      </c>
      <c r="R911" s="23">
        <f t="shared" si="395"/>
        <v>0</v>
      </c>
      <c r="S911" s="23">
        <f t="shared" si="395"/>
        <v>16500</v>
      </c>
    </row>
    <row r="912" spans="2:19" x14ac:dyDescent="0.2">
      <c r="B912" s="7">
        <f t="shared" si="388"/>
        <v>404</v>
      </c>
      <c r="C912" s="19"/>
      <c r="D912" s="19"/>
      <c r="E912" s="19"/>
      <c r="F912" s="20"/>
      <c r="G912" s="21">
        <v>633</v>
      </c>
      <c r="H912" s="19" t="s">
        <v>123</v>
      </c>
      <c r="I912" s="22">
        <f>22300-4000</f>
        <v>18300</v>
      </c>
      <c r="J912" s="22"/>
      <c r="K912" s="22">
        <f t="shared" si="389"/>
        <v>18300</v>
      </c>
      <c r="L912" s="22"/>
      <c r="M912" s="22"/>
      <c r="N912" s="22"/>
      <c r="O912" s="22">
        <f t="shared" si="391"/>
        <v>0</v>
      </c>
      <c r="P912" s="22"/>
      <c r="Q912" s="23">
        <f t="shared" si="386"/>
        <v>18300</v>
      </c>
      <c r="R912" s="23">
        <f t="shared" si="395"/>
        <v>0</v>
      </c>
      <c r="S912" s="23">
        <f t="shared" si="395"/>
        <v>18300</v>
      </c>
    </row>
    <row r="913" spans="2:19" x14ac:dyDescent="0.2">
      <c r="B913" s="7">
        <f t="shared" si="388"/>
        <v>405</v>
      </c>
      <c r="C913" s="19"/>
      <c r="D913" s="19"/>
      <c r="E913" s="19"/>
      <c r="F913" s="20"/>
      <c r="G913" s="21">
        <v>635</v>
      </c>
      <c r="H913" s="19" t="s">
        <v>130</v>
      </c>
      <c r="I913" s="22">
        <v>25500</v>
      </c>
      <c r="J913" s="22"/>
      <c r="K913" s="22">
        <f t="shared" si="389"/>
        <v>25500</v>
      </c>
      <c r="L913" s="22"/>
      <c r="M913" s="22"/>
      <c r="N913" s="22"/>
      <c r="O913" s="22">
        <f t="shared" si="391"/>
        <v>0</v>
      </c>
      <c r="P913" s="22"/>
      <c r="Q913" s="23">
        <f t="shared" si="386"/>
        <v>25500</v>
      </c>
      <c r="R913" s="23">
        <f t="shared" si="395"/>
        <v>0</v>
      </c>
      <c r="S913" s="23">
        <f t="shared" si="395"/>
        <v>25500</v>
      </c>
    </row>
    <row r="914" spans="2:19" x14ac:dyDescent="0.2">
      <c r="B914" s="7">
        <f t="shared" si="388"/>
        <v>406</v>
      </c>
      <c r="C914" s="19"/>
      <c r="D914" s="19"/>
      <c r="E914" s="19"/>
      <c r="F914" s="20"/>
      <c r="G914" s="21">
        <v>636</v>
      </c>
      <c r="H914" s="19" t="s">
        <v>124</v>
      </c>
      <c r="I914" s="22">
        <v>3700</v>
      </c>
      <c r="J914" s="22"/>
      <c r="K914" s="22">
        <f t="shared" si="389"/>
        <v>3700</v>
      </c>
      <c r="L914" s="22"/>
      <c r="M914" s="22"/>
      <c r="N914" s="22"/>
      <c r="O914" s="22">
        <f t="shared" si="391"/>
        <v>0</v>
      </c>
      <c r="P914" s="22"/>
      <c r="Q914" s="23">
        <f t="shared" si="386"/>
        <v>3700</v>
      </c>
      <c r="R914" s="23">
        <f t="shared" si="395"/>
        <v>0</v>
      </c>
      <c r="S914" s="23">
        <f t="shared" si="395"/>
        <v>3700</v>
      </c>
    </row>
    <row r="915" spans="2:19" x14ac:dyDescent="0.2">
      <c r="B915" s="7">
        <f t="shared" si="388"/>
        <v>407</v>
      </c>
      <c r="C915" s="19"/>
      <c r="D915" s="19"/>
      <c r="E915" s="19"/>
      <c r="F915" s="20"/>
      <c r="G915" s="21">
        <v>637</v>
      </c>
      <c r="H915" s="19" t="s">
        <v>120</v>
      </c>
      <c r="I915" s="22">
        <f>91460-6000</f>
        <v>85460</v>
      </c>
      <c r="J915" s="22"/>
      <c r="K915" s="22">
        <f t="shared" si="389"/>
        <v>85460</v>
      </c>
      <c r="L915" s="22"/>
      <c r="M915" s="22"/>
      <c r="N915" s="22"/>
      <c r="O915" s="22">
        <f t="shared" si="391"/>
        <v>0</v>
      </c>
      <c r="P915" s="22"/>
      <c r="Q915" s="23">
        <f t="shared" si="386"/>
        <v>85460</v>
      </c>
      <c r="R915" s="23">
        <f t="shared" si="395"/>
        <v>0</v>
      </c>
      <c r="S915" s="23">
        <f t="shared" si="395"/>
        <v>85460</v>
      </c>
    </row>
    <row r="916" spans="2:19" x14ac:dyDescent="0.2">
      <c r="B916" s="7">
        <f t="shared" si="388"/>
        <v>408</v>
      </c>
      <c r="C916" s="13"/>
      <c r="D916" s="13"/>
      <c r="E916" s="13"/>
      <c r="F916" s="14" t="s">
        <v>106</v>
      </c>
      <c r="G916" s="15">
        <v>640</v>
      </c>
      <c r="H916" s="13" t="s">
        <v>127</v>
      </c>
      <c r="I916" s="16">
        <v>49730</v>
      </c>
      <c r="J916" s="16"/>
      <c r="K916" s="16">
        <f t="shared" si="389"/>
        <v>49730</v>
      </c>
      <c r="L916" s="16"/>
      <c r="M916" s="16"/>
      <c r="N916" s="16"/>
      <c r="O916" s="16">
        <f t="shared" si="391"/>
        <v>0</v>
      </c>
      <c r="P916" s="16"/>
      <c r="Q916" s="18">
        <f t="shared" si="386"/>
        <v>49730</v>
      </c>
      <c r="R916" s="18">
        <f t="shared" si="395"/>
        <v>0</v>
      </c>
      <c r="S916" s="18">
        <f t="shared" si="395"/>
        <v>49730</v>
      </c>
    </row>
    <row r="917" spans="2:19" x14ac:dyDescent="0.2">
      <c r="B917" s="7">
        <f t="shared" si="388"/>
        <v>409</v>
      </c>
      <c r="C917" s="13"/>
      <c r="D917" s="13"/>
      <c r="E917" s="13"/>
      <c r="F917" s="14" t="s">
        <v>106</v>
      </c>
      <c r="G917" s="15">
        <v>600</v>
      </c>
      <c r="H917" s="13" t="s">
        <v>686</v>
      </c>
      <c r="I917" s="16">
        <v>55230</v>
      </c>
      <c r="J917" s="16"/>
      <c r="K917" s="16">
        <f t="shared" si="389"/>
        <v>55230</v>
      </c>
      <c r="L917" s="16"/>
      <c r="M917" s="16"/>
      <c r="N917" s="16"/>
      <c r="O917" s="16">
        <f t="shared" si="391"/>
        <v>0</v>
      </c>
      <c r="P917" s="16"/>
      <c r="Q917" s="18">
        <f t="shared" si="386"/>
        <v>55230</v>
      </c>
      <c r="R917" s="18">
        <f t="shared" si="395"/>
        <v>0</v>
      </c>
      <c r="S917" s="18">
        <f t="shared" si="395"/>
        <v>55230</v>
      </c>
    </row>
    <row r="918" spans="2:19" ht="15" x14ac:dyDescent="0.25">
      <c r="B918" s="7">
        <f t="shared" si="388"/>
        <v>410</v>
      </c>
      <c r="C918" s="108"/>
      <c r="D918" s="108"/>
      <c r="E918" s="108">
        <v>13</v>
      </c>
      <c r="F918" s="109"/>
      <c r="G918" s="109"/>
      <c r="H918" s="108" t="s">
        <v>12</v>
      </c>
      <c r="I918" s="110">
        <f>I919+I920+I921+I926+I927+I928+I929+I934+I935</f>
        <v>1033796</v>
      </c>
      <c r="J918" s="110">
        <f t="shared" ref="J918" si="396">J919+J920+J921+J926+J927+J928+J929+J934+J935</f>
        <v>0</v>
      </c>
      <c r="K918" s="110">
        <f t="shared" si="389"/>
        <v>1033796</v>
      </c>
      <c r="L918" s="321"/>
      <c r="M918" s="110">
        <f>M936</f>
        <v>8000</v>
      </c>
      <c r="N918" s="110">
        <f t="shared" ref="N918" si="397">N936</f>
        <v>0</v>
      </c>
      <c r="O918" s="110">
        <f t="shared" si="391"/>
        <v>8000</v>
      </c>
      <c r="P918" s="321"/>
      <c r="Q918" s="112">
        <f t="shared" si="386"/>
        <v>1041796</v>
      </c>
      <c r="R918" s="112">
        <f t="shared" si="395"/>
        <v>0</v>
      </c>
      <c r="S918" s="112">
        <f t="shared" si="395"/>
        <v>1041796</v>
      </c>
    </row>
    <row r="919" spans="2:19" x14ac:dyDescent="0.2">
      <c r="B919" s="7">
        <f t="shared" si="388"/>
        <v>411</v>
      </c>
      <c r="C919" s="13"/>
      <c r="D919" s="13"/>
      <c r="E919" s="13"/>
      <c r="F919" s="14" t="s">
        <v>117</v>
      </c>
      <c r="G919" s="15">
        <v>610</v>
      </c>
      <c r="H919" s="13" t="s">
        <v>511</v>
      </c>
      <c r="I919" s="16">
        <f>195576+15283</f>
        <v>210859</v>
      </c>
      <c r="J919" s="16"/>
      <c r="K919" s="16">
        <f t="shared" si="389"/>
        <v>210859</v>
      </c>
      <c r="L919" s="16"/>
      <c r="M919" s="16"/>
      <c r="N919" s="16"/>
      <c r="O919" s="16">
        <f t="shared" si="391"/>
        <v>0</v>
      </c>
      <c r="P919" s="16"/>
      <c r="Q919" s="18">
        <f t="shared" si="386"/>
        <v>210859</v>
      </c>
      <c r="R919" s="18">
        <f t="shared" si="395"/>
        <v>0</v>
      </c>
      <c r="S919" s="18">
        <f t="shared" si="395"/>
        <v>210859</v>
      </c>
    </row>
    <row r="920" spans="2:19" x14ac:dyDescent="0.2">
      <c r="B920" s="7">
        <f t="shared" si="388"/>
        <v>412</v>
      </c>
      <c r="C920" s="13"/>
      <c r="D920" s="13"/>
      <c r="E920" s="13"/>
      <c r="F920" s="14" t="s">
        <v>117</v>
      </c>
      <c r="G920" s="15">
        <v>620</v>
      </c>
      <c r="H920" s="13" t="s">
        <v>122</v>
      </c>
      <c r="I920" s="16">
        <f>77887+5494</f>
        <v>83381</v>
      </c>
      <c r="J920" s="16"/>
      <c r="K920" s="16">
        <f t="shared" si="389"/>
        <v>83381</v>
      </c>
      <c r="L920" s="16"/>
      <c r="M920" s="16"/>
      <c r="N920" s="16"/>
      <c r="O920" s="16">
        <f t="shared" si="391"/>
        <v>0</v>
      </c>
      <c r="P920" s="16"/>
      <c r="Q920" s="18">
        <f t="shared" si="386"/>
        <v>83381</v>
      </c>
      <c r="R920" s="18">
        <f t="shared" si="395"/>
        <v>0</v>
      </c>
      <c r="S920" s="18">
        <f t="shared" si="395"/>
        <v>83381</v>
      </c>
    </row>
    <row r="921" spans="2:19" x14ac:dyDescent="0.2">
      <c r="B921" s="7">
        <f t="shared" si="388"/>
        <v>413</v>
      </c>
      <c r="C921" s="13"/>
      <c r="D921" s="13"/>
      <c r="E921" s="13"/>
      <c r="F921" s="14" t="s">
        <v>117</v>
      </c>
      <c r="G921" s="15">
        <v>630</v>
      </c>
      <c r="H921" s="13" t="s">
        <v>119</v>
      </c>
      <c r="I921" s="16">
        <f>SUM(I922:I925)</f>
        <v>45900</v>
      </c>
      <c r="J921" s="16">
        <f t="shared" ref="J921" si="398">SUM(J922:J925)</f>
        <v>0</v>
      </c>
      <c r="K921" s="16">
        <f t="shared" si="389"/>
        <v>45900</v>
      </c>
      <c r="L921" s="16"/>
      <c r="M921" s="16"/>
      <c r="N921" s="16"/>
      <c r="O921" s="16">
        <f t="shared" si="391"/>
        <v>0</v>
      </c>
      <c r="P921" s="16"/>
      <c r="Q921" s="18">
        <f t="shared" si="386"/>
        <v>45900</v>
      </c>
      <c r="R921" s="18">
        <f t="shared" si="395"/>
        <v>0</v>
      </c>
      <c r="S921" s="18">
        <f t="shared" si="395"/>
        <v>45900</v>
      </c>
    </row>
    <row r="922" spans="2:19" x14ac:dyDescent="0.2">
      <c r="B922" s="7">
        <f t="shared" si="388"/>
        <v>414</v>
      </c>
      <c r="C922" s="19"/>
      <c r="D922" s="19"/>
      <c r="E922" s="19"/>
      <c r="F922" s="20"/>
      <c r="G922" s="21">
        <v>632</v>
      </c>
      <c r="H922" s="19" t="s">
        <v>131</v>
      </c>
      <c r="I922" s="22">
        <v>25450</v>
      </c>
      <c r="J922" s="22"/>
      <c r="K922" s="22">
        <f t="shared" si="389"/>
        <v>25450</v>
      </c>
      <c r="L922" s="22"/>
      <c r="M922" s="22"/>
      <c r="N922" s="22"/>
      <c r="O922" s="22">
        <f t="shared" si="391"/>
        <v>0</v>
      </c>
      <c r="P922" s="22"/>
      <c r="Q922" s="23">
        <f t="shared" si="386"/>
        <v>25450</v>
      </c>
      <c r="R922" s="23">
        <f t="shared" si="395"/>
        <v>0</v>
      </c>
      <c r="S922" s="23">
        <f t="shared" si="395"/>
        <v>25450</v>
      </c>
    </row>
    <row r="923" spans="2:19" x14ac:dyDescent="0.2">
      <c r="B923" s="7">
        <f t="shared" si="388"/>
        <v>415</v>
      </c>
      <c r="C923" s="19"/>
      <c r="D923" s="19"/>
      <c r="E923" s="19"/>
      <c r="F923" s="20"/>
      <c r="G923" s="21">
        <v>633</v>
      </c>
      <c r="H923" s="19" t="s">
        <v>123</v>
      </c>
      <c r="I923" s="22">
        <v>6250</v>
      </c>
      <c r="J923" s="22"/>
      <c r="K923" s="22">
        <f t="shared" si="389"/>
        <v>6250</v>
      </c>
      <c r="L923" s="22"/>
      <c r="M923" s="22"/>
      <c r="N923" s="22"/>
      <c r="O923" s="22">
        <f t="shared" si="391"/>
        <v>0</v>
      </c>
      <c r="P923" s="22"/>
      <c r="Q923" s="23">
        <f t="shared" si="386"/>
        <v>6250</v>
      </c>
      <c r="R923" s="23">
        <f t="shared" si="395"/>
        <v>0</v>
      </c>
      <c r="S923" s="23">
        <f t="shared" si="395"/>
        <v>6250</v>
      </c>
    </row>
    <row r="924" spans="2:19" x14ac:dyDescent="0.2">
      <c r="B924" s="7">
        <f t="shared" si="388"/>
        <v>416</v>
      </c>
      <c r="C924" s="19"/>
      <c r="D924" s="19"/>
      <c r="E924" s="19"/>
      <c r="F924" s="20"/>
      <c r="G924" s="21">
        <v>634</v>
      </c>
      <c r="H924" s="19" t="s">
        <v>129</v>
      </c>
      <c r="I924" s="22">
        <v>1000</v>
      </c>
      <c r="J924" s="22"/>
      <c r="K924" s="22">
        <f t="shared" si="389"/>
        <v>1000</v>
      </c>
      <c r="L924" s="22"/>
      <c r="M924" s="22"/>
      <c r="N924" s="22"/>
      <c r="O924" s="22">
        <f t="shared" si="391"/>
        <v>0</v>
      </c>
      <c r="P924" s="22"/>
      <c r="Q924" s="23">
        <f t="shared" si="386"/>
        <v>1000</v>
      </c>
      <c r="R924" s="23">
        <f t="shared" si="395"/>
        <v>0</v>
      </c>
      <c r="S924" s="23">
        <f t="shared" si="395"/>
        <v>1000</v>
      </c>
    </row>
    <row r="925" spans="2:19" x14ac:dyDescent="0.2">
      <c r="B925" s="7">
        <f t="shared" si="388"/>
        <v>417</v>
      </c>
      <c r="C925" s="19"/>
      <c r="D925" s="19"/>
      <c r="E925" s="19"/>
      <c r="F925" s="20"/>
      <c r="G925" s="21">
        <v>637</v>
      </c>
      <c r="H925" s="19" t="s">
        <v>120</v>
      </c>
      <c r="I925" s="22">
        <v>13200</v>
      </c>
      <c r="J925" s="22"/>
      <c r="K925" s="22">
        <f t="shared" si="389"/>
        <v>13200</v>
      </c>
      <c r="L925" s="22"/>
      <c r="M925" s="22"/>
      <c r="N925" s="22"/>
      <c r="O925" s="22">
        <f t="shared" si="391"/>
        <v>0</v>
      </c>
      <c r="P925" s="22"/>
      <c r="Q925" s="23">
        <f t="shared" si="386"/>
        <v>13200</v>
      </c>
      <c r="R925" s="23">
        <f t="shared" ref="R925:S940" si="399">N925+J925</f>
        <v>0</v>
      </c>
      <c r="S925" s="23">
        <f t="shared" si="399"/>
        <v>13200</v>
      </c>
    </row>
    <row r="926" spans="2:19" x14ac:dyDescent="0.2">
      <c r="B926" s="7">
        <f t="shared" si="388"/>
        <v>418</v>
      </c>
      <c r="C926" s="13"/>
      <c r="D926" s="13"/>
      <c r="E926" s="13"/>
      <c r="F926" s="14" t="s">
        <v>117</v>
      </c>
      <c r="G926" s="15">
        <v>640</v>
      </c>
      <c r="H926" s="13" t="s">
        <v>127</v>
      </c>
      <c r="I926" s="16">
        <v>22142</v>
      </c>
      <c r="J926" s="16"/>
      <c r="K926" s="16">
        <f t="shared" si="389"/>
        <v>22142</v>
      </c>
      <c r="L926" s="16"/>
      <c r="M926" s="16"/>
      <c r="N926" s="16"/>
      <c r="O926" s="16">
        <f t="shared" si="391"/>
        <v>0</v>
      </c>
      <c r="P926" s="16"/>
      <c r="Q926" s="18">
        <f t="shared" si="386"/>
        <v>22142</v>
      </c>
      <c r="R926" s="18">
        <f t="shared" si="399"/>
        <v>0</v>
      </c>
      <c r="S926" s="18">
        <f t="shared" si="399"/>
        <v>22142</v>
      </c>
    </row>
    <row r="927" spans="2:19" x14ac:dyDescent="0.2">
      <c r="B927" s="7">
        <f t="shared" si="388"/>
        <v>419</v>
      </c>
      <c r="C927" s="13"/>
      <c r="D927" s="13"/>
      <c r="E927" s="13"/>
      <c r="F927" s="14" t="s">
        <v>106</v>
      </c>
      <c r="G927" s="15">
        <v>610</v>
      </c>
      <c r="H927" s="13" t="s">
        <v>511</v>
      </c>
      <c r="I927" s="16">
        <f>377116+100+259</f>
        <v>377475</v>
      </c>
      <c r="J927" s="16"/>
      <c r="K927" s="16">
        <f t="shared" si="389"/>
        <v>377475</v>
      </c>
      <c r="L927" s="16"/>
      <c r="M927" s="16"/>
      <c r="N927" s="16"/>
      <c r="O927" s="16">
        <f t="shared" si="391"/>
        <v>0</v>
      </c>
      <c r="P927" s="16"/>
      <c r="Q927" s="18">
        <f t="shared" si="386"/>
        <v>377475</v>
      </c>
      <c r="R927" s="18">
        <f t="shared" si="399"/>
        <v>0</v>
      </c>
      <c r="S927" s="18">
        <f t="shared" si="399"/>
        <v>377475</v>
      </c>
    </row>
    <row r="928" spans="2:19" x14ac:dyDescent="0.2">
      <c r="B928" s="7">
        <f t="shared" si="388"/>
        <v>420</v>
      </c>
      <c r="C928" s="13"/>
      <c r="D928" s="13"/>
      <c r="E928" s="13"/>
      <c r="F928" s="14" t="s">
        <v>106</v>
      </c>
      <c r="G928" s="15">
        <v>620</v>
      </c>
      <c r="H928" s="13" t="s">
        <v>122</v>
      </c>
      <c r="I928" s="16">
        <f>136354+35+91</f>
        <v>136480</v>
      </c>
      <c r="J928" s="16"/>
      <c r="K928" s="16">
        <f t="shared" si="389"/>
        <v>136480</v>
      </c>
      <c r="L928" s="16"/>
      <c r="M928" s="16"/>
      <c r="N928" s="16"/>
      <c r="O928" s="16">
        <f t="shared" si="391"/>
        <v>0</v>
      </c>
      <c r="P928" s="16"/>
      <c r="Q928" s="18">
        <f t="shared" si="386"/>
        <v>136480</v>
      </c>
      <c r="R928" s="18">
        <f t="shared" si="399"/>
        <v>0</v>
      </c>
      <c r="S928" s="18">
        <f t="shared" si="399"/>
        <v>136480</v>
      </c>
    </row>
    <row r="929" spans="2:19" x14ac:dyDescent="0.2">
      <c r="B929" s="7">
        <f t="shared" si="388"/>
        <v>421</v>
      </c>
      <c r="C929" s="13"/>
      <c r="D929" s="13"/>
      <c r="E929" s="13"/>
      <c r="F929" s="14" t="s">
        <v>106</v>
      </c>
      <c r="G929" s="15">
        <v>630</v>
      </c>
      <c r="H929" s="13" t="s">
        <v>119</v>
      </c>
      <c r="I929" s="16">
        <f>SUM(I930:I933)</f>
        <v>123310</v>
      </c>
      <c r="J929" s="16">
        <f t="shared" ref="J929" si="400">SUM(J930:J933)</f>
        <v>0</v>
      </c>
      <c r="K929" s="16">
        <f t="shared" si="389"/>
        <v>123310</v>
      </c>
      <c r="L929" s="16"/>
      <c r="M929" s="17"/>
      <c r="N929" s="17"/>
      <c r="O929" s="17">
        <f t="shared" si="391"/>
        <v>0</v>
      </c>
      <c r="P929" s="17"/>
      <c r="Q929" s="18">
        <f t="shared" si="386"/>
        <v>123310</v>
      </c>
      <c r="R929" s="18">
        <f t="shared" si="399"/>
        <v>0</v>
      </c>
      <c r="S929" s="18">
        <f t="shared" si="399"/>
        <v>123310</v>
      </c>
    </row>
    <row r="930" spans="2:19" x14ac:dyDescent="0.2">
      <c r="B930" s="7">
        <f t="shared" si="388"/>
        <v>422</v>
      </c>
      <c r="C930" s="19"/>
      <c r="D930" s="19"/>
      <c r="E930" s="19"/>
      <c r="F930" s="20"/>
      <c r="G930" s="21">
        <v>632</v>
      </c>
      <c r="H930" s="19" t="s">
        <v>131</v>
      </c>
      <c r="I930" s="22">
        <f>60300+13455-13455</f>
        <v>60300</v>
      </c>
      <c r="J930" s="22"/>
      <c r="K930" s="22">
        <f t="shared" si="389"/>
        <v>60300</v>
      </c>
      <c r="L930" s="22"/>
      <c r="M930" s="22"/>
      <c r="N930" s="22"/>
      <c r="O930" s="22">
        <f t="shared" si="391"/>
        <v>0</v>
      </c>
      <c r="P930" s="22"/>
      <c r="Q930" s="23">
        <f t="shared" si="386"/>
        <v>60300</v>
      </c>
      <c r="R930" s="23">
        <f t="shared" si="399"/>
        <v>0</v>
      </c>
      <c r="S930" s="23">
        <f t="shared" si="399"/>
        <v>60300</v>
      </c>
    </row>
    <row r="931" spans="2:19" x14ac:dyDescent="0.2">
      <c r="B931" s="7">
        <f t="shared" si="388"/>
        <v>423</v>
      </c>
      <c r="C931" s="19"/>
      <c r="D931" s="19"/>
      <c r="E931" s="19"/>
      <c r="F931" s="20"/>
      <c r="G931" s="21">
        <v>633</v>
      </c>
      <c r="H931" s="19" t="s">
        <v>123</v>
      </c>
      <c r="I931" s="22">
        <f>8250+1000</f>
        <v>9250</v>
      </c>
      <c r="J931" s="22"/>
      <c r="K931" s="22">
        <f t="shared" si="389"/>
        <v>9250</v>
      </c>
      <c r="L931" s="22"/>
      <c r="M931" s="22"/>
      <c r="N931" s="22"/>
      <c r="O931" s="22">
        <f t="shared" si="391"/>
        <v>0</v>
      </c>
      <c r="P931" s="22"/>
      <c r="Q931" s="23">
        <f t="shared" si="386"/>
        <v>9250</v>
      </c>
      <c r="R931" s="23">
        <f t="shared" si="399"/>
        <v>0</v>
      </c>
      <c r="S931" s="23">
        <f t="shared" si="399"/>
        <v>9250</v>
      </c>
    </row>
    <row r="932" spans="2:19" x14ac:dyDescent="0.2">
      <c r="B932" s="7">
        <f t="shared" si="388"/>
        <v>424</v>
      </c>
      <c r="C932" s="19"/>
      <c r="D932" s="19"/>
      <c r="E932" s="19"/>
      <c r="F932" s="20"/>
      <c r="G932" s="21">
        <v>635</v>
      </c>
      <c r="H932" s="19" t="s">
        <v>130</v>
      </c>
      <c r="I932" s="22">
        <v>27500</v>
      </c>
      <c r="J932" s="22"/>
      <c r="K932" s="22">
        <f t="shared" si="389"/>
        <v>27500</v>
      </c>
      <c r="L932" s="22"/>
      <c r="M932" s="22"/>
      <c r="N932" s="22"/>
      <c r="O932" s="22">
        <f t="shared" si="391"/>
        <v>0</v>
      </c>
      <c r="P932" s="22"/>
      <c r="Q932" s="23">
        <f t="shared" si="386"/>
        <v>27500</v>
      </c>
      <c r="R932" s="23">
        <f t="shared" si="399"/>
        <v>0</v>
      </c>
      <c r="S932" s="23">
        <f t="shared" si="399"/>
        <v>27500</v>
      </c>
    </row>
    <row r="933" spans="2:19" x14ac:dyDescent="0.2">
      <c r="B933" s="7">
        <f t="shared" si="388"/>
        <v>425</v>
      </c>
      <c r="C933" s="19"/>
      <c r="D933" s="19"/>
      <c r="E933" s="19"/>
      <c r="F933" s="20"/>
      <c r="G933" s="21">
        <v>637</v>
      </c>
      <c r="H933" s="19" t="s">
        <v>120</v>
      </c>
      <c r="I933" s="22">
        <v>26260</v>
      </c>
      <c r="J933" s="22"/>
      <c r="K933" s="22">
        <f t="shared" si="389"/>
        <v>26260</v>
      </c>
      <c r="L933" s="22"/>
      <c r="M933" s="22"/>
      <c r="N933" s="22"/>
      <c r="O933" s="22">
        <f t="shared" si="391"/>
        <v>0</v>
      </c>
      <c r="P933" s="22"/>
      <c r="Q933" s="23">
        <f t="shared" si="386"/>
        <v>26260</v>
      </c>
      <c r="R933" s="23">
        <f t="shared" si="399"/>
        <v>0</v>
      </c>
      <c r="S933" s="23">
        <f t="shared" si="399"/>
        <v>26260</v>
      </c>
    </row>
    <row r="934" spans="2:19" x14ac:dyDescent="0.2">
      <c r="B934" s="7">
        <f t="shared" si="388"/>
        <v>426</v>
      </c>
      <c r="C934" s="13"/>
      <c r="D934" s="13"/>
      <c r="E934" s="13"/>
      <c r="F934" s="14" t="s">
        <v>106</v>
      </c>
      <c r="G934" s="15">
        <v>640</v>
      </c>
      <c r="H934" s="13" t="s">
        <v>127</v>
      </c>
      <c r="I934" s="16">
        <v>3150</v>
      </c>
      <c r="J934" s="16"/>
      <c r="K934" s="16">
        <f t="shared" si="389"/>
        <v>3150</v>
      </c>
      <c r="L934" s="16"/>
      <c r="M934" s="16"/>
      <c r="N934" s="16"/>
      <c r="O934" s="16">
        <f t="shared" si="391"/>
        <v>0</v>
      </c>
      <c r="P934" s="16"/>
      <c r="Q934" s="18">
        <f t="shared" si="386"/>
        <v>3150</v>
      </c>
      <c r="R934" s="18">
        <f t="shared" si="399"/>
        <v>0</v>
      </c>
      <c r="S934" s="18">
        <f t="shared" si="399"/>
        <v>3150</v>
      </c>
    </row>
    <row r="935" spans="2:19" x14ac:dyDescent="0.2">
      <c r="B935" s="7">
        <f t="shared" si="388"/>
        <v>427</v>
      </c>
      <c r="C935" s="13"/>
      <c r="D935" s="13"/>
      <c r="E935" s="13"/>
      <c r="F935" s="14" t="s">
        <v>106</v>
      </c>
      <c r="G935" s="15">
        <v>600</v>
      </c>
      <c r="H935" s="13" t="s">
        <v>686</v>
      </c>
      <c r="I935" s="16">
        <v>31099</v>
      </c>
      <c r="J935" s="16"/>
      <c r="K935" s="16">
        <f t="shared" si="389"/>
        <v>31099</v>
      </c>
      <c r="L935" s="16"/>
      <c r="M935" s="16"/>
      <c r="N935" s="16"/>
      <c r="O935" s="16">
        <f t="shared" si="391"/>
        <v>0</v>
      </c>
      <c r="P935" s="16"/>
      <c r="Q935" s="18">
        <f t="shared" si="386"/>
        <v>31099</v>
      </c>
      <c r="R935" s="18">
        <f t="shared" si="399"/>
        <v>0</v>
      </c>
      <c r="S935" s="18">
        <f t="shared" si="399"/>
        <v>31099</v>
      </c>
    </row>
    <row r="936" spans="2:19" x14ac:dyDescent="0.2">
      <c r="B936" s="7">
        <f t="shared" si="388"/>
        <v>428</v>
      </c>
      <c r="C936" s="13"/>
      <c r="D936" s="13"/>
      <c r="E936" s="13"/>
      <c r="F936" s="14" t="s">
        <v>106</v>
      </c>
      <c r="G936" s="15">
        <v>710</v>
      </c>
      <c r="H936" s="13" t="s">
        <v>171</v>
      </c>
      <c r="I936" s="16"/>
      <c r="J936" s="16"/>
      <c r="K936" s="16">
        <f t="shared" si="389"/>
        <v>0</v>
      </c>
      <c r="L936" s="16"/>
      <c r="M936" s="16">
        <f>M937</f>
        <v>8000</v>
      </c>
      <c r="N936" s="16">
        <f t="shared" ref="N936:N937" si="401">N937</f>
        <v>0</v>
      </c>
      <c r="O936" s="16">
        <f t="shared" si="391"/>
        <v>8000</v>
      </c>
      <c r="P936" s="16"/>
      <c r="Q936" s="18">
        <f t="shared" si="386"/>
        <v>8000</v>
      </c>
      <c r="R936" s="18">
        <f t="shared" si="399"/>
        <v>0</v>
      </c>
      <c r="S936" s="18">
        <f t="shared" si="399"/>
        <v>8000</v>
      </c>
    </row>
    <row r="937" spans="2:19" x14ac:dyDescent="0.2">
      <c r="B937" s="7">
        <f t="shared" si="388"/>
        <v>429</v>
      </c>
      <c r="C937" s="13"/>
      <c r="D937" s="13"/>
      <c r="E937" s="13"/>
      <c r="F937" s="20"/>
      <c r="G937" s="21">
        <v>717</v>
      </c>
      <c r="H937" s="19" t="s">
        <v>178</v>
      </c>
      <c r="I937" s="22"/>
      <c r="J937" s="22"/>
      <c r="K937" s="22">
        <f t="shared" si="389"/>
        <v>0</v>
      </c>
      <c r="L937" s="22"/>
      <c r="M937" s="22">
        <f>M938</f>
        <v>8000</v>
      </c>
      <c r="N937" s="22">
        <f t="shared" si="401"/>
        <v>0</v>
      </c>
      <c r="O937" s="22">
        <f t="shared" si="391"/>
        <v>8000</v>
      </c>
      <c r="P937" s="22"/>
      <c r="Q937" s="23">
        <f t="shared" si="386"/>
        <v>8000</v>
      </c>
      <c r="R937" s="23">
        <f t="shared" si="399"/>
        <v>0</v>
      </c>
      <c r="S937" s="23">
        <f t="shared" si="399"/>
        <v>8000</v>
      </c>
    </row>
    <row r="938" spans="2:19" x14ac:dyDescent="0.2">
      <c r="B938" s="7">
        <f t="shared" si="388"/>
        <v>430</v>
      </c>
      <c r="C938" s="13"/>
      <c r="D938" s="13"/>
      <c r="E938" s="13"/>
      <c r="F938" s="113"/>
      <c r="G938" s="25"/>
      <c r="H938" s="1" t="s">
        <v>611</v>
      </c>
      <c r="I938" s="26"/>
      <c r="J938" s="26"/>
      <c r="K938" s="26">
        <f t="shared" si="389"/>
        <v>0</v>
      </c>
      <c r="L938" s="26"/>
      <c r="M938" s="26">
        <v>8000</v>
      </c>
      <c r="N938" s="26"/>
      <c r="O938" s="26">
        <f t="shared" si="391"/>
        <v>8000</v>
      </c>
      <c r="P938" s="26"/>
      <c r="Q938" s="28">
        <f t="shared" si="386"/>
        <v>8000</v>
      </c>
      <c r="R938" s="28">
        <f t="shared" si="399"/>
        <v>0</v>
      </c>
      <c r="S938" s="28">
        <f t="shared" si="399"/>
        <v>8000</v>
      </c>
    </row>
    <row r="939" spans="2:19" ht="15" x14ac:dyDescent="0.2">
      <c r="B939" s="7">
        <f t="shared" si="388"/>
        <v>431</v>
      </c>
      <c r="C939" s="10">
        <v>3</v>
      </c>
      <c r="D939" s="420" t="s">
        <v>156</v>
      </c>
      <c r="E939" s="421"/>
      <c r="F939" s="421"/>
      <c r="G939" s="421"/>
      <c r="H939" s="421"/>
      <c r="I939" s="11">
        <f>I940+I950+I971+I979+I988+I997+I1006+I1015+I1024+I1033+I962</f>
        <v>6518644</v>
      </c>
      <c r="J939" s="11">
        <f t="shared" ref="J939" si="402">J940+J950+J971+J979+J988+J997+J1006+J1015+J1024+J1033+J962</f>
        <v>0</v>
      </c>
      <c r="K939" s="11">
        <f t="shared" si="389"/>
        <v>6518644</v>
      </c>
      <c r="L939" s="320"/>
      <c r="M939" s="11">
        <f>M940+M950+M971+M979+M988+M997+M1006+M1015+M1024+M1033+M962</f>
        <v>124500</v>
      </c>
      <c r="N939" s="11">
        <f t="shared" ref="N939" si="403">N940+N950+N971+N979+N988+N997+N1006+N1015+N1024+N1033+N962</f>
        <v>0</v>
      </c>
      <c r="O939" s="11">
        <f t="shared" si="391"/>
        <v>124500</v>
      </c>
      <c r="P939" s="320"/>
      <c r="Q939" s="35">
        <f t="shared" si="386"/>
        <v>6643144</v>
      </c>
      <c r="R939" s="35">
        <f t="shared" si="399"/>
        <v>0</v>
      </c>
      <c r="S939" s="35">
        <f t="shared" si="399"/>
        <v>6643144</v>
      </c>
    </row>
    <row r="940" spans="2:19" x14ac:dyDescent="0.2">
      <c r="B940" s="7">
        <f t="shared" si="388"/>
        <v>432</v>
      </c>
      <c r="C940" s="13"/>
      <c r="D940" s="13"/>
      <c r="E940" s="13"/>
      <c r="F940" s="14" t="s">
        <v>155</v>
      </c>
      <c r="G940" s="15">
        <v>640</v>
      </c>
      <c r="H940" s="13" t="s">
        <v>127</v>
      </c>
      <c r="I940" s="16">
        <f>SUM(I941:I949)</f>
        <v>1245272</v>
      </c>
      <c r="J940" s="16">
        <f t="shared" ref="J940" si="404">SUM(J941:J949)</f>
        <v>0</v>
      </c>
      <c r="K940" s="16">
        <f t="shared" si="389"/>
        <v>1245272</v>
      </c>
      <c r="L940" s="16"/>
      <c r="M940" s="16"/>
      <c r="N940" s="16"/>
      <c r="O940" s="16">
        <f t="shared" si="391"/>
        <v>0</v>
      </c>
      <c r="P940" s="16"/>
      <c r="Q940" s="18">
        <f t="shared" si="386"/>
        <v>1245272</v>
      </c>
      <c r="R940" s="18">
        <f t="shared" si="399"/>
        <v>0</v>
      </c>
      <c r="S940" s="18">
        <f t="shared" si="399"/>
        <v>1245272</v>
      </c>
    </row>
    <row r="941" spans="2:19" ht="24" x14ac:dyDescent="0.2">
      <c r="B941" s="7">
        <f t="shared" si="388"/>
        <v>433</v>
      </c>
      <c r="C941" s="24"/>
      <c r="D941" s="24"/>
      <c r="E941" s="24"/>
      <c r="F941" s="25"/>
      <c r="G941" s="25"/>
      <c r="H941" s="43" t="s">
        <v>353</v>
      </c>
      <c r="I941" s="26">
        <v>10238</v>
      </c>
      <c r="J941" s="26"/>
      <c r="K941" s="26">
        <f t="shared" si="389"/>
        <v>10238</v>
      </c>
      <c r="L941" s="26"/>
      <c r="M941" s="26"/>
      <c r="N941" s="26"/>
      <c r="O941" s="26">
        <f t="shared" si="391"/>
        <v>0</v>
      </c>
      <c r="P941" s="26"/>
      <c r="Q941" s="28">
        <f t="shared" si="386"/>
        <v>10238</v>
      </c>
      <c r="R941" s="28">
        <f t="shared" ref="R941:S956" si="405">N941+J941</f>
        <v>0</v>
      </c>
      <c r="S941" s="28">
        <f t="shared" si="405"/>
        <v>10238</v>
      </c>
    </row>
    <row r="942" spans="2:19" ht="24" x14ac:dyDescent="0.2">
      <c r="B942" s="7">
        <f t="shared" si="388"/>
        <v>434</v>
      </c>
      <c r="C942" s="24"/>
      <c r="D942" s="24"/>
      <c r="E942" s="24"/>
      <c r="F942" s="25"/>
      <c r="G942" s="25"/>
      <c r="H942" s="43" t="s">
        <v>354</v>
      </c>
      <c r="I942" s="26">
        <v>62126</v>
      </c>
      <c r="J942" s="26"/>
      <c r="K942" s="26">
        <f t="shared" si="389"/>
        <v>62126</v>
      </c>
      <c r="L942" s="26"/>
      <c r="M942" s="26"/>
      <c r="N942" s="26"/>
      <c r="O942" s="26">
        <f t="shared" si="391"/>
        <v>0</v>
      </c>
      <c r="P942" s="26"/>
      <c r="Q942" s="28">
        <f t="shared" si="386"/>
        <v>62126</v>
      </c>
      <c r="R942" s="28">
        <f t="shared" si="405"/>
        <v>0</v>
      </c>
      <c r="S942" s="28">
        <f t="shared" si="405"/>
        <v>62126</v>
      </c>
    </row>
    <row r="943" spans="2:19" ht="24" x14ac:dyDescent="0.2">
      <c r="B943" s="7">
        <f t="shared" si="388"/>
        <v>435</v>
      </c>
      <c r="C943" s="24"/>
      <c r="D943" s="24"/>
      <c r="E943" s="24"/>
      <c r="F943" s="25"/>
      <c r="G943" s="25"/>
      <c r="H943" s="43" t="s">
        <v>508</v>
      </c>
      <c r="I943" s="26">
        <v>3583</v>
      </c>
      <c r="J943" s="26"/>
      <c r="K943" s="26">
        <f t="shared" si="389"/>
        <v>3583</v>
      </c>
      <c r="L943" s="26"/>
      <c r="M943" s="26"/>
      <c r="N943" s="26"/>
      <c r="O943" s="26">
        <f t="shared" si="391"/>
        <v>0</v>
      </c>
      <c r="P943" s="26"/>
      <c r="Q943" s="28">
        <f t="shared" si="386"/>
        <v>3583</v>
      </c>
      <c r="R943" s="28">
        <f t="shared" si="405"/>
        <v>0</v>
      </c>
      <c r="S943" s="28">
        <f t="shared" si="405"/>
        <v>3583</v>
      </c>
    </row>
    <row r="944" spans="2:19" x14ac:dyDescent="0.2">
      <c r="B944" s="7">
        <f t="shared" si="388"/>
        <v>436</v>
      </c>
      <c r="C944" s="24"/>
      <c r="D944" s="24"/>
      <c r="E944" s="24"/>
      <c r="F944" s="25"/>
      <c r="G944" s="25"/>
      <c r="H944" s="43" t="s">
        <v>355</v>
      </c>
      <c r="I944" s="26">
        <v>78181</v>
      </c>
      <c r="J944" s="26"/>
      <c r="K944" s="26">
        <f t="shared" si="389"/>
        <v>78181</v>
      </c>
      <c r="L944" s="26"/>
      <c r="M944" s="26"/>
      <c r="N944" s="26"/>
      <c r="O944" s="26">
        <f t="shared" si="391"/>
        <v>0</v>
      </c>
      <c r="P944" s="26"/>
      <c r="Q944" s="28">
        <f t="shared" si="386"/>
        <v>78181</v>
      </c>
      <c r="R944" s="28">
        <f t="shared" si="405"/>
        <v>0</v>
      </c>
      <c r="S944" s="28">
        <f t="shared" si="405"/>
        <v>78181</v>
      </c>
    </row>
    <row r="945" spans="2:19" x14ac:dyDescent="0.2">
      <c r="B945" s="7">
        <f t="shared" si="388"/>
        <v>437</v>
      </c>
      <c r="C945" s="24"/>
      <c r="D945" s="24"/>
      <c r="E945" s="24"/>
      <c r="F945" s="25"/>
      <c r="G945" s="25"/>
      <c r="H945" s="43" t="s">
        <v>356</v>
      </c>
      <c r="I945" s="26">
        <v>230947</v>
      </c>
      <c r="J945" s="26"/>
      <c r="K945" s="26">
        <f t="shared" si="389"/>
        <v>230947</v>
      </c>
      <c r="L945" s="26"/>
      <c r="M945" s="26"/>
      <c r="N945" s="26"/>
      <c r="O945" s="26">
        <f t="shared" si="391"/>
        <v>0</v>
      </c>
      <c r="P945" s="26"/>
      <c r="Q945" s="28">
        <f t="shared" si="386"/>
        <v>230947</v>
      </c>
      <c r="R945" s="28">
        <f t="shared" si="405"/>
        <v>0</v>
      </c>
      <c r="S945" s="28">
        <f t="shared" si="405"/>
        <v>230947</v>
      </c>
    </row>
    <row r="946" spans="2:19" x14ac:dyDescent="0.2">
      <c r="B946" s="7">
        <f t="shared" si="388"/>
        <v>438</v>
      </c>
      <c r="C946" s="24"/>
      <c r="D946" s="24"/>
      <c r="E946" s="24"/>
      <c r="F946" s="25"/>
      <c r="G946" s="25"/>
      <c r="H946" s="43" t="s">
        <v>357</v>
      </c>
      <c r="I946" s="26">
        <v>709942</v>
      </c>
      <c r="J946" s="26"/>
      <c r="K946" s="26">
        <f t="shared" si="389"/>
        <v>709942</v>
      </c>
      <c r="L946" s="26"/>
      <c r="M946" s="26"/>
      <c r="N946" s="26"/>
      <c r="O946" s="26">
        <f t="shared" si="391"/>
        <v>0</v>
      </c>
      <c r="P946" s="26"/>
      <c r="Q946" s="28">
        <f t="shared" si="386"/>
        <v>709942</v>
      </c>
      <c r="R946" s="28">
        <f t="shared" si="405"/>
        <v>0</v>
      </c>
      <c r="S946" s="28">
        <f t="shared" si="405"/>
        <v>709942</v>
      </c>
    </row>
    <row r="947" spans="2:19" x14ac:dyDescent="0.2">
      <c r="B947" s="7">
        <f t="shared" si="388"/>
        <v>439</v>
      </c>
      <c r="C947" s="24"/>
      <c r="D947" s="24"/>
      <c r="E947" s="24"/>
      <c r="F947" s="25"/>
      <c r="G947" s="25"/>
      <c r="H947" s="43" t="s">
        <v>358</v>
      </c>
      <c r="I947" s="26">
        <v>50434</v>
      </c>
      <c r="J947" s="26"/>
      <c r="K947" s="26">
        <f t="shared" si="389"/>
        <v>50434</v>
      </c>
      <c r="L947" s="26"/>
      <c r="M947" s="26"/>
      <c r="N947" s="26"/>
      <c r="O947" s="26">
        <f t="shared" si="391"/>
        <v>0</v>
      </c>
      <c r="P947" s="26"/>
      <c r="Q947" s="28">
        <f t="shared" si="386"/>
        <v>50434</v>
      </c>
      <c r="R947" s="28">
        <f t="shared" si="405"/>
        <v>0</v>
      </c>
      <c r="S947" s="28">
        <f t="shared" si="405"/>
        <v>50434</v>
      </c>
    </row>
    <row r="948" spans="2:19" x14ac:dyDescent="0.2">
      <c r="B948" s="7">
        <f t="shared" si="388"/>
        <v>440</v>
      </c>
      <c r="C948" s="24"/>
      <c r="D948" s="24"/>
      <c r="E948" s="24"/>
      <c r="F948" s="25"/>
      <c r="G948" s="25"/>
      <c r="H948" s="43" t="s">
        <v>284</v>
      </c>
      <c r="I948" s="26">
        <v>21640</v>
      </c>
      <c r="J948" s="26"/>
      <c r="K948" s="26">
        <f t="shared" si="389"/>
        <v>21640</v>
      </c>
      <c r="L948" s="26"/>
      <c r="M948" s="26"/>
      <c r="N948" s="26"/>
      <c r="O948" s="26">
        <f t="shared" si="391"/>
        <v>0</v>
      </c>
      <c r="P948" s="26"/>
      <c r="Q948" s="28">
        <f t="shared" si="386"/>
        <v>21640</v>
      </c>
      <c r="R948" s="28">
        <f t="shared" si="405"/>
        <v>0</v>
      </c>
      <c r="S948" s="28">
        <f t="shared" si="405"/>
        <v>21640</v>
      </c>
    </row>
    <row r="949" spans="2:19" x14ac:dyDescent="0.2">
      <c r="B949" s="7">
        <f t="shared" si="388"/>
        <v>441</v>
      </c>
      <c r="C949" s="24"/>
      <c r="D949" s="24"/>
      <c r="E949" s="24"/>
      <c r="F949" s="25"/>
      <c r="G949" s="25"/>
      <c r="H949" s="43" t="s">
        <v>359</v>
      </c>
      <c r="I949" s="26">
        <v>78181</v>
      </c>
      <c r="J949" s="26"/>
      <c r="K949" s="26">
        <f t="shared" si="389"/>
        <v>78181</v>
      </c>
      <c r="L949" s="26"/>
      <c r="M949" s="26"/>
      <c r="N949" s="26"/>
      <c r="O949" s="26">
        <f t="shared" si="391"/>
        <v>0</v>
      </c>
      <c r="P949" s="26"/>
      <c r="Q949" s="28">
        <f t="shared" si="386"/>
        <v>78181</v>
      </c>
      <c r="R949" s="28">
        <f t="shared" si="405"/>
        <v>0</v>
      </c>
      <c r="S949" s="28">
        <f t="shared" si="405"/>
        <v>78181</v>
      </c>
    </row>
    <row r="950" spans="2:19" ht="15" x14ac:dyDescent="0.25">
      <c r="B950" s="7">
        <f t="shared" si="388"/>
        <v>442</v>
      </c>
      <c r="C950" s="108"/>
      <c r="D950" s="108"/>
      <c r="E950" s="108">
        <v>1</v>
      </c>
      <c r="F950" s="109"/>
      <c r="G950" s="109"/>
      <c r="H950" s="108" t="s">
        <v>49</v>
      </c>
      <c r="I950" s="110">
        <f>I951+I952+I953+I961</f>
        <v>391720</v>
      </c>
      <c r="J950" s="110">
        <f t="shared" ref="J950" si="406">J951+J952+J953+J961</f>
        <v>0</v>
      </c>
      <c r="K950" s="110">
        <f t="shared" si="389"/>
        <v>391720</v>
      </c>
      <c r="L950" s="321"/>
      <c r="M950" s="110"/>
      <c r="N950" s="110"/>
      <c r="O950" s="110">
        <f t="shared" si="391"/>
        <v>0</v>
      </c>
      <c r="P950" s="321"/>
      <c r="Q950" s="112">
        <f t="shared" si="386"/>
        <v>391720</v>
      </c>
      <c r="R950" s="112">
        <f t="shared" si="405"/>
        <v>0</v>
      </c>
      <c r="S950" s="112">
        <f t="shared" si="405"/>
        <v>391720</v>
      </c>
    </row>
    <row r="951" spans="2:19" x14ac:dyDescent="0.2">
      <c r="B951" s="7">
        <f t="shared" si="388"/>
        <v>443</v>
      </c>
      <c r="C951" s="13"/>
      <c r="D951" s="13"/>
      <c r="E951" s="13"/>
      <c r="F951" s="14" t="s">
        <v>155</v>
      </c>
      <c r="G951" s="15">
        <v>610</v>
      </c>
      <c r="H951" s="13" t="s">
        <v>511</v>
      </c>
      <c r="I951" s="16">
        <v>213020</v>
      </c>
      <c r="J951" s="16"/>
      <c r="K951" s="16">
        <f t="shared" si="389"/>
        <v>213020</v>
      </c>
      <c r="L951" s="16"/>
      <c r="M951" s="16"/>
      <c r="N951" s="16"/>
      <c r="O951" s="16">
        <f t="shared" si="391"/>
        <v>0</v>
      </c>
      <c r="P951" s="16"/>
      <c r="Q951" s="18">
        <f t="shared" si="386"/>
        <v>213020</v>
      </c>
      <c r="R951" s="18">
        <f t="shared" si="405"/>
        <v>0</v>
      </c>
      <c r="S951" s="18">
        <f t="shared" si="405"/>
        <v>213020</v>
      </c>
    </row>
    <row r="952" spans="2:19" x14ac:dyDescent="0.2">
      <c r="B952" s="7">
        <f t="shared" si="388"/>
        <v>444</v>
      </c>
      <c r="C952" s="13"/>
      <c r="D952" s="13"/>
      <c r="E952" s="13"/>
      <c r="F952" s="14" t="s">
        <v>155</v>
      </c>
      <c r="G952" s="15">
        <v>620</v>
      </c>
      <c r="H952" s="13" t="s">
        <v>122</v>
      </c>
      <c r="I952" s="16">
        <f>80950+518+111</f>
        <v>81579</v>
      </c>
      <c r="J952" s="16"/>
      <c r="K952" s="16">
        <f t="shared" si="389"/>
        <v>81579</v>
      </c>
      <c r="L952" s="16"/>
      <c r="M952" s="16"/>
      <c r="N952" s="16"/>
      <c r="O952" s="16">
        <f t="shared" si="391"/>
        <v>0</v>
      </c>
      <c r="P952" s="16"/>
      <c r="Q952" s="18">
        <f t="shared" si="386"/>
        <v>81579</v>
      </c>
      <c r="R952" s="18">
        <f t="shared" si="405"/>
        <v>0</v>
      </c>
      <c r="S952" s="18">
        <f t="shared" si="405"/>
        <v>81579</v>
      </c>
    </row>
    <row r="953" spans="2:19" x14ac:dyDescent="0.2">
      <c r="B953" s="7">
        <f t="shared" si="388"/>
        <v>445</v>
      </c>
      <c r="C953" s="13"/>
      <c r="D953" s="13"/>
      <c r="E953" s="13"/>
      <c r="F953" s="14" t="s">
        <v>155</v>
      </c>
      <c r="G953" s="15">
        <v>630</v>
      </c>
      <c r="H953" s="13" t="s">
        <v>119</v>
      </c>
      <c r="I953" s="16">
        <f>SUM(I954:I960)</f>
        <v>96171</v>
      </c>
      <c r="J953" s="16">
        <f t="shared" ref="J953" si="407">SUM(J954:J960)</f>
        <v>0</v>
      </c>
      <c r="K953" s="16">
        <f t="shared" si="389"/>
        <v>96171</v>
      </c>
      <c r="L953" s="16"/>
      <c r="M953" s="16"/>
      <c r="N953" s="16"/>
      <c r="O953" s="16">
        <f t="shared" si="391"/>
        <v>0</v>
      </c>
      <c r="P953" s="16"/>
      <c r="Q953" s="18">
        <f t="shared" si="386"/>
        <v>96171</v>
      </c>
      <c r="R953" s="18">
        <f t="shared" si="405"/>
        <v>0</v>
      </c>
      <c r="S953" s="18">
        <f t="shared" si="405"/>
        <v>96171</v>
      </c>
    </row>
    <row r="954" spans="2:19" x14ac:dyDescent="0.2">
      <c r="B954" s="7">
        <f t="shared" si="388"/>
        <v>446</v>
      </c>
      <c r="C954" s="19"/>
      <c r="D954" s="19"/>
      <c r="E954" s="19"/>
      <c r="F954" s="20"/>
      <c r="G954" s="21">
        <v>631</v>
      </c>
      <c r="H954" s="19" t="s">
        <v>125</v>
      </c>
      <c r="I954" s="22">
        <v>200</v>
      </c>
      <c r="J954" s="22"/>
      <c r="K954" s="22">
        <f t="shared" si="389"/>
        <v>200</v>
      </c>
      <c r="L954" s="22"/>
      <c r="M954" s="22"/>
      <c r="N954" s="22"/>
      <c r="O954" s="22">
        <f t="shared" si="391"/>
        <v>0</v>
      </c>
      <c r="P954" s="22"/>
      <c r="Q954" s="23">
        <f t="shared" si="386"/>
        <v>200</v>
      </c>
      <c r="R954" s="23">
        <f t="shared" si="405"/>
        <v>0</v>
      </c>
      <c r="S954" s="23">
        <f t="shared" si="405"/>
        <v>200</v>
      </c>
    </row>
    <row r="955" spans="2:19" x14ac:dyDescent="0.2">
      <c r="B955" s="7">
        <f t="shared" si="388"/>
        <v>447</v>
      </c>
      <c r="C955" s="19"/>
      <c r="D955" s="19"/>
      <c r="E955" s="19"/>
      <c r="F955" s="20"/>
      <c r="G955" s="21">
        <v>632</v>
      </c>
      <c r="H955" s="19" t="s">
        <v>131</v>
      </c>
      <c r="I955" s="22">
        <v>16100</v>
      </c>
      <c r="J955" s="22"/>
      <c r="K955" s="22">
        <f t="shared" si="389"/>
        <v>16100</v>
      </c>
      <c r="L955" s="22"/>
      <c r="M955" s="22"/>
      <c r="N955" s="22"/>
      <c r="O955" s="22">
        <f t="shared" si="391"/>
        <v>0</v>
      </c>
      <c r="P955" s="22"/>
      <c r="Q955" s="23">
        <f t="shared" si="386"/>
        <v>16100</v>
      </c>
      <c r="R955" s="23">
        <f t="shared" si="405"/>
        <v>0</v>
      </c>
      <c r="S955" s="23">
        <f t="shared" si="405"/>
        <v>16100</v>
      </c>
    </row>
    <row r="956" spans="2:19" x14ac:dyDescent="0.2">
      <c r="B956" s="7">
        <f t="shared" si="388"/>
        <v>448</v>
      </c>
      <c r="C956" s="19"/>
      <c r="D956" s="19"/>
      <c r="E956" s="19"/>
      <c r="F956" s="20"/>
      <c r="G956" s="21">
        <v>633</v>
      </c>
      <c r="H956" s="19" t="s">
        <v>123</v>
      </c>
      <c r="I956" s="22">
        <v>14750</v>
      </c>
      <c r="J956" s="22">
        <v>3000</v>
      </c>
      <c r="K956" s="22">
        <f t="shared" si="389"/>
        <v>17750</v>
      </c>
      <c r="L956" s="22"/>
      <c r="M956" s="22"/>
      <c r="N956" s="22"/>
      <c r="O956" s="22">
        <f t="shared" si="391"/>
        <v>0</v>
      </c>
      <c r="P956" s="22"/>
      <c r="Q956" s="23">
        <f t="shared" si="386"/>
        <v>14750</v>
      </c>
      <c r="R956" s="23">
        <f t="shared" si="405"/>
        <v>3000</v>
      </c>
      <c r="S956" s="23">
        <f t="shared" si="405"/>
        <v>17750</v>
      </c>
    </row>
    <row r="957" spans="2:19" x14ac:dyDescent="0.2">
      <c r="B957" s="7">
        <f t="shared" si="388"/>
        <v>449</v>
      </c>
      <c r="C957" s="19"/>
      <c r="D957" s="19"/>
      <c r="E957" s="19"/>
      <c r="F957" s="20"/>
      <c r="G957" s="21">
        <v>634</v>
      </c>
      <c r="H957" s="19" t="s">
        <v>129</v>
      </c>
      <c r="I957" s="22">
        <v>100</v>
      </c>
      <c r="J957" s="22"/>
      <c r="K957" s="22">
        <f t="shared" si="389"/>
        <v>100</v>
      </c>
      <c r="L957" s="22"/>
      <c r="M957" s="22"/>
      <c r="N957" s="22"/>
      <c r="O957" s="22">
        <f t="shared" si="391"/>
        <v>0</v>
      </c>
      <c r="P957" s="22"/>
      <c r="Q957" s="23">
        <f t="shared" ref="Q957:Q1020" si="408">M957+I957</f>
        <v>100</v>
      </c>
      <c r="R957" s="23">
        <f t="shared" ref="R957:S972" si="409">N957+J957</f>
        <v>0</v>
      </c>
      <c r="S957" s="23">
        <f t="shared" si="409"/>
        <v>100</v>
      </c>
    </row>
    <row r="958" spans="2:19" x14ac:dyDescent="0.2">
      <c r="B958" s="7">
        <f t="shared" ref="B958:B1021" si="410">B957+1</f>
        <v>450</v>
      </c>
      <c r="C958" s="19"/>
      <c r="D958" s="19"/>
      <c r="E958" s="19"/>
      <c r="F958" s="20"/>
      <c r="G958" s="21">
        <v>635</v>
      </c>
      <c r="H958" s="19" t="s">
        <v>130</v>
      </c>
      <c r="I958" s="22">
        <v>4500</v>
      </c>
      <c r="J958" s="22"/>
      <c r="K958" s="22">
        <f t="shared" ref="K958:K1021" si="411">I958+J958</f>
        <v>4500</v>
      </c>
      <c r="L958" s="22"/>
      <c r="M958" s="22"/>
      <c r="N958" s="22"/>
      <c r="O958" s="22">
        <f t="shared" ref="O958:O1021" si="412">M958+N958</f>
        <v>0</v>
      </c>
      <c r="P958" s="22"/>
      <c r="Q958" s="23">
        <f t="shared" si="408"/>
        <v>4500</v>
      </c>
      <c r="R958" s="23">
        <f t="shared" si="409"/>
        <v>0</v>
      </c>
      <c r="S958" s="23">
        <f t="shared" si="409"/>
        <v>4500</v>
      </c>
    </row>
    <row r="959" spans="2:19" x14ac:dyDescent="0.2">
      <c r="B959" s="7">
        <f t="shared" si="410"/>
        <v>451</v>
      </c>
      <c r="C959" s="19"/>
      <c r="D959" s="19"/>
      <c r="E959" s="19"/>
      <c r="F959" s="20"/>
      <c r="G959" s="21">
        <v>636</v>
      </c>
      <c r="H959" s="19" t="s">
        <v>124</v>
      </c>
      <c r="I959" s="22">
        <v>2400</v>
      </c>
      <c r="J959" s="22"/>
      <c r="K959" s="22">
        <f t="shared" si="411"/>
        <v>2400</v>
      </c>
      <c r="L959" s="22"/>
      <c r="M959" s="22"/>
      <c r="N959" s="22"/>
      <c r="O959" s="22">
        <f t="shared" si="412"/>
        <v>0</v>
      </c>
      <c r="P959" s="22"/>
      <c r="Q959" s="23">
        <f t="shared" si="408"/>
        <v>2400</v>
      </c>
      <c r="R959" s="23">
        <f t="shared" si="409"/>
        <v>0</v>
      </c>
      <c r="S959" s="23">
        <f t="shared" si="409"/>
        <v>2400</v>
      </c>
    </row>
    <row r="960" spans="2:19" x14ac:dyDescent="0.2">
      <c r="B960" s="7">
        <f t="shared" si="410"/>
        <v>452</v>
      </c>
      <c r="C960" s="19"/>
      <c r="D960" s="19"/>
      <c r="E960" s="19"/>
      <c r="F960" s="20"/>
      <c r="G960" s="21">
        <v>637</v>
      </c>
      <c r="H960" s="19" t="s">
        <v>120</v>
      </c>
      <c r="I960" s="22">
        <f>55370+2862-111</f>
        <v>58121</v>
      </c>
      <c r="J960" s="22">
        <v>-3000</v>
      </c>
      <c r="K960" s="22">
        <f t="shared" si="411"/>
        <v>55121</v>
      </c>
      <c r="L960" s="22"/>
      <c r="M960" s="22"/>
      <c r="N960" s="22"/>
      <c r="O960" s="22">
        <f t="shared" si="412"/>
        <v>0</v>
      </c>
      <c r="P960" s="22"/>
      <c r="Q960" s="23">
        <f t="shared" si="408"/>
        <v>58121</v>
      </c>
      <c r="R960" s="23">
        <f t="shared" si="409"/>
        <v>-3000</v>
      </c>
      <c r="S960" s="23">
        <f t="shared" si="409"/>
        <v>55121</v>
      </c>
    </row>
    <row r="961" spans="2:19" x14ac:dyDescent="0.2">
      <c r="B961" s="7">
        <f t="shared" si="410"/>
        <v>453</v>
      </c>
      <c r="C961" s="13"/>
      <c r="D961" s="13"/>
      <c r="E961" s="13"/>
      <c r="F961" s="14" t="s">
        <v>155</v>
      </c>
      <c r="G961" s="15">
        <v>640</v>
      </c>
      <c r="H961" s="13" t="s">
        <v>127</v>
      </c>
      <c r="I961" s="16">
        <v>950</v>
      </c>
      <c r="J961" s="16"/>
      <c r="K961" s="16">
        <f t="shared" si="411"/>
        <v>950</v>
      </c>
      <c r="L961" s="16"/>
      <c r="M961" s="16"/>
      <c r="N961" s="16"/>
      <c r="O961" s="16">
        <f t="shared" si="412"/>
        <v>0</v>
      </c>
      <c r="P961" s="16"/>
      <c r="Q961" s="18">
        <f t="shared" si="408"/>
        <v>950</v>
      </c>
      <c r="R961" s="18">
        <f t="shared" si="409"/>
        <v>0</v>
      </c>
      <c r="S961" s="18">
        <f t="shared" si="409"/>
        <v>950</v>
      </c>
    </row>
    <row r="962" spans="2:19" ht="15" x14ac:dyDescent="0.25">
      <c r="B962" s="7">
        <f t="shared" si="410"/>
        <v>454</v>
      </c>
      <c r="C962" s="108"/>
      <c r="D962" s="108"/>
      <c r="E962" s="108">
        <v>6</v>
      </c>
      <c r="F962" s="109"/>
      <c r="G962" s="109"/>
      <c r="H962" s="108" t="s">
        <v>278</v>
      </c>
      <c r="I962" s="110">
        <f>I963+I964+I965+I970</f>
        <v>320372</v>
      </c>
      <c r="J962" s="110">
        <f t="shared" ref="J962" si="413">J963+J964+J965+J970</f>
        <v>0</v>
      </c>
      <c r="K962" s="110">
        <f t="shared" si="411"/>
        <v>320372</v>
      </c>
      <c r="L962" s="321"/>
      <c r="M962" s="110"/>
      <c r="N962" s="110"/>
      <c r="O962" s="110">
        <f t="shared" si="412"/>
        <v>0</v>
      </c>
      <c r="P962" s="321"/>
      <c r="Q962" s="112">
        <f t="shared" si="408"/>
        <v>320372</v>
      </c>
      <c r="R962" s="112">
        <f t="shared" si="409"/>
        <v>0</v>
      </c>
      <c r="S962" s="112">
        <f t="shared" si="409"/>
        <v>320372</v>
      </c>
    </row>
    <row r="963" spans="2:19" x14ac:dyDescent="0.2">
      <c r="B963" s="7">
        <f t="shared" si="410"/>
        <v>455</v>
      </c>
      <c r="C963" s="13"/>
      <c r="D963" s="13"/>
      <c r="E963" s="13"/>
      <c r="F963" s="14" t="s">
        <v>155</v>
      </c>
      <c r="G963" s="15">
        <v>610</v>
      </c>
      <c r="H963" s="13" t="s">
        <v>511</v>
      </c>
      <c r="I963" s="16">
        <v>178538</v>
      </c>
      <c r="J963" s="16"/>
      <c r="K963" s="16">
        <f t="shared" si="411"/>
        <v>178538</v>
      </c>
      <c r="L963" s="16"/>
      <c r="M963" s="16"/>
      <c r="N963" s="16"/>
      <c r="O963" s="16">
        <f t="shared" si="412"/>
        <v>0</v>
      </c>
      <c r="P963" s="16"/>
      <c r="Q963" s="18">
        <f t="shared" si="408"/>
        <v>178538</v>
      </c>
      <c r="R963" s="18">
        <f t="shared" si="409"/>
        <v>0</v>
      </c>
      <c r="S963" s="18">
        <f t="shared" si="409"/>
        <v>178538</v>
      </c>
    </row>
    <row r="964" spans="2:19" x14ac:dyDescent="0.2">
      <c r="B964" s="7">
        <f t="shared" si="410"/>
        <v>456</v>
      </c>
      <c r="C964" s="13"/>
      <c r="D964" s="13"/>
      <c r="E964" s="13"/>
      <c r="F964" s="14" t="s">
        <v>155</v>
      </c>
      <c r="G964" s="15">
        <v>620</v>
      </c>
      <c r="H964" s="13" t="s">
        <v>122</v>
      </c>
      <c r="I964" s="16">
        <v>64274</v>
      </c>
      <c r="J964" s="16"/>
      <c r="K964" s="16">
        <f t="shared" si="411"/>
        <v>64274</v>
      </c>
      <c r="L964" s="16"/>
      <c r="M964" s="16"/>
      <c r="N964" s="16"/>
      <c r="O964" s="16">
        <f t="shared" si="412"/>
        <v>0</v>
      </c>
      <c r="P964" s="16"/>
      <c r="Q964" s="18">
        <f t="shared" si="408"/>
        <v>64274</v>
      </c>
      <c r="R964" s="18">
        <f t="shared" si="409"/>
        <v>0</v>
      </c>
      <c r="S964" s="18">
        <f t="shared" si="409"/>
        <v>64274</v>
      </c>
    </row>
    <row r="965" spans="2:19" x14ac:dyDescent="0.2">
      <c r="B965" s="7">
        <f t="shared" si="410"/>
        <v>457</v>
      </c>
      <c r="C965" s="13"/>
      <c r="D965" s="13"/>
      <c r="E965" s="13"/>
      <c r="F965" s="14" t="s">
        <v>155</v>
      </c>
      <c r="G965" s="15">
        <v>630</v>
      </c>
      <c r="H965" s="13" t="s">
        <v>119</v>
      </c>
      <c r="I965" s="16">
        <f>SUM(I966:I969)</f>
        <v>76713</v>
      </c>
      <c r="J965" s="16">
        <f t="shared" ref="J965" si="414">SUM(J966:J969)</f>
        <v>0</v>
      </c>
      <c r="K965" s="16">
        <f t="shared" si="411"/>
        <v>76713</v>
      </c>
      <c r="L965" s="16"/>
      <c r="M965" s="16"/>
      <c r="N965" s="16"/>
      <c r="O965" s="16">
        <f t="shared" si="412"/>
        <v>0</v>
      </c>
      <c r="P965" s="16"/>
      <c r="Q965" s="18">
        <f t="shared" si="408"/>
        <v>76713</v>
      </c>
      <c r="R965" s="18">
        <f t="shared" si="409"/>
        <v>0</v>
      </c>
      <c r="S965" s="18">
        <f t="shared" si="409"/>
        <v>76713</v>
      </c>
    </row>
    <row r="966" spans="2:19" x14ac:dyDescent="0.2">
      <c r="B966" s="7">
        <f t="shared" si="410"/>
        <v>458</v>
      </c>
      <c r="C966" s="19"/>
      <c r="D966" s="19"/>
      <c r="E966" s="19"/>
      <c r="F966" s="20"/>
      <c r="G966" s="21">
        <v>632</v>
      </c>
      <c r="H966" s="19" t="s">
        <v>131</v>
      </c>
      <c r="I966" s="22">
        <v>66604</v>
      </c>
      <c r="J966" s="22"/>
      <c r="K966" s="22">
        <f t="shared" si="411"/>
        <v>66604</v>
      </c>
      <c r="L966" s="22"/>
      <c r="M966" s="22"/>
      <c r="N966" s="22"/>
      <c r="O966" s="22">
        <f t="shared" si="412"/>
        <v>0</v>
      </c>
      <c r="P966" s="22"/>
      <c r="Q966" s="23">
        <f t="shared" si="408"/>
        <v>66604</v>
      </c>
      <c r="R966" s="23">
        <f t="shared" si="409"/>
        <v>0</v>
      </c>
      <c r="S966" s="23">
        <f t="shared" si="409"/>
        <v>66604</v>
      </c>
    </row>
    <row r="967" spans="2:19" x14ac:dyDescent="0.2">
      <c r="B967" s="7">
        <f t="shared" si="410"/>
        <v>459</v>
      </c>
      <c r="C967" s="19"/>
      <c r="D967" s="19"/>
      <c r="E967" s="19"/>
      <c r="F967" s="20"/>
      <c r="G967" s="21">
        <v>633</v>
      </c>
      <c r="H967" s="19" t="s">
        <v>123</v>
      </c>
      <c r="I967" s="22">
        <v>5312</v>
      </c>
      <c r="J967" s="22"/>
      <c r="K967" s="22">
        <f t="shared" si="411"/>
        <v>5312</v>
      </c>
      <c r="L967" s="22"/>
      <c r="M967" s="22"/>
      <c r="N967" s="22"/>
      <c r="O967" s="22">
        <f t="shared" si="412"/>
        <v>0</v>
      </c>
      <c r="P967" s="22"/>
      <c r="Q967" s="23">
        <f t="shared" si="408"/>
        <v>5312</v>
      </c>
      <c r="R967" s="23">
        <f t="shared" si="409"/>
        <v>0</v>
      </c>
      <c r="S967" s="23">
        <f t="shared" si="409"/>
        <v>5312</v>
      </c>
    </row>
    <row r="968" spans="2:19" x14ac:dyDescent="0.2">
      <c r="B968" s="7">
        <f t="shared" si="410"/>
        <v>460</v>
      </c>
      <c r="C968" s="19"/>
      <c r="D968" s="19"/>
      <c r="E968" s="19"/>
      <c r="F968" s="20"/>
      <c r="G968" s="21">
        <v>635</v>
      </c>
      <c r="H968" s="19" t="s">
        <v>130</v>
      </c>
      <c r="I968" s="22">
        <v>961</v>
      </c>
      <c r="J968" s="22"/>
      <c r="K968" s="22">
        <f t="shared" si="411"/>
        <v>961</v>
      </c>
      <c r="L968" s="22"/>
      <c r="M968" s="22"/>
      <c r="N968" s="22"/>
      <c r="O968" s="22">
        <f t="shared" si="412"/>
        <v>0</v>
      </c>
      <c r="P968" s="22"/>
      <c r="Q968" s="23">
        <f t="shared" si="408"/>
        <v>961</v>
      </c>
      <c r="R968" s="23">
        <f t="shared" si="409"/>
        <v>0</v>
      </c>
      <c r="S968" s="23">
        <f t="shared" si="409"/>
        <v>961</v>
      </c>
    </row>
    <row r="969" spans="2:19" x14ac:dyDescent="0.2">
      <c r="B969" s="7">
        <f t="shared" si="410"/>
        <v>461</v>
      </c>
      <c r="C969" s="19"/>
      <c r="D969" s="19"/>
      <c r="E969" s="19"/>
      <c r="F969" s="20"/>
      <c r="G969" s="21">
        <v>637</v>
      </c>
      <c r="H969" s="19" t="s">
        <v>120</v>
      </c>
      <c r="I969" s="22">
        <v>3836</v>
      </c>
      <c r="J969" s="22"/>
      <c r="K969" s="22">
        <f t="shared" si="411"/>
        <v>3836</v>
      </c>
      <c r="L969" s="22"/>
      <c r="M969" s="22"/>
      <c r="N969" s="22"/>
      <c r="O969" s="22">
        <f t="shared" si="412"/>
        <v>0</v>
      </c>
      <c r="P969" s="22"/>
      <c r="Q969" s="23">
        <f t="shared" si="408"/>
        <v>3836</v>
      </c>
      <c r="R969" s="23">
        <f t="shared" si="409"/>
        <v>0</v>
      </c>
      <c r="S969" s="23">
        <f t="shared" si="409"/>
        <v>3836</v>
      </c>
    </row>
    <row r="970" spans="2:19" x14ac:dyDescent="0.2">
      <c r="B970" s="7">
        <f t="shared" si="410"/>
        <v>462</v>
      </c>
      <c r="C970" s="13"/>
      <c r="D970" s="13"/>
      <c r="E970" s="13"/>
      <c r="F970" s="14" t="s">
        <v>155</v>
      </c>
      <c r="G970" s="15">
        <v>640</v>
      </c>
      <c r="H970" s="13" t="s">
        <v>127</v>
      </c>
      <c r="I970" s="16">
        <v>847</v>
      </c>
      <c r="J970" s="16"/>
      <c r="K970" s="16">
        <f t="shared" si="411"/>
        <v>847</v>
      </c>
      <c r="L970" s="16"/>
      <c r="M970" s="16"/>
      <c r="N970" s="16"/>
      <c r="O970" s="16">
        <f t="shared" si="412"/>
        <v>0</v>
      </c>
      <c r="P970" s="16"/>
      <c r="Q970" s="18">
        <f t="shared" si="408"/>
        <v>847</v>
      </c>
      <c r="R970" s="18">
        <f t="shared" si="409"/>
        <v>0</v>
      </c>
      <c r="S970" s="18">
        <f t="shared" si="409"/>
        <v>847</v>
      </c>
    </row>
    <row r="971" spans="2:19" ht="15" x14ac:dyDescent="0.25">
      <c r="B971" s="7">
        <f t="shared" si="410"/>
        <v>463</v>
      </c>
      <c r="C971" s="108"/>
      <c r="D971" s="108"/>
      <c r="E971" s="108">
        <v>7</v>
      </c>
      <c r="F971" s="109"/>
      <c r="G971" s="109"/>
      <c r="H971" s="108" t="s">
        <v>280</v>
      </c>
      <c r="I971" s="110">
        <f>I972+I973+I974+I978</f>
        <v>278767</v>
      </c>
      <c r="J971" s="110">
        <f t="shared" ref="J971" si="415">J972+J973+J974+J978</f>
        <v>0</v>
      </c>
      <c r="K971" s="110">
        <f t="shared" si="411"/>
        <v>278767</v>
      </c>
      <c r="L971" s="321"/>
      <c r="M971" s="110"/>
      <c r="N971" s="110"/>
      <c r="O971" s="110">
        <f t="shared" si="412"/>
        <v>0</v>
      </c>
      <c r="P971" s="321"/>
      <c r="Q971" s="112">
        <f t="shared" si="408"/>
        <v>278767</v>
      </c>
      <c r="R971" s="112">
        <f t="shared" si="409"/>
        <v>0</v>
      </c>
      <c r="S971" s="112">
        <f t="shared" si="409"/>
        <v>278767</v>
      </c>
    </row>
    <row r="972" spans="2:19" x14ac:dyDescent="0.2">
      <c r="B972" s="7">
        <f t="shared" si="410"/>
        <v>464</v>
      </c>
      <c r="C972" s="13"/>
      <c r="D972" s="13"/>
      <c r="E972" s="13"/>
      <c r="F972" s="14" t="s">
        <v>155</v>
      </c>
      <c r="G972" s="15">
        <v>610</v>
      </c>
      <c r="H972" s="13" t="s">
        <v>511</v>
      </c>
      <c r="I972" s="16">
        <v>187122</v>
      </c>
      <c r="J972" s="16"/>
      <c r="K972" s="16">
        <f t="shared" si="411"/>
        <v>187122</v>
      </c>
      <c r="L972" s="16"/>
      <c r="M972" s="16"/>
      <c r="N972" s="16"/>
      <c r="O972" s="16">
        <f t="shared" si="412"/>
        <v>0</v>
      </c>
      <c r="P972" s="16"/>
      <c r="Q972" s="18">
        <f t="shared" si="408"/>
        <v>187122</v>
      </c>
      <c r="R972" s="18">
        <f t="shared" si="409"/>
        <v>0</v>
      </c>
      <c r="S972" s="18">
        <f t="shared" si="409"/>
        <v>187122</v>
      </c>
    </row>
    <row r="973" spans="2:19" x14ac:dyDescent="0.2">
      <c r="B973" s="7">
        <f t="shared" si="410"/>
        <v>465</v>
      </c>
      <c r="C973" s="13"/>
      <c r="D973" s="13"/>
      <c r="E973" s="13"/>
      <c r="F973" s="14" t="s">
        <v>155</v>
      </c>
      <c r="G973" s="15">
        <v>620</v>
      </c>
      <c r="H973" s="13" t="s">
        <v>122</v>
      </c>
      <c r="I973" s="16">
        <v>71015</v>
      </c>
      <c r="J973" s="16"/>
      <c r="K973" s="16">
        <f t="shared" si="411"/>
        <v>71015</v>
      </c>
      <c r="L973" s="16"/>
      <c r="M973" s="16"/>
      <c r="N973" s="16"/>
      <c r="O973" s="16">
        <f t="shared" si="412"/>
        <v>0</v>
      </c>
      <c r="P973" s="16"/>
      <c r="Q973" s="18">
        <f t="shared" si="408"/>
        <v>71015</v>
      </c>
      <c r="R973" s="18">
        <f t="shared" ref="R973:S988" si="416">N973+J973</f>
        <v>0</v>
      </c>
      <c r="S973" s="18">
        <f t="shared" si="416"/>
        <v>71015</v>
      </c>
    </row>
    <row r="974" spans="2:19" x14ac:dyDescent="0.2">
      <c r="B974" s="7">
        <f t="shared" si="410"/>
        <v>466</v>
      </c>
      <c r="C974" s="13"/>
      <c r="D974" s="13"/>
      <c r="E974" s="13"/>
      <c r="F974" s="14" t="s">
        <v>155</v>
      </c>
      <c r="G974" s="15">
        <v>630</v>
      </c>
      <c r="H974" s="13" t="s">
        <v>119</v>
      </c>
      <c r="I974" s="16">
        <f>SUM(I975:I977)</f>
        <v>19380</v>
      </c>
      <c r="J974" s="16">
        <f t="shared" ref="J974" si="417">SUM(J975:J977)</f>
        <v>0</v>
      </c>
      <c r="K974" s="16">
        <f t="shared" si="411"/>
        <v>19380</v>
      </c>
      <c r="L974" s="16"/>
      <c r="M974" s="16"/>
      <c r="N974" s="16"/>
      <c r="O974" s="16">
        <f t="shared" si="412"/>
        <v>0</v>
      </c>
      <c r="P974" s="16"/>
      <c r="Q974" s="18">
        <f t="shared" si="408"/>
        <v>19380</v>
      </c>
      <c r="R974" s="18">
        <f t="shared" si="416"/>
        <v>0</v>
      </c>
      <c r="S974" s="18">
        <f t="shared" si="416"/>
        <v>19380</v>
      </c>
    </row>
    <row r="975" spans="2:19" x14ac:dyDescent="0.2">
      <c r="B975" s="7">
        <f t="shared" si="410"/>
        <v>467</v>
      </c>
      <c r="C975" s="19"/>
      <c r="D975" s="19"/>
      <c r="E975" s="19"/>
      <c r="F975" s="20"/>
      <c r="G975" s="21">
        <v>632</v>
      </c>
      <c r="H975" s="19" t="s">
        <v>131</v>
      </c>
      <c r="I975" s="22">
        <v>6000</v>
      </c>
      <c r="J975" s="22"/>
      <c r="K975" s="22">
        <f t="shared" si="411"/>
        <v>6000</v>
      </c>
      <c r="L975" s="22"/>
      <c r="M975" s="22"/>
      <c r="N975" s="22"/>
      <c r="O975" s="22">
        <f t="shared" si="412"/>
        <v>0</v>
      </c>
      <c r="P975" s="22"/>
      <c r="Q975" s="23">
        <f t="shared" si="408"/>
        <v>6000</v>
      </c>
      <c r="R975" s="23">
        <f t="shared" si="416"/>
        <v>0</v>
      </c>
      <c r="S975" s="23">
        <f t="shared" si="416"/>
        <v>6000</v>
      </c>
    </row>
    <row r="976" spans="2:19" x14ac:dyDescent="0.2">
      <c r="B976" s="7">
        <f t="shared" si="410"/>
        <v>468</v>
      </c>
      <c r="C976" s="19"/>
      <c r="D976" s="19"/>
      <c r="E976" s="19"/>
      <c r="F976" s="20"/>
      <c r="G976" s="21">
        <v>633</v>
      </c>
      <c r="H976" s="19" t="s">
        <v>123</v>
      </c>
      <c r="I976" s="22">
        <v>5880</v>
      </c>
      <c r="J976" s="22"/>
      <c r="K976" s="22">
        <f t="shared" si="411"/>
        <v>5880</v>
      </c>
      <c r="L976" s="22"/>
      <c r="M976" s="22"/>
      <c r="N976" s="22"/>
      <c r="O976" s="22">
        <f t="shared" si="412"/>
        <v>0</v>
      </c>
      <c r="P976" s="22"/>
      <c r="Q976" s="23">
        <f t="shared" si="408"/>
        <v>5880</v>
      </c>
      <c r="R976" s="23">
        <f t="shared" si="416"/>
        <v>0</v>
      </c>
      <c r="S976" s="23">
        <f t="shared" si="416"/>
        <v>5880</v>
      </c>
    </row>
    <row r="977" spans="2:19" x14ac:dyDescent="0.2">
      <c r="B977" s="7">
        <f t="shared" si="410"/>
        <v>469</v>
      </c>
      <c r="C977" s="19"/>
      <c r="D977" s="19"/>
      <c r="E977" s="19"/>
      <c r="F977" s="20"/>
      <c r="G977" s="21">
        <v>637</v>
      </c>
      <c r="H977" s="19" t="s">
        <v>120</v>
      </c>
      <c r="I977" s="22">
        <v>7500</v>
      </c>
      <c r="J977" s="22"/>
      <c r="K977" s="22">
        <f t="shared" si="411"/>
        <v>7500</v>
      </c>
      <c r="L977" s="22"/>
      <c r="M977" s="22"/>
      <c r="N977" s="22"/>
      <c r="O977" s="22">
        <f t="shared" si="412"/>
        <v>0</v>
      </c>
      <c r="P977" s="22"/>
      <c r="Q977" s="23">
        <f t="shared" si="408"/>
        <v>7500</v>
      </c>
      <c r="R977" s="23">
        <f t="shared" si="416"/>
        <v>0</v>
      </c>
      <c r="S977" s="23">
        <f t="shared" si="416"/>
        <v>7500</v>
      </c>
    </row>
    <row r="978" spans="2:19" x14ac:dyDescent="0.2">
      <c r="B978" s="7">
        <f t="shared" si="410"/>
        <v>470</v>
      </c>
      <c r="C978" s="13"/>
      <c r="D978" s="13"/>
      <c r="E978" s="13"/>
      <c r="F978" s="14" t="s">
        <v>155</v>
      </c>
      <c r="G978" s="15">
        <v>640</v>
      </c>
      <c r="H978" s="13" t="s">
        <v>127</v>
      </c>
      <c r="I978" s="16">
        <v>1250</v>
      </c>
      <c r="J978" s="16"/>
      <c r="K978" s="16">
        <f t="shared" si="411"/>
        <v>1250</v>
      </c>
      <c r="L978" s="16"/>
      <c r="M978" s="16"/>
      <c r="N978" s="16"/>
      <c r="O978" s="16">
        <f t="shared" si="412"/>
        <v>0</v>
      </c>
      <c r="P978" s="16"/>
      <c r="Q978" s="18">
        <f t="shared" si="408"/>
        <v>1250</v>
      </c>
      <c r="R978" s="18">
        <f t="shared" si="416"/>
        <v>0</v>
      </c>
      <c r="S978" s="18">
        <f t="shared" si="416"/>
        <v>1250</v>
      </c>
    </row>
    <row r="979" spans="2:19" ht="15" x14ac:dyDescent="0.25">
      <c r="B979" s="7">
        <f t="shared" si="410"/>
        <v>471</v>
      </c>
      <c r="C979" s="108"/>
      <c r="D979" s="108"/>
      <c r="E979" s="108">
        <v>8</v>
      </c>
      <c r="F979" s="109"/>
      <c r="G979" s="109"/>
      <c r="H979" s="108" t="s">
        <v>6</v>
      </c>
      <c r="I979" s="110">
        <f>I980+I981+I982+I987</f>
        <v>549805</v>
      </c>
      <c r="J979" s="110">
        <f t="shared" ref="J979" si="418">J980+J981+J982+J987</f>
        <v>0</v>
      </c>
      <c r="K979" s="110">
        <f t="shared" si="411"/>
        <v>549805</v>
      </c>
      <c r="L979" s="321"/>
      <c r="M979" s="110"/>
      <c r="N979" s="110"/>
      <c r="O979" s="110">
        <f t="shared" si="412"/>
        <v>0</v>
      </c>
      <c r="P979" s="321"/>
      <c r="Q979" s="112">
        <f t="shared" si="408"/>
        <v>549805</v>
      </c>
      <c r="R979" s="112">
        <f t="shared" si="416"/>
        <v>0</v>
      </c>
      <c r="S979" s="112">
        <f t="shared" si="416"/>
        <v>549805</v>
      </c>
    </row>
    <row r="980" spans="2:19" x14ac:dyDescent="0.2">
      <c r="B980" s="7">
        <f t="shared" si="410"/>
        <v>472</v>
      </c>
      <c r="C980" s="13"/>
      <c r="D980" s="13"/>
      <c r="E980" s="13"/>
      <c r="F980" s="14" t="s">
        <v>155</v>
      </c>
      <c r="G980" s="15">
        <v>610</v>
      </c>
      <c r="H980" s="13" t="s">
        <v>511</v>
      </c>
      <c r="I980" s="16">
        <f>384535-17400</f>
        <v>367135</v>
      </c>
      <c r="J980" s="16"/>
      <c r="K980" s="16">
        <f t="shared" si="411"/>
        <v>367135</v>
      </c>
      <c r="L980" s="16"/>
      <c r="M980" s="16"/>
      <c r="N980" s="16"/>
      <c r="O980" s="16">
        <f t="shared" si="412"/>
        <v>0</v>
      </c>
      <c r="P980" s="16"/>
      <c r="Q980" s="18">
        <f t="shared" si="408"/>
        <v>367135</v>
      </c>
      <c r="R980" s="18">
        <f t="shared" si="416"/>
        <v>0</v>
      </c>
      <c r="S980" s="18">
        <f t="shared" si="416"/>
        <v>367135</v>
      </c>
    </row>
    <row r="981" spans="2:19" x14ac:dyDescent="0.2">
      <c r="B981" s="7">
        <f t="shared" si="410"/>
        <v>473</v>
      </c>
      <c r="C981" s="13"/>
      <c r="D981" s="13"/>
      <c r="E981" s="13"/>
      <c r="F981" s="14" t="s">
        <v>155</v>
      </c>
      <c r="G981" s="15">
        <v>620</v>
      </c>
      <c r="H981" s="13" t="s">
        <v>122</v>
      </c>
      <c r="I981" s="16">
        <f>144300-6600</f>
        <v>137700</v>
      </c>
      <c r="J981" s="16"/>
      <c r="K981" s="16">
        <f t="shared" si="411"/>
        <v>137700</v>
      </c>
      <c r="L981" s="16"/>
      <c r="M981" s="16"/>
      <c r="N981" s="16"/>
      <c r="O981" s="16">
        <f t="shared" si="412"/>
        <v>0</v>
      </c>
      <c r="P981" s="16"/>
      <c r="Q981" s="18">
        <f t="shared" si="408"/>
        <v>137700</v>
      </c>
      <c r="R981" s="18">
        <f t="shared" si="416"/>
        <v>0</v>
      </c>
      <c r="S981" s="18">
        <f t="shared" si="416"/>
        <v>137700</v>
      </c>
    </row>
    <row r="982" spans="2:19" x14ac:dyDescent="0.2">
      <c r="B982" s="7">
        <f t="shared" si="410"/>
        <v>474</v>
      </c>
      <c r="C982" s="13"/>
      <c r="D982" s="13"/>
      <c r="E982" s="13"/>
      <c r="F982" s="14" t="s">
        <v>155</v>
      </c>
      <c r="G982" s="15">
        <v>630</v>
      </c>
      <c r="H982" s="13" t="s">
        <v>119</v>
      </c>
      <c r="I982" s="16">
        <f>SUM(I983:I986)</f>
        <v>39140</v>
      </c>
      <c r="J982" s="16">
        <f t="shared" ref="J982" si="419">SUM(J983:J986)</f>
        <v>0</v>
      </c>
      <c r="K982" s="16">
        <f t="shared" si="411"/>
        <v>39140</v>
      </c>
      <c r="L982" s="16"/>
      <c r="M982" s="16"/>
      <c r="N982" s="16"/>
      <c r="O982" s="16">
        <f t="shared" si="412"/>
        <v>0</v>
      </c>
      <c r="P982" s="16"/>
      <c r="Q982" s="18">
        <f t="shared" si="408"/>
        <v>39140</v>
      </c>
      <c r="R982" s="18">
        <f t="shared" si="416"/>
        <v>0</v>
      </c>
      <c r="S982" s="18">
        <f t="shared" si="416"/>
        <v>39140</v>
      </c>
    </row>
    <row r="983" spans="2:19" x14ac:dyDescent="0.2">
      <c r="B983" s="7">
        <f t="shared" si="410"/>
        <v>475</v>
      </c>
      <c r="C983" s="19"/>
      <c r="D983" s="19"/>
      <c r="E983" s="19"/>
      <c r="F983" s="20"/>
      <c r="G983" s="21">
        <v>632</v>
      </c>
      <c r="H983" s="19" t="s">
        <v>131</v>
      </c>
      <c r="I983" s="22">
        <v>24990</v>
      </c>
      <c r="J983" s="22"/>
      <c r="K983" s="22">
        <f t="shared" si="411"/>
        <v>24990</v>
      </c>
      <c r="L983" s="22"/>
      <c r="M983" s="22"/>
      <c r="N983" s="22"/>
      <c r="O983" s="22">
        <f t="shared" si="412"/>
        <v>0</v>
      </c>
      <c r="P983" s="22"/>
      <c r="Q983" s="23">
        <f t="shared" si="408"/>
        <v>24990</v>
      </c>
      <c r="R983" s="23">
        <f t="shared" si="416"/>
        <v>0</v>
      </c>
      <c r="S983" s="23">
        <f t="shared" si="416"/>
        <v>24990</v>
      </c>
    </row>
    <row r="984" spans="2:19" x14ac:dyDescent="0.2">
      <c r="B984" s="7">
        <f t="shared" si="410"/>
        <v>476</v>
      </c>
      <c r="C984" s="19"/>
      <c r="D984" s="19"/>
      <c r="E984" s="19"/>
      <c r="F984" s="20"/>
      <c r="G984" s="21">
        <v>633</v>
      </c>
      <c r="H984" s="19" t="s">
        <v>123</v>
      </c>
      <c r="I984" s="22">
        <v>2400</v>
      </c>
      <c r="J984" s="22"/>
      <c r="K984" s="22">
        <f t="shared" si="411"/>
        <v>2400</v>
      </c>
      <c r="L984" s="22"/>
      <c r="M984" s="22"/>
      <c r="N984" s="22"/>
      <c r="O984" s="22">
        <f t="shared" si="412"/>
        <v>0</v>
      </c>
      <c r="P984" s="22"/>
      <c r="Q984" s="23">
        <f t="shared" si="408"/>
        <v>2400</v>
      </c>
      <c r="R984" s="23">
        <f t="shared" si="416"/>
        <v>0</v>
      </c>
      <c r="S984" s="23">
        <f t="shared" si="416"/>
        <v>2400</v>
      </c>
    </row>
    <row r="985" spans="2:19" x14ac:dyDescent="0.2">
      <c r="B985" s="7">
        <f t="shared" si="410"/>
        <v>477</v>
      </c>
      <c r="C985" s="19"/>
      <c r="D985" s="19"/>
      <c r="E985" s="19"/>
      <c r="F985" s="20"/>
      <c r="G985" s="21">
        <v>635</v>
      </c>
      <c r="H985" s="19" t="s">
        <v>130</v>
      </c>
      <c r="I985" s="22">
        <v>2500</v>
      </c>
      <c r="J985" s="22"/>
      <c r="K985" s="22">
        <f t="shared" si="411"/>
        <v>2500</v>
      </c>
      <c r="L985" s="22"/>
      <c r="M985" s="22"/>
      <c r="N985" s="22"/>
      <c r="O985" s="22">
        <f t="shared" si="412"/>
        <v>0</v>
      </c>
      <c r="P985" s="22"/>
      <c r="Q985" s="23">
        <f t="shared" si="408"/>
        <v>2500</v>
      </c>
      <c r="R985" s="23">
        <f t="shared" si="416"/>
        <v>0</v>
      </c>
      <c r="S985" s="23">
        <f t="shared" si="416"/>
        <v>2500</v>
      </c>
    </row>
    <row r="986" spans="2:19" x14ac:dyDescent="0.2">
      <c r="B986" s="7">
        <f t="shared" si="410"/>
        <v>478</v>
      </c>
      <c r="C986" s="19"/>
      <c r="D986" s="19"/>
      <c r="E986" s="19"/>
      <c r="F986" s="20"/>
      <c r="G986" s="21">
        <v>637</v>
      </c>
      <c r="H986" s="19" t="s">
        <v>120</v>
      </c>
      <c r="I986" s="22">
        <v>9250</v>
      </c>
      <c r="J986" s="22"/>
      <c r="K986" s="22">
        <f t="shared" si="411"/>
        <v>9250</v>
      </c>
      <c r="L986" s="22"/>
      <c r="M986" s="22"/>
      <c r="N986" s="22"/>
      <c r="O986" s="22">
        <f t="shared" si="412"/>
        <v>0</v>
      </c>
      <c r="P986" s="22"/>
      <c r="Q986" s="23">
        <f t="shared" si="408"/>
        <v>9250</v>
      </c>
      <c r="R986" s="23">
        <f t="shared" si="416"/>
        <v>0</v>
      </c>
      <c r="S986" s="23">
        <f t="shared" si="416"/>
        <v>9250</v>
      </c>
    </row>
    <row r="987" spans="2:19" x14ac:dyDescent="0.2">
      <c r="B987" s="7">
        <f t="shared" si="410"/>
        <v>479</v>
      </c>
      <c r="C987" s="13"/>
      <c r="D987" s="13"/>
      <c r="E987" s="13"/>
      <c r="F987" s="14" t="s">
        <v>155</v>
      </c>
      <c r="G987" s="15">
        <v>640</v>
      </c>
      <c r="H987" s="13" t="s">
        <v>127</v>
      </c>
      <c r="I987" s="16">
        <v>5830</v>
      </c>
      <c r="J987" s="16"/>
      <c r="K987" s="16">
        <f t="shared" si="411"/>
        <v>5830</v>
      </c>
      <c r="L987" s="22"/>
      <c r="M987" s="16"/>
      <c r="N987" s="16"/>
      <c r="O987" s="16">
        <f t="shared" si="412"/>
        <v>0</v>
      </c>
      <c r="P987" s="16"/>
      <c r="Q987" s="18">
        <f t="shared" si="408"/>
        <v>5830</v>
      </c>
      <c r="R987" s="18">
        <f t="shared" si="416"/>
        <v>0</v>
      </c>
      <c r="S987" s="18">
        <f t="shared" si="416"/>
        <v>5830</v>
      </c>
    </row>
    <row r="988" spans="2:19" ht="15" x14ac:dyDescent="0.25">
      <c r="B988" s="7">
        <f t="shared" si="410"/>
        <v>480</v>
      </c>
      <c r="C988" s="108"/>
      <c r="D988" s="108"/>
      <c r="E988" s="108">
        <v>9</v>
      </c>
      <c r="F988" s="109"/>
      <c r="G988" s="109"/>
      <c r="H988" s="108" t="s">
        <v>4</v>
      </c>
      <c r="I988" s="110">
        <f>I989+I990+I991+I996</f>
        <v>368315</v>
      </c>
      <c r="J988" s="110">
        <f t="shared" ref="J988" si="420">J989+J990+J991+J996</f>
        <v>0</v>
      </c>
      <c r="K988" s="110">
        <f t="shared" si="411"/>
        <v>368315</v>
      </c>
      <c r="L988" s="22"/>
      <c r="M988" s="110"/>
      <c r="N988" s="110"/>
      <c r="O988" s="110">
        <f t="shared" si="412"/>
        <v>0</v>
      </c>
      <c r="P988" s="321"/>
      <c r="Q988" s="112">
        <f t="shared" si="408"/>
        <v>368315</v>
      </c>
      <c r="R988" s="112">
        <f t="shared" si="416"/>
        <v>0</v>
      </c>
      <c r="S988" s="112">
        <f t="shared" si="416"/>
        <v>368315</v>
      </c>
    </row>
    <row r="989" spans="2:19" x14ac:dyDescent="0.2">
      <c r="B989" s="7">
        <f t="shared" si="410"/>
        <v>481</v>
      </c>
      <c r="C989" s="13"/>
      <c r="D989" s="13"/>
      <c r="E989" s="13"/>
      <c r="F989" s="14" t="s">
        <v>155</v>
      </c>
      <c r="G989" s="15">
        <v>610</v>
      </c>
      <c r="H989" s="13" t="s">
        <v>511</v>
      </c>
      <c r="I989" s="16">
        <v>250000</v>
      </c>
      <c r="J989" s="16"/>
      <c r="K989" s="16">
        <f t="shared" si="411"/>
        <v>250000</v>
      </c>
      <c r="L989" s="22"/>
      <c r="M989" s="16"/>
      <c r="N989" s="16"/>
      <c r="O989" s="16">
        <f t="shared" si="412"/>
        <v>0</v>
      </c>
      <c r="P989" s="16"/>
      <c r="Q989" s="18">
        <f t="shared" si="408"/>
        <v>250000</v>
      </c>
      <c r="R989" s="18">
        <f t="shared" ref="R989:S1004" si="421">N989+J989</f>
        <v>0</v>
      </c>
      <c r="S989" s="18">
        <f t="shared" si="421"/>
        <v>250000</v>
      </c>
    </row>
    <row r="990" spans="2:19" x14ac:dyDescent="0.2">
      <c r="B990" s="7">
        <f t="shared" si="410"/>
        <v>482</v>
      </c>
      <c r="C990" s="13"/>
      <c r="D990" s="13"/>
      <c r="E990" s="13"/>
      <c r="F990" s="14" t="s">
        <v>155</v>
      </c>
      <c r="G990" s="15">
        <v>620</v>
      </c>
      <c r="H990" s="13" t="s">
        <v>122</v>
      </c>
      <c r="I990" s="16">
        <v>91825</v>
      </c>
      <c r="J990" s="16"/>
      <c r="K990" s="16">
        <f t="shared" si="411"/>
        <v>91825</v>
      </c>
      <c r="L990" s="22"/>
      <c r="M990" s="16"/>
      <c r="N990" s="16"/>
      <c r="O990" s="16">
        <f t="shared" si="412"/>
        <v>0</v>
      </c>
      <c r="P990" s="16"/>
      <c r="Q990" s="18">
        <f t="shared" si="408"/>
        <v>91825</v>
      </c>
      <c r="R990" s="18">
        <f t="shared" si="421"/>
        <v>0</v>
      </c>
      <c r="S990" s="18">
        <f t="shared" si="421"/>
        <v>91825</v>
      </c>
    </row>
    <row r="991" spans="2:19" x14ac:dyDescent="0.2">
      <c r="B991" s="7">
        <f t="shared" si="410"/>
        <v>483</v>
      </c>
      <c r="C991" s="13"/>
      <c r="D991" s="13"/>
      <c r="E991" s="13"/>
      <c r="F991" s="14" t="s">
        <v>155</v>
      </c>
      <c r="G991" s="15">
        <v>630</v>
      </c>
      <c r="H991" s="13" t="s">
        <v>119</v>
      </c>
      <c r="I991" s="16">
        <f>SUM(I992:I995)</f>
        <v>24990</v>
      </c>
      <c r="J991" s="16">
        <f t="shared" ref="J991" si="422">SUM(J992:J995)</f>
        <v>0</v>
      </c>
      <c r="K991" s="16">
        <f t="shared" si="411"/>
        <v>24990</v>
      </c>
      <c r="L991" s="22"/>
      <c r="M991" s="16"/>
      <c r="N991" s="16"/>
      <c r="O991" s="16">
        <f t="shared" si="412"/>
        <v>0</v>
      </c>
      <c r="P991" s="16"/>
      <c r="Q991" s="18">
        <f t="shared" si="408"/>
        <v>24990</v>
      </c>
      <c r="R991" s="18">
        <f t="shared" si="421"/>
        <v>0</v>
      </c>
      <c r="S991" s="18">
        <f t="shared" si="421"/>
        <v>24990</v>
      </c>
    </row>
    <row r="992" spans="2:19" x14ac:dyDescent="0.2">
      <c r="B992" s="7">
        <f t="shared" si="410"/>
        <v>484</v>
      </c>
      <c r="C992" s="19"/>
      <c r="D992" s="19"/>
      <c r="E992" s="19"/>
      <c r="F992" s="20"/>
      <c r="G992" s="21">
        <v>632</v>
      </c>
      <c r="H992" s="19" t="s">
        <v>131</v>
      </c>
      <c r="I992" s="22">
        <v>13700</v>
      </c>
      <c r="J992" s="22"/>
      <c r="K992" s="22">
        <f t="shared" si="411"/>
        <v>13700</v>
      </c>
      <c r="L992" s="22"/>
      <c r="M992" s="22"/>
      <c r="N992" s="22"/>
      <c r="O992" s="22">
        <f t="shared" si="412"/>
        <v>0</v>
      </c>
      <c r="P992" s="22"/>
      <c r="Q992" s="23">
        <f t="shared" si="408"/>
        <v>13700</v>
      </c>
      <c r="R992" s="23">
        <f t="shared" si="421"/>
        <v>0</v>
      </c>
      <c r="S992" s="23">
        <f t="shared" si="421"/>
        <v>13700</v>
      </c>
    </row>
    <row r="993" spans="2:19" x14ac:dyDescent="0.2">
      <c r="B993" s="7">
        <f t="shared" si="410"/>
        <v>485</v>
      </c>
      <c r="C993" s="19"/>
      <c r="D993" s="19"/>
      <c r="E993" s="19"/>
      <c r="F993" s="20"/>
      <c r="G993" s="21">
        <v>633</v>
      </c>
      <c r="H993" s="19" t="s">
        <v>123</v>
      </c>
      <c r="I993" s="22">
        <v>2190</v>
      </c>
      <c r="J993" s="22"/>
      <c r="K993" s="22">
        <f t="shared" si="411"/>
        <v>2190</v>
      </c>
      <c r="L993" s="22"/>
      <c r="M993" s="22"/>
      <c r="N993" s="22"/>
      <c r="O993" s="22">
        <f t="shared" si="412"/>
        <v>0</v>
      </c>
      <c r="P993" s="22"/>
      <c r="Q993" s="23">
        <f t="shared" si="408"/>
        <v>2190</v>
      </c>
      <c r="R993" s="23">
        <f t="shared" si="421"/>
        <v>0</v>
      </c>
      <c r="S993" s="23">
        <f t="shared" si="421"/>
        <v>2190</v>
      </c>
    </row>
    <row r="994" spans="2:19" x14ac:dyDescent="0.2">
      <c r="B994" s="7">
        <f t="shared" si="410"/>
        <v>486</v>
      </c>
      <c r="C994" s="19"/>
      <c r="D994" s="19"/>
      <c r="E994" s="19"/>
      <c r="F994" s="20"/>
      <c r="G994" s="21">
        <v>635</v>
      </c>
      <c r="H994" s="19" t="s">
        <v>130</v>
      </c>
      <c r="I994" s="22">
        <v>2000</v>
      </c>
      <c r="J994" s="22"/>
      <c r="K994" s="22">
        <f t="shared" si="411"/>
        <v>2000</v>
      </c>
      <c r="L994" s="22"/>
      <c r="M994" s="22"/>
      <c r="N994" s="22"/>
      <c r="O994" s="22">
        <f t="shared" si="412"/>
        <v>0</v>
      </c>
      <c r="P994" s="22"/>
      <c r="Q994" s="23">
        <f t="shared" si="408"/>
        <v>2000</v>
      </c>
      <c r="R994" s="23">
        <f t="shared" si="421"/>
        <v>0</v>
      </c>
      <c r="S994" s="23">
        <f t="shared" si="421"/>
        <v>2000</v>
      </c>
    </row>
    <row r="995" spans="2:19" x14ac:dyDescent="0.2">
      <c r="B995" s="7">
        <f t="shared" si="410"/>
        <v>487</v>
      </c>
      <c r="C995" s="19"/>
      <c r="D995" s="19"/>
      <c r="E995" s="19"/>
      <c r="F995" s="20"/>
      <c r="G995" s="21">
        <v>637</v>
      </c>
      <c r="H995" s="19" t="s">
        <v>120</v>
      </c>
      <c r="I995" s="22">
        <v>7100</v>
      </c>
      <c r="J995" s="22"/>
      <c r="K995" s="22">
        <f t="shared" si="411"/>
        <v>7100</v>
      </c>
      <c r="L995" s="22"/>
      <c r="M995" s="22"/>
      <c r="N995" s="22"/>
      <c r="O995" s="22">
        <f t="shared" si="412"/>
        <v>0</v>
      </c>
      <c r="P995" s="22"/>
      <c r="Q995" s="23">
        <f t="shared" si="408"/>
        <v>7100</v>
      </c>
      <c r="R995" s="23">
        <f t="shared" si="421"/>
        <v>0</v>
      </c>
      <c r="S995" s="23">
        <f t="shared" si="421"/>
        <v>7100</v>
      </c>
    </row>
    <row r="996" spans="2:19" x14ac:dyDescent="0.2">
      <c r="B996" s="7">
        <f t="shared" si="410"/>
        <v>488</v>
      </c>
      <c r="C996" s="13"/>
      <c r="D996" s="13"/>
      <c r="E996" s="13"/>
      <c r="F996" s="14" t="s">
        <v>155</v>
      </c>
      <c r="G996" s="15">
        <v>640</v>
      </c>
      <c r="H996" s="13" t="s">
        <v>127</v>
      </c>
      <c r="I996" s="16">
        <v>1500</v>
      </c>
      <c r="J996" s="16"/>
      <c r="K996" s="16">
        <f t="shared" si="411"/>
        <v>1500</v>
      </c>
      <c r="L996" s="16"/>
      <c r="M996" s="16"/>
      <c r="N996" s="16"/>
      <c r="O996" s="16">
        <f t="shared" si="412"/>
        <v>0</v>
      </c>
      <c r="P996" s="16"/>
      <c r="Q996" s="18">
        <f t="shared" si="408"/>
        <v>1500</v>
      </c>
      <c r="R996" s="18">
        <f t="shared" si="421"/>
        <v>0</v>
      </c>
      <c r="S996" s="18">
        <f t="shared" si="421"/>
        <v>1500</v>
      </c>
    </row>
    <row r="997" spans="2:19" ht="15" x14ac:dyDescent="0.25">
      <c r="B997" s="7">
        <f t="shared" si="410"/>
        <v>489</v>
      </c>
      <c r="C997" s="108"/>
      <c r="D997" s="108"/>
      <c r="E997" s="108">
        <v>10</v>
      </c>
      <c r="F997" s="109"/>
      <c r="G997" s="109"/>
      <c r="H997" s="108" t="s">
        <v>0</v>
      </c>
      <c r="I997" s="110">
        <f>I998+I999+I1000+I1005</f>
        <v>277339</v>
      </c>
      <c r="J997" s="110">
        <f t="shared" ref="J997" si="423">J998+J999+J1000+J1005</f>
        <v>0</v>
      </c>
      <c r="K997" s="110">
        <f t="shared" si="411"/>
        <v>277339</v>
      </c>
      <c r="L997" s="321"/>
      <c r="M997" s="110"/>
      <c r="N997" s="110"/>
      <c r="O997" s="110">
        <f t="shared" si="412"/>
        <v>0</v>
      </c>
      <c r="P997" s="321"/>
      <c r="Q997" s="112">
        <f t="shared" si="408"/>
        <v>277339</v>
      </c>
      <c r="R997" s="112">
        <f t="shared" si="421"/>
        <v>0</v>
      </c>
      <c r="S997" s="112">
        <f t="shared" si="421"/>
        <v>277339</v>
      </c>
    </row>
    <row r="998" spans="2:19" x14ac:dyDescent="0.2">
      <c r="B998" s="7">
        <f t="shared" si="410"/>
        <v>490</v>
      </c>
      <c r="C998" s="13"/>
      <c r="D998" s="13"/>
      <c r="E998" s="13"/>
      <c r="F998" s="14" t="s">
        <v>155</v>
      </c>
      <c r="G998" s="15">
        <v>610</v>
      </c>
      <c r="H998" s="13" t="s">
        <v>511</v>
      </c>
      <c r="I998" s="16">
        <f>170170+6154</f>
        <v>176324</v>
      </c>
      <c r="J998" s="16"/>
      <c r="K998" s="16">
        <f t="shared" si="411"/>
        <v>176324</v>
      </c>
      <c r="L998" s="16"/>
      <c r="M998" s="16"/>
      <c r="N998" s="16"/>
      <c r="O998" s="16">
        <f t="shared" si="412"/>
        <v>0</v>
      </c>
      <c r="P998" s="16"/>
      <c r="Q998" s="18">
        <f t="shared" si="408"/>
        <v>176324</v>
      </c>
      <c r="R998" s="18">
        <f t="shared" si="421"/>
        <v>0</v>
      </c>
      <c r="S998" s="18">
        <f t="shared" si="421"/>
        <v>176324</v>
      </c>
    </row>
    <row r="999" spans="2:19" x14ac:dyDescent="0.2">
      <c r="B999" s="7">
        <f t="shared" si="410"/>
        <v>491</v>
      </c>
      <c r="C999" s="13"/>
      <c r="D999" s="13"/>
      <c r="E999" s="13"/>
      <c r="F999" s="14" t="s">
        <v>155</v>
      </c>
      <c r="G999" s="15">
        <v>620</v>
      </c>
      <c r="H999" s="13" t="s">
        <v>122</v>
      </c>
      <c r="I999" s="16">
        <f>64579+2151</f>
        <v>66730</v>
      </c>
      <c r="J999" s="16"/>
      <c r="K999" s="16">
        <f t="shared" si="411"/>
        <v>66730</v>
      </c>
      <c r="L999" s="16"/>
      <c r="M999" s="16"/>
      <c r="N999" s="16"/>
      <c r="O999" s="16">
        <f t="shared" si="412"/>
        <v>0</v>
      </c>
      <c r="P999" s="16"/>
      <c r="Q999" s="18">
        <f t="shared" si="408"/>
        <v>66730</v>
      </c>
      <c r="R999" s="18">
        <f t="shared" si="421"/>
        <v>0</v>
      </c>
      <c r="S999" s="18">
        <f t="shared" si="421"/>
        <v>66730</v>
      </c>
    </row>
    <row r="1000" spans="2:19" x14ac:dyDescent="0.2">
      <c r="B1000" s="7">
        <f t="shared" si="410"/>
        <v>492</v>
      </c>
      <c r="C1000" s="13"/>
      <c r="D1000" s="13"/>
      <c r="E1000" s="13"/>
      <c r="F1000" s="14" t="s">
        <v>155</v>
      </c>
      <c r="G1000" s="15">
        <v>630</v>
      </c>
      <c r="H1000" s="13" t="s">
        <v>119</v>
      </c>
      <c r="I1000" s="16">
        <f>SUM(I1001:I1004)</f>
        <v>33685</v>
      </c>
      <c r="J1000" s="16">
        <f t="shared" ref="J1000" si="424">SUM(J1001:J1004)</f>
        <v>0</v>
      </c>
      <c r="K1000" s="16">
        <f t="shared" si="411"/>
        <v>33685</v>
      </c>
      <c r="L1000" s="16"/>
      <c r="M1000" s="17"/>
      <c r="N1000" s="17"/>
      <c r="O1000" s="17">
        <f t="shared" si="412"/>
        <v>0</v>
      </c>
      <c r="P1000" s="17"/>
      <c r="Q1000" s="18">
        <f t="shared" si="408"/>
        <v>33685</v>
      </c>
      <c r="R1000" s="18">
        <f t="shared" si="421"/>
        <v>0</v>
      </c>
      <c r="S1000" s="18">
        <f t="shared" si="421"/>
        <v>33685</v>
      </c>
    </row>
    <row r="1001" spans="2:19" x14ac:dyDescent="0.2">
      <c r="B1001" s="7">
        <f t="shared" si="410"/>
        <v>493</v>
      </c>
      <c r="C1001" s="19"/>
      <c r="D1001" s="19"/>
      <c r="E1001" s="19"/>
      <c r="F1001" s="20"/>
      <c r="G1001" s="21">
        <v>632</v>
      </c>
      <c r="H1001" s="19" t="s">
        <v>131</v>
      </c>
      <c r="I1001" s="22">
        <v>14820</v>
      </c>
      <c r="J1001" s="22"/>
      <c r="K1001" s="22">
        <f t="shared" si="411"/>
        <v>14820</v>
      </c>
      <c r="L1001" s="22"/>
      <c r="M1001" s="22"/>
      <c r="N1001" s="22"/>
      <c r="O1001" s="22">
        <f t="shared" si="412"/>
        <v>0</v>
      </c>
      <c r="P1001" s="22"/>
      <c r="Q1001" s="23">
        <f t="shared" si="408"/>
        <v>14820</v>
      </c>
      <c r="R1001" s="23">
        <f t="shared" si="421"/>
        <v>0</v>
      </c>
      <c r="S1001" s="23">
        <f t="shared" si="421"/>
        <v>14820</v>
      </c>
    </row>
    <row r="1002" spans="2:19" x14ac:dyDescent="0.2">
      <c r="B1002" s="7">
        <f t="shared" si="410"/>
        <v>494</v>
      </c>
      <c r="C1002" s="19"/>
      <c r="D1002" s="19"/>
      <c r="E1002" s="19"/>
      <c r="F1002" s="20"/>
      <c r="G1002" s="21">
        <v>633</v>
      </c>
      <c r="H1002" s="19" t="s">
        <v>123</v>
      </c>
      <c r="I1002" s="22">
        <f>3820-200</f>
        <v>3620</v>
      </c>
      <c r="J1002" s="22"/>
      <c r="K1002" s="22">
        <f t="shared" si="411"/>
        <v>3620</v>
      </c>
      <c r="L1002" s="22"/>
      <c r="M1002" s="22"/>
      <c r="N1002" s="22"/>
      <c r="O1002" s="22">
        <f t="shared" si="412"/>
        <v>0</v>
      </c>
      <c r="P1002" s="22"/>
      <c r="Q1002" s="23">
        <f t="shared" si="408"/>
        <v>3620</v>
      </c>
      <c r="R1002" s="23">
        <f t="shared" si="421"/>
        <v>0</v>
      </c>
      <c r="S1002" s="23">
        <f t="shared" si="421"/>
        <v>3620</v>
      </c>
    </row>
    <row r="1003" spans="2:19" x14ac:dyDescent="0.2">
      <c r="B1003" s="7">
        <f t="shared" si="410"/>
        <v>495</v>
      </c>
      <c r="C1003" s="19"/>
      <c r="D1003" s="19"/>
      <c r="E1003" s="19"/>
      <c r="F1003" s="20"/>
      <c r="G1003" s="21">
        <v>635</v>
      </c>
      <c r="H1003" s="19" t="s">
        <v>130</v>
      </c>
      <c r="I1003" s="22">
        <f>4000+200</f>
        <v>4200</v>
      </c>
      <c r="J1003" s="22"/>
      <c r="K1003" s="22">
        <f t="shared" si="411"/>
        <v>4200</v>
      </c>
      <c r="L1003" s="22"/>
      <c r="M1003" s="22"/>
      <c r="N1003" s="22"/>
      <c r="O1003" s="22">
        <f t="shared" si="412"/>
        <v>0</v>
      </c>
      <c r="P1003" s="22"/>
      <c r="Q1003" s="23">
        <f t="shared" si="408"/>
        <v>4200</v>
      </c>
      <c r="R1003" s="23">
        <f t="shared" si="421"/>
        <v>0</v>
      </c>
      <c r="S1003" s="23">
        <f t="shared" si="421"/>
        <v>4200</v>
      </c>
    </row>
    <row r="1004" spans="2:19" x14ac:dyDescent="0.2">
      <c r="B1004" s="7">
        <f t="shared" si="410"/>
        <v>496</v>
      </c>
      <c r="C1004" s="19"/>
      <c r="D1004" s="19"/>
      <c r="E1004" s="19"/>
      <c r="F1004" s="20"/>
      <c r="G1004" s="21">
        <v>637</v>
      </c>
      <c r="H1004" s="19" t="s">
        <v>120</v>
      </c>
      <c r="I1004" s="22">
        <v>11045</v>
      </c>
      <c r="J1004" s="22"/>
      <c r="K1004" s="22">
        <f t="shared" si="411"/>
        <v>11045</v>
      </c>
      <c r="L1004" s="22"/>
      <c r="M1004" s="22"/>
      <c r="N1004" s="22"/>
      <c r="O1004" s="22">
        <f t="shared" si="412"/>
        <v>0</v>
      </c>
      <c r="P1004" s="22"/>
      <c r="Q1004" s="23">
        <f t="shared" si="408"/>
        <v>11045</v>
      </c>
      <c r="R1004" s="23">
        <f t="shared" si="421"/>
        <v>0</v>
      </c>
      <c r="S1004" s="23">
        <f t="shared" si="421"/>
        <v>11045</v>
      </c>
    </row>
    <row r="1005" spans="2:19" x14ac:dyDescent="0.2">
      <c r="B1005" s="7">
        <f t="shared" si="410"/>
        <v>497</v>
      </c>
      <c r="C1005" s="13"/>
      <c r="D1005" s="13"/>
      <c r="E1005" s="13"/>
      <c r="F1005" s="14" t="s">
        <v>155</v>
      </c>
      <c r="G1005" s="15">
        <v>640</v>
      </c>
      <c r="H1005" s="13" t="s">
        <v>127</v>
      </c>
      <c r="I1005" s="16">
        <v>600</v>
      </c>
      <c r="J1005" s="16"/>
      <c r="K1005" s="16">
        <f t="shared" si="411"/>
        <v>600</v>
      </c>
      <c r="L1005" s="16"/>
      <c r="M1005" s="16"/>
      <c r="N1005" s="16"/>
      <c r="O1005" s="16">
        <f t="shared" si="412"/>
        <v>0</v>
      </c>
      <c r="P1005" s="16"/>
      <c r="Q1005" s="18">
        <f t="shared" si="408"/>
        <v>600</v>
      </c>
      <c r="R1005" s="18">
        <f t="shared" ref="R1005:S1020" si="425">N1005+J1005</f>
        <v>0</v>
      </c>
      <c r="S1005" s="18">
        <f t="shared" si="425"/>
        <v>600</v>
      </c>
    </row>
    <row r="1006" spans="2:19" ht="15" x14ac:dyDescent="0.25">
      <c r="B1006" s="7">
        <f t="shared" si="410"/>
        <v>498</v>
      </c>
      <c r="C1006" s="108"/>
      <c r="D1006" s="108"/>
      <c r="E1006" s="108">
        <v>11</v>
      </c>
      <c r="F1006" s="109"/>
      <c r="G1006" s="109"/>
      <c r="H1006" s="108" t="s">
        <v>7</v>
      </c>
      <c r="I1006" s="110">
        <f>I1007+I1008+I1009+I1014</f>
        <v>467475</v>
      </c>
      <c r="J1006" s="110">
        <f t="shared" ref="J1006" si="426">J1007+J1008+J1009+J1014</f>
        <v>0</v>
      </c>
      <c r="K1006" s="110">
        <f t="shared" si="411"/>
        <v>467475</v>
      </c>
      <c r="L1006" s="321"/>
      <c r="M1006" s="110"/>
      <c r="N1006" s="110"/>
      <c r="O1006" s="110">
        <f t="shared" si="412"/>
        <v>0</v>
      </c>
      <c r="P1006" s="321"/>
      <c r="Q1006" s="112">
        <f t="shared" si="408"/>
        <v>467475</v>
      </c>
      <c r="R1006" s="112">
        <f t="shared" si="425"/>
        <v>0</v>
      </c>
      <c r="S1006" s="112">
        <f t="shared" si="425"/>
        <v>467475</v>
      </c>
    </row>
    <row r="1007" spans="2:19" x14ac:dyDescent="0.2">
      <c r="B1007" s="7">
        <f t="shared" si="410"/>
        <v>499</v>
      </c>
      <c r="C1007" s="13"/>
      <c r="D1007" s="13"/>
      <c r="E1007" s="13"/>
      <c r="F1007" s="14" t="s">
        <v>155</v>
      </c>
      <c r="G1007" s="15">
        <v>610</v>
      </c>
      <c r="H1007" s="13" t="s">
        <v>511</v>
      </c>
      <c r="I1007" s="16">
        <f>294140+4300</f>
        <v>298440</v>
      </c>
      <c r="J1007" s="16"/>
      <c r="K1007" s="16">
        <f t="shared" si="411"/>
        <v>298440</v>
      </c>
      <c r="L1007" s="16"/>
      <c r="M1007" s="16"/>
      <c r="N1007" s="16"/>
      <c r="O1007" s="16">
        <f t="shared" si="412"/>
        <v>0</v>
      </c>
      <c r="P1007" s="16"/>
      <c r="Q1007" s="18">
        <f t="shared" si="408"/>
        <v>298440</v>
      </c>
      <c r="R1007" s="18">
        <f t="shared" si="425"/>
        <v>0</v>
      </c>
      <c r="S1007" s="18">
        <f t="shared" si="425"/>
        <v>298440</v>
      </c>
    </row>
    <row r="1008" spans="2:19" x14ac:dyDescent="0.2">
      <c r="B1008" s="7">
        <f t="shared" si="410"/>
        <v>500</v>
      </c>
      <c r="C1008" s="13"/>
      <c r="D1008" s="13"/>
      <c r="E1008" s="13"/>
      <c r="F1008" s="14" t="s">
        <v>155</v>
      </c>
      <c r="G1008" s="15">
        <v>620</v>
      </c>
      <c r="H1008" s="13" t="s">
        <v>122</v>
      </c>
      <c r="I1008" s="16">
        <f>114155+1600</f>
        <v>115755</v>
      </c>
      <c r="J1008" s="16"/>
      <c r="K1008" s="16">
        <f t="shared" si="411"/>
        <v>115755</v>
      </c>
      <c r="L1008" s="16"/>
      <c r="M1008" s="16"/>
      <c r="N1008" s="16"/>
      <c r="O1008" s="16">
        <f t="shared" si="412"/>
        <v>0</v>
      </c>
      <c r="P1008" s="16"/>
      <c r="Q1008" s="18">
        <f t="shared" si="408"/>
        <v>115755</v>
      </c>
      <c r="R1008" s="18">
        <f t="shared" si="425"/>
        <v>0</v>
      </c>
      <c r="S1008" s="18">
        <f t="shared" si="425"/>
        <v>115755</v>
      </c>
    </row>
    <row r="1009" spans="2:19" x14ac:dyDescent="0.2">
      <c r="B1009" s="7">
        <f t="shared" si="410"/>
        <v>501</v>
      </c>
      <c r="C1009" s="13"/>
      <c r="D1009" s="13"/>
      <c r="E1009" s="13"/>
      <c r="F1009" s="14" t="s">
        <v>155</v>
      </c>
      <c r="G1009" s="15">
        <v>630</v>
      </c>
      <c r="H1009" s="13" t="s">
        <v>119</v>
      </c>
      <c r="I1009" s="16">
        <f>SUM(I1010:I1013)</f>
        <v>48300</v>
      </c>
      <c r="J1009" s="16">
        <f t="shared" ref="J1009" si="427">SUM(J1010:J1013)</f>
        <v>0</v>
      </c>
      <c r="K1009" s="16">
        <f t="shared" si="411"/>
        <v>48300</v>
      </c>
      <c r="L1009" s="16"/>
      <c r="M1009" s="16"/>
      <c r="N1009" s="16"/>
      <c r="O1009" s="16">
        <f t="shared" si="412"/>
        <v>0</v>
      </c>
      <c r="P1009" s="16"/>
      <c r="Q1009" s="18">
        <f t="shared" si="408"/>
        <v>48300</v>
      </c>
      <c r="R1009" s="18">
        <f t="shared" si="425"/>
        <v>0</v>
      </c>
      <c r="S1009" s="18">
        <f t="shared" si="425"/>
        <v>48300</v>
      </c>
    </row>
    <row r="1010" spans="2:19" x14ac:dyDescent="0.2">
      <c r="B1010" s="7">
        <f t="shared" si="410"/>
        <v>502</v>
      </c>
      <c r="C1010" s="19"/>
      <c r="D1010" s="19"/>
      <c r="E1010" s="19"/>
      <c r="F1010" s="20"/>
      <c r="G1010" s="21">
        <v>632</v>
      </c>
      <c r="H1010" s="19" t="s">
        <v>131</v>
      </c>
      <c r="I1010" s="22">
        <v>19750</v>
      </c>
      <c r="J1010" s="22"/>
      <c r="K1010" s="22">
        <f t="shared" si="411"/>
        <v>19750</v>
      </c>
      <c r="L1010" s="22"/>
      <c r="M1010" s="22"/>
      <c r="N1010" s="22"/>
      <c r="O1010" s="22">
        <f t="shared" si="412"/>
        <v>0</v>
      </c>
      <c r="P1010" s="22"/>
      <c r="Q1010" s="23">
        <f t="shared" si="408"/>
        <v>19750</v>
      </c>
      <c r="R1010" s="23">
        <f t="shared" si="425"/>
        <v>0</v>
      </c>
      <c r="S1010" s="23">
        <f t="shared" si="425"/>
        <v>19750</v>
      </c>
    </row>
    <row r="1011" spans="2:19" x14ac:dyDescent="0.2">
      <c r="B1011" s="7">
        <f t="shared" si="410"/>
        <v>503</v>
      </c>
      <c r="C1011" s="19"/>
      <c r="D1011" s="19"/>
      <c r="E1011" s="19"/>
      <c r="F1011" s="20"/>
      <c r="G1011" s="21">
        <v>633</v>
      </c>
      <c r="H1011" s="19" t="s">
        <v>123</v>
      </c>
      <c r="I1011" s="22">
        <v>11850</v>
      </c>
      <c r="J1011" s="22"/>
      <c r="K1011" s="22">
        <f t="shared" si="411"/>
        <v>11850</v>
      </c>
      <c r="L1011" s="22"/>
      <c r="M1011" s="22"/>
      <c r="N1011" s="22"/>
      <c r="O1011" s="22">
        <f t="shared" si="412"/>
        <v>0</v>
      </c>
      <c r="P1011" s="22"/>
      <c r="Q1011" s="23">
        <f t="shared" si="408"/>
        <v>11850</v>
      </c>
      <c r="R1011" s="23">
        <f t="shared" si="425"/>
        <v>0</v>
      </c>
      <c r="S1011" s="23">
        <f t="shared" si="425"/>
        <v>11850</v>
      </c>
    </row>
    <row r="1012" spans="2:19" x14ac:dyDescent="0.2">
      <c r="B1012" s="7">
        <f t="shared" si="410"/>
        <v>504</v>
      </c>
      <c r="C1012" s="19"/>
      <c r="D1012" s="19"/>
      <c r="E1012" s="19"/>
      <c r="F1012" s="20"/>
      <c r="G1012" s="21">
        <v>635</v>
      </c>
      <c r="H1012" s="19" t="s">
        <v>130</v>
      </c>
      <c r="I1012" s="22">
        <v>3000</v>
      </c>
      <c r="J1012" s="22"/>
      <c r="K1012" s="22">
        <f t="shared" si="411"/>
        <v>3000</v>
      </c>
      <c r="L1012" s="22"/>
      <c r="M1012" s="22"/>
      <c r="N1012" s="22"/>
      <c r="O1012" s="22">
        <f t="shared" si="412"/>
        <v>0</v>
      </c>
      <c r="P1012" s="22"/>
      <c r="Q1012" s="23">
        <f t="shared" si="408"/>
        <v>3000</v>
      </c>
      <c r="R1012" s="23">
        <f t="shared" si="425"/>
        <v>0</v>
      </c>
      <c r="S1012" s="23">
        <f t="shared" si="425"/>
        <v>3000</v>
      </c>
    </row>
    <row r="1013" spans="2:19" x14ac:dyDescent="0.2">
      <c r="B1013" s="7">
        <f t="shared" si="410"/>
        <v>505</v>
      </c>
      <c r="C1013" s="19"/>
      <c r="D1013" s="19"/>
      <c r="E1013" s="19"/>
      <c r="F1013" s="20"/>
      <c r="G1013" s="21">
        <v>637</v>
      </c>
      <c r="H1013" s="19" t="s">
        <v>120</v>
      </c>
      <c r="I1013" s="22">
        <v>13700</v>
      </c>
      <c r="J1013" s="22"/>
      <c r="K1013" s="22">
        <f t="shared" si="411"/>
        <v>13700</v>
      </c>
      <c r="L1013" s="22"/>
      <c r="M1013" s="22"/>
      <c r="N1013" s="22"/>
      <c r="O1013" s="22">
        <f t="shared" si="412"/>
        <v>0</v>
      </c>
      <c r="P1013" s="22"/>
      <c r="Q1013" s="23">
        <f t="shared" si="408"/>
        <v>13700</v>
      </c>
      <c r="R1013" s="23">
        <f t="shared" si="425"/>
        <v>0</v>
      </c>
      <c r="S1013" s="23">
        <f t="shared" si="425"/>
        <v>13700</v>
      </c>
    </row>
    <row r="1014" spans="2:19" x14ac:dyDescent="0.2">
      <c r="B1014" s="7">
        <f t="shared" si="410"/>
        <v>506</v>
      </c>
      <c r="C1014" s="13"/>
      <c r="D1014" s="13"/>
      <c r="E1014" s="13"/>
      <c r="F1014" s="14" t="s">
        <v>155</v>
      </c>
      <c r="G1014" s="15">
        <v>640</v>
      </c>
      <c r="H1014" s="13" t="s">
        <v>127</v>
      </c>
      <c r="I1014" s="16">
        <v>4980</v>
      </c>
      <c r="J1014" s="16"/>
      <c r="K1014" s="16">
        <f t="shared" si="411"/>
        <v>4980</v>
      </c>
      <c r="L1014" s="16"/>
      <c r="M1014" s="16"/>
      <c r="N1014" s="16"/>
      <c r="O1014" s="16">
        <f t="shared" si="412"/>
        <v>0</v>
      </c>
      <c r="P1014" s="16"/>
      <c r="Q1014" s="18">
        <f t="shared" si="408"/>
        <v>4980</v>
      </c>
      <c r="R1014" s="18">
        <f t="shared" si="425"/>
        <v>0</v>
      </c>
      <c r="S1014" s="18">
        <f t="shared" si="425"/>
        <v>4980</v>
      </c>
    </row>
    <row r="1015" spans="2:19" ht="15" x14ac:dyDescent="0.25">
      <c r="B1015" s="7">
        <f t="shared" si="410"/>
        <v>507</v>
      </c>
      <c r="C1015" s="108"/>
      <c r="D1015" s="108"/>
      <c r="E1015" s="108">
        <v>12</v>
      </c>
      <c r="F1015" s="109"/>
      <c r="G1015" s="109"/>
      <c r="H1015" s="108" t="s">
        <v>5</v>
      </c>
      <c r="I1015" s="110">
        <f>I1016+I1017+I1018+I1023</f>
        <v>420250</v>
      </c>
      <c r="J1015" s="110">
        <f t="shared" ref="J1015" si="428">J1016+J1017+J1018+J1023</f>
        <v>0</v>
      </c>
      <c r="K1015" s="110">
        <f t="shared" si="411"/>
        <v>420250</v>
      </c>
      <c r="L1015" s="321"/>
      <c r="M1015" s="110"/>
      <c r="N1015" s="110"/>
      <c r="O1015" s="110">
        <f t="shared" si="412"/>
        <v>0</v>
      </c>
      <c r="P1015" s="321"/>
      <c r="Q1015" s="112">
        <f t="shared" si="408"/>
        <v>420250</v>
      </c>
      <c r="R1015" s="112">
        <f t="shared" si="425"/>
        <v>0</v>
      </c>
      <c r="S1015" s="112">
        <f t="shared" si="425"/>
        <v>420250</v>
      </c>
    </row>
    <row r="1016" spans="2:19" x14ac:dyDescent="0.2">
      <c r="B1016" s="7">
        <f t="shared" si="410"/>
        <v>508</v>
      </c>
      <c r="C1016" s="13"/>
      <c r="D1016" s="13"/>
      <c r="E1016" s="13"/>
      <c r="F1016" s="14" t="s">
        <v>155</v>
      </c>
      <c r="G1016" s="15">
        <v>610</v>
      </c>
      <c r="H1016" s="13" t="s">
        <v>511</v>
      </c>
      <c r="I1016" s="16">
        <v>286700</v>
      </c>
      <c r="J1016" s="16"/>
      <c r="K1016" s="16">
        <f t="shared" si="411"/>
        <v>286700</v>
      </c>
      <c r="L1016" s="16"/>
      <c r="M1016" s="16"/>
      <c r="N1016" s="16"/>
      <c r="O1016" s="16">
        <f t="shared" si="412"/>
        <v>0</v>
      </c>
      <c r="P1016" s="16"/>
      <c r="Q1016" s="18">
        <f t="shared" si="408"/>
        <v>286700</v>
      </c>
      <c r="R1016" s="18">
        <f t="shared" si="425"/>
        <v>0</v>
      </c>
      <c r="S1016" s="18">
        <f t="shared" si="425"/>
        <v>286700</v>
      </c>
    </row>
    <row r="1017" spans="2:19" x14ac:dyDescent="0.2">
      <c r="B1017" s="7">
        <f t="shared" si="410"/>
        <v>509</v>
      </c>
      <c r="C1017" s="13"/>
      <c r="D1017" s="13"/>
      <c r="E1017" s="13"/>
      <c r="F1017" s="14" t="s">
        <v>155</v>
      </c>
      <c r="G1017" s="15">
        <v>620</v>
      </c>
      <c r="H1017" s="13" t="s">
        <v>122</v>
      </c>
      <c r="I1017" s="16">
        <v>98720</v>
      </c>
      <c r="J1017" s="16"/>
      <c r="K1017" s="16">
        <f t="shared" si="411"/>
        <v>98720</v>
      </c>
      <c r="L1017" s="16"/>
      <c r="M1017" s="16"/>
      <c r="N1017" s="16"/>
      <c r="O1017" s="16">
        <f t="shared" si="412"/>
        <v>0</v>
      </c>
      <c r="P1017" s="16"/>
      <c r="Q1017" s="18">
        <f t="shared" si="408"/>
        <v>98720</v>
      </c>
      <c r="R1017" s="18">
        <f t="shared" si="425"/>
        <v>0</v>
      </c>
      <c r="S1017" s="18">
        <f t="shared" si="425"/>
        <v>98720</v>
      </c>
    </row>
    <row r="1018" spans="2:19" x14ac:dyDescent="0.2">
      <c r="B1018" s="7">
        <f t="shared" si="410"/>
        <v>510</v>
      </c>
      <c r="C1018" s="13"/>
      <c r="D1018" s="13"/>
      <c r="E1018" s="13"/>
      <c r="F1018" s="14" t="s">
        <v>155</v>
      </c>
      <c r="G1018" s="15">
        <v>630</v>
      </c>
      <c r="H1018" s="13" t="s">
        <v>119</v>
      </c>
      <c r="I1018" s="16">
        <f>SUM(I1019:I1022)</f>
        <v>29830</v>
      </c>
      <c r="J1018" s="16">
        <f t="shared" ref="J1018" si="429">SUM(J1019:J1022)</f>
        <v>0</v>
      </c>
      <c r="K1018" s="16">
        <f t="shared" si="411"/>
        <v>29830</v>
      </c>
      <c r="L1018" s="16"/>
      <c r="M1018" s="17"/>
      <c r="N1018" s="17"/>
      <c r="O1018" s="17">
        <f t="shared" si="412"/>
        <v>0</v>
      </c>
      <c r="P1018" s="17"/>
      <c r="Q1018" s="18">
        <f t="shared" si="408"/>
        <v>29830</v>
      </c>
      <c r="R1018" s="18">
        <f t="shared" si="425"/>
        <v>0</v>
      </c>
      <c r="S1018" s="18">
        <f t="shared" si="425"/>
        <v>29830</v>
      </c>
    </row>
    <row r="1019" spans="2:19" x14ac:dyDescent="0.2">
      <c r="B1019" s="7">
        <f t="shared" si="410"/>
        <v>511</v>
      </c>
      <c r="C1019" s="19"/>
      <c r="D1019" s="19"/>
      <c r="E1019" s="19"/>
      <c r="F1019" s="20"/>
      <c r="G1019" s="21">
        <v>631</v>
      </c>
      <c r="H1019" s="19" t="s">
        <v>125</v>
      </c>
      <c r="I1019" s="22">
        <v>100</v>
      </c>
      <c r="J1019" s="22"/>
      <c r="K1019" s="22">
        <f t="shared" si="411"/>
        <v>100</v>
      </c>
      <c r="L1019" s="22"/>
      <c r="M1019" s="22"/>
      <c r="N1019" s="22"/>
      <c r="O1019" s="22">
        <f t="shared" si="412"/>
        <v>0</v>
      </c>
      <c r="P1019" s="22"/>
      <c r="Q1019" s="23">
        <f t="shared" si="408"/>
        <v>100</v>
      </c>
      <c r="R1019" s="23">
        <f t="shared" si="425"/>
        <v>0</v>
      </c>
      <c r="S1019" s="23">
        <f t="shared" si="425"/>
        <v>100</v>
      </c>
    </row>
    <row r="1020" spans="2:19" x14ac:dyDescent="0.2">
      <c r="B1020" s="7">
        <f t="shared" si="410"/>
        <v>512</v>
      </c>
      <c r="C1020" s="19"/>
      <c r="D1020" s="19"/>
      <c r="E1020" s="19"/>
      <c r="F1020" s="20"/>
      <c r="G1020" s="21">
        <v>632</v>
      </c>
      <c r="H1020" s="19" t="s">
        <v>131</v>
      </c>
      <c r="I1020" s="22">
        <v>9300</v>
      </c>
      <c r="J1020" s="22"/>
      <c r="K1020" s="22">
        <f t="shared" si="411"/>
        <v>9300</v>
      </c>
      <c r="L1020" s="22"/>
      <c r="M1020" s="22"/>
      <c r="N1020" s="22"/>
      <c r="O1020" s="22">
        <f t="shared" si="412"/>
        <v>0</v>
      </c>
      <c r="P1020" s="22"/>
      <c r="Q1020" s="23">
        <f t="shared" si="408"/>
        <v>9300</v>
      </c>
      <c r="R1020" s="23">
        <f t="shared" si="425"/>
        <v>0</v>
      </c>
      <c r="S1020" s="23">
        <f t="shared" si="425"/>
        <v>9300</v>
      </c>
    </row>
    <row r="1021" spans="2:19" x14ac:dyDescent="0.2">
      <c r="B1021" s="7">
        <f t="shared" si="410"/>
        <v>513</v>
      </c>
      <c r="C1021" s="19"/>
      <c r="D1021" s="19"/>
      <c r="E1021" s="19"/>
      <c r="F1021" s="20"/>
      <c r="G1021" s="21">
        <v>633</v>
      </c>
      <c r="H1021" s="19" t="s">
        <v>123</v>
      </c>
      <c r="I1021" s="22">
        <v>10930</v>
      </c>
      <c r="J1021" s="22"/>
      <c r="K1021" s="22">
        <f t="shared" si="411"/>
        <v>10930</v>
      </c>
      <c r="L1021" s="22"/>
      <c r="M1021" s="22"/>
      <c r="N1021" s="22"/>
      <c r="O1021" s="22">
        <f t="shared" si="412"/>
        <v>0</v>
      </c>
      <c r="P1021" s="22"/>
      <c r="Q1021" s="23">
        <f t="shared" ref="Q1021:Q1047" si="430">M1021+I1021</f>
        <v>10930</v>
      </c>
      <c r="R1021" s="23">
        <f t="shared" ref="R1021:S1036" si="431">N1021+J1021</f>
        <v>0</v>
      </c>
      <c r="S1021" s="23">
        <f t="shared" si="431"/>
        <v>10930</v>
      </c>
    </row>
    <row r="1022" spans="2:19" x14ac:dyDescent="0.2">
      <c r="B1022" s="7">
        <f t="shared" ref="B1022:B1085" si="432">B1021+1</f>
        <v>514</v>
      </c>
      <c r="C1022" s="19"/>
      <c r="D1022" s="19"/>
      <c r="E1022" s="19"/>
      <c r="F1022" s="20"/>
      <c r="G1022" s="21">
        <v>637</v>
      </c>
      <c r="H1022" s="19" t="s">
        <v>120</v>
      </c>
      <c r="I1022" s="22">
        <v>9500</v>
      </c>
      <c r="J1022" s="22"/>
      <c r="K1022" s="22">
        <f t="shared" ref="K1022:K1085" si="433">I1022+J1022</f>
        <v>9500</v>
      </c>
      <c r="L1022" s="22"/>
      <c r="M1022" s="22"/>
      <c r="N1022" s="22"/>
      <c r="O1022" s="22">
        <f t="shared" ref="O1022:O1085" si="434">M1022+N1022</f>
        <v>0</v>
      </c>
      <c r="P1022" s="22"/>
      <c r="Q1022" s="23">
        <f t="shared" si="430"/>
        <v>9500</v>
      </c>
      <c r="R1022" s="23">
        <f t="shared" si="431"/>
        <v>0</v>
      </c>
      <c r="S1022" s="23">
        <f t="shared" si="431"/>
        <v>9500</v>
      </c>
    </row>
    <row r="1023" spans="2:19" x14ac:dyDescent="0.2">
      <c r="B1023" s="7">
        <f t="shared" si="432"/>
        <v>515</v>
      </c>
      <c r="C1023" s="13"/>
      <c r="D1023" s="13"/>
      <c r="E1023" s="13"/>
      <c r="F1023" s="14" t="s">
        <v>155</v>
      </c>
      <c r="G1023" s="15">
        <v>640</v>
      </c>
      <c r="H1023" s="13" t="s">
        <v>127</v>
      </c>
      <c r="I1023" s="16">
        <v>5000</v>
      </c>
      <c r="J1023" s="16"/>
      <c r="K1023" s="16">
        <f t="shared" si="433"/>
        <v>5000</v>
      </c>
      <c r="L1023" s="16"/>
      <c r="M1023" s="16"/>
      <c r="N1023" s="16"/>
      <c r="O1023" s="16">
        <f t="shared" si="434"/>
        <v>0</v>
      </c>
      <c r="P1023" s="16"/>
      <c r="Q1023" s="18">
        <f t="shared" si="430"/>
        <v>5000</v>
      </c>
      <c r="R1023" s="18">
        <f t="shared" si="431"/>
        <v>0</v>
      </c>
      <c r="S1023" s="18">
        <f t="shared" si="431"/>
        <v>5000</v>
      </c>
    </row>
    <row r="1024" spans="2:19" ht="15" x14ac:dyDescent="0.25">
      <c r="B1024" s="7">
        <f t="shared" si="432"/>
        <v>516</v>
      </c>
      <c r="C1024" s="108"/>
      <c r="D1024" s="108"/>
      <c r="E1024" s="108">
        <v>13</v>
      </c>
      <c r="F1024" s="109"/>
      <c r="G1024" s="109"/>
      <c r="H1024" s="108" t="s">
        <v>12</v>
      </c>
      <c r="I1024" s="110">
        <f>I1025+I1026+I1027+I1032</f>
        <v>153814</v>
      </c>
      <c r="J1024" s="110">
        <f t="shared" ref="J1024" si="435">J1025+J1026+J1027+J1032</f>
        <v>0</v>
      </c>
      <c r="K1024" s="110">
        <f t="shared" si="433"/>
        <v>153814</v>
      </c>
      <c r="L1024" s="16"/>
      <c r="M1024" s="110"/>
      <c r="N1024" s="110"/>
      <c r="O1024" s="110">
        <f t="shared" si="434"/>
        <v>0</v>
      </c>
      <c r="P1024" s="321"/>
      <c r="Q1024" s="112">
        <f t="shared" si="430"/>
        <v>153814</v>
      </c>
      <c r="R1024" s="112">
        <f t="shared" si="431"/>
        <v>0</v>
      </c>
      <c r="S1024" s="112">
        <f t="shared" si="431"/>
        <v>153814</v>
      </c>
    </row>
    <row r="1025" spans="2:19" x14ac:dyDescent="0.2">
      <c r="B1025" s="7">
        <f t="shared" si="432"/>
        <v>517</v>
      </c>
      <c r="C1025" s="13"/>
      <c r="D1025" s="13"/>
      <c r="E1025" s="13"/>
      <c r="F1025" s="14" t="s">
        <v>155</v>
      </c>
      <c r="G1025" s="15">
        <v>610</v>
      </c>
      <c r="H1025" s="13" t="s">
        <v>511</v>
      </c>
      <c r="I1025" s="16">
        <v>86819</v>
      </c>
      <c r="J1025" s="16"/>
      <c r="K1025" s="16">
        <f t="shared" si="433"/>
        <v>86819</v>
      </c>
      <c r="L1025" s="16"/>
      <c r="M1025" s="16"/>
      <c r="N1025" s="16"/>
      <c r="O1025" s="16">
        <f t="shared" si="434"/>
        <v>0</v>
      </c>
      <c r="P1025" s="16"/>
      <c r="Q1025" s="18">
        <f t="shared" si="430"/>
        <v>86819</v>
      </c>
      <c r="R1025" s="18">
        <f t="shared" si="431"/>
        <v>0</v>
      </c>
      <c r="S1025" s="18">
        <f t="shared" si="431"/>
        <v>86819</v>
      </c>
    </row>
    <row r="1026" spans="2:19" x14ac:dyDescent="0.2">
      <c r="B1026" s="7">
        <f t="shared" si="432"/>
        <v>518</v>
      </c>
      <c r="C1026" s="13"/>
      <c r="D1026" s="13"/>
      <c r="E1026" s="13"/>
      <c r="F1026" s="14" t="s">
        <v>155</v>
      </c>
      <c r="G1026" s="15">
        <v>620</v>
      </c>
      <c r="H1026" s="13" t="s">
        <v>122</v>
      </c>
      <c r="I1026" s="16">
        <v>34659</v>
      </c>
      <c r="J1026" s="16"/>
      <c r="K1026" s="16">
        <f t="shared" si="433"/>
        <v>34659</v>
      </c>
      <c r="L1026" s="16"/>
      <c r="M1026" s="16"/>
      <c r="N1026" s="16"/>
      <c r="O1026" s="16">
        <f t="shared" si="434"/>
        <v>0</v>
      </c>
      <c r="P1026" s="16"/>
      <c r="Q1026" s="18">
        <f t="shared" si="430"/>
        <v>34659</v>
      </c>
      <c r="R1026" s="18">
        <f t="shared" si="431"/>
        <v>0</v>
      </c>
      <c r="S1026" s="18">
        <f t="shared" si="431"/>
        <v>34659</v>
      </c>
    </row>
    <row r="1027" spans="2:19" x14ac:dyDescent="0.2">
      <c r="B1027" s="7">
        <f t="shared" si="432"/>
        <v>519</v>
      </c>
      <c r="C1027" s="13"/>
      <c r="D1027" s="13"/>
      <c r="E1027" s="13"/>
      <c r="F1027" s="14" t="s">
        <v>155</v>
      </c>
      <c r="G1027" s="15">
        <v>630</v>
      </c>
      <c r="H1027" s="13" t="s">
        <v>119</v>
      </c>
      <c r="I1027" s="16">
        <f>SUM(I1028:I1031)</f>
        <v>22250</v>
      </c>
      <c r="J1027" s="16">
        <f t="shared" ref="J1027" si="436">SUM(J1028:J1031)</f>
        <v>0</v>
      </c>
      <c r="K1027" s="16">
        <f t="shared" si="433"/>
        <v>22250</v>
      </c>
      <c r="L1027" s="16"/>
      <c r="M1027" s="16"/>
      <c r="N1027" s="16"/>
      <c r="O1027" s="16">
        <f t="shared" si="434"/>
        <v>0</v>
      </c>
      <c r="P1027" s="16"/>
      <c r="Q1027" s="18">
        <f t="shared" si="430"/>
        <v>22250</v>
      </c>
      <c r="R1027" s="18">
        <f t="shared" si="431"/>
        <v>0</v>
      </c>
      <c r="S1027" s="18">
        <f t="shared" si="431"/>
        <v>22250</v>
      </c>
    </row>
    <row r="1028" spans="2:19" x14ac:dyDescent="0.2">
      <c r="B1028" s="7">
        <f t="shared" si="432"/>
        <v>520</v>
      </c>
      <c r="C1028" s="19"/>
      <c r="D1028" s="19"/>
      <c r="E1028" s="19"/>
      <c r="F1028" s="20"/>
      <c r="G1028" s="21">
        <v>632</v>
      </c>
      <c r="H1028" s="19" t="s">
        <v>131</v>
      </c>
      <c r="I1028" s="22">
        <v>13420</v>
      </c>
      <c r="J1028" s="22"/>
      <c r="K1028" s="22">
        <f t="shared" si="433"/>
        <v>13420</v>
      </c>
      <c r="L1028" s="16"/>
      <c r="M1028" s="22"/>
      <c r="N1028" s="22"/>
      <c r="O1028" s="22">
        <f t="shared" si="434"/>
        <v>0</v>
      </c>
      <c r="P1028" s="22"/>
      <c r="Q1028" s="23">
        <f t="shared" si="430"/>
        <v>13420</v>
      </c>
      <c r="R1028" s="23">
        <f t="shared" si="431"/>
        <v>0</v>
      </c>
      <c r="S1028" s="23">
        <f t="shared" si="431"/>
        <v>13420</v>
      </c>
    </row>
    <row r="1029" spans="2:19" x14ac:dyDescent="0.2">
      <c r="B1029" s="7">
        <f t="shared" si="432"/>
        <v>521</v>
      </c>
      <c r="C1029" s="19"/>
      <c r="D1029" s="19"/>
      <c r="E1029" s="19"/>
      <c r="F1029" s="20"/>
      <c r="G1029" s="21">
        <v>633</v>
      </c>
      <c r="H1029" s="19" t="s">
        <v>123</v>
      </c>
      <c r="I1029" s="22">
        <v>2430</v>
      </c>
      <c r="J1029" s="22"/>
      <c r="K1029" s="22">
        <f t="shared" si="433"/>
        <v>2430</v>
      </c>
      <c r="L1029" s="22"/>
      <c r="M1029" s="22"/>
      <c r="N1029" s="22"/>
      <c r="O1029" s="22">
        <f t="shared" si="434"/>
        <v>0</v>
      </c>
      <c r="P1029" s="22"/>
      <c r="Q1029" s="23">
        <f t="shared" si="430"/>
        <v>2430</v>
      </c>
      <c r="R1029" s="23">
        <f t="shared" si="431"/>
        <v>0</v>
      </c>
      <c r="S1029" s="23">
        <f t="shared" si="431"/>
        <v>2430</v>
      </c>
    </row>
    <row r="1030" spans="2:19" x14ac:dyDescent="0.2">
      <c r="B1030" s="7">
        <f t="shared" si="432"/>
        <v>522</v>
      </c>
      <c r="C1030" s="19"/>
      <c r="D1030" s="19"/>
      <c r="E1030" s="19"/>
      <c r="F1030" s="20"/>
      <c r="G1030" s="21">
        <v>635</v>
      </c>
      <c r="H1030" s="19" t="s">
        <v>130</v>
      </c>
      <c r="I1030" s="22">
        <v>5000</v>
      </c>
      <c r="J1030" s="22"/>
      <c r="K1030" s="22">
        <f t="shared" si="433"/>
        <v>5000</v>
      </c>
      <c r="L1030" s="22"/>
      <c r="M1030" s="22"/>
      <c r="N1030" s="22"/>
      <c r="O1030" s="22">
        <f t="shared" si="434"/>
        <v>0</v>
      </c>
      <c r="P1030" s="22"/>
      <c r="Q1030" s="23">
        <f t="shared" si="430"/>
        <v>5000</v>
      </c>
      <c r="R1030" s="23">
        <f t="shared" si="431"/>
        <v>0</v>
      </c>
      <c r="S1030" s="23">
        <f t="shared" si="431"/>
        <v>5000</v>
      </c>
    </row>
    <row r="1031" spans="2:19" x14ac:dyDescent="0.2">
      <c r="B1031" s="7">
        <f t="shared" si="432"/>
        <v>523</v>
      </c>
      <c r="C1031" s="19"/>
      <c r="D1031" s="19"/>
      <c r="E1031" s="19"/>
      <c r="F1031" s="20"/>
      <c r="G1031" s="21">
        <v>637</v>
      </c>
      <c r="H1031" s="19" t="s">
        <v>120</v>
      </c>
      <c r="I1031" s="22">
        <v>1400</v>
      </c>
      <c r="J1031" s="22"/>
      <c r="K1031" s="22">
        <f t="shared" si="433"/>
        <v>1400</v>
      </c>
      <c r="L1031" s="22"/>
      <c r="M1031" s="22"/>
      <c r="N1031" s="22"/>
      <c r="O1031" s="22">
        <f t="shared" si="434"/>
        <v>0</v>
      </c>
      <c r="P1031" s="22"/>
      <c r="Q1031" s="23">
        <f t="shared" si="430"/>
        <v>1400</v>
      </c>
      <c r="R1031" s="23">
        <f t="shared" si="431"/>
        <v>0</v>
      </c>
      <c r="S1031" s="23">
        <f t="shared" si="431"/>
        <v>1400</v>
      </c>
    </row>
    <row r="1032" spans="2:19" x14ac:dyDescent="0.2">
      <c r="B1032" s="7">
        <f t="shared" si="432"/>
        <v>524</v>
      </c>
      <c r="C1032" s="13"/>
      <c r="D1032" s="13"/>
      <c r="E1032" s="13"/>
      <c r="F1032" s="14" t="s">
        <v>155</v>
      </c>
      <c r="G1032" s="15">
        <v>640</v>
      </c>
      <c r="H1032" s="13" t="s">
        <v>127</v>
      </c>
      <c r="I1032" s="16">
        <v>10086</v>
      </c>
      <c r="J1032" s="16"/>
      <c r="K1032" s="16">
        <f t="shared" si="433"/>
        <v>10086</v>
      </c>
      <c r="L1032" s="16"/>
      <c r="M1032" s="16"/>
      <c r="N1032" s="16"/>
      <c r="O1032" s="16">
        <f t="shared" si="434"/>
        <v>0</v>
      </c>
      <c r="P1032" s="16"/>
      <c r="Q1032" s="18">
        <f t="shared" si="430"/>
        <v>10086</v>
      </c>
      <c r="R1032" s="18">
        <f t="shared" si="431"/>
        <v>0</v>
      </c>
      <c r="S1032" s="18">
        <f t="shared" si="431"/>
        <v>10086</v>
      </c>
    </row>
    <row r="1033" spans="2:19" ht="15" x14ac:dyDescent="0.25">
      <c r="B1033" s="7">
        <f t="shared" si="432"/>
        <v>525</v>
      </c>
      <c r="C1033" s="108"/>
      <c r="D1033" s="108"/>
      <c r="E1033" s="108">
        <v>14</v>
      </c>
      <c r="F1033" s="109"/>
      <c r="G1033" s="109"/>
      <c r="H1033" s="108" t="s">
        <v>1</v>
      </c>
      <c r="I1033" s="110">
        <f>I1034+I1035+I1036+I1043</f>
        <v>2045515</v>
      </c>
      <c r="J1033" s="110">
        <f t="shared" ref="J1033" si="437">J1034+J1035+J1036+J1043</f>
        <v>0</v>
      </c>
      <c r="K1033" s="110">
        <f t="shared" si="433"/>
        <v>2045515</v>
      </c>
      <c r="L1033" s="321"/>
      <c r="M1033" s="110">
        <f>M1044</f>
        <v>124500</v>
      </c>
      <c r="N1033" s="110">
        <f t="shared" ref="N1033" si="438">N1044</f>
        <v>0</v>
      </c>
      <c r="O1033" s="110">
        <f t="shared" si="434"/>
        <v>124500</v>
      </c>
      <c r="P1033" s="321"/>
      <c r="Q1033" s="112">
        <f t="shared" si="430"/>
        <v>2170015</v>
      </c>
      <c r="R1033" s="112">
        <f t="shared" si="431"/>
        <v>0</v>
      </c>
      <c r="S1033" s="112">
        <f t="shared" si="431"/>
        <v>2170015</v>
      </c>
    </row>
    <row r="1034" spans="2:19" x14ac:dyDescent="0.2">
      <c r="B1034" s="7">
        <f t="shared" si="432"/>
        <v>526</v>
      </c>
      <c r="C1034" s="13"/>
      <c r="D1034" s="13"/>
      <c r="E1034" s="13"/>
      <c r="F1034" s="14" t="s">
        <v>155</v>
      </c>
      <c r="G1034" s="15">
        <v>610</v>
      </c>
      <c r="H1034" s="13" t="s">
        <v>511</v>
      </c>
      <c r="I1034" s="16">
        <f>1355000+100</f>
        <v>1355100</v>
      </c>
      <c r="J1034" s="16"/>
      <c r="K1034" s="16">
        <f t="shared" si="433"/>
        <v>1355100</v>
      </c>
      <c r="L1034" s="16"/>
      <c r="M1034" s="16"/>
      <c r="N1034" s="16"/>
      <c r="O1034" s="16">
        <f t="shared" si="434"/>
        <v>0</v>
      </c>
      <c r="P1034" s="16"/>
      <c r="Q1034" s="18">
        <f t="shared" si="430"/>
        <v>1355100</v>
      </c>
      <c r="R1034" s="18">
        <f t="shared" si="431"/>
        <v>0</v>
      </c>
      <c r="S1034" s="18">
        <f t="shared" si="431"/>
        <v>1355100</v>
      </c>
    </row>
    <row r="1035" spans="2:19" x14ac:dyDescent="0.2">
      <c r="B1035" s="7">
        <f t="shared" si="432"/>
        <v>527</v>
      </c>
      <c r="C1035" s="13"/>
      <c r="D1035" s="13"/>
      <c r="E1035" s="13"/>
      <c r="F1035" s="14" t="s">
        <v>155</v>
      </c>
      <c r="G1035" s="15">
        <v>620</v>
      </c>
      <c r="H1035" s="13" t="s">
        <v>122</v>
      </c>
      <c r="I1035" s="16">
        <f>487000+35</f>
        <v>487035</v>
      </c>
      <c r="J1035" s="16"/>
      <c r="K1035" s="16">
        <f t="shared" si="433"/>
        <v>487035</v>
      </c>
      <c r="L1035" s="16"/>
      <c r="M1035" s="16"/>
      <c r="N1035" s="16"/>
      <c r="O1035" s="16">
        <f t="shared" si="434"/>
        <v>0</v>
      </c>
      <c r="P1035" s="16"/>
      <c r="Q1035" s="18">
        <f t="shared" si="430"/>
        <v>487035</v>
      </c>
      <c r="R1035" s="18">
        <f t="shared" si="431"/>
        <v>0</v>
      </c>
      <c r="S1035" s="18">
        <f t="shared" si="431"/>
        <v>487035</v>
      </c>
    </row>
    <row r="1036" spans="2:19" x14ac:dyDescent="0.2">
      <c r="B1036" s="7">
        <f t="shared" si="432"/>
        <v>528</v>
      </c>
      <c r="C1036" s="13"/>
      <c r="D1036" s="13"/>
      <c r="E1036" s="13"/>
      <c r="F1036" s="14" t="s">
        <v>155</v>
      </c>
      <c r="G1036" s="15">
        <v>630</v>
      </c>
      <c r="H1036" s="13" t="s">
        <v>119</v>
      </c>
      <c r="I1036" s="16">
        <f>SUM(I1037:I1042)</f>
        <v>171880</v>
      </c>
      <c r="J1036" s="16">
        <f t="shared" ref="J1036" si="439">SUM(J1037:J1042)</f>
        <v>0</v>
      </c>
      <c r="K1036" s="16">
        <f t="shared" si="433"/>
        <v>171880</v>
      </c>
      <c r="L1036" s="16"/>
      <c r="M1036" s="16"/>
      <c r="N1036" s="16"/>
      <c r="O1036" s="16">
        <f t="shared" si="434"/>
        <v>0</v>
      </c>
      <c r="P1036" s="16"/>
      <c r="Q1036" s="18">
        <f t="shared" si="430"/>
        <v>171880</v>
      </c>
      <c r="R1036" s="18">
        <f t="shared" si="431"/>
        <v>0</v>
      </c>
      <c r="S1036" s="18">
        <f t="shared" si="431"/>
        <v>171880</v>
      </c>
    </row>
    <row r="1037" spans="2:19" x14ac:dyDescent="0.2">
      <c r="B1037" s="7">
        <f t="shared" si="432"/>
        <v>529</v>
      </c>
      <c r="C1037" s="19"/>
      <c r="D1037" s="19"/>
      <c r="E1037" s="19"/>
      <c r="F1037" s="20"/>
      <c r="G1037" s="21">
        <v>631</v>
      </c>
      <c r="H1037" s="19" t="s">
        <v>125</v>
      </c>
      <c r="I1037" s="22">
        <v>700</v>
      </c>
      <c r="J1037" s="22">
        <v>2000</v>
      </c>
      <c r="K1037" s="22">
        <f t="shared" si="433"/>
        <v>2700</v>
      </c>
      <c r="L1037" s="22"/>
      <c r="M1037" s="22"/>
      <c r="N1037" s="22"/>
      <c r="O1037" s="22">
        <f t="shared" si="434"/>
        <v>0</v>
      </c>
      <c r="P1037" s="22"/>
      <c r="Q1037" s="23">
        <f t="shared" si="430"/>
        <v>700</v>
      </c>
      <c r="R1037" s="23">
        <f t="shared" ref="R1037:S1047" si="440">N1037+J1037</f>
        <v>2000</v>
      </c>
      <c r="S1037" s="23">
        <f t="shared" si="440"/>
        <v>2700</v>
      </c>
    </row>
    <row r="1038" spans="2:19" x14ac:dyDescent="0.2">
      <c r="B1038" s="7">
        <f t="shared" si="432"/>
        <v>530</v>
      </c>
      <c r="C1038" s="19"/>
      <c r="D1038" s="19"/>
      <c r="E1038" s="19"/>
      <c r="F1038" s="20"/>
      <c r="G1038" s="21">
        <v>632</v>
      </c>
      <c r="H1038" s="19" t="s">
        <v>131</v>
      </c>
      <c r="I1038" s="22">
        <v>44200</v>
      </c>
      <c r="J1038" s="22"/>
      <c r="K1038" s="22">
        <f t="shared" si="433"/>
        <v>44200</v>
      </c>
      <c r="L1038" s="22"/>
      <c r="M1038" s="22"/>
      <c r="N1038" s="22"/>
      <c r="O1038" s="22">
        <f t="shared" si="434"/>
        <v>0</v>
      </c>
      <c r="P1038" s="22"/>
      <c r="Q1038" s="23">
        <f t="shared" si="430"/>
        <v>44200</v>
      </c>
      <c r="R1038" s="23">
        <f t="shared" si="440"/>
        <v>0</v>
      </c>
      <c r="S1038" s="23">
        <f t="shared" si="440"/>
        <v>44200</v>
      </c>
    </row>
    <row r="1039" spans="2:19" x14ac:dyDescent="0.2">
      <c r="B1039" s="7">
        <f t="shared" si="432"/>
        <v>531</v>
      </c>
      <c r="C1039" s="19"/>
      <c r="D1039" s="19"/>
      <c r="E1039" s="19"/>
      <c r="F1039" s="20"/>
      <c r="G1039" s="21">
        <v>633</v>
      </c>
      <c r="H1039" s="19" t="s">
        <v>123</v>
      </c>
      <c r="I1039" s="22">
        <v>20260</v>
      </c>
      <c r="J1039" s="22"/>
      <c r="K1039" s="22">
        <f t="shared" si="433"/>
        <v>20260</v>
      </c>
      <c r="L1039" s="22"/>
      <c r="M1039" s="22"/>
      <c r="N1039" s="22"/>
      <c r="O1039" s="22">
        <f t="shared" si="434"/>
        <v>0</v>
      </c>
      <c r="P1039" s="22"/>
      <c r="Q1039" s="23">
        <f t="shared" si="430"/>
        <v>20260</v>
      </c>
      <c r="R1039" s="23">
        <f t="shared" si="440"/>
        <v>0</v>
      </c>
      <c r="S1039" s="23">
        <f t="shared" si="440"/>
        <v>20260</v>
      </c>
    </row>
    <row r="1040" spans="2:19" x14ac:dyDescent="0.2">
      <c r="B1040" s="7">
        <f t="shared" si="432"/>
        <v>532</v>
      </c>
      <c r="C1040" s="19"/>
      <c r="D1040" s="19"/>
      <c r="E1040" s="19"/>
      <c r="F1040" s="20"/>
      <c r="G1040" s="21">
        <v>635</v>
      </c>
      <c r="H1040" s="19" t="s">
        <v>130</v>
      </c>
      <c r="I1040" s="22">
        <v>10000</v>
      </c>
      <c r="J1040" s="22"/>
      <c r="K1040" s="22">
        <f t="shared" si="433"/>
        <v>10000</v>
      </c>
      <c r="L1040" s="22"/>
      <c r="M1040" s="22"/>
      <c r="N1040" s="22"/>
      <c r="O1040" s="22">
        <f t="shared" si="434"/>
        <v>0</v>
      </c>
      <c r="P1040" s="22"/>
      <c r="Q1040" s="23">
        <f t="shared" si="430"/>
        <v>10000</v>
      </c>
      <c r="R1040" s="23">
        <f t="shared" si="440"/>
        <v>0</v>
      </c>
      <c r="S1040" s="23">
        <f t="shared" si="440"/>
        <v>10000</v>
      </c>
    </row>
    <row r="1041" spans="2:19" x14ac:dyDescent="0.2">
      <c r="B1041" s="7">
        <f t="shared" si="432"/>
        <v>533</v>
      </c>
      <c r="C1041" s="19"/>
      <c r="D1041" s="19"/>
      <c r="E1041" s="19"/>
      <c r="F1041" s="20"/>
      <c r="G1041" s="21">
        <v>636</v>
      </c>
      <c r="H1041" s="19" t="s">
        <v>124</v>
      </c>
      <c r="I1041" s="22">
        <f>200+1520</f>
        <v>1720</v>
      </c>
      <c r="J1041" s="22"/>
      <c r="K1041" s="22">
        <f t="shared" si="433"/>
        <v>1720</v>
      </c>
      <c r="L1041" s="22"/>
      <c r="M1041" s="22"/>
      <c r="N1041" s="22"/>
      <c r="O1041" s="22">
        <f t="shared" si="434"/>
        <v>0</v>
      </c>
      <c r="P1041" s="22"/>
      <c r="Q1041" s="23">
        <f t="shared" si="430"/>
        <v>1720</v>
      </c>
      <c r="R1041" s="23">
        <f t="shared" si="440"/>
        <v>0</v>
      </c>
      <c r="S1041" s="23">
        <f t="shared" si="440"/>
        <v>1720</v>
      </c>
    </row>
    <row r="1042" spans="2:19" x14ac:dyDescent="0.2">
      <c r="B1042" s="7">
        <f t="shared" si="432"/>
        <v>534</v>
      </c>
      <c r="C1042" s="19"/>
      <c r="D1042" s="19"/>
      <c r="E1042" s="19"/>
      <c r="F1042" s="20"/>
      <c r="G1042" s="21">
        <v>637</v>
      </c>
      <c r="H1042" s="19" t="s">
        <v>120</v>
      </c>
      <c r="I1042" s="22">
        <f>96520-1520</f>
        <v>95000</v>
      </c>
      <c r="J1042" s="22">
        <v>-2000</v>
      </c>
      <c r="K1042" s="22">
        <f t="shared" si="433"/>
        <v>93000</v>
      </c>
      <c r="L1042" s="22"/>
      <c r="M1042" s="22"/>
      <c r="N1042" s="22"/>
      <c r="O1042" s="22">
        <f t="shared" si="434"/>
        <v>0</v>
      </c>
      <c r="P1042" s="22"/>
      <c r="Q1042" s="23">
        <f t="shared" si="430"/>
        <v>95000</v>
      </c>
      <c r="R1042" s="23">
        <f t="shared" si="440"/>
        <v>-2000</v>
      </c>
      <c r="S1042" s="23">
        <f t="shared" si="440"/>
        <v>93000</v>
      </c>
    </row>
    <row r="1043" spans="2:19" x14ac:dyDescent="0.2">
      <c r="B1043" s="7">
        <f t="shared" si="432"/>
        <v>535</v>
      </c>
      <c r="C1043" s="13"/>
      <c r="D1043" s="13"/>
      <c r="E1043" s="13"/>
      <c r="F1043" s="14" t="s">
        <v>155</v>
      </c>
      <c r="G1043" s="15">
        <v>640</v>
      </c>
      <c r="H1043" s="13" t="s">
        <v>127</v>
      </c>
      <c r="I1043" s="16">
        <v>31500</v>
      </c>
      <c r="J1043" s="16"/>
      <c r="K1043" s="16">
        <f t="shared" si="433"/>
        <v>31500</v>
      </c>
      <c r="L1043" s="16"/>
      <c r="M1043" s="16"/>
      <c r="N1043" s="16"/>
      <c r="O1043" s="16">
        <f t="shared" si="434"/>
        <v>0</v>
      </c>
      <c r="P1043" s="16"/>
      <c r="Q1043" s="18">
        <f t="shared" si="430"/>
        <v>31500</v>
      </c>
      <c r="R1043" s="18">
        <f t="shared" si="440"/>
        <v>0</v>
      </c>
      <c r="S1043" s="18">
        <f t="shared" si="440"/>
        <v>31500</v>
      </c>
    </row>
    <row r="1044" spans="2:19" x14ac:dyDescent="0.2">
      <c r="B1044" s="7">
        <f t="shared" si="432"/>
        <v>536</v>
      </c>
      <c r="C1044" s="13"/>
      <c r="D1044" s="13"/>
      <c r="E1044" s="13"/>
      <c r="F1044" s="14" t="s">
        <v>155</v>
      </c>
      <c r="G1044" s="15">
        <v>710</v>
      </c>
      <c r="H1044" s="13" t="s">
        <v>171</v>
      </c>
      <c r="I1044" s="16"/>
      <c r="J1044" s="16"/>
      <c r="K1044" s="16">
        <f t="shared" si="433"/>
        <v>0</v>
      </c>
      <c r="L1044" s="16"/>
      <c r="M1044" s="16">
        <f>M1045+M1047</f>
        <v>124500</v>
      </c>
      <c r="N1044" s="16">
        <f t="shared" ref="N1044" si="441">N1045+N1047</f>
        <v>0</v>
      </c>
      <c r="O1044" s="16">
        <f t="shared" si="434"/>
        <v>124500</v>
      </c>
      <c r="P1044" s="16"/>
      <c r="Q1044" s="23">
        <f t="shared" si="430"/>
        <v>124500</v>
      </c>
      <c r="R1044" s="23">
        <f t="shared" si="440"/>
        <v>0</v>
      </c>
      <c r="S1044" s="23">
        <f t="shared" si="440"/>
        <v>124500</v>
      </c>
    </row>
    <row r="1045" spans="2:19" x14ac:dyDescent="0.2">
      <c r="B1045" s="7">
        <f t="shared" si="432"/>
        <v>537</v>
      </c>
      <c r="C1045" s="13"/>
      <c r="D1045" s="13"/>
      <c r="E1045" s="13"/>
      <c r="F1045" s="14"/>
      <c r="G1045" s="21">
        <v>713</v>
      </c>
      <c r="H1045" s="19" t="s">
        <v>215</v>
      </c>
      <c r="I1045" s="16"/>
      <c r="J1045" s="16"/>
      <c r="K1045" s="16">
        <f t="shared" si="433"/>
        <v>0</v>
      </c>
      <c r="L1045" s="16"/>
      <c r="M1045" s="22">
        <f>M1046</f>
        <v>100000</v>
      </c>
      <c r="N1045" s="22">
        <f t="shared" ref="N1045" si="442">N1046</f>
        <v>0</v>
      </c>
      <c r="O1045" s="22">
        <f t="shared" si="434"/>
        <v>100000</v>
      </c>
      <c r="P1045" s="16"/>
      <c r="Q1045" s="23">
        <f t="shared" si="430"/>
        <v>100000</v>
      </c>
      <c r="R1045" s="23">
        <f t="shared" si="440"/>
        <v>0</v>
      </c>
      <c r="S1045" s="23">
        <f t="shared" si="440"/>
        <v>100000</v>
      </c>
    </row>
    <row r="1046" spans="2:19" x14ac:dyDescent="0.2">
      <c r="B1046" s="7">
        <f t="shared" si="432"/>
        <v>538</v>
      </c>
      <c r="C1046" s="13"/>
      <c r="D1046" s="13"/>
      <c r="E1046" s="13"/>
      <c r="F1046" s="14"/>
      <c r="G1046" s="25"/>
      <c r="H1046" s="1" t="s">
        <v>552</v>
      </c>
      <c r="I1046" s="16"/>
      <c r="J1046" s="16"/>
      <c r="K1046" s="16">
        <f t="shared" si="433"/>
        <v>0</v>
      </c>
      <c r="L1046" s="16"/>
      <c r="M1046" s="26">
        <v>100000</v>
      </c>
      <c r="N1046" s="26"/>
      <c r="O1046" s="26">
        <f t="shared" si="434"/>
        <v>100000</v>
      </c>
      <c r="P1046" s="16"/>
      <c r="Q1046" s="28">
        <f t="shared" si="430"/>
        <v>100000</v>
      </c>
      <c r="R1046" s="28">
        <f t="shared" si="440"/>
        <v>0</v>
      </c>
      <c r="S1046" s="28">
        <f t="shared" si="440"/>
        <v>100000</v>
      </c>
    </row>
    <row r="1047" spans="2:19" x14ac:dyDescent="0.2">
      <c r="B1047" s="7">
        <f t="shared" si="432"/>
        <v>539</v>
      </c>
      <c r="C1047" s="13"/>
      <c r="D1047" s="13"/>
      <c r="E1047" s="13"/>
      <c r="F1047" s="14"/>
      <c r="G1047" s="21">
        <v>716</v>
      </c>
      <c r="H1047" s="19" t="s">
        <v>211</v>
      </c>
      <c r="I1047" s="16"/>
      <c r="J1047" s="16"/>
      <c r="K1047" s="16">
        <f t="shared" si="433"/>
        <v>0</v>
      </c>
      <c r="L1047" s="16"/>
      <c r="M1047" s="22">
        <f>M1048</f>
        <v>24500</v>
      </c>
      <c r="N1047" s="22">
        <f t="shared" ref="N1047" si="443">N1048</f>
        <v>0</v>
      </c>
      <c r="O1047" s="22">
        <f t="shared" si="434"/>
        <v>24500</v>
      </c>
      <c r="P1047" s="16"/>
      <c r="Q1047" s="23">
        <f t="shared" si="430"/>
        <v>24500</v>
      </c>
      <c r="R1047" s="23">
        <f t="shared" si="440"/>
        <v>0</v>
      </c>
      <c r="S1047" s="23">
        <f t="shared" si="440"/>
        <v>24500</v>
      </c>
    </row>
    <row r="1048" spans="2:19" x14ac:dyDescent="0.2">
      <c r="B1048" s="7">
        <f t="shared" si="432"/>
        <v>540</v>
      </c>
      <c r="C1048" s="13"/>
      <c r="D1048" s="13"/>
      <c r="E1048" s="13"/>
      <c r="F1048" s="14"/>
      <c r="G1048" s="25"/>
      <c r="H1048" s="1" t="s">
        <v>553</v>
      </c>
      <c r="I1048" s="16"/>
      <c r="J1048" s="16"/>
      <c r="K1048" s="16">
        <f t="shared" si="433"/>
        <v>0</v>
      </c>
      <c r="L1048" s="16"/>
      <c r="M1048" s="26">
        <v>24500</v>
      </c>
      <c r="N1048" s="26"/>
      <c r="O1048" s="26">
        <f t="shared" si="434"/>
        <v>24500</v>
      </c>
      <c r="P1048" s="16"/>
      <c r="Q1048" s="28">
        <f>M1048</f>
        <v>24500</v>
      </c>
      <c r="R1048" s="28">
        <f t="shared" ref="R1048:S1048" si="444">N1048</f>
        <v>0</v>
      </c>
      <c r="S1048" s="28">
        <f t="shared" si="444"/>
        <v>24500</v>
      </c>
    </row>
    <row r="1049" spans="2:19" ht="15" x14ac:dyDescent="0.2">
      <c r="B1049" s="7">
        <f t="shared" si="432"/>
        <v>541</v>
      </c>
      <c r="C1049" s="10">
        <v>4</v>
      </c>
      <c r="D1049" s="420" t="s">
        <v>158</v>
      </c>
      <c r="E1049" s="421"/>
      <c r="F1049" s="421"/>
      <c r="G1049" s="421"/>
      <c r="H1049" s="421"/>
      <c r="I1049" s="11">
        <f>I1052+I1067+I1219+I1236+I1258+I1259+I1280+I1304+I1322+I1340+I1050</f>
        <v>6301394</v>
      </c>
      <c r="J1049" s="11">
        <f t="shared" ref="J1049" si="445">J1052+J1067+J1219+J1236+J1258+J1259+J1280+J1304+J1322+J1340+J1050</f>
        <v>-2842</v>
      </c>
      <c r="K1049" s="11">
        <f t="shared" si="433"/>
        <v>6298552</v>
      </c>
      <c r="L1049" s="320"/>
      <c r="M1049" s="11">
        <f>M1052+M1067+M1219+M1236+M1258+M1259+M1280+M1304+M1322+M1340</f>
        <v>1645357</v>
      </c>
      <c r="N1049" s="11">
        <f t="shared" ref="N1049" si="446">N1052+N1067+N1219+N1236+N1258+N1259+N1280+N1304+N1322+N1340</f>
        <v>2842</v>
      </c>
      <c r="O1049" s="11">
        <f t="shared" si="434"/>
        <v>1648199</v>
      </c>
      <c r="P1049" s="272"/>
      <c r="Q1049" s="35">
        <f t="shared" ref="Q1049:Q1112" si="447">M1049+I1049</f>
        <v>7946751</v>
      </c>
      <c r="R1049" s="35">
        <f t="shared" ref="R1049:S1064" si="448">N1049+J1049</f>
        <v>0</v>
      </c>
      <c r="S1049" s="35">
        <f t="shared" si="448"/>
        <v>7946751</v>
      </c>
    </row>
    <row r="1050" spans="2:19" ht="15" x14ac:dyDescent="0.2">
      <c r="B1050" s="7">
        <f t="shared" si="432"/>
        <v>542</v>
      </c>
      <c r="C1050" s="13"/>
      <c r="D1050" s="13"/>
      <c r="E1050" s="13"/>
      <c r="F1050" s="14" t="s">
        <v>80</v>
      </c>
      <c r="G1050" s="15">
        <v>630</v>
      </c>
      <c r="H1050" s="13" t="s">
        <v>119</v>
      </c>
      <c r="I1050" s="16">
        <f>I1051</f>
        <v>162966</v>
      </c>
      <c r="J1050" s="16">
        <f t="shared" ref="J1050" si="449">J1051</f>
        <v>0</v>
      </c>
      <c r="K1050" s="16">
        <f t="shared" si="433"/>
        <v>162966</v>
      </c>
      <c r="L1050" s="320"/>
      <c r="M1050" s="16"/>
      <c r="N1050" s="16"/>
      <c r="O1050" s="16">
        <f t="shared" si="434"/>
        <v>0</v>
      </c>
      <c r="P1050" s="16"/>
      <c r="Q1050" s="18">
        <f t="shared" si="447"/>
        <v>162966</v>
      </c>
      <c r="R1050" s="18">
        <f t="shared" si="448"/>
        <v>0</v>
      </c>
      <c r="S1050" s="18">
        <f t="shared" si="448"/>
        <v>162966</v>
      </c>
    </row>
    <row r="1051" spans="2:19" ht="15" x14ac:dyDescent="0.2">
      <c r="B1051" s="7">
        <f t="shared" si="432"/>
        <v>543</v>
      </c>
      <c r="C1051" s="13"/>
      <c r="D1051" s="13"/>
      <c r="E1051" s="13"/>
      <c r="F1051" s="14"/>
      <c r="G1051" s="21">
        <v>637</v>
      </c>
      <c r="H1051" s="19" t="s">
        <v>120</v>
      </c>
      <c r="I1051" s="22">
        <v>162966</v>
      </c>
      <c r="J1051" s="22"/>
      <c r="K1051" s="22">
        <f t="shared" si="433"/>
        <v>162966</v>
      </c>
      <c r="L1051" s="320"/>
      <c r="M1051" s="16"/>
      <c r="N1051" s="16"/>
      <c r="O1051" s="16">
        <f t="shared" si="434"/>
        <v>0</v>
      </c>
      <c r="P1051" s="16"/>
      <c r="Q1051" s="23">
        <f t="shared" si="447"/>
        <v>162966</v>
      </c>
      <c r="R1051" s="23">
        <f t="shared" si="448"/>
        <v>0</v>
      </c>
      <c r="S1051" s="23">
        <f t="shared" si="448"/>
        <v>162966</v>
      </c>
    </row>
    <row r="1052" spans="2:19" x14ac:dyDescent="0.2">
      <c r="B1052" s="7">
        <f t="shared" si="432"/>
        <v>544</v>
      </c>
      <c r="C1052" s="13"/>
      <c r="D1052" s="13"/>
      <c r="E1052" s="13"/>
      <c r="F1052" s="14" t="s">
        <v>157</v>
      </c>
      <c r="G1052" s="15">
        <v>640</v>
      </c>
      <c r="H1052" s="13" t="s">
        <v>127</v>
      </c>
      <c r="I1052" s="16">
        <f>SUM(I1053:I1066)</f>
        <v>385788</v>
      </c>
      <c r="J1052" s="16">
        <f t="shared" ref="J1052" si="450">SUM(J1053:J1066)</f>
        <v>0</v>
      </c>
      <c r="K1052" s="16">
        <f t="shared" si="433"/>
        <v>385788</v>
      </c>
      <c r="L1052" s="16"/>
      <c r="M1052" s="17"/>
      <c r="N1052" s="17"/>
      <c r="O1052" s="17">
        <f t="shared" si="434"/>
        <v>0</v>
      </c>
      <c r="P1052" s="17"/>
      <c r="Q1052" s="18">
        <f t="shared" si="447"/>
        <v>385788</v>
      </c>
      <c r="R1052" s="18">
        <f t="shared" si="448"/>
        <v>0</v>
      </c>
      <c r="S1052" s="18">
        <f t="shared" si="448"/>
        <v>385788</v>
      </c>
    </row>
    <row r="1053" spans="2:19" x14ac:dyDescent="0.2">
      <c r="B1053" s="7">
        <f t="shared" si="432"/>
        <v>545</v>
      </c>
      <c r="C1053" s="24"/>
      <c r="D1053" s="24"/>
      <c r="E1053" s="24"/>
      <c r="F1053" s="25"/>
      <c r="G1053" s="25"/>
      <c r="H1053" s="1" t="s">
        <v>349</v>
      </c>
      <c r="I1053" s="26">
        <v>32250</v>
      </c>
      <c r="J1053" s="26"/>
      <c r="K1053" s="26">
        <f t="shared" si="433"/>
        <v>32250</v>
      </c>
      <c r="L1053" s="26"/>
      <c r="M1053" s="26"/>
      <c r="N1053" s="26"/>
      <c r="O1053" s="26">
        <f t="shared" si="434"/>
        <v>0</v>
      </c>
      <c r="P1053" s="26"/>
      <c r="Q1053" s="28">
        <f t="shared" si="447"/>
        <v>32250</v>
      </c>
      <c r="R1053" s="28">
        <f t="shared" si="448"/>
        <v>0</v>
      </c>
      <c r="S1053" s="28">
        <f t="shared" si="448"/>
        <v>32250</v>
      </c>
    </row>
    <row r="1054" spans="2:19" x14ac:dyDescent="0.2">
      <c r="B1054" s="7">
        <f t="shared" si="432"/>
        <v>546</v>
      </c>
      <c r="C1054" s="24"/>
      <c r="D1054" s="24"/>
      <c r="E1054" s="24"/>
      <c r="F1054" s="25"/>
      <c r="G1054" s="25"/>
      <c r="H1054" s="1" t="s">
        <v>350</v>
      </c>
      <c r="I1054" s="26">
        <v>43139</v>
      </c>
      <c r="J1054" s="26"/>
      <c r="K1054" s="26">
        <f t="shared" si="433"/>
        <v>43139</v>
      </c>
      <c r="L1054" s="26"/>
      <c r="M1054" s="26"/>
      <c r="N1054" s="26"/>
      <c r="O1054" s="26">
        <f t="shared" si="434"/>
        <v>0</v>
      </c>
      <c r="P1054" s="26"/>
      <c r="Q1054" s="28">
        <f t="shared" si="447"/>
        <v>43139</v>
      </c>
      <c r="R1054" s="28">
        <f t="shared" si="448"/>
        <v>0</v>
      </c>
      <c r="S1054" s="28">
        <f t="shared" si="448"/>
        <v>43139</v>
      </c>
    </row>
    <row r="1055" spans="2:19" x14ac:dyDescent="0.2">
      <c r="B1055" s="7">
        <f t="shared" si="432"/>
        <v>547</v>
      </c>
      <c r="C1055" s="24"/>
      <c r="D1055" s="24"/>
      <c r="E1055" s="24"/>
      <c r="F1055" s="25"/>
      <c r="G1055" s="25"/>
      <c r="H1055" s="1" t="s">
        <v>351</v>
      </c>
      <c r="I1055" s="26">
        <v>33925</v>
      </c>
      <c r="J1055" s="26"/>
      <c r="K1055" s="26">
        <f t="shared" si="433"/>
        <v>33925</v>
      </c>
      <c r="L1055" s="26"/>
      <c r="M1055" s="26"/>
      <c r="N1055" s="26"/>
      <c r="O1055" s="26">
        <f t="shared" si="434"/>
        <v>0</v>
      </c>
      <c r="P1055" s="26"/>
      <c r="Q1055" s="28">
        <f t="shared" si="447"/>
        <v>33925</v>
      </c>
      <c r="R1055" s="28">
        <f t="shared" si="448"/>
        <v>0</v>
      </c>
      <c r="S1055" s="28">
        <f t="shared" si="448"/>
        <v>33925</v>
      </c>
    </row>
    <row r="1056" spans="2:19" x14ac:dyDescent="0.2">
      <c r="B1056" s="7">
        <f t="shared" si="432"/>
        <v>548</v>
      </c>
      <c r="C1056" s="24"/>
      <c r="D1056" s="24"/>
      <c r="E1056" s="24"/>
      <c r="F1056" s="25"/>
      <c r="G1056" s="25"/>
      <c r="H1056" s="1" t="s">
        <v>352</v>
      </c>
      <c r="I1056" s="26">
        <v>12145</v>
      </c>
      <c r="J1056" s="26"/>
      <c r="K1056" s="26">
        <f t="shared" si="433"/>
        <v>12145</v>
      </c>
      <c r="L1056" s="26"/>
      <c r="M1056" s="26"/>
      <c r="N1056" s="26"/>
      <c r="O1056" s="26">
        <f t="shared" si="434"/>
        <v>0</v>
      </c>
      <c r="P1056" s="26"/>
      <c r="Q1056" s="28">
        <f t="shared" si="447"/>
        <v>12145</v>
      </c>
      <c r="R1056" s="28">
        <f t="shared" si="448"/>
        <v>0</v>
      </c>
      <c r="S1056" s="28">
        <f t="shared" si="448"/>
        <v>12145</v>
      </c>
    </row>
    <row r="1057" spans="2:19" x14ac:dyDescent="0.2">
      <c r="B1057" s="7">
        <f t="shared" si="432"/>
        <v>549</v>
      </c>
      <c r="C1057" s="24"/>
      <c r="D1057" s="24"/>
      <c r="E1057" s="24"/>
      <c r="F1057" s="25"/>
      <c r="G1057" s="25"/>
      <c r="H1057" s="1" t="s">
        <v>270</v>
      </c>
      <c r="I1057" s="26">
        <v>183864</v>
      </c>
      <c r="J1057" s="26"/>
      <c r="K1057" s="26">
        <f t="shared" si="433"/>
        <v>183864</v>
      </c>
      <c r="L1057" s="26"/>
      <c r="M1057" s="26"/>
      <c r="N1057" s="26"/>
      <c r="O1057" s="26">
        <f t="shared" si="434"/>
        <v>0</v>
      </c>
      <c r="P1057" s="26"/>
      <c r="Q1057" s="28">
        <f t="shared" si="447"/>
        <v>183864</v>
      </c>
      <c r="R1057" s="28">
        <f t="shared" si="448"/>
        <v>0</v>
      </c>
      <c r="S1057" s="28">
        <f t="shared" si="448"/>
        <v>183864</v>
      </c>
    </row>
    <row r="1058" spans="2:19" x14ac:dyDescent="0.2">
      <c r="B1058" s="7">
        <f t="shared" si="432"/>
        <v>550</v>
      </c>
      <c r="C1058" s="24"/>
      <c r="D1058" s="24"/>
      <c r="E1058" s="24"/>
      <c r="F1058" s="25"/>
      <c r="G1058" s="25"/>
      <c r="H1058" s="1" t="s">
        <v>457</v>
      </c>
      <c r="I1058" s="26">
        <v>7853</v>
      </c>
      <c r="J1058" s="26"/>
      <c r="K1058" s="26">
        <f t="shared" si="433"/>
        <v>7853</v>
      </c>
      <c r="L1058" s="26"/>
      <c r="M1058" s="26"/>
      <c r="N1058" s="26"/>
      <c r="O1058" s="26">
        <f t="shared" si="434"/>
        <v>0</v>
      </c>
      <c r="P1058" s="26"/>
      <c r="Q1058" s="28">
        <f t="shared" si="447"/>
        <v>7853</v>
      </c>
      <c r="R1058" s="28">
        <f t="shared" si="448"/>
        <v>0</v>
      </c>
      <c r="S1058" s="28">
        <f t="shared" si="448"/>
        <v>7853</v>
      </c>
    </row>
    <row r="1059" spans="2:19" x14ac:dyDescent="0.2">
      <c r="B1059" s="7">
        <f t="shared" si="432"/>
        <v>551</v>
      </c>
      <c r="C1059" s="24"/>
      <c r="D1059" s="24"/>
      <c r="E1059" s="24"/>
      <c r="F1059" s="25"/>
      <c r="G1059" s="25"/>
      <c r="H1059" s="1" t="s">
        <v>460</v>
      </c>
      <c r="I1059" s="26">
        <v>18033</v>
      </c>
      <c r="J1059" s="26"/>
      <c r="K1059" s="26">
        <f t="shared" si="433"/>
        <v>18033</v>
      </c>
      <c r="L1059" s="26"/>
      <c r="M1059" s="26"/>
      <c r="N1059" s="26"/>
      <c r="O1059" s="26">
        <f t="shared" si="434"/>
        <v>0</v>
      </c>
      <c r="P1059" s="26"/>
      <c r="Q1059" s="28">
        <f t="shared" si="447"/>
        <v>18033</v>
      </c>
      <c r="R1059" s="28">
        <f t="shared" si="448"/>
        <v>0</v>
      </c>
      <c r="S1059" s="28">
        <f t="shared" si="448"/>
        <v>18033</v>
      </c>
    </row>
    <row r="1060" spans="2:19" x14ac:dyDescent="0.2">
      <c r="B1060" s="7">
        <f t="shared" si="432"/>
        <v>552</v>
      </c>
      <c r="C1060" s="24"/>
      <c r="D1060" s="24"/>
      <c r="E1060" s="24"/>
      <c r="F1060" s="25"/>
      <c r="G1060" s="25"/>
      <c r="H1060" s="66" t="s">
        <v>529</v>
      </c>
      <c r="I1060" s="26">
        <v>1164</v>
      </c>
      <c r="J1060" s="26"/>
      <c r="K1060" s="26">
        <f t="shared" si="433"/>
        <v>1164</v>
      </c>
      <c r="L1060" s="26"/>
      <c r="M1060" s="26"/>
      <c r="N1060" s="26"/>
      <c r="O1060" s="26">
        <f t="shared" si="434"/>
        <v>0</v>
      </c>
      <c r="P1060" s="26"/>
      <c r="Q1060" s="28">
        <f t="shared" si="447"/>
        <v>1164</v>
      </c>
      <c r="R1060" s="28">
        <f t="shared" si="448"/>
        <v>0</v>
      </c>
      <c r="S1060" s="28">
        <f t="shared" si="448"/>
        <v>1164</v>
      </c>
    </row>
    <row r="1061" spans="2:19" x14ac:dyDescent="0.2">
      <c r="B1061" s="7">
        <f t="shared" si="432"/>
        <v>553</v>
      </c>
      <c r="C1061" s="24"/>
      <c r="D1061" s="24"/>
      <c r="E1061" s="24"/>
      <c r="F1061" s="25"/>
      <c r="G1061" s="25"/>
      <c r="H1061" s="1" t="s">
        <v>504</v>
      </c>
      <c r="I1061" s="26">
        <v>24141</v>
      </c>
      <c r="J1061" s="26"/>
      <c r="K1061" s="26">
        <f t="shared" si="433"/>
        <v>24141</v>
      </c>
      <c r="L1061" s="26"/>
      <c r="M1061" s="26"/>
      <c r="N1061" s="26"/>
      <c r="O1061" s="26">
        <f t="shared" si="434"/>
        <v>0</v>
      </c>
      <c r="P1061" s="26"/>
      <c r="Q1061" s="28">
        <f t="shared" si="447"/>
        <v>24141</v>
      </c>
      <c r="R1061" s="28">
        <f t="shared" si="448"/>
        <v>0</v>
      </c>
      <c r="S1061" s="28">
        <f t="shared" si="448"/>
        <v>24141</v>
      </c>
    </row>
    <row r="1062" spans="2:19" x14ac:dyDescent="0.2">
      <c r="B1062" s="7">
        <f t="shared" si="432"/>
        <v>554</v>
      </c>
      <c r="C1062" s="24"/>
      <c r="D1062" s="24"/>
      <c r="E1062" s="24"/>
      <c r="F1062" s="25"/>
      <c r="G1062" s="25"/>
      <c r="H1062" s="1" t="s">
        <v>458</v>
      </c>
      <c r="I1062" s="26">
        <v>5817</v>
      </c>
      <c r="J1062" s="26"/>
      <c r="K1062" s="26">
        <f t="shared" si="433"/>
        <v>5817</v>
      </c>
      <c r="L1062" s="26"/>
      <c r="M1062" s="26"/>
      <c r="N1062" s="26"/>
      <c r="O1062" s="26">
        <f t="shared" si="434"/>
        <v>0</v>
      </c>
      <c r="P1062" s="26"/>
      <c r="Q1062" s="28">
        <f t="shared" si="447"/>
        <v>5817</v>
      </c>
      <c r="R1062" s="28">
        <f t="shared" si="448"/>
        <v>0</v>
      </c>
      <c r="S1062" s="28">
        <f t="shared" si="448"/>
        <v>5817</v>
      </c>
    </row>
    <row r="1063" spans="2:19" x14ac:dyDescent="0.2">
      <c r="B1063" s="7">
        <f t="shared" si="432"/>
        <v>555</v>
      </c>
      <c r="C1063" s="24"/>
      <c r="D1063" s="24"/>
      <c r="E1063" s="24"/>
      <c r="F1063" s="25"/>
      <c r="G1063" s="25"/>
      <c r="H1063" s="1" t="s">
        <v>459</v>
      </c>
      <c r="I1063" s="26">
        <v>13670</v>
      </c>
      <c r="J1063" s="26"/>
      <c r="K1063" s="26">
        <f t="shared" si="433"/>
        <v>13670</v>
      </c>
      <c r="L1063" s="26"/>
      <c r="M1063" s="26"/>
      <c r="N1063" s="26"/>
      <c r="O1063" s="26">
        <f t="shared" si="434"/>
        <v>0</v>
      </c>
      <c r="P1063" s="26"/>
      <c r="Q1063" s="28">
        <f t="shared" si="447"/>
        <v>13670</v>
      </c>
      <c r="R1063" s="28">
        <f t="shared" si="448"/>
        <v>0</v>
      </c>
      <c r="S1063" s="28">
        <f t="shared" si="448"/>
        <v>13670</v>
      </c>
    </row>
    <row r="1064" spans="2:19" x14ac:dyDescent="0.2">
      <c r="B1064" s="7">
        <f t="shared" si="432"/>
        <v>556</v>
      </c>
      <c r="C1064" s="24"/>
      <c r="D1064" s="24"/>
      <c r="E1064" s="24"/>
      <c r="F1064" s="25"/>
      <c r="G1064" s="25"/>
      <c r="H1064" s="1" t="s">
        <v>505</v>
      </c>
      <c r="I1064" s="26">
        <v>6690</v>
      </c>
      <c r="J1064" s="26"/>
      <c r="K1064" s="26">
        <f t="shared" si="433"/>
        <v>6690</v>
      </c>
      <c r="L1064" s="26"/>
      <c r="M1064" s="26"/>
      <c r="N1064" s="26"/>
      <c r="O1064" s="26">
        <f t="shared" si="434"/>
        <v>0</v>
      </c>
      <c r="P1064" s="26"/>
      <c r="Q1064" s="28">
        <f t="shared" si="447"/>
        <v>6690</v>
      </c>
      <c r="R1064" s="28">
        <f t="shared" si="448"/>
        <v>0</v>
      </c>
      <c r="S1064" s="28">
        <f t="shared" si="448"/>
        <v>6690</v>
      </c>
    </row>
    <row r="1065" spans="2:19" ht="24" x14ac:dyDescent="0.2">
      <c r="B1065" s="7">
        <f t="shared" si="432"/>
        <v>557</v>
      </c>
      <c r="C1065" s="24"/>
      <c r="D1065" s="24"/>
      <c r="E1065" s="24"/>
      <c r="F1065" s="25"/>
      <c r="G1065" s="25"/>
      <c r="H1065" s="43" t="s">
        <v>691</v>
      </c>
      <c r="I1065" s="26">
        <v>479</v>
      </c>
      <c r="J1065" s="26"/>
      <c r="K1065" s="26">
        <f t="shared" si="433"/>
        <v>479</v>
      </c>
      <c r="L1065" s="26"/>
      <c r="M1065" s="26"/>
      <c r="N1065" s="26"/>
      <c r="O1065" s="26">
        <f t="shared" si="434"/>
        <v>0</v>
      </c>
      <c r="P1065" s="26"/>
      <c r="Q1065" s="28">
        <f t="shared" si="447"/>
        <v>479</v>
      </c>
      <c r="R1065" s="28">
        <f t="shared" ref="R1065:S1080" si="451">N1065+J1065</f>
        <v>0</v>
      </c>
      <c r="S1065" s="28">
        <f t="shared" si="451"/>
        <v>479</v>
      </c>
    </row>
    <row r="1066" spans="2:19" x14ac:dyDescent="0.2">
      <c r="B1066" s="7">
        <f t="shared" si="432"/>
        <v>558</v>
      </c>
      <c r="C1066" s="24"/>
      <c r="D1066" s="24"/>
      <c r="E1066" s="24"/>
      <c r="F1066" s="25"/>
      <c r="G1066" s="25"/>
      <c r="H1066" s="1" t="s">
        <v>509</v>
      </c>
      <c r="I1066" s="26">
        <v>2618</v>
      </c>
      <c r="J1066" s="26"/>
      <c r="K1066" s="26">
        <f t="shared" si="433"/>
        <v>2618</v>
      </c>
      <c r="L1066" s="26"/>
      <c r="M1066" s="26"/>
      <c r="N1066" s="26"/>
      <c r="O1066" s="26">
        <f t="shared" si="434"/>
        <v>0</v>
      </c>
      <c r="P1066" s="26"/>
      <c r="Q1066" s="28">
        <f t="shared" si="447"/>
        <v>2618</v>
      </c>
      <c r="R1066" s="28">
        <f t="shared" si="451"/>
        <v>0</v>
      </c>
      <c r="S1066" s="28">
        <f t="shared" si="451"/>
        <v>2618</v>
      </c>
    </row>
    <row r="1067" spans="2:19" ht="15" x14ac:dyDescent="0.25">
      <c r="B1067" s="7">
        <f t="shared" si="432"/>
        <v>559</v>
      </c>
      <c r="C1067" s="108"/>
      <c r="D1067" s="108"/>
      <c r="E1067" s="108">
        <v>4</v>
      </c>
      <c r="F1067" s="109"/>
      <c r="G1067" s="109"/>
      <c r="H1067" s="108" t="s">
        <v>82</v>
      </c>
      <c r="I1067" s="110">
        <f>I1207+I1198+I1189+I1180+I1171+I1162+I1153+I1144+I1135+I1126+I1117+I1108+I1099+I1090+I1068+I1081</f>
        <v>2022866</v>
      </c>
      <c r="J1067" s="110">
        <f t="shared" ref="J1067" si="452">J1207+J1198+J1189+J1180+J1171+J1162+J1153+J1144+J1135+J1126+J1117+J1108+J1099+J1090+J1068+J1081</f>
        <v>0</v>
      </c>
      <c r="K1067" s="110">
        <f t="shared" si="433"/>
        <v>2022866</v>
      </c>
      <c r="L1067" s="321"/>
      <c r="M1067" s="110">
        <f>M1207+M1198+M1189+M1180+M1171+M1162+M1153+M1144+M1135+M1126+M1117+M1108+M1099+M1090+M1068+M1081</f>
        <v>38000</v>
      </c>
      <c r="N1067" s="110">
        <f t="shared" ref="N1067" si="453">N1207+N1198+N1189+N1180+N1171+N1162+N1153+N1144+N1135+N1126+N1117+N1108+N1099+N1090+N1068+N1081</f>
        <v>0</v>
      </c>
      <c r="O1067" s="110">
        <f t="shared" si="434"/>
        <v>38000</v>
      </c>
      <c r="P1067" s="17"/>
      <c r="Q1067" s="112">
        <f t="shared" si="447"/>
        <v>2060866</v>
      </c>
      <c r="R1067" s="112">
        <f t="shared" si="451"/>
        <v>0</v>
      </c>
      <c r="S1067" s="112">
        <f t="shared" si="451"/>
        <v>2060866</v>
      </c>
    </row>
    <row r="1068" spans="2:19" x14ac:dyDescent="0.2">
      <c r="B1068" s="7">
        <f t="shared" si="432"/>
        <v>560</v>
      </c>
      <c r="C1068" s="119"/>
      <c r="D1068" s="119"/>
      <c r="E1068" s="119"/>
      <c r="F1068" s="120"/>
      <c r="G1068" s="120"/>
      <c r="H1068" s="119" t="s">
        <v>453</v>
      </c>
      <c r="I1068" s="121">
        <f>I1077+I1071+I1070+I1069</f>
        <v>66852</v>
      </c>
      <c r="J1068" s="121">
        <f t="shared" ref="J1068" si="454">J1077+J1071+J1070+J1069</f>
        <v>0</v>
      </c>
      <c r="K1068" s="121">
        <f t="shared" si="433"/>
        <v>66852</v>
      </c>
      <c r="L1068" s="16"/>
      <c r="M1068" s="127">
        <f>M1078</f>
        <v>30000</v>
      </c>
      <c r="N1068" s="127">
        <f t="shared" ref="N1068" si="455">N1078</f>
        <v>0</v>
      </c>
      <c r="O1068" s="127">
        <f t="shared" si="434"/>
        <v>30000</v>
      </c>
      <c r="P1068" s="16"/>
      <c r="Q1068" s="123">
        <f t="shared" si="447"/>
        <v>96852</v>
      </c>
      <c r="R1068" s="123">
        <f t="shared" si="451"/>
        <v>0</v>
      </c>
      <c r="S1068" s="123">
        <f t="shared" si="451"/>
        <v>96852</v>
      </c>
    </row>
    <row r="1069" spans="2:19" x14ac:dyDescent="0.2">
      <c r="B1069" s="7">
        <f t="shared" si="432"/>
        <v>561</v>
      </c>
      <c r="C1069" s="13"/>
      <c r="D1069" s="13"/>
      <c r="E1069" s="13"/>
      <c r="F1069" s="14" t="s">
        <v>157</v>
      </c>
      <c r="G1069" s="15">
        <v>610</v>
      </c>
      <c r="H1069" s="13" t="s">
        <v>511</v>
      </c>
      <c r="I1069" s="16">
        <v>27953</v>
      </c>
      <c r="J1069" s="16"/>
      <c r="K1069" s="16">
        <f t="shared" si="433"/>
        <v>27953</v>
      </c>
      <c r="L1069" s="16"/>
      <c r="M1069" s="16"/>
      <c r="N1069" s="16"/>
      <c r="O1069" s="16">
        <f t="shared" si="434"/>
        <v>0</v>
      </c>
      <c r="P1069" s="16"/>
      <c r="Q1069" s="18">
        <f t="shared" si="447"/>
        <v>27953</v>
      </c>
      <c r="R1069" s="18">
        <f t="shared" si="451"/>
        <v>0</v>
      </c>
      <c r="S1069" s="18">
        <f t="shared" si="451"/>
        <v>27953</v>
      </c>
    </row>
    <row r="1070" spans="2:19" x14ac:dyDescent="0.2">
      <c r="B1070" s="7">
        <f t="shared" si="432"/>
        <v>562</v>
      </c>
      <c r="C1070" s="13"/>
      <c r="D1070" s="13"/>
      <c r="E1070" s="13"/>
      <c r="F1070" s="14" t="s">
        <v>157</v>
      </c>
      <c r="G1070" s="15">
        <v>620</v>
      </c>
      <c r="H1070" s="13" t="s">
        <v>122</v>
      </c>
      <c r="I1070" s="16">
        <v>11092</v>
      </c>
      <c r="J1070" s="16"/>
      <c r="K1070" s="16">
        <f t="shared" si="433"/>
        <v>11092</v>
      </c>
      <c r="L1070" s="16"/>
      <c r="M1070" s="16"/>
      <c r="N1070" s="16"/>
      <c r="O1070" s="16">
        <f t="shared" si="434"/>
        <v>0</v>
      </c>
      <c r="P1070" s="16"/>
      <c r="Q1070" s="18">
        <f t="shared" si="447"/>
        <v>11092</v>
      </c>
      <c r="R1070" s="18">
        <f t="shared" si="451"/>
        <v>0</v>
      </c>
      <c r="S1070" s="18">
        <f t="shared" si="451"/>
        <v>11092</v>
      </c>
    </row>
    <row r="1071" spans="2:19" x14ac:dyDescent="0.2">
      <c r="B1071" s="7">
        <f t="shared" si="432"/>
        <v>563</v>
      </c>
      <c r="C1071" s="13"/>
      <c r="D1071" s="13"/>
      <c r="E1071" s="13"/>
      <c r="F1071" s="14" t="s">
        <v>157</v>
      </c>
      <c r="G1071" s="15">
        <v>630</v>
      </c>
      <c r="H1071" s="13" t="s">
        <v>119</v>
      </c>
      <c r="I1071" s="16">
        <f>SUM(I1072:I1076)</f>
        <v>24351</v>
      </c>
      <c r="J1071" s="16">
        <f t="shared" ref="J1071" si="456">SUM(J1072:J1076)</f>
        <v>0</v>
      </c>
      <c r="K1071" s="16">
        <f t="shared" si="433"/>
        <v>24351</v>
      </c>
      <c r="L1071" s="16"/>
      <c r="M1071" s="16"/>
      <c r="N1071" s="16"/>
      <c r="O1071" s="16">
        <f t="shared" si="434"/>
        <v>0</v>
      </c>
      <c r="P1071" s="16"/>
      <c r="Q1071" s="18">
        <f t="shared" si="447"/>
        <v>24351</v>
      </c>
      <c r="R1071" s="18">
        <f t="shared" si="451"/>
        <v>0</v>
      </c>
      <c r="S1071" s="18">
        <f t="shared" si="451"/>
        <v>24351</v>
      </c>
    </row>
    <row r="1072" spans="2:19" x14ac:dyDescent="0.2">
      <c r="B1072" s="7">
        <f t="shared" si="432"/>
        <v>564</v>
      </c>
      <c r="C1072" s="13"/>
      <c r="D1072" s="13"/>
      <c r="E1072" s="13"/>
      <c r="F1072" s="14"/>
      <c r="G1072" s="21">
        <v>632</v>
      </c>
      <c r="H1072" s="19" t="s">
        <v>131</v>
      </c>
      <c r="I1072" s="22">
        <v>1060</v>
      </c>
      <c r="J1072" s="22"/>
      <c r="K1072" s="22">
        <f t="shared" si="433"/>
        <v>1060</v>
      </c>
      <c r="L1072" s="16"/>
      <c r="M1072" s="16"/>
      <c r="N1072" s="16"/>
      <c r="O1072" s="16">
        <f t="shared" si="434"/>
        <v>0</v>
      </c>
      <c r="P1072" s="16"/>
      <c r="Q1072" s="18">
        <f t="shared" si="447"/>
        <v>1060</v>
      </c>
      <c r="R1072" s="18">
        <f t="shared" si="451"/>
        <v>0</v>
      </c>
      <c r="S1072" s="18">
        <f t="shared" si="451"/>
        <v>1060</v>
      </c>
    </row>
    <row r="1073" spans="2:19" x14ac:dyDescent="0.2">
      <c r="B1073" s="7">
        <f t="shared" si="432"/>
        <v>565</v>
      </c>
      <c r="C1073" s="19"/>
      <c r="D1073" s="19"/>
      <c r="E1073" s="19"/>
      <c r="F1073" s="20"/>
      <c r="G1073" s="21">
        <v>633</v>
      </c>
      <c r="H1073" s="19" t="s">
        <v>123</v>
      </c>
      <c r="I1073" s="22">
        <f>719+269</f>
        <v>988</v>
      </c>
      <c r="J1073" s="22"/>
      <c r="K1073" s="22">
        <f t="shared" si="433"/>
        <v>988</v>
      </c>
      <c r="L1073" s="22"/>
      <c r="M1073" s="22"/>
      <c r="N1073" s="22"/>
      <c r="O1073" s="22">
        <f t="shared" si="434"/>
        <v>0</v>
      </c>
      <c r="P1073" s="22"/>
      <c r="Q1073" s="23">
        <f t="shared" si="447"/>
        <v>988</v>
      </c>
      <c r="R1073" s="23">
        <f t="shared" si="451"/>
        <v>0</v>
      </c>
      <c r="S1073" s="23">
        <f t="shared" si="451"/>
        <v>988</v>
      </c>
    </row>
    <row r="1074" spans="2:19" x14ac:dyDescent="0.2">
      <c r="B1074" s="7">
        <f t="shared" si="432"/>
        <v>566</v>
      </c>
      <c r="C1074" s="19"/>
      <c r="D1074" s="19"/>
      <c r="E1074" s="19"/>
      <c r="F1074" s="20"/>
      <c r="G1074" s="21">
        <v>634</v>
      </c>
      <c r="H1074" s="19" t="s">
        <v>129</v>
      </c>
      <c r="I1074" s="22">
        <v>4450</v>
      </c>
      <c r="J1074" s="22"/>
      <c r="K1074" s="22">
        <f t="shared" si="433"/>
        <v>4450</v>
      </c>
      <c r="L1074" s="22"/>
      <c r="M1074" s="22"/>
      <c r="N1074" s="22"/>
      <c r="O1074" s="22">
        <f t="shared" si="434"/>
        <v>0</v>
      </c>
      <c r="P1074" s="22"/>
      <c r="Q1074" s="23">
        <f t="shared" si="447"/>
        <v>4450</v>
      </c>
      <c r="R1074" s="23">
        <f t="shared" si="451"/>
        <v>0</v>
      </c>
      <c r="S1074" s="23">
        <f t="shared" si="451"/>
        <v>4450</v>
      </c>
    </row>
    <row r="1075" spans="2:19" x14ac:dyDescent="0.2">
      <c r="B1075" s="7">
        <f t="shared" si="432"/>
        <v>567</v>
      </c>
      <c r="C1075" s="19"/>
      <c r="D1075" s="19"/>
      <c r="E1075" s="19"/>
      <c r="F1075" s="20"/>
      <c r="G1075" s="21">
        <v>635</v>
      </c>
      <c r="H1075" s="19" t="s">
        <v>130</v>
      </c>
      <c r="I1075" s="22">
        <v>300</v>
      </c>
      <c r="J1075" s="22"/>
      <c r="K1075" s="22">
        <f t="shared" si="433"/>
        <v>300</v>
      </c>
      <c r="L1075" s="22"/>
      <c r="M1075" s="22"/>
      <c r="N1075" s="22"/>
      <c r="O1075" s="22">
        <f t="shared" si="434"/>
        <v>0</v>
      </c>
      <c r="P1075" s="22"/>
      <c r="Q1075" s="23">
        <f t="shared" si="447"/>
        <v>300</v>
      </c>
      <c r="R1075" s="23">
        <f t="shared" si="451"/>
        <v>0</v>
      </c>
      <c r="S1075" s="23">
        <f t="shared" si="451"/>
        <v>300</v>
      </c>
    </row>
    <row r="1076" spans="2:19" x14ac:dyDescent="0.2">
      <c r="B1076" s="7">
        <f t="shared" si="432"/>
        <v>568</v>
      </c>
      <c r="C1076" s="19"/>
      <c r="D1076" s="19"/>
      <c r="E1076" s="19"/>
      <c r="F1076" s="20"/>
      <c r="G1076" s="21">
        <v>637</v>
      </c>
      <c r="H1076" s="19" t="s">
        <v>120</v>
      </c>
      <c r="I1076" s="22">
        <f>14310+3243</f>
        <v>17553</v>
      </c>
      <c r="J1076" s="22"/>
      <c r="K1076" s="22">
        <f t="shared" si="433"/>
        <v>17553</v>
      </c>
      <c r="L1076" s="22"/>
      <c r="M1076" s="22"/>
      <c r="N1076" s="22"/>
      <c r="O1076" s="22">
        <f t="shared" si="434"/>
        <v>0</v>
      </c>
      <c r="P1076" s="22"/>
      <c r="Q1076" s="23">
        <f t="shared" si="447"/>
        <v>17553</v>
      </c>
      <c r="R1076" s="23">
        <f t="shared" si="451"/>
        <v>0</v>
      </c>
      <c r="S1076" s="23">
        <f t="shared" si="451"/>
        <v>17553</v>
      </c>
    </row>
    <row r="1077" spans="2:19" x14ac:dyDescent="0.2">
      <c r="B1077" s="7">
        <f t="shared" si="432"/>
        <v>569</v>
      </c>
      <c r="C1077" s="13"/>
      <c r="D1077" s="13"/>
      <c r="E1077" s="13"/>
      <c r="F1077" s="14" t="s">
        <v>157</v>
      </c>
      <c r="G1077" s="15">
        <v>640</v>
      </c>
      <c r="H1077" s="13" t="s">
        <v>127</v>
      </c>
      <c r="I1077" s="16">
        <v>3456</v>
      </c>
      <c r="J1077" s="16"/>
      <c r="K1077" s="16">
        <f t="shared" si="433"/>
        <v>3456</v>
      </c>
      <c r="L1077" s="16"/>
      <c r="M1077" s="16"/>
      <c r="N1077" s="16"/>
      <c r="O1077" s="16">
        <f t="shared" si="434"/>
        <v>0</v>
      </c>
      <c r="P1077" s="16"/>
      <c r="Q1077" s="18">
        <f t="shared" si="447"/>
        <v>3456</v>
      </c>
      <c r="R1077" s="18">
        <f t="shared" si="451"/>
        <v>0</v>
      </c>
      <c r="S1077" s="18">
        <f t="shared" si="451"/>
        <v>3456</v>
      </c>
    </row>
    <row r="1078" spans="2:19" x14ac:dyDescent="0.2">
      <c r="B1078" s="7">
        <f t="shared" si="432"/>
        <v>570</v>
      </c>
      <c r="C1078" s="13"/>
      <c r="D1078" s="13"/>
      <c r="E1078" s="13"/>
      <c r="F1078" s="14" t="s">
        <v>157</v>
      </c>
      <c r="G1078" s="15">
        <v>710</v>
      </c>
      <c r="H1078" s="13" t="s">
        <v>171</v>
      </c>
      <c r="I1078" s="16"/>
      <c r="J1078" s="16"/>
      <c r="K1078" s="16">
        <f t="shared" si="433"/>
        <v>0</v>
      </c>
      <c r="L1078" s="16"/>
      <c r="M1078" s="16">
        <f>M1079</f>
        <v>30000</v>
      </c>
      <c r="N1078" s="16">
        <f t="shared" ref="N1078:N1079" si="457">N1079</f>
        <v>0</v>
      </c>
      <c r="O1078" s="16">
        <f t="shared" si="434"/>
        <v>30000</v>
      </c>
      <c r="P1078" s="16"/>
      <c r="Q1078" s="18">
        <f t="shared" si="447"/>
        <v>30000</v>
      </c>
      <c r="R1078" s="18">
        <f t="shared" si="451"/>
        <v>0</v>
      </c>
      <c r="S1078" s="18">
        <f t="shared" si="451"/>
        <v>30000</v>
      </c>
    </row>
    <row r="1079" spans="2:19" x14ac:dyDescent="0.2">
      <c r="B1079" s="7">
        <f t="shared" si="432"/>
        <v>571</v>
      </c>
      <c r="C1079" s="19"/>
      <c r="D1079" s="19"/>
      <c r="E1079" s="19"/>
      <c r="F1079" s="20"/>
      <c r="G1079" s="21">
        <v>714</v>
      </c>
      <c r="H1079" s="81" t="s">
        <v>172</v>
      </c>
      <c r="I1079" s="22"/>
      <c r="J1079" s="22"/>
      <c r="K1079" s="22">
        <f t="shared" si="433"/>
        <v>0</v>
      </c>
      <c r="L1079" s="22"/>
      <c r="M1079" s="22">
        <f>M1080</f>
        <v>30000</v>
      </c>
      <c r="N1079" s="22">
        <f t="shared" si="457"/>
        <v>0</v>
      </c>
      <c r="O1079" s="22">
        <f t="shared" si="434"/>
        <v>30000</v>
      </c>
      <c r="P1079" s="22"/>
      <c r="Q1079" s="23">
        <f t="shared" si="447"/>
        <v>30000</v>
      </c>
      <c r="R1079" s="23">
        <f t="shared" si="451"/>
        <v>0</v>
      </c>
      <c r="S1079" s="23">
        <f t="shared" si="451"/>
        <v>30000</v>
      </c>
    </row>
    <row r="1080" spans="2:19" x14ac:dyDescent="0.2">
      <c r="B1080" s="7">
        <f t="shared" si="432"/>
        <v>572</v>
      </c>
      <c r="C1080" s="19"/>
      <c r="D1080" s="19"/>
      <c r="E1080" s="19"/>
      <c r="F1080" s="20"/>
      <c r="G1080" s="21"/>
      <c r="H1080" s="1" t="s">
        <v>554</v>
      </c>
      <c r="I1080" s="22"/>
      <c r="J1080" s="22"/>
      <c r="K1080" s="22">
        <f t="shared" si="433"/>
        <v>0</v>
      </c>
      <c r="L1080" s="22"/>
      <c r="M1080" s="26">
        <v>30000</v>
      </c>
      <c r="N1080" s="26"/>
      <c r="O1080" s="26">
        <f t="shared" si="434"/>
        <v>30000</v>
      </c>
      <c r="P1080" s="22"/>
      <c r="Q1080" s="23">
        <f t="shared" si="447"/>
        <v>30000</v>
      </c>
      <c r="R1080" s="23">
        <f t="shared" si="451"/>
        <v>0</v>
      </c>
      <c r="S1080" s="23">
        <f t="shared" si="451"/>
        <v>30000</v>
      </c>
    </row>
    <row r="1081" spans="2:19" x14ac:dyDescent="0.2">
      <c r="B1081" s="7">
        <f t="shared" si="432"/>
        <v>573</v>
      </c>
      <c r="C1081" s="119"/>
      <c r="D1081" s="119"/>
      <c r="E1081" s="119"/>
      <c r="F1081" s="120"/>
      <c r="G1081" s="120"/>
      <c r="H1081" s="119" t="s">
        <v>692</v>
      </c>
      <c r="I1081" s="121">
        <f>I1089+I1084+I1083+I1082</f>
        <v>28378</v>
      </c>
      <c r="J1081" s="121">
        <f t="shared" ref="J1081" si="458">J1089+J1084+J1083+J1082</f>
        <v>0</v>
      </c>
      <c r="K1081" s="121">
        <f t="shared" si="433"/>
        <v>28378</v>
      </c>
      <c r="L1081" s="22"/>
      <c r="M1081" s="379"/>
      <c r="N1081" s="379"/>
      <c r="O1081" s="379">
        <f t="shared" si="434"/>
        <v>0</v>
      </c>
      <c r="P1081" s="22"/>
      <c r="Q1081" s="123">
        <f t="shared" si="447"/>
        <v>28378</v>
      </c>
      <c r="R1081" s="123">
        <f t="shared" ref="R1081:S1096" si="459">N1081+J1081</f>
        <v>0</v>
      </c>
      <c r="S1081" s="123">
        <f t="shared" si="459"/>
        <v>28378</v>
      </c>
    </row>
    <row r="1082" spans="2:19" x14ac:dyDescent="0.2">
      <c r="B1082" s="7">
        <f t="shared" si="432"/>
        <v>574</v>
      </c>
      <c r="C1082" s="13"/>
      <c r="D1082" s="13"/>
      <c r="E1082" s="13"/>
      <c r="F1082" s="14" t="s">
        <v>157</v>
      </c>
      <c r="G1082" s="15">
        <v>610</v>
      </c>
      <c r="H1082" s="13" t="s">
        <v>511</v>
      </c>
      <c r="I1082" s="16">
        <v>15505</v>
      </c>
      <c r="J1082" s="16"/>
      <c r="K1082" s="16">
        <f t="shared" si="433"/>
        <v>15505</v>
      </c>
      <c r="L1082" s="22"/>
      <c r="M1082" s="26"/>
      <c r="N1082" s="26"/>
      <c r="O1082" s="26">
        <f t="shared" si="434"/>
        <v>0</v>
      </c>
      <c r="P1082" s="22"/>
      <c r="Q1082" s="18">
        <f t="shared" si="447"/>
        <v>15505</v>
      </c>
      <c r="R1082" s="18">
        <f t="shared" si="459"/>
        <v>0</v>
      </c>
      <c r="S1082" s="18">
        <f t="shared" si="459"/>
        <v>15505</v>
      </c>
    </row>
    <row r="1083" spans="2:19" x14ac:dyDescent="0.2">
      <c r="B1083" s="7">
        <f t="shared" si="432"/>
        <v>575</v>
      </c>
      <c r="C1083" s="13"/>
      <c r="D1083" s="13"/>
      <c r="E1083" s="13"/>
      <c r="F1083" s="14" t="s">
        <v>157</v>
      </c>
      <c r="G1083" s="15">
        <v>620</v>
      </c>
      <c r="H1083" s="13" t="s">
        <v>122</v>
      </c>
      <c r="I1083" s="16">
        <v>5573</v>
      </c>
      <c r="J1083" s="16"/>
      <c r="K1083" s="16">
        <f t="shared" si="433"/>
        <v>5573</v>
      </c>
      <c r="L1083" s="22"/>
      <c r="M1083" s="26"/>
      <c r="N1083" s="26"/>
      <c r="O1083" s="26">
        <f t="shared" si="434"/>
        <v>0</v>
      </c>
      <c r="P1083" s="22"/>
      <c r="Q1083" s="18">
        <f t="shared" si="447"/>
        <v>5573</v>
      </c>
      <c r="R1083" s="18">
        <f t="shared" si="459"/>
        <v>0</v>
      </c>
      <c r="S1083" s="18">
        <f t="shared" si="459"/>
        <v>5573</v>
      </c>
    </row>
    <row r="1084" spans="2:19" x14ac:dyDescent="0.2">
      <c r="B1084" s="7">
        <f t="shared" si="432"/>
        <v>576</v>
      </c>
      <c r="C1084" s="13"/>
      <c r="D1084" s="13"/>
      <c r="E1084" s="13"/>
      <c r="F1084" s="14" t="s">
        <v>157</v>
      </c>
      <c r="G1084" s="15">
        <v>630</v>
      </c>
      <c r="H1084" s="13" t="s">
        <v>119</v>
      </c>
      <c r="I1084" s="16">
        <f>SUM(I1085:I1088)</f>
        <v>6800</v>
      </c>
      <c r="J1084" s="16">
        <f t="shared" ref="J1084" si="460">SUM(J1085:J1088)</f>
        <v>0</v>
      </c>
      <c r="K1084" s="16">
        <f t="shared" si="433"/>
        <v>6800</v>
      </c>
      <c r="L1084" s="22"/>
      <c r="M1084" s="26"/>
      <c r="N1084" s="26"/>
      <c r="O1084" s="26">
        <f t="shared" si="434"/>
        <v>0</v>
      </c>
      <c r="P1084" s="22"/>
      <c r="Q1084" s="18">
        <f t="shared" si="447"/>
        <v>6800</v>
      </c>
      <c r="R1084" s="18">
        <f t="shared" si="459"/>
        <v>0</v>
      </c>
      <c r="S1084" s="18">
        <f t="shared" si="459"/>
        <v>6800</v>
      </c>
    </row>
    <row r="1085" spans="2:19" x14ac:dyDescent="0.2">
      <c r="B1085" s="7">
        <f t="shared" si="432"/>
        <v>577</v>
      </c>
      <c r="C1085" s="13"/>
      <c r="D1085" s="13"/>
      <c r="E1085" s="13"/>
      <c r="F1085" s="14"/>
      <c r="G1085" s="21">
        <v>632</v>
      </c>
      <c r="H1085" s="19" t="s">
        <v>131</v>
      </c>
      <c r="I1085" s="22">
        <v>2800</v>
      </c>
      <c r="J1085" s="22"/>
      <c r="K1085" s="22">
        <f t="shared" si="433"/>
        <v>2800</v>
      </c>
      <c r="L1085" s="22"/>
      <c r="M1085" s="26"/>
      <c r="N1085" s="26"/>
      <c r="O1085" s="26">
        <f t="shared" si="434"/>
        <v>0</v>
      </c>
      <c r="P1085" s="22"/>
      <c r="Q1085" s="23">
        <f t="shared" si="447"/>
        <v>2800</v>
      </c>
      <c r="R1085" s="23">
        <f t="shared" si="459"/>
        <v>0</v>
      </c>
      <c r="S1085" s="23">
        <f t="shared" si="459"/>
        <v>2800</v>
      </c>
    </row>
    <row r="1086" spans="2:19" x14ac:dyDescent="0.2">
      <c r="B1086" s="7">
        <f t="shared" ref="B1086:B1149" si="461">B1085+1</f>
        <v>578</v>
      </c>
      <c r="C1086" s="19"/>
      <c r="D1086" s="19"/>
      <c r="E1086" s="19"/>
      <c r="F1086" s="20"/>
      <c r="G1086" s="21">
        <v>633</v>
      </c>
      <c r="H1086" s="19" t="s">
        <v>123</v>
      </c>
      <c r="I1086" s="22">
        <v>3000</v>
      </c>
      <c r="J1086" s="22"/>
      <c r="K1086" s="22">
        <f t="shared" ref="K1086:K1149" si="462">I1086+J1086</f>
        <v>3000</v>
      </c>
      <c r="L1086" s="22"/>
      <c r="M1086" s="26"/>
      <c r="N1086" s="26"/>
      <c r="O1086" s="26">
        <f t="shared" ref="O1086:O1149" si="463">M1086+N1086</f>
        <v>0</v>
      </c>
      <c r="P1086" s="22"/>
      <c r="Q1086" s="23">
        <f t="shared" si="447"/>
        <v>3000</v>
      </c>
      <c r="R1086" s="23">
        <f t="shared" si="459"/>
        <v>0</v>
      </c>
      <c r="S1086" s="23">
        <f t="shared" si="459"/>
        <v>3000</v>
      </c>
    </row>
    <row r="1087" spans="2:19" x14ac:dyDescent="0.2">
      <c r="B1087" s="7">
        <f t="shared" si="461"/>
        <v>579</v>
      </c>
      <c r="C1087" s="19"/>
      <c r="D1087" s="19"/>
      <c r="E1087" s="19"/>
      <c r="F1087" s="20"/>
      <c r="G1087" s="21">
        <v>635</v>
      </c>
      <c r="H1087" s="19" t="s">
        <v>130</v>
      </c>
      <c r="I1087" s="22">
        <v>500</v>
      </c>
      <c r="J1087" s="22"/>
      <c r="K1087" s="22">
        <f t="shared" si="462"/>
        <v>500</v>
      </c>
      <c r="L1087" s="22"/>
      <c r="M1087" s="26"/>
      <c r="N1087" s="26"/>
      <c r="O1087" s="26">
        <f t="shared" si="463"/>
        <v>0</v>
      </c>
      <c r="P1087" s="22"/>
      <c r="Q1087" s="23">
        <f t="shared" si="447"/>
        <v>500</v>
      </c>
      <c r="R1087" s="23">
        <f t="shared" si="459"/>
        <v>0</v>
      </c>
      <c r="S1087" s="23">
        <f t="shared" si="459"/>
        <v>500</v>
      </c>
    </row>
    <row r="1088" spans="2:19" x14ac:dyDescent="0.2">
      <c r="B1088" s="7">
        <f t="shared" si="461"/>
        <v>580</v>
      </c>
      <c r="C1088" s="19"/>
      <c r="D1088" s="19"/>
      <c r="E1088" s="19"/>
      <c r="F1088" s="20"/>
      <c r="G1088" s="21">
        <v>637</v>
      </c>
      <c r="H1088" s="19" t="s">
        <v>120</v>
      </c>
      <c r="I1088" s="22">
        <v>500</v>
      </c>
      <c r="J1088" s="22"/>
      <c r="K1088" s="22">
        <f t="shared" si="462"/>
        <v>500</v>
      </c>
      <c r="L1088" s="22"/>
      <c r="M1088" s="26"/>
      <c r="N1088" s="26"/>
      <c r="O1088" s="26">
        <f t="shared" si="463"/>
        <v>0</v>
      </c>
      <c r="P1088" s="22"/>
      <c r="Q1088" s="23">
        <f t="shared" si="447"/>
        <v>500</v>
      </c>
      <c r="R1088" s="23">
        <f t="shared" si="459"/>
        <v>0</v>
      </c>
      <c r="S1088" s="23">
        <f t="shared" si="459"/>
        <v>500</v>
      </c>
    </row>
    <row r="1089" spans="2:19" x14ac:dyDescent="0.2">
      <c r="B1089" s="7">
        <f t="shared" si="461"/>
        <v>581</v>
      </c>
      <c r="C1089" s="13"/>
      <c r="D1089" s="13"/>
      <c r="E1089" s="13"/>
      <c r="F1089" s="14" t="s">
        <v>157</v>
      </c>
      <c r="G1089" s="15">
        <v>640</v>
      </c>
      <c r="H1089" s="13" t="s">
        <v>127</v>
      </c>
      <c r="I1089" s="16">
        <v>500</v>
      </c>
      <c r="J1089" s="16"/>
      <c r="K1089" s="16">
        <f t="shared" si="462"/>
        <v>500</v>
      </c>
      <c r="L1089" s="22"/>
      <c r="M1089" s="26"/>
      <c r="N1089" s="26"/>
      <c r="O1089" s="26">
        <f t="shared" si="463"/>
        <v>0</v>
      </c>
      <c r="P1089" s="22"/>
      <c r="Q1089" s="18">
        <f t="shared" si="447"/>
        <v>500</v>
      </c>
      <c r="R1089" s="18">
        <f t="shared" si="459"/>
        <v>0</v>
      </c>
      <c r="S1089" s="18">
        <f t="shared" si="459"/>
        <v>500</v>
      </c>
    </row>
    <row r="1090" spans="2:19" x14ac:dyDescent="0.2">
      <c r="B1090" s="7">
        <f t="shared" si="461"/>
        <v>582</v>
      </c>
      <c r="C1090" s="119"/>
      <c r="D1090" s="119"/>
      <c r="E1090" s="119" t="s">
        <v>90</v>
      </c>
      <c r="F1090" s="120"/>
      <c r="G1090" s="120"/>
      <c r="H1090" s="119" t="s">
        <v>66</v>
      </c>
      <c r="I1090" s="121">
        <f>I1098+I1093+I1092+I1091</f>
        <v>101795</v>
      </c>
      <c r="J1090" s="121">
        <f t="shared" ref="J1090" si="464">J1098+J1093+J1092+J1091</f>
        <v>0</v>
      </c>
      <c r="K1090" s="121">
        <f t="shared" si="462"/>
        <v>101795</v>
      </c>
      <c r="L1090" s="16"/>
      <c r="M1090" s="121"/>
      <c r="N1090" s="121"/>
      <c r="O1090" s="121">
        <f t="shared" si="463"/>
        <v>0</v>
      </c>
      <c r="P1090" s="16"/>
      <c r="Q1090" s="123">
        <f t="shared" si="447"/>
        <v>101795</v>
      </c>
      <c r="R1090" s="123">
        <f t="shared" si="459"/>
        <v>0</v>
      </c>
      <c r="S1090" s="123">
        <f t="shared" si="459"/>
        <v>101795</v>
      </c>
    </row>
    <row r="1091" spans="2:19" x14ac:dyDescent="0.2">
      <c r="B1091" s="7">
        <f t="shared" si="461"/>
        <v>583</v>
      </c>
      <c r="C1091" s="13"/>
      <c r="D1091" s="13"/>
      <c r="E1091" s="13"/>
      <c r="F1091" s="14" t="s">
        <v>157</v>
      </c>
      <c r="G1091" s="15">
        <v>610</v>
      </c>
      <c r="H1091" s="13" t="s">
        <v>511</v>
      </c>
      <c r="I1091" s="16">
        <v>33210</v>
      </c>
      <c r="J1091" s="16"/>
      <c r="K1091" s="16">
        <f t="shared" si="462"/>
        <v>33210</v>
      </c>
      <c r="L1091" s="16"/>
      <c r="M1091" s="16"/>
      <c r="N1091" s="16"/>
      <c r="O1091" s="16">
        <f t="shared" si="463"/>
        <v>0</v>
      </c>
      <c r="P1091" s="16"/>
      <c r="Q1091" s="18">
        <f t="shared" si="447"/>
        <v>33210</v>
      </c>
      <c r="R1091" s="18">
        <f t="shared" si="459"/>
        <v>0</v>
      </c>
      <c r="S1091" s="18">
        <f t="shared" si="459"/>
        <v>33210</v>
      </c>
    </row>
    <row r="1092" spans="2:19" x14ac:dyDescent="0.2">
      <c r="B1092" s="7">
        <f t="shared" si="461"/>
        <v>584</v>
      </c>
      <c r="C1092" s="13"/>
      <c r="D1092" s="13"/>
      <c r="E1092" s="13"/>
      <c r="F1092" s="14" t="s">
        <v>157</v>
      </c>
      <c r="G1092" s="15">
        <v>620</v>
      </c>
      <c r="H1092" s="13" t="s">
        <v>122</v>
      </c>
      <c r="I1092" s="16">
        <v>12639</v>
      </c>
      <c r="J1092" s="16"/>
      <c r="K1092" s="16">
        <f t="shared" si="462"/>
        <v>12639</v>
      </c>
      <c r="L1092" s="16"/>
      <c r="M1092" s="16"/>
      <c r="N1092" s="16"/>
      <c r="O1092" s="16">
        <f t="shared" si="463"/>
        <v>0</v>
      </c>
      <c r="P1092" s="16"/>
      <c r="Q1092" s="18">
        <f t="shared" si="447"/>
        <v>12639</v>
      </c>
      <c r="R1092" s="18">
        <f t="shared" si="459"/>
        <v>0</v>
      </c>
      <c r="S1092" s="18">
        <f t="shared" si="459"/>
        <v>12639</v>
      </c>
    </row>
    <row r="1093" spans="2:19" x14ac:dyDescent="0.2">
      <c r="B1093" s="7">
        <f t="shared" si="461"/>
        <v>585</v>
      </c>
      <c r="C1093" s="13"/>
      <c r="D1093" s="13"/>
      <c r="E1093" s="13"/>
      <c r="F1093" s="14" t="s">
        <v>157</v>
      </c>
      <c r="G1093" s="15">
        <v>630</v>
      </c>
      <c r="H1093" s="13" t="s">
        <v>119</v>
      </c>
      <c r="I1093" s="16">
        <f>SUM(I1094:I1097)</f>
        <v>55496</v>
      </c>
      <c r="J1093" s="16">
        <f t="shared" ref="J1093" si="465">SUM(J1094:J1097)</f>
        <v>0</v>
      </c>
      <c r="K1093" s="16">
        <f t="shared" si="462"/>
        <v>55496</v>
      </c>
      <c r="L1093" s="16"/>
      <c r="M1093" s="16"/>
      <c r="N1093" s="16"/>
      <c r="O1093" s="16">
        <f t="shared" si="463"/>
        <v>0</v>
      </c>
      <c r="P1093" s="16"/>
      <c r="Q1093" s="18">
        <f t="shared" si="447"/>
        <v>55496</v>
      </c>
      <c r="R1093" s="18">
        <f t="shared" si="459"/>
        <v>0</v>
      </c>
      <c r="S1093" s="18">
        <f t="shared" si="459"/>
        <v>55496</v>
      </c>
    </row>
    <row r="1094" spans="2:19" x14ac:dyDescent="0.2">
      <c r="B1094" s="7">
        <f t="shared" si="461"/>
        <v>586</v>
      </c>
      <c r="C1094" s="13"/>
      <c r="D1094" s="13"/>
      <c r="E1094" s="13"/>
      <c r="F1094" s="14"/>
      <c r="G1094" s="21">
        <v>632</v>
      </c>
      <c r="H1094" s="19" t="s">
        <v>131</v>
      </c>
      <c r="I1094" s="22">
        <v>9440</v>
      </c>
      <c r="J1094" s="22"/>
      <c r="K1094" s="22">
        <f t="shared" si="462"/>
        <v>9440</v>
      </c>
      <c r="L1094" s="22"/>
      <c r="M1094" s="16"/>
      <c r="N1094" s="16"/>
      <c r="O1094" s="16">
        <f t="shared" si="463"/>
        <v>0</v>
      </c>
      <c r="P1094" s="16"/>
      <c r="Q1094" s="18">
        <f t="shared" si="447"/>
        <v>9440</v>
      </c>
      <c r="R1094" s="18">
        <f t="shared" si="459"/>
        <v>0</v>
      </c>
      <c r="S1094" s="18">
        <f t="shared" si="459"/>
        <v>9440</v>
      </c>
    </row>
    <row r="1095" spans="2:19" x14ac:dyDescent="0.2">
      <c r="B1095" s="7">
        <f t="shared" si="461"/>
        <v>587</v>
      </c>
      <c r="C1095" s="19"/>
      <c r="D1095" s="19"/>
      <c r="E1095" s="19"/>
      <c r="F1095" s="20"/>
      <c r="G1095" s="21">
        <v>633</v>
      </c>
      <c r="H1095" s="19" t="s">
        <v>123</v>
      </c>
      <c r="I1095" s="22">
        <v>38328</v>
      </c>
      <c r="J1095" s="22"/>
      <c r="K1095" s="22">
        <f t="shared" si="462"/>
        <v>38328</v>
      </c>
      <c r="L1095" s="22"/>
      <c r="M1095" s="22"/>
      <c r="N1095" s="22"/>
      <c r="O1095" s="22">
        <f t="shared" si="463"/>
        <v>0</v>
      </c>
      <c r="P1095" s="22"/>
      <c r="Q1095" s="23">
        <f t="shared" si="447"/>
        <v>38328</v>
      </c>
      <c r="R1095" s="23">
        <f t="shared" si="459"/>
        <v>0</v>
      </c>
      <c r="S1095" s="23">
        <f t="shared" si="459"/>
        <v>38328</v>
      </c>
    </row>
    <row r="1096" spans="2:19" x14ac:dyDescent="0.2">
      <c r="B1096" s="7">
        <f t="shared" si="461"/>
        <v>588</v>
      </c>
      <c r="C1096" s="19"/>
      <c r="D1096" s="19"/>
      <c r="E1096" s="19"/>
      <c r="F1096" s="20"/>
      <c r="G1096" s="21">
        <v>635</v>
      </c>
      <c r="H1096" s="19" t="s">
        <v>130</v>
      </c>
      <c r="I1096" s="22">
        <v>4600</v>
      </c>
      <c r="J1096" s="22"/>
      <c r="K1096" s="22">
        <f t="shared" si="462"/>
        <v>4600</v>
      </c>
      <c r="L1096" s="22"/>
      <c r="M1096" s="22"/>
      <c r="N1096" s="22"/>
      <c r="O1096" s="22">
        <f t="shared" si="463"/>
        <v>0</v>
      </c>
      <c r="P1096" s="22"/>
      <c r="Q1096" s="23">
        <f t="shared" si="447"/>
        <v>4600</v>
      </c>
      <c r="R1096" s="23">
        <f t="shared" si="459"/>
        <v>0</v>
      </c>
      <c r="S1096" s="23">
        <f t="shared" si="459"/>
        <v>4600</v>
      </c>
    </row>
    <row r="1097" spans="2:19" x14ac:dyDescent="0.2">
      <c r="B1097" s="7">
        <f t="shared" si="461"/>
        <v>589</v>
      </c>
      <c r="C1097" s="19"/>
      <c r="D1097" s="19"/>
      <c r="E1097" s="19"/>
      <c r="F1097" s="20"/>
      <c r="G1097" s="21">
        <v>637</v>
      </c>
      <c r="H1097" s="19" t="s">
        <v>120</v>
      </c>
      <c r="I1097" s="22">
        <v>3128</v>
      </c>
      <c r="J1097" s="22"/>
      <c r="K1097" s="22">
        <f t="shared" si="462"/>
        <v>3128</v>
      </c>
      <c r="L1097" s="22"/>
      <c r="M1097" s="22"/>
      <c r="N1097" s="22"/>
      <c r="O1097" s="22">
        <f t="shared" si="463"/>
        <v>0</v>
      </c>
      <c r="P1097" s="22"/>
      <c r="Q1097" s="23">
        <f t="shared" si="447"/>
        <v>3128</v>
      </c>
      <c r="R1097" s="23">
        <f t="shared" ref="R1097:S1112" si="466">N1097+J1097</f>
        <v>0</v>
      </c>
      <c r="S1097" s="23">
        <f t="shared" si="466"/>
        <v>3128</v>
      </c>
    </row>
    <row r="1098" spans="2:19" x14ac:dyDescent="0.2">
      <c r="B1098" s="7">
        <f t="shared" si="461"/>
        <v>590</v>
      </c>
      <c r="C1098" s="13"/>
      <c r="D1098" s="13"/>
      <c r="E1098" s="13"/>
      <c r="F1098" s="14" t="s">
        <v>157</v>
      </c>
      <c r="G1098" s="15">
        <v>640</v>
      </c>
      <c r="H1098" s="13" t="s">
        <v>127</v>
      </c>
      <c r="I1098" s="16">
        <v>450</v>
      </c>
      <c r="J1098" s="16"/>
      <c r="K1098" s="16">
        <f t="shared" si="462"/>
        <v>450</v>
      </c>
      <c r="L1098" s="16"/>
      <c r="M1098" s="16"/>
      <c r="N1098" s="16"/>
      <c r="O1098" s="16">
        <f t="shared" si="463"/>
        <v>0</v>
      </c>
      <c r="P1098" s="16"/>
      <c r="Q1098" s="18">
        <f t="shared" si="447"/>
        <v>450</v>
      </c>
      <c r="R1098" s="18">
        <f t="shared" si="466"/>
        <v>0</v>
      </c>
      <c r="S1098" s="18">
        <f t="shared" si="466"/>
        <v>450</v>
      </c>
    </row>
    <row r="1099" spans="2:19" x14ac:dyDescent="0.2">
      <c r="B1099" s="7">
        <f t="shared" si="461"/>
        <v>591</v>
      </c>
      <c r="C1099" s="119"/>
      <c r="D1099" s="119"/>
      <c r="E1099" s="119" t="s">
        <v>89</v>
      </c>
      <c r="F1099" s="120"/>
      <c r="G1099" s="120"/>
      <c r="H1099" s="119" t="s">
        <v>223</v>
      </c>
      <c r="I1099" s="121">
        <f>I1107+I1102+I1101+I1100</f>
        <v>176102</v>
      </c>
      <c r="J1099" s="121">
        <f t="shared" ref="J1099" si="467">J1107+J1102+J1101+J1100</f>
        <v>0</v>
      </c>
      <c r="K1099" s="121">
        <f t="shared" si="462"/>
        <v>176102</v>
      </c>
      <c r="L1099" s="17"/>
      <c r="M1099" s="121"/>
      <c r="N1099" s="121"/>
      <c r="O1099" s="121">
        <f t="shared" si="463"/>
        <v>0</v>
      </c>
      <c r="P1099" s="16"/>
      <c r="Q1099" s="123">
        <f t="shared" si="447"/>
        <v>176102</v>
      </c>
      <c r="R1099" s="123">
        <f t="shared" si="466"/>
        <v>0</v>
      </c>
      <c r="S1099" s="123">
        <f t="shared" si="466"/>
        <v>176102</v>
      </c>
    </row>
    <row r="1100" spans="2:19" x14ac:dyDescent="0.2">
      <c r="B1100" s="7">
        <f t="shared" si="461"/>
        <v>592</v>
      </c>
      <c r="C1100" s="13"/>
      <c r="D1100" s="13"/>
      <c r="E1100" s="13"/>
      <c r="F1100" s="14" t="s">
        <v>157</v>
      </c>
      <c r="G1100" s="15">
        <v>610</v>
      </c>
      <c r="H1100" s="13" t="s">
        <v>511</v>
      </c>
      <c r="I1100" s="16">
        <v>50526</v>
      </c>
      <c r="J1100" s="16"/>
      <c r="K1100" s="16">
        <f t="shared" si="462"/>
        <v>50526</v>
      </c>
      <c r="L1100" s="16"/>
      <c r="M1100" s="16"/>
      <c r="N1100" s="16"/>
      <c r="O1100" s="16">
        <f t="shared" si="463"/>
        <v>0</v>
      </c>
      <c r="P1100" s="16"/>
      <c r="Q1100" s="18">
        <f t="shared" si="447"/>
        <v>50526</v>
      </c>
      <c r="R1100" s="18">
        <f t="shared" si="466"/>
        <v>0</v>
      </c>
      <c r="S1100" s="18">
        <f t="shared" si="466"/>
        <v>50526</v>
      </c>
    </row>
    <row r="1101" spans="2:19" x14ac:dyDescent="0.2">
      <c r="B1101" s="7">
        <f t="shared" si="461"/>
        <v>593</v>
      </c>
      <c r="C1101" s="13"/>
      <c r="D1101" s="13"/>
      <c r="E1101" s="13"/>
      <c r="F1101" s="14" t="s">
        <v>157</v>
      </c>
      <c r="G1101" s="15">
        <v>620</v>
      </c>
      <c r="H1101" s="13" t="s">
        <v>122</v>
      </c>
      <c r="I1101" s="16">
        <v>19896</v>
      </c>
      <c r="J1101" s="16"/>
      <c r="K1101" s="16">
        <f t="shared" si="462"/>
        <v>19896</v>
      </c>
      <c r="L1101" s="16"/>
      <c r="M1101" s="16"/>
      <c r="N1101" s="16"/>
      <c r="O1101" s="16">
        <f t="shared" si="463"/>
        <v>0</v>
      </c>
      <c r="P1101" s="16"/>
      <c r="Q1101" s="18">
        <f t="shared" si="447"/>
        <v>19896</v>
      </c>
      <c r="R1101" s="18">
        <f t="shared" si="466"/>
        <v>0</v>
      </c>
      <c r="S1101" s="18">
        <f t="shared" si="466"/>
        <v>19896</v>
      </c>
    </row>
    <row r="1102" spans="2:19" x14ac:dyDescent="0.2">
      <c r="B1102" s="7">
        <f t="shared" si="461"/>
        <v>594</v>
      </c>
      <c r="C1102" s="13"/>
      <c r="D1102" s="13"/>
      <c r="E1102" s="13"/>
      <c r="F1102" s="14" t="s">
        <v>157</v>
      </c>
      <c r="G1102" s="15">
        <v>630</v>
      </c>
      <c r="H1102" s="13" t="s">
        <v>119</v>
      </c>
      <c r="I1102" s="16">
        <f>SUM(I1103:I1106)</f>
        <v>103428</v>
      </c>
      <c r="J1102" s="16">
        <f t="shared" ref="J1102" si="468">SUM(J1103:J1106)</f>
        <v>0</v>
      </c>
      <c r="K1102" s="16">
        <f t="shared" si="462"/>
        <v>103428</v>
      </c>
      <c r="L1102" s="16"/>
      <c r="M1102" s="16"/>
      <c r="N1102" s="16"/>
      <c r="O1102" s="16">
        <f t="shared" si="463"/>
        <v>0</v>
      </c>
      <c r="P1102" s="16"/>
      <c r="Q1102" s="18">
        <f t="shared" si="447"/>
        <v>103428</v>
      </c>
      <c r="R1102" s="18">
        <f t="shared" si="466"/>
        <v>0</v>
      </c>
      <c r="S1102" s="18">
        <f t="shared" si="466"/>
        <v>103428</v>
      </c>
    </row>
    <row r="1103" spans="2:19" x14ac:dyDescent="0.2">
      <c r="B1103" s="7">
        <f t="shared" si="461"/>
        <v>595</v>
      </c>
      <c r="C1103" s="13"/>
      <c r="D1103" s="13"/>
      <c r="E1103" s="13"/>
      <c r="F1103" s="14"/>
      <c r="G1103" s="21">
        <v>632</v>
      </c>
      <c r="H1103" s="19" t="s">
        <v>131</v>
      </c>
      <c r="I1103" s="22">
        <v>14310</v>
      </c>
      <c r="J1103" s="22"/>
      <c r="K1103" s="22">
        <f t="shared" si="462"/>
        <v>14310</v>
      </c>
      <c r="L1103" s="22"/>
      <c r="M1103" s="16"/>
      <c r="N1103" s="16"/>
      <c r="O1103" s="16">
        <f t="shared" si="463"/>
        <v>0</v>
      </c>
      <c r="P1103" s="16"/>
      <c r="Q1103" s="18">
        <f t="shared" si="447"/>
        <v>14310</v>
      </c>
      <c r="R1103" s="18">
        <f t="shared" si="466"/>
        <v>0</v>
      </c>
      <c r="S1103" s="18">
        <f t="shared" si="466"/>
        <v>14310</v>
      </c>
    </row>
    <row r="1104" spans="2:19" x14ac:dyDescent="0.2">
      <c r="B1104" s="7">
        <f t="shared" si="461"/>
        <v>596</v>
      </c>
      <c r="C1104" s="19"/>
      <c r="D1104" s="19"/>
      <c r="E1104" s="19"/>
      <c r="F1104" s="20"/>
      <c r="G1104" s="21">
        <v>633</v>
      </c>
      <c r="H1104" s="19" t="s">
        <v>123</v>
      </c>
      <c r="I1104" s="22">
        <f>80084-2600</f>
        <v>77484</v>
      </c>
      <c r="J1104" s="22"/>
      <c r="K1104" s="22">
        <f t="shared" si="462"/>
        <v>77484</v>
      </c>
      <c r="L1104" s="22"/>
      <c r="M1104" s="22"/>
      <c r="N1104" s="22"/>
      <c r="O1104" s="22">
        <f t="shared" si="463"/>
        <v>0</v>
      </c>
      <c r="P1104" s="22"/>
      <c r="Q1104" s="23">
        <f t="shared" si="447"/>
        <v>77484</v>
      </c>
      <c r="R1104" s="23">
        <f t="shared" si="466"/>
        <v>0</v>
      </c>
      <c r="S1104" s="23">
        <f t="shared" si="466"/>
        <v>77484</v>
      </c>
    </row>
    <row r="1105" spans="2:19" x14ac:dyDescent="0.2">
      <c r="B1105" s="7">
        <f t="shared" si="461"/>
        <v>597</v>
      </c>
      <c r="C1105" s="19"/>
      <c r="D1105" s="19"/>
      <c r="E1105" s="19"/>
      <c r="F1105" s="20"/>
      <c r="G1105" s="21">
        <v>635</v>
      </c>
      <c r="H1105" s="19" t="s">
        <v>130</v>
      </c>
      <c r="I1105" s="22">
        <f>5500+2600</f>
        <v>8100</v>
      </c>
      <c r="J1105" s="22"/>
      <c r="K1105" s="22">
        <f t="shared" si="462"/>
        <v>8100</v>
      </c>
      <c r="L1105" s="22"/>
      <c r="M1105" s="22"/>
      <c r="N1105" s="22"/>
      <c r="O1105" s="22">
        <f t="shared" si="463"/>
        <v>0</v>
      </c>
      <c r="P1105" s="22"/>
      <c r="Q1105" s="23">
        <f t="shared" si="447"/>
        <v>8100</v>
      </c>
      <c r="R1105" s="23">
        <f t="shared" si="466"/>
        <v>0</v>
      </c>
      <c r="S1105" s="23">
        <f t="shared" si="466"/>
        <v>8100</v>
      </c>
    </row>
    <row r="1106" spans="2:19" x14ac:dyDescent="0.2">
      <c r="B1106" s="7">
        <f t="shared" si="461"/>
        <v>598</v>
      </c>
      <c r="C1106" s="19"/>
      <c r="D1106" s="19"/>
      <c r="E1106" s="19"/>
      <c r="F1106" s="20"/>
      <c r="G1106" s="21">
        <v>637</v>
      </c>
      <c r="H1106" s="19" t="s">
        <v>120</v>
      </c>
      <c r="I1106" s="22">
        <v>3534</v>
      </c>
      <c r="J1106" s="22"/>
      <c r="K1106" s="22">
        <f t="shared" si="462"/>
        <v>3534</v>
      </c>
      <c r="L1106" s="22"/>
      <c r="M1106" s="22"/>
      <c r="N1106" s="22"/>
      <c r="O1106" s="22">
        <f t="shared" si="463"/>
        <v>0</v>
      </c>
      <c r="P1106" s="22"/>
      <c r="Q1106" s="23">
        <f t="shared" si="447"/>
        <v>3534</v>
      </c>
      <c r="R1106" s="23">
        <f t="shared" si="466"/>
        <v>0</v>
      </c>
      <c r="S1106" s="23">
        <f t="shared" si="466"/>
        <v>3534</v>
      </c>
    </row>
    <row r="1107" spans="2:19" x14ac:dyDescent="0.2">
      <c r="B1107" s="7">
        <f t="shared" si="461"/>
        <v>599</v>
      </c>
      <c r="C1107" s="13"/>
      <c r="D1107" s="13"/>
      <c r="E1107" s="13"/>
      <c r="F1107" s="14" t="s">
        <v>157</v>
      </c>
      <c r="G1107" s="15">
        <v>640</v>
      </c>
      <c r="H1107" s="13" t="s">
        <v>127</v>
      </c>
      <c r="I1107" s="16">
        <v>2252</v>
      </c>
      <c r="J1107" s="16"/>
      <c r="K1107" s="16">
        <f t="shared" si="462"/>
        <v>2252</v>
      </c>
      <c r="L1107" s="16"/>
      <c r="M1107" s="16"/>
      <c r="N1107" s="16"/>
      <c r="O1107" s="16">
        <f t="shared" si="463"/>
        <v>0</v>
      </c>
      <c r="P1107" s="16"/>
      <c r="Q1107" s="18">
        <f t="shared" si="447"/>
        <v>2252</v>
      </c>
      <c r="R1107" s="18">
        <f t="shared" si="466"/>
        <v>0</v>
      </c>
      <c r="S1107" s="18">
        <f t="shared" si="466"/>
        <v>2252</v>
      </c>
    </row>
    <row r="1108" spans="2:19" x14ac:dyDescent="0.2">
      <c r="B1108" s="7">
        <f t="shared" si="461"/>
        <v>600</v>
      </c>
      <c r="C1108" s="119"/>
      <c r="D1108" s="119"/>
      <c r="E1108" s="119" t="s">
        <v>85</v>
      </c>
      <c r="F1108" s="120"/>
      <c r="G1108" s="120"/>
      <c r="H1108" s="119" t="s">
        <v>65</v>
      </c>
      <c r="I1108" s="121">
        <f>I1116+I1111+I1110+I1109</f>
        <v>106012</v>
      </c>
      <c r="J1108" s="121">
        <f t="shared" ref="J1108" si="469">J1116+J1111+J1110+J1109</f>
        <v>0</v>
      </c>
      <c r="K1108" s="121">
        <f t="shared" si="462"/>
        <v>106012</v>
      </c>
      <c r="L1108" s="16"/>
      <c r="M1108" s="121"/>
      <c r="N1108" s="121"/>
      <c r="O1108" s="121">
        <f t="shared" si="463"/>
        <v>0</v>
      </c>
      <c r="P1108" s="16"/>
      <c r="Q1108" s="123">
        <f t="shared" si="447"/>
        <v>106012</v>
      </c>
      <c r="R1108" s="123">
        <f t="shared" si="466"/>
        <v>0</v>
      </c>
      <c r="S1108" s="123">
        <f t="shared" si="466"/>
        <v>106012</v>
      </c>
    </row>
    <row r="1109" spans="2:19" x14ac:dyDescent="0.2">
      <c r="B1109" s="7">
        <f t="shared" si="461"/>
        <v>601</v>
      </c>
      <c r="C1109" s="13"/>
      <c r="D1109" s="13"/>
      <c r="E1109" s="13"/>
      <c r="F1109" s="14" t="s">
        <v>157</v>
      </c>
      <c r="G1109" s="15">
        <v>610</v>
      </c>
      <c r="H1109" s="13" t="s">
        <v>511</v>
      </c>
      <c r="I1109" s="16">
        <v>33210</v>
      </c>
      <c r="J1109" s="16"/>
      <c r="K1109" s="16">
        <f t="shared" si="462"/>
        <v>33210</v>
      </c>
      <c r="L1109" s="16"/>
      <c r="M1109" s="16"/>
      <c r="N1109" s="16"/>
      <c r="O1109" s="16">
        <f t="shared" si="463"/>
        <v>0</v>
      </c>
      <c r="P1109" s="16"/>
      <c r="Q1109" s="18">
        <f t="shared" si="447"/>
        <v>33210</v>
      </c>
      <c r="R1109" s="18">
        <f t="shared" si="466"/>
        <v>0</v>
      </c>
      <c r="S1109" s="18">
        <f t="shared" si="466"/>
        <v>33210</v>
      </c>
    </row>
    <row r="1110" spans="2:19" x14ac:dyDescent="0.2">
      <c r="B1110" s="7">
        <f t="shared" si="461"/>
        <v>602</v>
      </c>
      <c r="C1110" s="13"/>
      <c r="D1110" s="13"/>
      <c r="E1110" s="13"/>
      <c r="F1110" s="14" t="s">
        <v>157</v>
      </c>
      <c r="G1110" s="15">
        <v>620</v>
      </c>
      <c r="H1110" s="13" t="s">
        <v>122</v>
      </c>
      <c r="I1110" s="16">
        <v>12639</v>
      </c>
      <c r="J1110" s="16"/>
      <c r="K1110" s="16">
        <f t="shared" si="462"/>
        <v>12639</v>
      </c>
      <c r="L1110" s="16"/>
      <c r="M1110" s="16"/>
      <c r="N1110" s="16"/>
      <c r="O1110" s="16">
        <f t="shared" si="463"/>
        <v>0</v>
      </c>
      <c r="P1110" s="16"/>
      <c r="Q1110" s="18">
        <f t="shared" si="447"/>
        <v>12639</v>
      </c>
      <c r="R1110" s="18">
        <f t="shared" si="466"/>
        <v>0</v>
      </c>
      <c r="S1110" s="18">
        <f t="shared" si="466"/>
        <v>12639</v>
      </c>
    </row>
    <row r="1111" spans="2:19" x14ac:dyDescent="0.2">
      <c r="B1111" s="7">
        <f t="shared" si="461"/>
        <v>603</v>
      </c>
      <c r="C1111" s="13"/>
      <c r="D1111" s="13"/>
      <c r="E1111" s="13"/>
      <c r="F1111" s="14" t="s">
        <v>157</v>
      </c>
      <c r="G1111" s="15">
        <v>630</v>
      </c>
      <c r="H1111" s="13" t="s">
        <v>119</v>
      </c>
      <c r="I1111" s="16">
        <f>SUM(I1112:I1115)</f>
        <v>59713</v>
      </c>
      <c r="J1111" s="16">
        <f t="shared" ref="J1111" si="470">SUM(J1112:J1115)</f>
        <v>0</v>
      </c>
      <c r="K1111" s="16">
        <f t="shared" si="462"/>
        <v>59713</v>
      </c>
      <c r="L1111" s="16"/>
      <c r="M1111" s="16"/>
      <c r="N1111" s="16"/>
      <c r="O1111" s="16">
        <f t="shared" si="463"/>
        <v>0</v>
      </c>
      <c r="P1111" s="16"/>
      <c r="Q1111" s="18">
        <f t="shared" si="447"/>
        <v>59713</v>
      </c>
      <c r="R1111" s="18">
        <f t="shared" si="466"/>
        <v>0</v>
      </c>
      <c r="S1111" s="18">
        <f t="shared" si="466"/>
        <v>59713</v>
      </c>
    </row>
    <row r="1112" spans="2:19" x14ac:dyDescent="0.2">
      <c r="B1112" s="7">
        <f t="shared" si="461"/>
        <v>604</v>
      </c>
      <c r="C1112" s="13"/>
      <c r="D1112" s="13"/>
      <c r="E1112" s="13"/>
      <c r="F1112" s="14"/>
      <c r="G1112" s="21">
        <v>632</v>
      </c>
      <c r="H1112" s="19" t="s">
        <v>131</v>
      </c>
      <c r="I1112" s="22">
        <v>9420</v>
      </c>
      <c r="J1112" s="22"/>
      <c r="K1112" s="22">
        <f t="shared" si="462"/>
        <v>9420</v>
      </c>
      <c r="L1112" s="22"/>
      <c r="M1112" s="16"/>
      <c r="N1112" s="16"/>
      <c r="O1112" s="16">
        <f t="shared" si="463"/>
        <v>0</v>
      </c>
      <c r="P1112" s="16"/>
      <c r="Q1112" s="18">
        <f t="shared" si="447"/>
        <v>9420</v>
      </c>
      <c r="R1112" s="18">
        <f t="shared" si="466"/>
        <v>0</v>
      </c>
      <c r="S1112" s="18">
        <f t="shared" si="466"/>
        <v>9420</v>
      </c>
    </row>
    <row r="1113" spans="2:19" x14ac:dyDescent="0.2">
      <c r="B1113" s="7">
        <f t="shared" si="461"/>
        <v>605</v>
      </c>
      <c r="C1113" s="19"/>
      <c r="D1113" s="19"/>
      <c r="E1113" s="19"/>
      <c r="F1113" s="20"/>
      <c r="G1113" s="21">
        <v>633</v>
      </c>
      <c r="H1113" s="19" t="s">
        <v>123</v>
      </c>
      <c r="I1113" s="22">
        <v>43855</v>
      </c>
      <c r="J1113" s="22"/>
      <c r="K1113" s="22">
        <f t="shared" si="462"/>
        <v>43855</v>
      </c>
      <c r="L1113" s="22"/>
      <c r="M1113" s="22"/>
      <c r="N1113" s="22"/>
      <c r="O1113" s="22">
        <f t="shared" si="463"/>
        <v>0</v>
      </c>
      <c r="P1113" s="22"/>
      <c r="Q1113" s="23">
        <f t="shared" ref="Q1113:Q1176" si="471">M1113+I1113</f>
        <v>43855</v>
      </c>
      <c r="R1113" s="23">
        <f t="shared" ref="R1113:S1128" si="472">N1113+J1113</f>
        <v>0</v>
      </c>
      <c r="S1113" s="23">
        <f t="shared" si="472"/>
        <v>43855</v>
      </c>
    </row>
    <row r="1114" spans="2:19" x14ac:dyDescent="0.2">
      <c r="B1114" s="7">
        <f t="shared" si="461"/>
        <v>606</v>
      </c>
      <c r="C1114" s="19"/>
      <c r="D1114" s="19"/>
      <c r="E1114" s="19"/>
      <c r="F1114" s="20"/>
      <c r="G1114" s="21">
        <v>635</v>
      </c>
      <c r="H1114" s="19" t="s">
        <v>130</v>
      </c>
      <c r="I1114" s="22">
        <v>4000</v>
      </c>
      <c r="J1114" s="22"/>
      <c r="K1114" s="22">
        <f t="shared" si="462"/>
        <v>4000</v>
      </c>
      <c r="L1114" s="22"/>
      <c r="M1114" s="22"/>
      <c r="N1114" s="22"/>
      <c r="O1114" s="22">
        <f t="shared" si="463"/>
        <v>0</v>
      </c>
      <c r="P1114" s="22"/>
      <c r="Q1114" s="23">
        <f t="shared" si="471"/>
        <v>4000</v>
      </c>
      <c r="R1114" s="23">
        <f t="shared" si="472"/>
        <v>0</v>
      </c>
      <c r="S1114" s="23">
        <f t="shared" si="472"/>
        <v>4000</v>
      </c>
    </row>
    <row r="1115" spans="2:19" x14ac:dyDescent="0.2">
      <c r="B1115" s="7">
        <f t="shared" si="461"/>
        <v>607</v>
      </c>
      <c r="C1115" s="19"/>
      <c r="D1115" s="19"/>
      <c r="E1115" s="19"/>
      <c r="F1115" s="20"/>
      <c r="G1115" s="21">
        <v>637</v>
      </c>
      <c r="H1115" s="19" t="s">
        <v>120</v>
      </c>
      <c r="I1115" s="22">
        <v>2438</v>
      </c>
      <c r="J1115" s="22"/>
      <c r="K1115" s="22">
        <f t="shared" si="462"/>
        <v>2438</v>
      </c>
      <c r="L1115" s="22"/>
      <c r="M1115" s="22"/>
      <c r="N1115" s="22"/>
      <c r="O1115" s="22">
        <f t="shared" si="463"/>
        <v>0</v>
      </c>
      <c r="P1115" s="22"/>
      <c r="Q1115" s="23">
        <f t="shared" si="471"/>
        <v>2438</v>
      </c>
      <c r="R1115" s="23">
        <f t="shared" si="472"/>
        <v>0</v>
      </c>
      <c r="S1115" s="23">
        <f t="shared" si="472"/>
        <v>2438</v>
      </c>
    </row>
    <row r="1116" spans="2:19" x14ac:dyDescent="0.2">
      <c r="B1116" s="7">
        <f t="shared" si="461"/>
        <v>608</v>
      </c>
      <c r="C1116" s="13"/>
      <c r="D1116" s="13"/>
      <c r="E1116" s="13"/>
      <c r="F1116" s="14" t="s">
        <v>157</v>
      </c>
      <c r="G1116" s="15">
        <v>640</v>
      </c>
      <c r="H1116" s="13" t="s">
        <v>127</v>
      </c>
      <c r="I1116" s="16">
        <v>450</v>
      </c>
      <c r="J1116" s="16"/>
      <c r="K1116" s="16">
        <f t="shared" si="462"/>
        <v>450</v>
      </c>
      <c r="L1116" s="16"/>
      <c r="M1116" s="16"/>
      <c r="N1116" s="16"/>
      <c r="O1116" s="16">
        <f t="shared" si="463"/>
        <v>0</v>
      </c>
      <c r="P1116" s="16"/>
      <c r="Q1116" s="18">
        <f t="shared" si="471"/>
        <v>450</v>
      </c>
      <c r="R1116" s="18">
        <f t="shared" si="472"/>
        <v>0</v>
      </c>
      <c r="S1116" s="18">
        <f t="shared" si="472"/>
        <v>450</v>
      </c>
    </row>
    <row r="1117" spans="2:19" x14ac:dyDescent="0.2">
      <c r="B1117" s="7">
        <f t="shared" si="461"/>
        <v>609</v>
      </c>
      <c r="C1117" s="119"/>
      <c r="D1117" s="119"/>
      <c r="E1117" s="119" t="s">
        <v>93</v>
      </c>
      <c r="F1117" s="120"/>
      <c r="G1117" s="120"/>
      <c r="H1117" s="119" t="s">
        <v>485</v>
      </c>
      <c r="I1117" s="121">
        <f>I1125+I1120+I1119+I1118</f>
        <v>124650</v>
      </c>
      <c r="J1117" s="121">
        <f t="shared" ref="J1117" si="473">J1125+J1120+J1119+J1118</f>
        <v>0</v>
      </c>
      <c r="K1117" s="121">
        <f t="shared" si="462"/>
        <v>124650</v>
      </c>
      <c r="L1117" s="16"/>
      <c r="M1117" s="121"/>
      <c r="N1117" s="121"/>
      <c r="O1117" s="121">
        <f t="shared" si="463"/>
        <v>0</v>
      </c>
      <c r="P1117" s="16"/>
      <c r="Q1117" s="123">
        <f t="shared" si="471"/>
        <v>124650</v>
      </c>
      <c r="R1117" s="123">
        <f t="shared" si="472"/>
        <v>0</v>
      </c>
      <c r="S1117" s="123">
        <f t="shared" si="472"/>
        <v>124650</v>
      </c>
    </row>
    <row r="1118" spans="2:19" x14ac:dyDescent="0.2">
      <c r="B1118" s="7">
        <f t="shared" si="461"/>
        <v>610</v>
      </c>
      <c r="C1118" s="13"/>
      <c r="D1118" s="13"/>
      <c r="E1118" s="13"/>
      <c r="F1118" s="14" t="s">
        <v>157</v>
      </c>
      <c r="G1118" s="15">
        <v>610</v>
      </c>
      <c r="H1118" s="13" t="s">
        <v>511</v>
      </c>
      <c r="I1118" s="16">
        <v>35043</v>
      </c>
      <c r="J1118" s="16"/>
      <c r="K1118" s="16">
        <f t="shared" si="462"/>
        <v>35043</v>
      </c>
      <c r="L1118" s="16"/>
      <c r="M1118" s="16"/>
      <c r="N1118" s="16"/>
      <c r="O1118" s="16">
        <f t="shared" si="463"/>
        <v>0</v>
      </c>
      <c r="P1118" s="16"/>
      <c r="Q1118" s="18">
        <f t="shared" si="471"/>
        <v>35043</v>
      </c>
      <c r="R1118" s="18">
        <f t="shared" si="472"/>
        <v>0</v>
      </c>
      <c r="S1118" s="18">
        <f t="shared" si="472"/>
        <v>35043</v>
      </c>
    </row>
    <row r="1119" spans="2:19" x14ac:dyDescent="0.2">
      <c r="B1119" s="7">
        <f t="shared" si="461"/>
        <v>611</v>
      </c>
      <c r="C1119" s="13"/>
      <c r="D1119" s="13"/>
      <c r="E1119" s="13"/>
      <c r="F1119" s="14" t="s">
        <v>157</v>
      </c>
      <c r="G1119" s="15">
        <v>620</v>
      </c>
      <c r="H1119" s="13" t="s">
        <v>122</v>
      </c>
      <c r="I1119" s="16">
        <v>13336</v>
      </c>
      <c r="J1119" s="16"/>
      <c r="K1119" s="16">
        <f t="shared" si="462"/>
        <v>13336</v>
      </c>
      <c r="L1119" s="16"/>
      <c r="M1119" s="16"/>
      <c r="N1119" s="16"/>
      <c r="O1119" s="16">
        <f t="shared" si="463"/>
        <v>0</v>
      </c>
      <c r="P1119" s="16"/>
      <c r="Q1119" s="18">
        <f t="shared" si="471"/>
        <v>13336</v>
      </c>
      <c r="R1119" s="18">
        <f t="shared" si="472"/>
        <v>0</v>
      </c>
      <c r="S1119" s="18">
        <f t="shared" si="472"/>
        <v>13336</v>
      </c>
    </row>
    <row r="1120" spans="2:19" x14ac:dyDescent="0.2">
      <c r="B1120" s="7">
        <f t="shared" si="461"/>
        <v>612</v>
      </c>
      <c r="C1120" s="13"/>
      <c r="D1120" s="13"/>
      <c r="E1120" s="13"/>
      <c r="F1120" s="14" t="s">
        <v>157</v>
      </c>
      <c r="G1120" s="15">
        <v>630</v>
      </c>
      <c r="H1120" s="13" t="s">
        <v>119</v>
      </c>
      <c r="I1120" s="16">
        <f>SUM(I1121:I1124)</f>
        <v>75821</v>
      </c>
      <c r="J1120" s="16">
        <f t="shared" ref="J1120" si="474">SUM(J1121:J1124)</f>
        <v>0</v>
      </c>
      <c r="K1120" s="16">
        <f t="shared" si="462"/>
        <v>75821</v>
      </c>
      <c r="L1120" s="16"/>
      <c r="M1120" s="16"/>
      <c r="N1120" s="16"/>
      <c r="O1120" s="16">
        <f t="shared" si="463"/>
        <v>0</v>
      </c>
      <c r="P1120" s="16"/>
      <c r="Q1120" s="18">
        <f t="shared" si="471"/>
        <v>75821</v>
      </c>
      <c r="R1120" s="18">
        <f t="shared" si="472"/>
        <v>0</v>
      </c>
      <c r="S1120" s="18">
        <f t="shared" si="472"/>
        <v>75821</v>
      </c>
    </row>
    <row r="1121" spans="2:19" x14ac:dyDescent="0.2">
      <c r="B1121" s="7">
        <f t="shared" si="461"/>
        <v>613</v>
      </c>
      <c r="C1121" s="13"/>
      <c r="D1121" s="13"/>
      <c r="E1121" s="13"/>
      <c r="F1121" s="14"/>
      <c r="G1121" s="21">
        <v>632</v>
      </c>
      <c r="H1121" s="19" t="s">
        <v>131</v>
      </c>
      <c r="I1121" s="22">
        <v>13120</v>
      </c>
      <c r="J1121" s="22"/>
      <c r="K1121" s="22">
        <f t="shared" si="462"/>
        <v>13120</v>
      </c>
      <c r="L1121" s="22"/>
      <c r="M1121" s="16"/>
      <c r="N1121" s="16"/>
      <c r="O1121" s="16">
        <f t="shared" si="463"/>
        <v>0</v>
      </c>
      <c r="P1121" s="16"/>
      <c r="Q1121" s="18">
        <f t="shared" si="471"/>
        <v>13120</v>
      </c>
      <c r="R1121" s="18">
        <f t="shared" si="472"/>
        <v>0</v>
      </c>
      <c r="S1121" s="18">
        <f t="shared" si="472"/>
        <v>13120</v>
      </c>
    </row>
    <row r="1122" spans="2:19" x14ac:dyDescent="0.2">
      <c r="B1122" s="7">
        <f t="shared" si="461"/>
        <v>614</v>
      </c>
      <c r="C1122" s="19"/>
      <c r="D1122" s="19"/>
      <c r="E1122" s="19"/>
      <c r="F1122" s="20"/>
      <c r="G1122" s="21">
        <v>633</v>
      </c>
      <c r="H1122" s="19" t="s">
        <v>123</v>
      </c>
      <c r="I1122" s="22">
        <v>54416</v>
      </c>
      <c r="J1122" s="22"/>
      <c r="K1122" s="22">
        <f t="shared" si="462"/>
        <v>54416</v>
      </c>
      <c r="L1122" s="22"/>
      <c r="M1122" s="22"/>
      <c r="N1122" s="22"/>
      <c r="O1122" s="22">
        <f t="shared" si="463"/>
        <v>0</v>
      </c>
      <c r="P1122" s="22"/>
      <c r="Q1122" s="23">
        <f t="shared" si="471"/>
        <v>54416</v>
      </c>
      <c r="R1122" s="23">
        <f t="shared" si="472"/>
        <v>0</v>
      </c>
      <c r="S1122" s="23">
        <f t="shared" si="472"/>
        <v>54416</v>
      </c>
    </row>
    <row r="1123" spans="2:19" x14ac:dyDescent="0.2">
      <c r="B1123" s="7">
        <f t="shared" si="461"/>
        <v>615</v>
      </c>
      <c r="C1123" s="19"/>
      <c r="D1123" s="19"/>
      <c r="E1123" s="19"/>
      <c r="F1123" s="20"/>
      <c r="G1123" s="21">
        <v>635</v>
      </c>
      <c r="H1123" s="19" t="s">
        <v>130</v>
      </c>
      <c r="I1123" s="22">
        <v>5300</v>
      </c>
      <c r="J1123" s="22"/>
      <c r="K1123" s="22">
        <f t="shared" si="462"/>
        <v>5300</v>
      </c>
      <c r="L1123" s="22"/>
      <c r="M1123" s="22"/>
      <c r="N1123" s="22"/>
      <c r="O1123" s="22">
        <f t="shared" si="463"/>
        <v>0</v>
      </c>
      <c r="P1123" s="22"/>
      <c r="Q1123" s="23">
        <f t="shared" si="471"/>
        <v>5300</v>
      </c>
      <c r="R1123" s="23">
        <f t="shared" si="472"/>
        <v>0</v>
      </c>
      <c r="S1123" s="23">
        <f t="shared" si="472"/>
        <v>5300</v>
      </c>
    </row>
    <row r="1124" spans="2:19" x14ac:dyDescent="0.2">
      <c r="B1124" s="7">
        <f t="shared" si="461"/>
        <v>616</v>
      </c>
      <c r="C1124" s="19"/>
      <c r="D1124" s="19"/>
      <c r="E1124" s="19"/>
      <c r="F1124" s="20"/>
      <c r="G1124" s="21">
        <v>637</v>
      </c>
      <c r="H1124" s="19" t="s">
        <v>120</v>
      </c>
      <c r="I1124" s="22">
        <v>2985</v>
      </c>
      <c r="J1124" s="22"/>
      <c r="K1124" s="22">
        <f t="shared" si="462"/>
        <v>2985</v>
      </c>
      <c r="L1124" s="22"/>
      <c r="M1124" s="22"/>
      <c r="N1124" s="22"/>
      <c r="O1124" s="22">
        <f t="shared" si="463"/>
        <v>0</v>
      </c>
      <c r="P1124" s="22"/>
      <c r="Q1124" s="23">
        <f t="shared" si="471"/>
        <v>2985</v>
      </c>
      <c r="R1124" s="23">
        <f t="shared" si="472"/>
        <v>0</v>
      </c>
      <c r="S1124" s="23">
        <f t="shared" si="472"/>
        <v>2985</v>
      </c>
    </row>
    <row r="1125" spans="2:19" x14ac:dyDescent="0.2">
      <c r="B1125" s="7">
        <f t="shared" si="461"/>
        <v>617</v>
      </c>
      <c r="C1125" s="13"/>
      <c r="D1125" s="13"/>
      <c r="E1125" s="13"/>
      <c r="F1125" s="14" t="s">
        <v>157</v>
      </c>
      <c r="G1125" s="15">
        <v>640</v>
      </c>
      <c r="H1125" s="13" t="s">
        <v>127</v>
      </c>
      <c r="I1125" s="16">
        <v>450</v>
      </c>
      <c r="J1125" s="16"/>
      <c r="K1125" s="16">
        <f t="shared" si="462"/>
        <v>450</v>
      </c>
      <c r="L1125" s="16"/>
      <c r="M1125" s="16"/>
      <c r="N1125" s="16"/>
      <c r="O1125" s="16">
        <f t="shared" si="463"/>
        <v>0</v>
      </c>
      <c r="P1125" s="16"/>
      <c r="Q1125" s="18">
        <f t="shared" si="471"/>
        <v>450</v>
      </c>
      <c r="R1125" s="18">
        <f t="shared" si="472"/>
        <v>0</v>
      </c>
      <c r="S1125" s="18">
        <f t="shared" si="472"/>
        <v>450</v>
      </c>
    </row>
    <row r="1126" spans="2:19" x14ac:dyDescent="0.2">
      <c r="B1126" s="7">
        <f t="shared" si="461"/>
        <v>618</v>
      </c>
      <c r="C1126" s="119"/>
      <c r="D1126" s="119"/>
      <c r="E1126" s="119" t="s">
        <v>95</v>
      </c>
      <c r="F1126" s="120"/>
      <c r="G1126" s="120"/>
      <c r="H1126" s="119" t="s">
        <v>96</v>
      </c>
      <c r="I1126" s="121">
        <f>I1134+I1129+I1128+I1127</f>
        <v>116273</v>
      </c>
      <c r="J1126" s="121">
        <f t="shared" ref="J1126" si="475">J1134+J1129+J1128+J1127</f>
        <v>0</v>
      </c>
      <c r="K1126" s="121">
        <f t="shared" si="462"/>
        <v>116273</v>
      </c>
      <c r="L1126" s="16"/>
      <c r="M1126" s="121"/>
      <c r="N1126" s="121"/>
      <c r="O1126" s="121">
        <f t="shared" si="463"/>
        <v>0</v>
      </c>
      <c r="P1126" s="16"/>
      <c r="Q1126" s="123">
        <f t="shared" si="471"/>
        <v>116273</v>
      </c>
      <c r="R1126" s="123">
        <f t="shared" si="472"/>
        <v>0</v>
      </c>
      <c r="S1126" s="123">
        <f t="shared" si="472"/>
        <v>116273</v>
      </c>
    </row>
    <row r="1127" spans="2:19" x14ac:dyDescent="0.2">
      <c r="B1127" s="7">
        <f t="shared" si="461"/>
        <v>619</v>
      </c>
      <c r="C1127" s="13"/>
      <c r="D1127" s="13"/>
      <c r="E1127" s="13"/>
      <c r="F1127" s="14" t="s">
        <v>157</v>
      </c>
      <c r="G1127" s="15">
        <v>610</v>
      </c>
      <c r="H1127" s="13" t="s">
        <v>511</v>
      </c>
      <c r="I1127" s="16">
        <v>36876</v>
      </c>
      <c r="J1127" s="16"/>
      <c r="K1127" s="16">
        <f t="shared" si="462"/>
        <v>36876</v>
      </c>
      <c r="L1127" s="16"/>
      <c r="M1127" s="16"/>
      <c r="N1127" s="16"/>
      <c r="O1127" s="16">
        <f t="shared" si="463"/>
        <v>0</v>
      </c>
      <c r="P1127" s="16"/>
      <c r="Q1127" s="18">
        <f t="shared" si="471"/>
        <v>36876</v>
      </c>
      <c r="R1127" s="18">
        <f t="shared" si="472"/>
        <v>0</v>
      </c>
      <c r="S1127" s="18">
        <f t="shared" si="472"/>
        <v>36876</v>
      </c>
    </row>
    <row r="1128" spans="2:19" x14ac:dyDescent="0.2">
      <c r="B1128" s="7">
        <f t="shared" si="461"/>
        <v>620</v>
      </c>
      <c r="C1128" s="13"/>
      <c r="D1128" s="13"/>
      <c r="E1128" s="13"/>
      <c r="F1128" s="14" t="s">
        <v>157</v>
      </c>
      <c r="G1128" s="15">
        <v>620</v>
      </c>
      <c r="H1128" s="13" t="s">
        <v>122</v>
      </c>
      <c r="I1128" s="16">
        <v>14033</v>
      </c>
      <c r="J1128" s="16"/>
      <c r="K1128" s="16">
        <f t="shared" si="462"/>
        <v>14033</v>
      </c>
      <c r="L1128" s="16"/>
      <c r="M1128" s="16"/>
      <c r="N1128" s="16"/>
      <c r="O1128" s="16">
        <f t="shared" si="463"/>
        <v>0</v>
      </c>
      <c r="P1128" s="16"/>
      <c r="Q1128" s="18">
        <f t="shared" si="471"/>
        <v>14033</v>
      </c>
      <c r="R1128" s="18">
        <f t="shared" si="472"/>
        <v>0</v>
      </c>
      <c r="S1128" s="18">
        <f t="shared" si="472"/>
        <v>14033</v>
      </c>
    </row>
    <row r="1129" spans="2:19" x14ac:dyDescent="0.2">
      <c r="B1129" s="7">
        <f t="shared" si="461"/>
        <v>621</v>
      </c>
      <c r="C1129" s="13"/>
      <c r="D1129" s="13"/>
      <c r="E1129" s="13"/>
      <c r="F1129" s="14" t="s">
        <v>157</v>
      </c>
      <c r="G1129" s="15">
        <v>630</v>
      </c>
      <c r="H1129" s="13" t="s">
        <v>119</v>
      </c>
      <c r="I1129" s="16">
        <f>SUM(I1130:I1133)</f>
        <v>64914</v>
      </c>
      <c r="J1129" s="16">
        <f t="shared" ref="J1129" si="476">SUM(J1130:J1133)</f>
        <v>0</v>
      </c>
      <c r="K1129" s="16">
        <f t="shared" si="462"/>
        <v>64914</v>
      </c>
      <c r="L1129" s="16"/>
      <c r="M1129" s="16"/>
      <c r="N1129" s="16"/>
      <c r="O1129" s="16">
        <f t="shared" si="463"/>
        <v>0</v>
      </c>
      <c r="P1129" s="16"/>
      <c r="Q1129" s="18">
        <f t="shared" si="471"/>
        <v>64914</v>
      </c>
      <c r="R1129" s="18">
        <f t="shared" ref="R1129:S1144" si="477">N1129+J1129</f>
        <v>0</v>
      </c>
      <c r="S1129" s="18">
        <f t="shared" si="477"/>
        <v>64914</v>
      </c>
    </row>
    <row r="1130" spans="2:19" x14ac:dyDescent="0.2">
      <c r="B1130" s="7">
        <f t="shared" si="461"/>
        <v>622</v>
      </c>
      <c r="C1130" s="13"/>
      <c r="D1130" s="13"/>
      <c r="E1130" s="13"/>
      <c r="F1130" s="14"/>
      <c r="G1130" s="21">
        <v>632</v>
      </c>
      <c r="H1130" s="19" t="s">
        <v>131</v>
      </c>
      <c r="I1130" s="22">
        <v>12110</v>
      </c>
      <c r="J1130" s="22"/>
      <c r="K1130" s="22">
        <f t="shared" si="462"/>
        <v>12110</v>
      </c>
      <c r="L1130" s="22"/>
      <c r="M1130" s="16"/>
      <c r="N1130" s="16"/>
      <c r="O1130" s="16">
        <f t="shared" si="463"/>
        <v>0</v>
      </c>
      <c r="P1130" s="16"/>
      <c r="Q1130" s="18">
        <f t="shared" si="471"/>
        <v>12110</v>
      </c>
      <c r="R1130" s="18">
        <f t="shared" si="477"/>
        <v>0</v>
      </c>
      <c r="S1130" s="18">
        <f t="shared" si="477"/>
        <v>12110</v>
      </c>
    </row>
    <row r="1131" spans="2:19" x14ac:dyDescent="0.2">
      <c r="B1131" s="7">
        <f t="shared" si="461"/>
        <v>623</v>
      </c>
      <c r="C1131" s="19"/>
      <c r="D1131" s="19"/>
      <c r="E1131" s="19"/>
      <c r="F1131" s="20"/>
      <c r="G1131" s="21">
        <v>633</v>
      </c>
      <c r="H1131" s="19" t="s">
        <v>123</v>
      </c>
      <c r="I1131" s="22">
        <v>47971</v>
      </c>
      <c r="J1131" s="22"/>
      <c r="K1131" s="22">
        <f t="shared" si="462"/>
        <v>47971</v>
      </c>
      <c r="L1131" s="22"/>
      <c r="M1131" s="22"/>
      <c r="N1131" s="22"/>
      <c r="O1131" s="22">
        <f t="shared" si="463"/>
        <v>0</v>
      </c>
      <c r="P1131" s="22"/>
      <c r="Q1131" s="23">
        <f t="shared" si="471"/>
        <v>47971</v>
      </c>
      <c r="R1131" s="23">
        <f t="shared" si="477"/>
        <v>0</v>
      </c>
      <c r="S1131" s="23">
        <f t="shared" si="477"/>
        <v>47971</v>
      </c>
    </row>
    <row r="1132" spans="2:19" x14ac:dyDescent="0.2">
      <c r="B1132" s="7">
        <f t="shared" si="461"/>
        <v>624</v>
      </c>
      <c r="C1132" s="19"/>
      <c r="D1132" s="19"/>
      <c r="E1132" s="19"/>
      <c r="F1132" s="20"/>
      <c r="G1132" s="21">
        <v>635</v>
      </c>
      <c r="H1132" s="19" t="s">
        <v>130</v>
      </c>
      <c r="I1132" s="22">
        <v>2000</v>
      </c>
      <c r="J1132" s="22"/>
      <c r="K1132" s="22">
        <f t="shared" si="462"/>
        <v>2000</v>
      </c>
      <c r="L1132" s="22"/>
      <c r="M1132" s="22"/>
      <c r="N1132" s="22"/>
      <c r="O1132" s="22">
        <f t="shared" si="463"/>
        <v>0</v>
      </c>
      <c r="P1132" s="22"/>
      <c r="Q1132" s="23">
        <f t="shared" si="471"/>
        <v>2000</v>
      </c>
      <c r="R1132" s="23">
        <f t="shared" si="477"/>
        <v>0</v>
      </c>
      <c r="S1132" s="23">
        <f t="shared" si="477"/>
        <v>2000</v>
      </c>
    </row>
    <row r="1133" spans="2:19" x14ac:dyDescent="0.2">
      <c r="B1133" s="7">
        <f t="shared" si="461"/>
        <v>625</v>
      </c>
      <c r="C1133" s="19"/>
      <c r="D1133" s="19"/>
      <c r="E1133" s="19"/>
      <c r="F1133" s="20"/>
      <c r="G1133" s="21">
        <v>637</v>
      </c>
      <c r="H1133" s="19" t="s">
        <v>120</v>
      </c>
      <c r="I1133" s="22">
        <v>2833</v>
      </c>
      <c r="J1133" s="22"/>
      <c r="K1133" s="22">
        <f t="shared" si="462"/>
        <v>2833</v>
      </c>
      <c r="L1133" s="22"/>
      <c r="M1133" s="22"/>
      <c r="N1133" s="22"/>
      <c r="O1133" s="22">
        <f t="shared" si="463"/>
        <v>0</v>
      </c>
      <c r="P1133" s="22"/>
      <c r="Q1133" s="23">
        <f t="shared" si="471"/>
        <v>2833</v>
      </c>
      <c r="R1133" s="23">
        <f t="shared" si="477"/>
        <v>0</v>
      </c>
      <c r="S1133" s="23">
        <f t="shared" si="477"/>
        <v>2833</v>
      </c>
    </row>
    <row r="1134" spans="2:19" x14ac:dyDescent="0.2">
      <c r="B1134" s="7">
        <f t="shared" si="461"/>
        <v>626</v>
      </c>
      <c r="C1134" s="13"/>
      <c r="D1134" s="13"/>
      <c r="E1134" s="13"/>
      <c r="F1134" s="14" t="s">
        <v>157</v>
      </c>
      <c r="G1134" s="15">
        <v>640</v>
      </c>
      <c r="H1134" s="13" t="s">
        <v>127</v>
      </c>
      <c r="I1134" s="16">
        <v>450</v>
      </c>
      <c r="J1134" s="16"/>
      <c r="K1134" s="16">
        <f t="shared" si="462"/>
        <v>450</v>
      </c>
      <c r="L1134" s="16"/>
      <c r="M1134" s="16"/>
      <c r="N1134" s="16"/>
      <c r="O1134" s="16">
        <f t="shared" si="463"/>
        <v>0</v>
      </c>
      <c r="P1134" s="16"/>
      <c r="Q1134" s="18">
        <f t="shared" si="471"/>
        <v>450</v>
      </c>
      <c r="R1134" s="18">
        <f t="shared" si="477"/>
        <v>0</v>
      </c>
      <c r="S1134" s="18">
        <f t="shared" si="477"/>
        <v>450</v>
      </c>
    </row>
    <row r="1135" spans="2:19" x14ac:dyDescent="0.2">
      <c r="B1135" s="7">
        <f t="shared" si="461"/>
        <v>627</v>
      </c>
      <c r="C1135" s="119"/>
      <c r="D1135" s="119"/>
      <c r="E1135" s="119" t="s">
        <v>83</v>
      </c>
      <c r="F1135" s="120"/>
      <c r="G1135" s="120"/>
      <c r="H1135" s="119" t="s">
        <v>84</v>
      </c>
      <c r="I1135" s="121">
        <f>I1143+I1138+I1137+I1136</f>
        <v>177621</v>
      </c>
      <c r="J1135" s="121">
        <f t="shared" ref="J1135" si="478">J1143+J1138+J1137+J1136</f>
        <v>0</v>
      </c>
      <c r="K1135" s="121">
        <f t="shared" si="462"/>
        <v>177621</v>
      </c>
      <c r="L1135" s="16"/>
      <c r="M1135" s="121"/>
      <c r="N1135" s="121"/>
      <c r="O1135" s="121">
        <f t="shared" si="463"/>
        <v>0</v>
      </c>
      <c r="P1135" s="16"/>
      <c r="Q1135" s="123">
        <f t="shared" si="471"/>
        <v>177621</v>
      </c>
      <c r="R1135" s="123">
        <f t="shared" si="477"/>
        <v>0</v>
      </c>
      <c r="S1135" s="123">
        <f t="shared" si="477"/>
        <v>177621</v>
      </c>
    </row>
    <row r="1136" spans="2:19" x14ac:dyDescent="0.2">
      <c r="B1136" s="7">
        <f t="shared" si="461"/>
        <v>628</v>
      </c>
      <c r="C1136" s="13"/>
      <c r="D1136" s="13"/>
      <c r="E1136" s="13"/>
      <c r="F1136" s="14" t="s">
        <v>157</v>
      </c>
      <c r="G1136" s="15">
        <v>610</v>
      </c>
      <c r="H1136" s="13" t="s">
        <v>511</v>
      </c>
      <c r="I1136" s="16">
        <v>57208</v>
      </c>
      <c r="J1136" s="16"/>
      <c r="K1136" s="16">
        <f t="shared" si="462"/>
        <v>57208</v>
      </c>
      <c r="L1136" s="16"/>
      <c r="M1136" s="16"/>
      <c r="N1136" s="16"/>
      <c r="O1136" s="16">
        <f t="shared" si="463"/>
        <v>0</v>
      </c>
      <c r="P1136" s="16"/>
      <c r="Q1136" s="18">
        <f t="shared" si="471"/>
        <v>57208</v>
      </c>
      <c r="R1136" s="18">
        <f t="shared" si="477"/>
        <v>0</v>
      </c>
      <c r="S1136" s="18">
        <f t="shared" si="477"/>
        <v>57208</v>
      </c>
    </row>
    <row r="1137" spans="2:19" x14ac:dyDescent="0.2">
      <c r="B1137" s="7">
        <f t="shared" si="461"/>
        <v>629</v>
      </c>
      <c r="C1137" s="13"/>
      <c r="D1137" s="13"/>
      <c r="E1137" s="13"/>
      <c r="F1137" s="14" t="s">
        <v>157</v>
      </c>
      <c r="G1137" s="15">
        <v>620</v>
      </c>
      <c r="H1137" s="13" t="s">
        <v>122</v>
      </c>
      <c r="I1137" s="16">
        <v>21847</v>
      </c>
      <c r="J1137" s="16"/>
      <c r="K1137" s="16">
        <f t="shared" si="462"/>
        <v>21847</v>
      </c>
      <c r="L1137" s="16"/>
      <c r="M1137" s="16"/>
      <c r="N1137" s="16"/>
      <c r="O1137" s="16">
        <f t="shared" si="463"/>
        <v>0</v>
      </c>
      <c r="P1137" s="16"/>
      <c r="Q1137" s="18">
        <f t="shared" si="471"/>
        <v>21847</v>
      </c>
      <c r="R1137" s="18">
        <f t="shared" si="477"/>
        <v>0</v>
      </c>
      <c r="S1137" s="18">
        <f t="shared" si="477"/>
        <v>21847</v>
      </c>
    </row>
    <row r="1138" spans="2:19" x14ac:dyDescent="0.2">
      <c r="B1138" s="7">
        <f t="shared" si="461"/>
        <v>630</v>
      </c>
      <c r="C1138" s="13"/>
      <c r="D1138" s="13"/>
      <c r="E1138" s="13"/>
      <c r="F1138" s="14" t="s">
        <v>157</v>
      </c>
      <c r="G1138" s="15">
        <v>630</v>
      </c>
      <c r="H1138" s="13" t="s">
        <v>119</v>
      </c>
      <c r="I1138" s="16">
        <f>SUM(I1139:I1142)</f>
        <v>98116</v>
      </c>
      <c r="J1138" s="16">
        <f t="shared" ref="J1138" si="479">SUM(J1139:J1142)</f>
        <v>0</v>
      </c>
      <c r="K1138" s="16">
        <f t="shared" si="462"/>
        <v>98116</v>
      </c>
      <c r="L1138" s="16"/>
      <c r="M1138" s="16"/>
      <c r="N1138" s="16"/>
      <c r="O1138" s="16">
        <f t="shared" si="463"/>
        <v>0</v>
      </c>
      <c r="P1138" s="16"/>
      <c r="Q1138" s="18">
        <f t="shared" si="471"/>
        <v>98116</v>
      </c>
      <c r="R1138" s="18">
        <f t="shared" si="477"/>
        <v>0</v>
      </c>
      <c r="S1138" s="18">
        <f t="shared" si="477"/>
        <v>98116</v>
      </c>
    </row>
    <row r="1139" spans="2:19" x14ac:dyDescent="0.2">
      <c r="B1139" s="7">
        <f t="shared" si="461"/>
        <v>631</v>
      </c>
      <c r="C1139" s="13"/>
      <c r="D1139" s="13"/>
      <c r="E1139" s="13"/>
      <c r="F1139" s="14"/>
      <c r="G1139" s="21">
        <v>632</v>
      </c>
      <c r="H1139" s="19" t="s">
        <v>131</v>
      </c>
      <c r="I1139" s="22">
        <v>15590</v>
      </c>
      <c r="J1139" s="22"/>
      <c r="K1139" s="22">
        <f t="shared" si="462"/>
        <v>15590</v>
      </c>
      <c r="L1139" s="22"/>
      <c r="M1139" s="16"/>
      <c r="N1139" s="16"/>
      <c r="O1139" s="16">
        <f t="shared" si="463"/>
        <v>0</v>
      </c>
      <c r="P1139" s="16"/>
      <c r="Q1139" s="18">
        <f t="shared" si="471"/>
        <v>15590</v>
      </c>
      <c r="R1139" s="18">
        <f t="shared" si="477"/>
        <v>0</v>
      </c>
      <c r="S1139" s="18">
        <f t="shared" si="477"/>
        <v>15590</v>
      </c>
    </row>
    <row r="1140" spans="2:19" x14ac:dyDescent="0.2">
      <c r="B1140" s="7">
        <f t="shared" si="461"/>
        <v>632</v>
      </c>
      <c r="C1140" s="19"/>
      <c r="D1140" s="19"/>
      <c r="E1140" s="19"/>
      <c r="F1140" s="20"/>
      <c r="G1140" s="21">
        <v>633</v>
      </c>
      <c r="H1140" s="19" t="s">
        <v>123</v>
      </c>
      <c r="I1140" s="22">
        <v>74889</v>
      </c>
      <c r="J1140" s="22"/>
      <c r="K1140" s="22">
        <f t="shared" si="462"/>
        <v>74889</v>
      </c>
      <c r="L1140" s="22"/>
      <c r="M1140" s="22"/>
      <c r="N1140" s="22"/>
      <c r="O1140" s="22">
        <f t="shared" si="463"/>
        <v>0</v>
      </c>
      <c r="P1140" s="22"/>
      <c r="Q1140" s="23">
        <f t="shared" si="471"/>
        <v>74889</v>
      </c>
      <c r="R1140" s="23">
        <f t="shared" si="477"/>
        <v>0</v>
      </c>
      <c r="S1140" s="23">
        <f t="shared" si="477"/>
        <v>74889</v>
      </c>
    </row>
    <row r="1141" spans="2:19" s="34" customFormat="1" x14ac:dyDescent="0.2">
      <c r="B1141" s="7">
        <f t="shared" si="461"/>
        <v>633</v>
      </c>
      <c r="C1141" s="19"/>
      <c r="D1141" s="19"/>
      <c r="E1141" s="19"/>
      <c r="F1141" s="20"/>
      <c r="G1141" s="21">
        <v>635</v>
      </c>
      <c r="H1141" s="19" t="s">
        <v>130</v>
      </c>
      <c r="I1141" s="22">
        <v>3500</v>
      </c>
      <c r="J1141" s="22"/>
      <c r="K1141" s="22">
        <f t="shared" si="462"/>
        <v>3500</v>
      </c>
      <c r="L1141" s="22"/>
      <c r="M1141" s="22"/>
      <c r="N1141" s="22"/>
      <c r="O1141" s="22">
        <f t="shared" si="463"/>
        <v>0</v>
      </c>
      <c r="P1141" s="22"/>
      <c r="Q1141" s="23">
        <f t="shared" si="471"/>
        <v>3500</v>
      </c>
      <c r="R1141" s="23">
        <f t="shared" si="477"/>
        <v>0</v>
      </c>
      <c r="S1141" s="23">
        <f t="shared" si="477"/>
        <v>3500</v>
      </c>
    </row>
    <row r="1142" spans="2:19" x14ac:dyDescent="0.2">
      <c r="B1142" s="7">
        <f t="shared" si="461"/>
        <v>634</v>
      </c>
      <c r="C1142" s="19"/>
      <c r="D1142" s="19"/>
      <c r="E1142" s="19"/>
      <c r="F1142" s="20"/>
      <c r="G1142" s="21">
        <v>637</v>
      </c>
      <c r="H1142" s="19" t="s">
        <v>120</v>
      </c>
      <c r="I1142" s="22">
        <v>4137</v>
      </c>
      <c r="J1142" s="22"/>
      <c r="K1142" s="22">
        <f t="shared" si="462"/>
        <v>4137</v>
      </c>
      <c r="L1142" s="22"/>
      <c r="M1142" s="22"/>
      <c r="N1142" s="22"/>
      <c r="O1142" s="22">
        <f t="shared" si="463"/>
        <v>0</v>
      </c>
      <c r="P1142" s="22"/>
      <c r="Q1142" s="23">
        <f t="shared" si="471"/>
        <v>4137</v>
      </c>
      <c r="R1142" s="23">
        <f t="shared" si="477"/>
        <v>0</v>
      </c>
      <c r="S1142" s="23">
        <f t="shared" si="477"/>
        <v>4137</v>
      </c>
    </row>
    <row r="1143" spans="2:19" s="34" customFormat="1" x14ac:dyDescent="0.2">
      <c r="B1143" s="7">
        <f t="shared" si="461"/>
        <v>635</v>
      </c>
      <c r="C1143" s="13"/>
      <c r="D1143" s="13"/>
      <c r="E1143" s="13"/>
      <c r="F1143" s="14" t="s">
        <v>157</v>
      </c>
      <c r="G1143" s="15">
        <v>640</v>
      </c>
      <c r="H1143" s="13" t="s">
        <v>127</v>
      </c>
      <c r="I1143" s="16">
        <v>450</v>
      </c>
      <c r="J1143" s="16"/>
      <c r="K1143" s="16">
        <f t="shared" si="462"/>
        <v>450</v>
      </c>
      <c r="L1143" s="16"/>
      <c r="M1143" s="16"/>
      <c r="N1143" s="16"/>
      <c r="O1143" s="16">
        <f t="shared" si="463"/>
        <v>0</v>
      </c>
      <c r="P1143" s="16"/>
      <c r="Q1143" s="18">
        <f t="shared" si="471"/>
        <v>450</v>
      </c>
      <c r="R1143" s="18">
        <f t="shared" si="477"/>
        <v>0</v>
      </c>
      <c r="S1143" s="18">
        <f t="shared" si="477"/>
        <v>450</v>
      </c>
    </row>
    <row r="1144" spans="2:19" x14ac:dyDescent="0.2">
      <c r="B1144" s="7">
        <f t="shared" si="461"/>
        <v>636</v>
      </c>
      <c r="C1144" s="119"/>
      <c r="D1144" s="119"/>
      <c r="E1144" s="119" t="s">
        <v>81</v>
      </c>
      <c r="F1144" s="120"/>
      <c r="G1144" s="120"/>
      <c r="H1144" s="119" t="s">
        <v>426</v>
      </c>
      <c r="I1144" s="121">
        <f>I1152+I1147+I1146+I1145</f>
        <v>190964</v>
      </c>
      <c r="J1144" s="121">
        <f t="shared" ref="J1144" si="480">J1152+J1147+J1146+J1145</f>
        <v>0</v>
      </c>
      <c r="K1144" s="121">
        <f t="shared" si="462"/>
        <v>190964</v>
      </c>
      <c r="L1144" s="16"/>
      <c r="M1144" s="121"/>
      <c r="N1144" s="121"/>
      <c r="O1144" s="121">
        <f t="shared" si="463"/>
        <v>0</v>
      </c>
      <c r="P1144" s="16"/>
      <c r="Q1144" s="123">
        <f t="shared" si="471"/>
        <v>190964</v>
      </c>
      <c r="R1144" s="123">
        <f t="shared" si="477"/>
        <v>0</v>
      </c>
      <c r="S1144" s="123">
        <f t="shared" si="477"/>
        <v>190964</v>
      </c>
    </row>
    <row r="1145" spans="2:19" x14ac:dyDescent="0.2">
      <c r="B1145" s="7">
        <f t="shared" si="461"/>
        <v>637</v>
      </c>
      <c r="C1145" s="13"/>
      <c r="D1145" s="13"/>
      <c r="E1145" s="13"/>
      <c r="F1145" s="14" t="s">
        <v>157</v>
      </c>
      <c r="G1145" s="15">
        <v>610</v>
      </c>
      <c r="H1145" s="13" t="s">
        <v>511</v>
      </c>
      <c r="I1145" s="16">
        <v>60873</v>
      </c>
      <c r="J1145" s="16"/>
      <c r="K1145" s="16">
        <f t="shared" si="462"/>
        <v>60873</v>
      </c>
      <c r="L1145" s="16"/>
      <c r="M1145" s="16"/>
      <c r="N1145" s="16"/>
      <c r="O1145" s="16">
        <f t="shared" si="463"/>
        <v>0</v>
      </c>
      <c r="P1145" s="16"/>
      <c r="Q1145" s="18">
        <f t="shared" si="471"/>
        <v>60873</v>
      </c>
      <c r="R1145" s="18">
        <f t="shared" ref="R1145:S1160" si="481">N1145+J1145</f>
        <v>0</v>
      </c>
      <c r="S1145" s="18">
        <f t="shared" si="481"/>
        <v>60873</v>
      </c>
    </row>
    <row r="1146" spans="2:19" x14ac:dyDescent="0.2">
      <c r="B1146" s="7">
        <f t="shared" si="461"/>
        <v>638</v>
      </c>
      <c r="C1146" s="13"/>
      <c r="D1146" s="13"/>
      <c r="E1146" s="13"/>
      <c r="F1146" s="14" t="s">
        <v>157</v>
      </c>
      <c r="G1146" s="15">
        <v>620</v>
      </c>
      <c r="H1146" s="13" t="s">
        <v>122</v>
      </c>
      <c r="I1146" s="16">
        <v>23139</v>
      </c>
      <c r="J1146" s="16"/>
      <c r="K1146" s="16">
        <f t="shared" si="462"/>
        <v>23139</v>
      </c>
      <c r="L1146" s="16"/>
      <c r="M1146" s="16"/>
      <c r="N1146" s="16"/>
      <c r="O1146" s="16">
        <f t="shared" si="463"/>
        <v>0</v>
      </c>
      <c r="P1146" s="16"/>
      <c r="Q1146" s="18">
        <f t="shared" si="471"/>
        <v>23139</v>
      </c>
      <c r="R1146" s="18">
        <f t="shared" si="481"/>
        <v>0</v>
      </c>
      <c r="S1146" s="18">
        <f t="shared" si="481"/>
        <v>23139</v>
      </c>
    </row>
    <row r="1147" spans="2:19" x14ac:dyDescent="0.2">
      <c r="B1147" s="7">
        <f t="shared" si="461"/>
        <v>639</v>
      </c>
      <c r="C1147" s="13"/>
      <c r="D1147" s="13"/>
      <c r="E1147" s="13"/>
      <c r="F1147" s="14" t="s">
        <v>157</v>
      </c>
      <c r="G1147" s="15">
        <v>630</v>
      </c>
      <c r="H1147" s="13" t="s">
        <v>119</v>
      </c>
      <c r="I1147" s="16">
        <f>SUM(I1148:I1151)</f>
        <v>106502</v>
      </c>
      <c r="J1147" s="16">
        <f t="shared" ref="J1147" si="482">SUM(J1148:J1151)</f>
        <v>0</v>
      </c>
      <c r="K1147" s="16">
        <f t="shared" si="462"/>
        <v>106502</v>
      </c>
      <c r="L1147" s="16"/>
      <c r="M1147" s="16"/>
      <c r="N1147" s="16"/>
      <c r="O1147" s="16">
        <f t="shared" si="463"/>
        <v>0</v>
      </c>
      <c r="P1147" s="16"/>
      <c r="Q1147" s="18">
        <f t="shared" si="471"/>
        <v>106502</v>
      </c>
      <c r="R1147" s="18">
        <f t="shared" si="481"/>
        <v>0</v>
      </c>
      <c r="S1147" s="18">
        <f t="shared" si="481"/>
        <v>106502</v>
      </c>
    </row>
    <row r="1148" spans="2:19" x14ac:dyDescent="0.2">
      <c r="B1148" s="7">
        <f t="shared" si="461"/>
        <v>640</v>
      </c>
      <c r="C1148" s="13"/>
      <c r="D1148" s="13"/>
      <c r="E1148" s="13"/>
      <c r="F1148" s="14"/>
      <c r="G1148" s="21">
        <v>632</v>
      </c>
      <c r="H1148" s="19" t="s">
        <v>131</v>
      </c>
      <c r="I1148" s="22">
        <v>20440</v>
      </c>
      <c r="J1148" s="22"/>
      <c r="K1148" s="22">
        <f t="shared" si="462"/>
        <v>20440</v>
      </c>
      <c r="L1148" s="22"/>
      <c r="M1148" s="16"/>
      <c r="N1148" s="16"/>
      <c r="O1148" s="16">
        <f t="shared" si="463"/>
        <v>0</v>
      </c>
      <c r="P1148" s="16"/>
      <c r="Q1148" s="18">
        <f t="shared" si="471"/>
        <v>20440</v>
      </c>
      <c r="R1148" s="18">
        <f t="shared" si="481"/>
        <v>0</v>
      </c>
      <c r="S1148" s="18">
        <f t="shared" si="481"/>
        <v>20440</v>
      </c>
    </row>
    <row r="1149" spans="2:19" x14ac:dyDescent="0.2">
      <c r="B1149" s="7">
        <f t="shared" si="461"/>
        <v>641</v>
      </c>
      <c r="C1149" s="19"/>
      <c r="D1149" s="19"/>
      <c r="E1149" s="19"/>
      <c r="F1149" s="20"/>
      <c r="G1149" s="21">
        <v>633</v>
      </c>
      <c r="H1149" s="19" t="s">
        <v>123</v>
      </c>
      <c r="I1149" s="22">
        <v>79140</v>
      </c>
      <c r="J1149" s="22"/>
      <c r="K1149" s="22">
        <f t="shared" si="462"/>
        <v>79140</v>
      </c>
      <c r="L1149" s="22"/>
      <c r="M1149" s="22"/>
      <c r="N1149" s="22"/>
      <c r="O1149" s="22">
        <f t="shared" si="463"/>
        <v>0</v>
      </c>
      <c r="P1149" s="22"/>
      <c r="Q1149" s="23">
        <f t="shared" si="471"/>
        <v>79140</v>
      </c>
      <c r="R1149" s="23">
        <f t="shared" si="481"/>
        <v>0</v>
      </c>
      <c r="S1149" s="23">
        <f t="shared" si="481"/>
        <v>79140</v>
      </c>
    </row>
    <row r="1150" spans="2:19" x14ac:dyDescent="0.2">
      <c r="B1150" s="7">
        <f t="shared" ref="B1150:B1213" si="483">B1149+1</f>
        <v>642</v>
      </c>
      <c r="C1150" s="19"/>
      <c r="D1150" s="19"/>
      <c r="E1150" s="19"/>
      <c r="F1150" s="20"/>
      <c r="G1150" s="21">
        <v>635</v>
      </c>
      <c r="H1150" s="19" t="s">
        <v>130</v>
      </c>
      <c r="I1150" s="22">
        <v>2000</v>
      </c>
      <c r="J1150" s="22"/>
      <c r="K1150" s="22">
        <f t="shared" ref="K1150:K1213" si="484">I1150+J1150</f>
        <v>2000</v>
      </c>
      <c r="L1150" s="22"/>
      <c r="M1150" s="22"/>
      <c r="N1150" s="22"/>
      <c r="O1150" s="22">
        <f t="shared" ref="O1150:O1213" si="485">M1150+N1150</f>
        <v>0</v>
      </c>
      <c r="P1150" s="22"/>
      <c r="Q1150" s="23">
        <f t="shared" si="471"/>
        <v>2000</v>
      </c>
      <c r="R1150" s="23">
        <f t="shared" si="481"/>
        <v>0</v>
      </c>
      <c r="S1150" s="23">
        <f t="shared" si="481"/>
        <v>2000</v>
      </c>
    </row>
    <row r="1151" spans="2:19" x14ac:dyDescent="0.2">
      <c r="B1151" s="7">
        <f t="shared" si="483"/>
        <v>643</v>
      </c>
      <c r="C1151" s="19"/>
      <c r="D1151" s="19"/>
      <c r="E1151" s="19"/>
      <c r="F1151" s="20"/>
      <c r="G1151" s="21">
        <v>637</v>
      </c>
      <c r="H1151" s="19" t="s">
        <v>120</v>
      </c>
      <c r="I1151" s="22">
        <v>4922</v>
      </c>
      <c r="J1151" s="22"/>
      <c r="K1151" s="22">
        <f t="shared" si="484"/>
        <v>4922</v>
      </c>
      <c r="L1151" s="22"/>
      <c r="M1151" s="22"/>
      <c r="N1151" s="22"/>
      <c r="O1151" s="22">
        <f t="shared" si="485"/>
        <v>0</v>
      </c>
      <c r="P1151" s="22"/>
      <c r="Q1151" s="23">
        <f t="shared" si="471"/>
        <v>4922</v>
      </c>
      <c r="R1151" s="23">
        <f t="shared" si="481"/>
        <v>0</v>
      </c>
      <c r="S1151" s="23">
        <f t="shared" si="481"/>
        <v>4922</v>
      </c>
    </row>
    <row r="1152" spans="2:19" x14ac:dyDescent="0.2">
      <c r="B1152" s="7">
        <f t="shared" si="483"/>
        <v>644</v>
      </c>
      <c r="C1152" s="13"/>
      <c r="D1152" s="13"/>
      <c r="E1152" s="13"/>
      <c r="F1152" s="14" t="s">
        <v>157</v>
      </c>
      <c r="G1152" s="15">
        <v>640</v>
      </c>
      <c r="H1152" s="13" t="s">
        <v>127</v>
      </c>
      <c r="I1152" s="16">
        <v>450</v>
      </c>
      <c r="J1152" s="16"/>
      <c r="K1152" s="16">
        <f t="shared" si="484"/>
        <v>450</v>
      </c>
      <c r="L1152" s="16"/>
      <c r="M1152" s="16"/>
      <c r="N1152" s="16"/>
      <c r="O1152" s="16">
        <f t="shared" si="485"/>
        <v>0</v>
      </c>
      <c r="P1152" s="16"/>
      <c r="Q1152" s="18">
        <f t="shared" si="471"/>
        <v>450</v>
      </c>
      <c r="R1152" s="18">
        <f t="shared" si="481"/>
        <v>0</v>
      </c>
      <c r="S1152" s="18">
        <f t="shared" si="481"/>
        <v>450</v>
      </c>
    </row>
    <row r="1153" spans="2:19" x14ac:dyDescent="0.2">
      <c r="B1153" s="7">
        <f t="shared" si="483"/>
        <v>645</v>
      </c>
      <c r="C1153" s="119"/>
      <c r="D1153" s="119"/>
      <c r="E1153" s="119" t="s">
        <v>99</v>
      </c>
      <c r="F1153" s="120"/>
      <c r="G1153" s="120"/>
      <c r="H1153" s="119" t="s">
        <v>100</v>
      </c>
      <c r="I1153" s="121">
        <f>I1161+I1156+I1155+I1154</f>
        <v>104784</v>
      </c>
      <c r="J1153" s="121">
        <f t="shared" ref="J1153" si="486">J1161+J1156+J1155+J1154</f>
        <v>0</v>
      </c>
      <c r="K1153" s="121">
        <f t="shared" si="484"/>
        <v>104784</v>
      </c>
      <c r="L1153" s="16"/>
      <c r="M1153" s="121"/>
      <c r="N1153" s="121"/>
      <c r="O1153" s="121">
        <f t="shared" si="485"/>
        <v>0</v>
      </c>
      <c r="P1153" s="16"/>
      <c r="Q1153" s="123">
        <f t="shared" si="471"/>
        <v>104784</v>
      </c>
      <c r="R1153" s="123">
        <f t="shared" si="481"/>
        <v>0</v>
      </c>
      <c r="S1153" s="123">
        <f t="shared" si="481"/>
        <v>104784</v>
      </c>
    </row>
    <row r="1154" spans="2:19" x14ac:dyDescent="0.2">
      <c r="B1154" s="7">
        <f t="shared" si="483"/>
        <v>646</v>
      </c>
      <c r="C1154" s="13"/>
      <c r="D1154" s="13"/>
      <c r="E1154" s="13"/>
      <c r="F1154" s="14" t="s">
        <v>157</v>
      </c>
      <c r="G1154" s="15">
        <v>610</v>
      </c>
      <c r="H1154" s="13" t="s">
        <v>511</v>
      </c>
      <c r="I1154" s="16">
        <v>36876</v>
      </c>
      <c r="J1154" s="16"/>
      <c r="K1154" s="16">
        <f t="shared" si="484"/>
        <v>36876</v>
      </c>
      <c r="L1154" s="16"/>
      <c r="M1154" s="16"/>
      <c r="N1154" s="16"/>
      <c r="O1154" s="16">
        <f t="shared" si="485"/>
        <v>0</v>
      </c>
      <c r="P1154" s="16"/>
      <c r="Q1154" s="18">
        <f t="shared" si="471"/>
        <v>36876</v>
      </c>
      <c r="R1154" s="18">
        <f t="shared" si="481"/>
        <v>0</v>
      </c>
      <c r="S1154" s="18">
        <f t="shared" si="481"/>
        <v>36876</v>
      </c>
    </row>
    <row r="1155" spans="2:19" x14ac:dyDescent="0.2">
      <c r="B1155" s="7">
        <f t="shared" si="483"/>
        <v>647</v>
      </c>
      <c r="C1155" s="13"/>
      <c r="D1155" s="13"/>
      <c r="E1155" s="13"/>
      <c r="F1155" s="14" t="s">
        <v>157</v>
      </c>
      <c r="G1155" s="15">
        <v>620</v>
      </c>
      <c r="H1155" s="13" t="s">
        <v>122</v>
      </c>
      <c r="I1155" s="16">
        <v>14033</v>
      </c>
      <c r="J1155" s="16"/>
      <c r="K1155" s="16">
        <f t="shared" si="484"/>
        <v>14033</v>
      </c>
      <c r="L1155" s="16"/>
      <c r="M1155" s="16"/>
      <c r="N1155" s="16"/>
      <c r="O1155" s="16">
        <f t="shared" si="485"/>
        <v>0</v>
      </c>
      <c r="P1155" s="16"/>
      <c r="Q1155" s="18">
        <f t="shared" si="471"/>
        <v>14033</v>
      </c>
      <c r="R1155" s="18">
        <f t="shared" si="481"/>
        <v>0</v>
      </c>
      <c r="S1155" s="18">
        <f t="shared" si="481"/>
        <v>14033</v>
      </c>
    </row>
    <row r="1156" spans="2:19" x14ac:dyDescent="0.2">
      <c r="B1156" s="7">
        <f t="shared" si="483"/>
        <v>648</v>
      </c>
      <c r="C1156" s="13"/>
      <c r="D1156" s="13"/>
      <c r="E1156" s="13"/>
      <c r="F1156" s="14" t="s">
        <v>157</v>
      </c>
      <c r="G1156" s="15">
        <v>630</v>
      </c>
      <c r="H1156" s="13" t="s">
        <v>119</v>
      </c>
      <c r="I1156" s="16">
        <f>SUM(I1157:I1160)</f>
        <v>53425</v>
      </c>
      <c r="J1156" s="16">
        <f t="shared" ref="J1156" si="487">SUM(J1157:J1160)</f>
        <v>0</v>
      </c>
      <c r="K1156" s="16">
        <f t="shared" si="484"/>
        <v>53425</v>
      </c>
      <c r="L1156" s="16"/>
      <c r="M1156" s="16"/>
      <c r="N1156" s="16"/>
      <c r="O1156" s="16">
        <f t="shared" si="485"/>
        <v>0</v>
      </c>
      <c r="P1156" s="16"/>
      <c r="Q1156" s="18">
        <f t="shared" si="471"/>
        <v>53425</v>
      </c>
      <c r="R1156" s="18">
        <f t="shared" si="481"/>
        <v>0</v>
      </c>
      <c r="S1156" s="18">
        <f t="shared" si="481"/>
        <v>53425</v>
      </c>
    </row>
    <row r="1157" spans="2:19" x14ac:dyDescent="0.2">
      <c r="B1157" s="7">
        <f t="shared" si="483"/>
        <v>649</v>
      </c>
      <c r="C1157" s="13"/>
      <c r="D1157" s="13"/>
      <c r="E1157" s="13"/>
      <c r="F1157" s="14"/>
      <c r="G1157" s="21">
        <v>632</v>
      </c>
      <c r="H1157" s="19" t="s">
        <v>131</v>
      </c>
      <c r="I1157" s="22">
        <v>7850</v>
      </c>
      <c r="J1157" s="22"/>
      <c r="K1157" s="22">
        <f t="shared" si="484"/>
        <v>7850</v>
      </c>
      <c r="L1157" s="22"/>
      <c r="M1157" s="16"/>
      <c r="N1157" s="16"/>
      <c r="O1157" s="16">
        <f t="shared" si="485"/>
        <v>0</v>
      </c>
      <c r="P1157" s="16"/>
      <c r="Q1157" s="18">
        <f t="shared" si="471"/>
        <v>7850</v>
      </c>
      <c r="R1157" s="18">
        <f t="shared" si="481"/>
        <v>0</v>
      </c>
      <c r="S1157" s="18">
        <f t="shared" si="481"/>
        <v>7850</v>
      </c>
    </row>
    <row r="1158" spans="2:19" x14ac:dyDescent="0.2">
      <c r="B1158" s="7">
        <f t="shared" si="483"/>
        <v>650</v>
      </c>
      <c r="C1158" s="19"/>
      <c r="D1158" s="19"/>
      <c r="E1158" s="19"/>
      <c r="F1158" s="20"/>
      <c r="G1158" s="21">
        <v>633</v>
      </c>
      <c r="H1158" s="19" t="s">
        <v>123</v>
      </c>
      <c r="I1158" s="22">
        <v>40612</v>
      </c>
      <c r="J1158" s="22"/>
      <c r="K1158" s="22">
        <f t="shared" si="484"/>
        <v>40612</v>
      </c>
      <c r="L1158" s="22"/>
      <c r="M1158" s="22"/>
      <c r="N1158" s="22"/>
      <c r="O1158" s="22">
        <f t="shared" si="485"/>
        <v>0</v>
      </c>
      <c r="P1158" s="22"/>
      <c r="Q1158" s="23">
        <f t="shared" si="471"/>
        <v>40612</v>
      </c>
      <c r="R1158" s="23">
        <f t="shared" si="481"/>
        <v>0</v>
      </c>
      <c r="S1158" s="23">
        <f t="shared" si="481"/>
        <v>40612</v>
      </c>
    </row>
    <row r="1159" spans="2:19" x14ac:dyDescent="0.2">
      <c r="B1159" s="7">
        <f t="shared" si="483"/>
        <v>651</v>
      </c>
      <c r="C1159" s="19"/>
      <c r="D1159" s="19"/>
      <c r="E1159" s="19"/>
      <c r="F1159" s="20"/>
      <c r="G1159" s="21">
        <v>635</v>
      </c>
      <c r="H1159" s="19" t="s">
        <v>130</v>
      </c>
      <c r="I1159" s="22">
        <v>2000</v>
      </c>
      <c r="J1159" s="22"/>
      <c r="K1159" s="22">
        <f t="shared" si="484"/>
        <v>2000</v>
      </c>
      <c r="L1159" s="22"/>
      <c r="M1159" s="22"/>
      <c r="N1159" s="22"/>
      <c r="O1159" s="22">
        <f t="shared" si="485"/>
        <v>0</v>
      </c>
      <c r="P1159" s="22"/>
      <c r="Q1159" s="23">
        <f t="shared" si="471"/>
        <v>2000</v>
      </c>
      <c r="R1159" s="23">
        <f t="shared" si="481"/>
        <v>0</v>
      </c>
      <c r="S1159" s="23">
        <f t="shared" si="481"/>
        <v>2000</v>
      </c>
    </row>
    <row r="1160" spans="2:19" x14ac:dyDescent="0.2">
      <c r="B1160" s="7">
        <f t="shared" si="483"/>
        <v>652</v>
      </c>
      <c r="C1160" s="19"/>
      <c r="D1160" s="19"/>
      <c r="E1160" s="19"/>
      <c r="F1160" s="20"/>
      <c r="G1160" s="21">
        <v>637</v>
      </c>
      <c r="H1160" s="19" t="s">
        <v>120</v>
      </c>
      <c r="I1160" s="22">
        <v>2963</v>
      </c>
      <c r="J1160" s="22"/>
      <c r="K1160" s="22">
        <f t="shared" si="484"/>
        <v>2963</v>
      </c>
      <c r="L1160" s="22"/>
      <c r="M1160" s="22"/>
      <c r="N1160" s="22"/>
      <c r="O1160" s="22">
        <f t="shared" si="485"/>
        <v>0</v>
      </c>
      <c r="P1160" s="22"/>
      <c r="Q1160" s="23">
        <f t="shared" si="471"/>
        <v>2963</v>
      </c>
      <c r="R1160" s="23">
        <f t="shared" si="481"/>
        <v>0</v>
      </c>
      <c r="S1160" s="23">
        <f t="shared" si="481"/>
        <v>2963</v>
      </c>
    </row>
    <row r="1161" spans="2:19" x14ac:dyDescent="0.2">
      <c r="B1161" s="7">
        <f t="shared" si="483"/>
        <v>653</v>
      </c>
      <c r="C1161" s="13"/>
      <c r="D1161" s="13"/>
      <c r="E1161" s="13"/>
      <c r="F1161" s="14" t="s">
        <v>157</v>
      </c>
      <c r="G1161" s="15">
        <v>640</v>
      </c>
      <c r="H1161" s="13" t="s">
        <v>127</v>
      </c>
      <c r="I1161" s="16">
        <v>450</v>
      </c>
      <c r="J1161" s="16"/>
      <c r="K1161" s="16">
        <f t="shared" si="484"/>
        <v>450</v>
      </c>
      <c r="L1161" s="16"/>
      <c r="M1161" s="16"/>
      <c r="N1161" s="16"/>
      <c r="O1161" s="16">
        <f t="shared" si="485"/>
        <v>0</v>
      </c>
      <c r="P1161" s="16"/>
      <c r="Q1161" s="18">
        <f t="shared" si="471"/>
        <v>450</v>
      </c>
      <c r="R1161" s="18">
        <f t="shared" ref="R1161:S1176" si="488">N1161+J1161</f>
        <v>0</v>
      </c>
      <c r="S1161" s="18">
        <f t="shared" si="488"/>
        <v>450</v>
      </c>
    </row>
    <row r="1162" spans="2:19" x14ac:dyDescent="0.2">
      <c r="B1162" s="7">
        <f t="shared" si="483"/>
        <v>654</v>
      </c>
      <c r="C1162" s="119"/>
      <c r="D1162" s="119"/>
      <c r="E1162" s="119" t="s">
        <v>98</v>
      </c>
      <c r="F1162" s="120"/>
      <c r="G1162" s="120"/>
      <c r="H1162" s="119" t="s">
        <v>61</v>
      </c>
      <c r="I1162" s="121">
        <f>I1170+I1165+I1164+I1163</f>
        <v>158771</v>
      </c>
      <c r="J1162" s="121">
        <f t="shared" ref="J1162" si="489">J1170+J1165+J1164+J1163</f>
        <v>0</v>
      </c>
      <c r="K1162" s="121">
        <f t="shared" si="484"/>
        <v>158771</v>
      </c>
      <c r="L1162" s="16"/>
      <c r="M1162" s="121"/>
      <c r="N1162" s="121"/>
      <c r="O1162" s="121">
        <f t="shared" si="485"/>
        <v>0</v>
      </c>
      <c r="P1162" s="16"/>
      <c r="Q1162" s="123">
        <f t="shared" si="471"/>
        <v>158771</v>
      </c>
      <c r="R1162" s="123">
        <f t="shared" si="488"/>
        <v>0</v>
      </c>
      <c r="S1162" s="123">
        <f t="shared" si="488"/>
        <v>158771</v>
      </c>
    </row>
    <row r="1163" spans="2:19" x14ac:dyDescent="0.2">
      <c r="B1163" s="7">
        <f t="shared" si="483"/>
        <v>655</v>
      </c>
      <c r="C1163" s="13"/>
      <c r="D1163" s="13"/>
      <c r="E1163" s="13"/>
      <c r="F1163" s="14" t="s">
        <v>157</v>
      </c>
      <c r="G1163" s="15">
        <v>610</v>
      </c>
      <c r="H1163" s="13" t="s">
        <v>511</v>
      </c>
      <c r="I1163" s="16">
        <v>48406</v>
      </c>
      <c r="J1163" s="16"/>
      <c r="K1163" s="16">
        <f t="shared" si="484"/>
        <v>48406</v>
      </c>
      <c r="L1163" s="16"/>
      <c r="M1163" s="16"/>
      <c r="N1163" s="16"/>
      <c r="O1163" s="16">
        <f t="shared" si="485"/>
        <v>0</v>
      </c>
      <c r="P1163" s="16"/>
      <c r="Q1163" s="18">
        <f t="shared" si="471"/>
        <v>48406</v>
      </c>
      <c r="R1163" s="18">
        <f t="shared" si="488"/>
        <v>0</v>
      </c>
      <c r="S1163" s="18">
        <f t="shared" si="488"/>
        <v>48406</v>
      </c>
    </row>
    <row r="1164" spans="2:19" x14ac:dyDescent="0.2">
      <c r="B1164" s="7">
        <f t="shared" si="483"/>
        <v>656</v>
      </c>
      <c r="C1164" s="13"/>
      <c r="D1164" s="13"/>
      <c r="E1164" s="13"/>
      <c r="F1164" s="14" t="s">
        <v>157</v>
      </c>
      <c r="G1164" s="15">
        <v>620</v>
      </c>
      <c r="H1164" s="13" t="s">
        <v>122</v>
      </c>
      <c r="I1164" s="16">
        <v>18408</v>
      </c>
      <c r="J1164" s="16"/>
      <c r="K1164" s="16">
        <f t="shared" si="484"/>
        <v>18408</v>
      </c>
      <c r="L1164" s="16"/>
      <c r="M1164" s="16"/>
      <c r="N1164" s="16"/>
      <c r="O1164" s="16">
        <f t="shared" si="485"/>
        <v>0</v>
      </c>
      <c r="P1164" s="16"/>
      <c r="Q1164" s="18">
        <f t="shared" si="471"/>
        <v>18408</v>
      </c>
      <c r="R1164" s="18">
        <f t="shared" si="488"/>
        <v>0</v>
      </c>
      <c r="S1164" s="18">
        <f t="shared" si="488"/>
        <v>18408</v>
      </c>
    </row>
    <row r="1165" spans="2:19" x14ac:dyDescent="0.2">
      <c r="B1165" s="7">
        <f t="shared" si="483"/>
        <v>657</v>
      </c>
      <c r="C1165" s="13"/>
      <c r="D1165" s="13"/>
      <c r="E1165" s="13"/>
      <c r="F1165" s="14" t="s">
        <v>157</v>
      </c>
      <c r="G1165" s="15">
        <v>630</v>
      </c>
      <c r="H1165" s="13" t="s">
        <v>119</v>
      </c>
      <c r="I1165" s="16">
        <f>SUM(I1166:I1169)</f>
        <v>91507</v>
      </c>
      <c r="J1165" s="16">
        <f t="shared" ref="J1165" si="490">SUM(J1166:J1169)</f>
        <v>0</v>
      </c>
      <c r="K1165" s="16">
        <f t="shared" si="484"/>
        <v>91507</v>
      </c>
      <c r="L1165" s="16"/>
      <c r="M1165" s="16"/>
      <c r="N1165" s="16"/>
      <c r="O1165" s="16">
        <f t="shared" si="485"/>
        <v>0</v>
      </c>
      <c r="P1165" s="16"/>
      <c r="Q1165" s="18">
        <f t="shared" si="471"/>
        <v>91507</v>
      </c>
      <c r="R1165" s="18">
        <f t="shared" si="488"/>
        <v>0</v>
      </c>
      <c r="S1165" s="18">
        <f t="shared" si="488"/>
        <v>91507</v>
      </c>
    </row>
    <row r="1166" spans="2:19" x14ac:dyDescent="0.2">
      <c r="B1166" s="7">
        <f t="shared" si="483"/>
        <v>658</v>
      </c>
      <c r="C1166" s="13"/>
      <c r="D1166" s="13"/>
      <c r="E1166" s="13"/>
      <c r="F1166" s="14"/>
      <c r="G1166" s="21">
        <v>632</v>
      </c>
      <c r="H1166" s="19" t="s">
        <v>131</v>
      </c>
      <c r="I1166" s="22">
        <v>13570</v>
      </c>
      <c r="J1166" s="22"/>
      <c r="K1166" s="22">
        <f t="shared" si="484"/>
        <v>13570</v>
      </c>
      <c r="L1166" s="22"/>
      <c r="M1166" s="16"/>
      <c r="N1166" s="16"/>
      <c r="O1166" s="16">
        <f t="shared" si="485"/>
        <v>0</v>
      </c>
      <c r="P1166" s="16"/>
      <c r="Q1166" s="18">
        <f t="shared" si="471"/>
        <v>13570</v>
      </c>
      <c r="R1166" s="18">
        <f t="shared" si="488"/>
        <v>0</v>
      </c>
      <c r="S1166" s="18">
        <f t="shared" si="488"/>
        <v>13570</v>
      </c>
    </row>
    <row r="1167" spans="2:19" x14ac:dyDescent="0.2">
      <c r="B1167" s="7">
        <f t="shared" si="483"/>
        <v>659</v>
      </c>
      <c r="C1167" s="19"/>
      <c r="D1167" s="19"/>
      <c r="E1167" s="19"/>
      <c r="F1167" s="20"/>
      <c r="G1167" s="21">
        <v>633</v>
      </c>
      <c r="H1167" s="19" t="s">
        <v>123</v>
      </c>
      <c r="I1167" s="22">
        <f>70622-1000</f>
        <v>69622</v>
      </c>
      <c r="J1167" s="22"/>
      <c r="K1167" s="22">
        <f t="shared" si="484"/>
        <v>69622</v>
      </c>
      <c r="L1167" s="22"/>
      <c r="M1167" s="22"/>
      <c r="N1167" s="22"/>
      <c r="O1167" s="22">
        <f t="shared" si="485"/>
        <v>0</v>
      </c>
      <c r="P1167" s="22"/>
      <c r="Q1167" s="23">
        <f t="shared" si="471"/>
        <v>69622</v>
      </c>
      <c r="R1167" s="23">
        <f t="shared" si="488"/>
        <v>0</v>
      </c>
      <c r="S1167" s="23">
        <f t="shared" si="488"/>
        <v>69622</v>
      </c>
    </row>
    <row r="1168" spans="2:19" x14ac:dyDescent="0.2">
      <c r="B1168" s="7">
        <f t="shared" si="483"/>
        <v>660</v>
      </c>
      <c r="C1168" s="19"/>
      <c r="D1168" s="19"/>
      <c r="E1168" s="19"/>
      <c r="F1168" s="20"/>
      <c r="G1168" s="21">
        <v>635</v>
      </c>
      <c r="H1168" s="19" t="s">
        <v>130</v>
      </c>
      <c r="I1168" s="22">
        <f>3500+1000</f>
        <v>4500</v>
      </c>
      <c r="J1168" s="22"/>
      <c r="K1168" s="22">
        <f t="shared" si="484"/>
        <v>4500</v>
      </c>
      <c r="L1168" s="22"/>
      <c r="M1168" s="22"/>
      <c r="N1168" s="22"/>
      <c r="O1168" s="22">
        <f t="shared" si="485"/>
        <v>0</v>
      </c>
      <c r="P1168" s="22"/>
      <c r="Q1168" s="23">
        <f t="shared" si="471"/>
        <v>4500</v>
      </c>
      <c r="R1168" s="23">
        <f t="shared" si="488"/>
        <v>0</v>
      </c>
      <c r="S1168" s="23">
        <f t="shared" si="488"/>
        <v>4500</v>
      </c>
    </row>
    <row r="1169" spans="2:19" x14ac:dyDescent="0.2">
      <c r="B1169" s="7">
        <f t="shared" si="483"/>
        <v>661</v>
      </c>
      <c r="C1169" s="19"/>
      <c r="D1169" s="19"/>
      <c r="E1169" s="19"/>
      <c r="F1169" s="20"/>
      <c r="G1169" s="21">
        <v>637</v>
      </c>
      <c r="H1169" s="19" t="s">
        <v>120</v>
      </c>
      <c r="I1169" s="22">
        <v>3815</v>
      </c>
      <c r="J1169" s="22"/>
      <c r="K1169" s="22">
        <f t="shared" si="484"/>
        <v>3815</v>
      </c>
      <c r="L1169" s="22"/>
      <c r="M1169" s="22"/>
      <c r="N1169" s="22"/>
      <c r="O1169" s="22">
        <f t="shared" si="485"/>
        <v>0</v>
      </c>
      <c r="P1169" s="22"/>
      <c r="Q1169" s="23">
        <f t="shared" si="471"/>
        <v>3815</v>
      </c>
      <c r="R1169" s="23">
        <f t="shared" si="488"/>
        <v>0</v>
      </c>
      <c r="S1169" s="23">
        <f t="shared" si="488"/>
        <v>3815</v>
      </c>
    </row>
    <row r="1170" spans="2:19" x14ac:dyDescent="0.2">
      <c r="B1170" s="7">
        <f t="shared" si="483"/>
        <v>662</v>
      </c>
      <c r="C1170" s="13"/>
      <c r="D1170" s="13"/>
      <c r="E1170" s="13"/>
      <c r="F1170" s="14" t="s">
        <v>157</v>
      </c>
      <c r="G1170" s="15">
        <v>640</v>
      </c>
      <c r="H1170" s="13" t="s">
        <v>127</v>
      </c>
      <c r="I1170" s="16">
        <v>450</v>
      </c>
      <c r="J1170" s="16"/>
      <c r="K1170" s="16">
        <f t="shared" si="484"/>
        <v>450</v>
      </c>
      <c r="L1170" s="16"/>
      <c r="M1170" s="16"/>
      <c r="N1170" s="16"/>
      <c r="O1170" s="16">
        <f t="shared" si="485"/>
        <v>0</v>
      </c>
      <c r="P1170" s="16"/>
      <c r="Q1170" s="18">
        <f t="shared" si="471"/>
        <v>450</v>
      </c>
      <c r="R1170" s="18">
        <f t="shared" si="488"/>
        <v>0</v>
      </c>
      <c r="S1170" s="18">
        <f t="shared" si="488"/>
        <v>450</v>
      </c>
    </row>
    <row r="1171" spans="2:19" x14ac:dyDescent="0.2">
      <c r="B1171" s="7">
        <f t="shared" si="483"/>
        <v>663</v>
      </c>
      <c r="C1171" s="119"/>
      <c r="D1171" s="119"/>
      <c r="E1171" s="119" t="s">
        <v>94</v>
      </c>
      <c r="F1171" s="120"/>
      <c r="G1171" s="120"/>
      <c r="H1171" s="119" t="s">
        <v>67</v>
      </c>
      <c r="I1171" s="121">
        <f>I1179+I1174+I1173+I1172</f>
        <v>154345</v>
      </c>
      <c r="J1171" s="121">
        <f t="shared" ref="J1171" si="491">J1179+J1174+J1173+J1172</f>
        <v>0</v>
      </c>
      <c r="K1171" s="121">
        <f t="shared" si="484"/>
        <v>154345</v>
      </c>
      <c r="L1171" s="16"/>
      <c r="M1171" s="121"/>
      <c r="N1171" s="121"/>
      <c r="O1171" s="121">
        <f t="shared" si="485"/>
        <v>0</v>
      </c>
      <c r="P1171" s="16"/>
      <c r="Q1171" s="123">
        <f t="shared" si="471"/>
        <v>154345</v>
      </c>
      <c r="R1171" s="123">
        <f t="shared" si="488"/>
        <v>0</v>
      </c>
      <c r="S1171" s="123">
        <f t="shared" si="488"/>
        <v>154345</v>
      </c>
    </row>
    <row r="1172" spans="2:19" x14ac:dyDescent="0.2">
      <c r="B1172" s="7">
        <f t="shared" si="483"/>
        <v>664</v>
      </c>
      <c r="C1172" s="13"/>
      <c r="D1172" s="13"/>
      <c r="E1172" s="13"/>
      <c r="F1172" s="14" t="s">
        <v>157</v>
      </c>
      <c r="G1172" s="15">
        <v>610</v>
      </c>
      <c r="H1172" s="13" t="s">
        <v>511</v>
      </c>
      <c r="I1172" s="16">
        <v>48693</v>
      </c>
      <c r="J1172" s="16"/>
      <c r="K1172" s="16">
        <f t="shared" si="484"/>
        <v>48693</v>
      </c>
      <c r="L1172" s="16"/>
      <c r="M1172" s="16"/>
      <c r="N1172" s="16"/>
      <c r="O1172" s="16">
        <f t="shared" si="485"/>
        <v>0</v>
      </c>
      <c r="P1172" s="16"/>
      <c r="Q1172" s="18">
        <f t="shared" si="471"/>
        <v>48693</v>
      </c>
      <c r="R1172" s="18">
        <f t="shared" si="488"/>
        <v>0</v>
      </c>
      <c r="S1172" s="18">
        <f t="shared" si="488"/>
        <v>48693</v>
      </c>
    </row>
    <row r="1173" spans="2:19" x14ac:dyDescent="0.2">
      <c r="B1173" s="7">
        <f t="shared" si="483"/>
        <v>665</v>
      </c>
      <c r="C1173" s="13"/>
      <c r="D1173" s="13"/>
      <c r="E1173" s="13"/>
      <c r="F1173" s="14" t="s">
        <v>157</v>
      </c>
      <c r="G1173" s="15">
        <v>620</v>
      </c>
      <c r="H1173" s="13" t="s">
        <v>122</v>
      </c>
      <c r="I1173" s="16">
        <v>18517</v>
      </c>
      <c r="J1173" s="16"/>
      <c r="K1173" s="16">
        <f t="shared" si="484"/>
        <v>18517</v>
      </c>
      <c r="L1173" s="16"/>
      <c r="M1173" s="16"/>
      <c r="N1173" s="16"/>
      <c r="O1173" s="16">
        <f t="shared" si="485"/>
        <v>0</v>
      </c>
      <c r="P1173" s="16"/>
      <c r="Q1173" s="18">
        <f t="shared" si="471"/>
        <v>18517</v>
      </c>
      <c r="R1173" s="18">
        <f t="shared" si="488"/>
        <v>0</v>
      </c>
      <c r="S1173" s="18">
        <f t="shared" si="488"/>
        <v>18517</v>
      </c>
    </row>
    <row r="1174" spans="2:19" x14ac:dyDescent="0.2">
      <c r="B1174" s="7">
        <f t="shared" si="483"/>
        <v>666</v>
      </c>
      <c r="C1174" s="13"/>
      <c r="D1174" s="13"/>
      <c r="E1174" s="13"/>
      <c r="F1174" s="14" t="s">
        <v>157</v>
      </c>
      <c r="G1174" s="15">
        <v>630</v>
      </c>
      <c r="H1174" s="13" t="s">
        <v>119</v>
      </c>
      <c r="I1174" s="16">
        <f>SUM(I1175:I1178)</f>
        <v>86685</v>
      </c>
      <c r="J1174" s="16">
        <f t="shared" ref="J1174" si="492">SUM(J1175:J1178)</f>
        <v>0</v>
      </c>
      <c r="K1174" s="16">
        <f t="shared" si="484"/>
        <v>86685</v>
      </c>
      <c r="L1174" s="16"/>
      <c r="M1174" s="16"/>
      <c r="N1174" s="16"/>
      <c r="O1174" s="16">
        <f t="shared" si="485"/>
        <v>0</v>
      </c>
      <c r="P1174" s="16"/>
      <c r="Q1174" s="18">
        <f t="shared" si="471"/>
        <v>86685</v>
      </c>
      <c r="R1174" s="18">
        <f t="shared" si="488"/>
        <v>0</v>
      </c>
      <c r="S1174" s="18">
        <f t="shared" si="488"/>
        <v>86685</v>
      </c>
    </row>
    <row r="1175" spans="2:19" x14ac:dyDescent="0.2">
      <c r="B1175" s="7">
        <f t="shared" si="483"/>
        <v>667</v>
      </c>
      <c r="C1175" s="13"/>
      <c r="D1175" s="13"/>
      <c r="E1175" s="13"/>
      <c r="F1175" s="14"/>
      <c r="G1175" s="21">
        <v>632</v>
      </c>
      <c r="H1175" s="19" t="s">
        <v>131</v>
      </c>
      <c r="I1175" s="22">
        <v>11020</v>
      </c>
      <c r="J1175" s="22"/>
      <c r="K1175" s="22">
        <f t="shared" si="484"/>
        <v>11020</v>
      </c>
      <c r="L1175" s="22"/>
      <c r="M1175" s="16"/>
      <c r="N1175" s="16"/>
      <c r="O1175" s="16">
        <f t="shared" si="485"/>
        <v>0</v>
      </c>
      <c r="P1175" s="16"/>
      <c r="Q1175" s="18">
        <f t="shared" si="471"/>
        <v>11020</v>
      </c>
      <c r="R1175" s="18">
        <f t="shared" si="488"/>
        <v>0</v>
      </c>
      <c r="S1175" s="18">
        <f t="shared" si="488"/>
        <v>11020</v>
      </c>
    </row>
    <row r="1176" spans="2:19" x14ac:dyDescent="0.2">
      <c r="B1176" s="7">
        <f t="shared" si="483"/>
        <v>668</v>
      </c>
      <c r="C1176" s="19"/>
      <c r="D1176" s="19"/>
      <c r="E1176" s="19"/>
      <c r="F1176" s="20"/>
      <c r="G1176" s="21">
        <v>633</v>
      </c>
      <c r="H1176" s="19" t="s">
        <v>123</v>
      </c>
      <c r="I1176" s="22">
        <v>68556</v>
      </c>
      <c r="J1176" s="22"/>
      <c r="K1176" s="22">
        <f t="shared" si="484"/>
        <v>68556</v>
      </c>
      <c r="L1176" s="22"/>
      <c r="M1176" s="22"/>
      <c r="N1176" s="22"/>
      <c r="O1176" s="22">
        <f t="shared" si="485"/>
        <v>0</v>
      </c>
      <c r="P1176" s="22"/>
      <c r="Q1176" s="23">
        <f t="shared" si="471"/>
        <v>68556</v>
      </c>
      <c r="R1176" s="23">
        <f t="shared" si="488"/>
        <v>0</v>
      </c>
      <c r="S1176" s="23">
        <f t="shared" si="488"/>
        <v>68556</v>
      </c>
    </row>
    <row r="1177" spans="2:19" x14ac:dyDescent="0.2">
      <c r="B1177" s="7">
        <f t="shared" si="483"/>
        <v>669</v>
      </c>
      <c r="C1177" s="19"/>
      <c r="D1177" s="19"/>
      <c r="E1177" s="19"/>
      <c r="F1177" s="20"/>
      <c r="G1177" s="21">
        <v>635</v>
      </c>
      <c r="H1177" s="19" t="s">
        <v>130</v>
      </c>
      <c r="I1177" s="22">
        <v>3000</v>
      </c>
      <c r="J1177" s="22"/>
      <c r="K1177" s="22">
        <f t="shared" si="484"/>
        <v>3000</v>
      </c>
      <c r="L1177" s="22"/>
      <c r="M1177" s="22"/>
      <c r="N1177" s="22"/>
      <c r="O1177" s="22">
        <f t="shared" si="485"/>
        <v>0</v>
      </c>
      <c r="P1177" s="22"/>
      <c r="Q1177" s="23">
        <f t="shared" ref="Q1177:Q1240" si="493">M1177+I1177</f>
        <v>3000</v>
      </c>
      <c r="R1177" s="23">
        <f t="shared" ref="R1177:S1192" si="494">N1177+J1177</f>
        <v>0</v>
      </c>
      <c r="S1177" s="23">
        <f t="shared" si="494"/>
        <v>3000</v>
      </c>
    </row>
    <row r="1178" spans="2:19" x14ac:dyDescent="0.2">
      <c r="B1178" s="7">
        <f t="shared" si="483"/>
        <v>670</v>
      </c>
      <c r="C1178" s="19"/>
      <c r="D1178" s="19"/>
      <c r="E1178" s="19"/>
      <c r="F1178" s="20"/>
      <c r="G1178" s="21">
        <v>637</v>
      </c>
      <c r="H1178" s="19" t="s">
        <v>120</v>
      </c>
      <c r="I1178" s="22">
        <v>4109</v>
      </c>
      <c r="J1178" s="22"/>
      <c r="K1178" s="22">
        <f t="shared" si="484"/>
        <v>4109</v>
      </c>
      <c r="L1178" s="22"/>
      <c r="M1178" s="22"/>
      <c r="N1178" s="22"/>
      <c r="O1178" s="22">
        <f t="shared" si="485"/>
        <v>0</v>
      </c>
      <c r="P1178" s="22"/>
      <c r="Q1178" s="23">
        <f t="shared" si="493"/>
        <v>4109</v>
      </c>
      <c r="R1178" s="23">
        <f t="shared" si="494"/>
        <v>0</v>
      </c>
      <c r="S1178" s="23">
        <f t="shared" si="494"/>
        <v>4109</v>
      </c>
    </row>
    <row r="1179" spans="2:19" x14ac:dyDescent="0.2">
      <c r="B1179" s="7">
        <f t="shared" si="483"/>
        <v>671</v>
      </c>
      <c r="C1179" s="13"/>
      <c r="D1179" s="13"/>
      <c r="E1179" s="13"/>
      <c r="F1179" s="14" t="s">
        <v>157</v>
      </c>
      <c r="G1179" s="15">
        <v>640</v>
      </c>
      <c r="H1179" s="13" t="s">
        <v>127</v>
      </c>
      <c r="I1179" s="16">
        <v>450</v>
      </c>
      <c r="J1179" s="16"/>
      <c r="K1179" s="16">
        <f t="shared" si="484"/>
        <v>450</v>
      </c>
      <c r="L1179" s="16"/>
      <c r="M1179" s="16"/>
      <c r="N1179" s="16"/>
      <c r="O1179" s="16">
        <f t="shared" si="485"/>
        <v>0</v>
      </c>
      <c r="P1179" s="16"/>
      <c r="Q1179" s="18">
        <f t="shared" si="493"/>
        <v>450</v>
      </c>
      <c r="R1179" s="18">
        <f t="shared" si="494"/>
        <v>0</v>
      </c>
      <c r="S1179" s="18">
        <f t="shared" si="494"/>
        <v>450</v>
      </c>
    </row>
    <row r="1180" spans="2:19" x14ac:dyDescent="0.2">
      <c r="B1180" s="7">
        <f t="shared" si="483"/>
        <v>672</v>
      </c>
      <c r="C1180" s="119"/>
      <c r="D1180" s="119"/>
      <c r="E1180" s="119" t="s">
        <v>97</v>
      </c>
      <c r="F1180" s="120"/>
      <c r="G1180" s="120"/>
      <c r="H1180" s="119" t="s">
        <v>68</v>
      </c>
      <c r="I1180" s="121">
        <f>I1188+I1183+I1182+I1181</f>
        <v>162801</v>
      </c>
      <c r="J1180" s="121">
        <f t="shared" ref="J1180" si="495">J1188+J1183+J1182+J1181</f>
        <v>0</v>
      </c>
      <c r="K1180" s="121">
        <f t="shared" si="484"/>
        <v>162801</v>
      </c>
      <c r="L1180" s="16"/>
      <c r="M1180" s="121"/>
      <c r="N1180" s="121"/>
      <c r="O1180" s="121">
        <f t="shared" si="485"/>
        <v>0</v>
      </c>
      <c r="P1180" s="16"/>
      <c r="Q1180" s="123">
        <f t="shared" si="493"/>
        <v>162801</v>
      </c>
      <c r="R1180" s="123">
        <f t="shared" si="494"/>
        <v>0</v>
      </c>
      <c r="S1180" s="123">
        <f t="shared" si="494"/>
        <v>162801</v>
      </c>
    </row>
    <row r="1181" spans="2:19" x14ac:dyDescent="0.2">
      <c r="B1181" s="7">
        <f t="shared" si="483"/>
        <v>673</v>
      </c>
      <c r="C1181" s="13"/>
      <c r="D1181" s="13"/>
      <c r="E1181" s="13"/>
      <c r="F1181" s="14" t="s">
        <v>157</v>
      </c>
      <c r="G1181" s="15">
        <v>610</v>
      </c>
      <c r="H1181" s="13" t="s">
        <v>511</v>
      </c>
      <c r="I1181" s="16">
        <v>57208</v>
      </c>
      <c r="J1181" s="16"/>
      <c r="K1181" s="16">
        <f t="shared" si="484"/>
        <v>57208</v>
      </c>
      <c r="L1181" s="16"/>
      <c r="M1181" s="16"/>
      <c r="N1181" s="16"/>
      <c r="O1181" s="16">
        <f t="shared" si="485"/>
        <v>0</v>
      </c>
      <c r="P1181" s="16"/>
      <c r="Q1181" s="18">
        <f t="shared" si="493"/>
        <v>57208</v>
      </c>
      <c r="R1181" s="18">
        <f t="shared" si="494"/>
        <v>0</v>
      </c>
      <c r="S1181" s="18">
        <f t="shared" si="494"/>
        <v>57208</v>
      </c>
    </row>
    <row r="1182" spans="2:19" x14ac:dyDescent="0.2">
      <c r="B1182" s="7">
        <f t="shared" si="483"/>
        <v>674</v>
      </c>
      <c r="C1182" s="13"/>
      <c r="D1182" s="13"/>
      <c r="E1182" s="13"/>
      <c r="F1182" s="14" t="s">
        <v>157</v>
      </c>
      <c r="G1182" s="15">
        <v>620</v>
      </c>
      <c r="H1182" s="13" t="s">
        <v>122</v>
      </c>
      <c r="I1182" s="16">
        <v>22111</v>
      </c>
      <c r="J1182" s="16"/>
      <c r="K1182" s="16">
        <f t="shared" si="484"/>
        <v>22111</v>
      </c>
      <c r="L1182" s="16"/>
      <c r="M1182" s="16"/>
      <c r="N1182" s="16"/>
      <c r="O1182" s="16">
        <f t="shared" si="485"/>
        <v>0</v>
      </c>
      <c r="P1182" s="16"/>
      <c r="Q1182" s="18">
        <f t="shared" si="493"/>
        <v>22111</v>
      </c>
      <c r="R1182" s="18">
        <f t="shared" si="494"/>
        <v>0</v>
      </c>
      <c r="S1182" s="18">
        <f t="shared" si="494"/>
        <v>22111</v>
      </c>
    </row>
    <row r="1183" spans="2:19" x14ac:dyDescent="0.2">
      <c r="B1183" s="7">
        <f t="shared" si="483"/>
        <v>675</v>
      </c>
      <c r="C1183" s="13"/>
      <c r="D1183" s="13"/>
      <c r="E1183" s="13"/>
      <c r="F1183" s="14" t="s">
        <v>157</v>
      </c>
      <c r="G1183" s="15">
        <v>630</v>
      </c>
      <c r="H1183" s="13" t="s">
        <v>119</v>
      </c>
      <c r="I1183" s="16">
        <f>SUM(I1184:I1187)</f>
        <v>82077</v>
      </c>
      <c r="J1183" s="16">
        <f t="shared" ref="J1183" si="496">SUM(J1184:J1187)</f>
        <v>0</v>
      </c>
      <c r="K1183" s="16">
        <f t="shared" si="484"/>
        <v>82077</v>
      </c>
      <c r="L1183" s="16"/>
      <c r="M1183" s="16"/>
      <c r="N1183" s="16"/>
      <c r="O1183" s="16">
        <f t="shared" si="485"/>
        <v>0</v>
      </c>
      <c r="P1183" s="16"/>
      <c r="Q1183" s="18">
        <f t="shared" si="493"/>
        <v>82077</v>
      </c>
      <c r="R1183" s="18">
        <f t="shared" si="494"/>
        <v>0</v>
      </c>
      <c r="S1183" s="18">
        <f t="shared" si="494"/>
        <v>82077</v>
      </c>
    </row>
    <row r="1184" spans="2:19" x14ac:dyDescent="0.2">
      <c r="B1184" s="7">
        <f t="shared" si="483"/>
        <v>676</v>
      </c>
      <c r="C1184" s="13"/>
      <c r="D1184" s="13"/>
      <c r="E1184" s="13"/>
      <c r="F1184" s="14"/>
      <c r="G1184" s="21">
        <v>632</v>
      </c>
      <c r="H1184" s="19" t="s">
        <v>131</v>
      </c>
      <c r="I1184" s="22">
        <v>11960</v>
      </c>
      <c r="J1184" s="22"/>
      <c r="K1184" s="22">
        <f t="shared" si="484"/>
        <v>11960</v>
      </c>
      <c r="L1184" s="22"/>
      <c r="M1184" s="16"/>
      <c r="N1184" s="16"/>
      <c r="O1184" s="16">
        <f t="shared" si="485"/>
        <v>0</v>
      </c>
      <c r="P1184" s="16"/>
      <c r="Q1184" s="18">
        <f t="shared" si="493"/>
        <v>11960</v>
      </c>
      <c r="R1184" s="18">
        <f t="shared" si="494"/>
        <v>0</v>
      </c>
      <c r="S1184" s="18">
        <f t="shared" si="494"/>
        <v>11960</v>
      </c>
    </row>
    <row r="1185" spans="2:19" x14ac:dyDescent="0.2">
      <c r="B1185" s="7">
        <f t="shared" si="483"/>
        <v>677</v>
      </c>
      <c r="C1185" s="19"/>
      <c r="D1185" s="19"/>
      <c r="E1185" s="19"/>
      <c r="F1185" s="20"/>
      <c r="G1185" s="21">
        <v>633</v>
      </c>
      <c r="H1185" s="19" t="s">
        <v>123</v>
      </c>
      <c r="I1185" s="22">
        <f>63646-1000</f>
        <v>62646</v>
      </c>
      <c r="J1185" s="22"/>
      <c r="K1185" s="22">
        <f t="shared" si="484"/>
        <v>62646</v>
      </c>
      <c r="L1185" s="22"/>
      <c r="M1185" s="22"/>
      <c r="N1185" s="22"/>
      <c r="O1185" s="22">
        <f t="shared" si="485"/>
        <v>0</v>
      </c>
      <c r="P1185" s="22"/>
      <c r="Q1185" s="23">
        <f t="shared" si="493"/>
        <v>62646</v>
      </c>
      <c r="R1185" s="23">
        <f t="shared" si="494"/>
        <v>0</v>
      </c>
      <c r="S1185" s="23">
        <f t="shared" si="494"/>
        <v>62646</v>
      </c>
    </row>
    <row r="1186" spans="2:19" x14ac:dyDescent="0.2">
      <c r="B1186" s="7">
        <f t="shared" si="483"/>
        <v>678</v>
      </c>
      <c r="C1186" s="19"/>
      <c r="D1186" s="19"/>
      <c r="E1186" s="19"/>
      <c r="F1186" s="20"/>
      <c r="G1186" s="21">
        <v>635</v>
      </c>
      <c r="H1186" s="19" t="s">
        <v>130</v>
      </c>
      <c r="I1186" s="22">
        <f>2000+1000</f>
        <v>3000</v>
      </c>
      <c r="J1186" s="22"/>
      <c r="K1186" s="22">
        <f t="shared" si="484"/>
        <v>3000</v>
      </c>
      <c r="L1186" s="22"/>
      <c r="M1186" s="22"/>
      <c r="N1186" s="22"/>
      <c r="O1186" s="22">
        <f t="shared" si="485"/>
        <v>0</v>
      </c>
      <c r="P1186" s="22"/>
      <c r="Q1186" s="23">
        <f t="shared" si="493"/>
        <v>3000</v>
      </c>
      <c r="R1186" s="23">
        <f t="shared" si="494"/>
        <v>0</v>
      </c>
      <c r="S1186" s="23">
        <f t="shared" si="494"/>
        <v>3000</v>
      </c>
    </row>
    <row r="1187" spans="2:19" x14ac:dyDescent="0.2">
      <c r="B1187" s="7">
        <f t="shared" si="483"/>
        <v>679</v>
      </c>
      <c r="C1187" s="19"/>
      <c r="D1187" s="19"/>
      <c r="E1187" s="19"/>
      <c r="F1187" s="20"/>
      <c r="G1187" s="21">
        <v>637</v>
      </c>
      <c r="H1187" s="19" t="s">
        <v>120</v>
      </c>
      <c r="I1187" s="22">
        <v>4471</v>
      </c>
      <c r="J1187" s="22"/>
      <c r="K1187" s="22">
        <f t="shared" si="484"/>
        <v>4471</v>
      </c>
      <c r="L1187" s="22"/>
      <c r="M1187" s="22"/>
      <c r="N1187" s="22"/>
      <c r="O1187" s="22">
        <f t="shared" si="485"/>
        <v>0</v>
      </c>
      <c r="P1187" s="22"/>
      <c r="Q1187" s="23">
        <f t="shared" si="493"/>
        <v>4471</v>
      </c>
      <c r="R1187" s="23">
        <f t="shared" si="494"/>
        <v>0</v>
      </c>
      <c r="S1187" s="23">
        <f t="shared" si="494"/>
        <v>4471</v>
      </c>
    </row>
    <row r="1188" spans="2:19" x14ac:dyDescent="0.2">
      <c r="B1188" s="7">
        <f t="shared" si="483"/>
        <v>680</v>
      </c>
      <c r="C1188" s="13"/>
      <c r="D1188" s="13"/>
      <c r="E1188" s="13"/>
      <c r="F1188" s="14" t="s">
        <v>157</v>
      </c>
      <c r="G1188" s="15">
        <v>640</v>
      </c>
      <c r="H1188" s="13" t="s">
        <v>127</v>
      </c>
      <c r="I1188" s="16">
        <v>1405</v>
      </c>
      <c r="J1188" s="16"/>
      <c r="K1188" s="16">
        <f t="shared" si="484"/>
        <v>1405</v>
      </c>
      <c r="L1188" s="16"/>
      <c r="M1188" s="16"/>
      <c r="N1188" s="16"/>
      <c r="O1188" s="16">
        <f t="shared" si="485"/>
        <v>0</v>
      </c>
      <c r="P1188" s="16"/>
      <c r="Q1188" s="18">
        <f t="shared" si="493"/>
        <v>1405</v>
      </c>
      <c r="R1188" s="18">
        <f t="shared" si="494"/>
        <v>0</v>
      </c>
      <c r="S1188" s="18">
        <f t="shared" si="494"/>
        <v>1405</v>
      </c>
    </row>
    <row r="1189" spans="2:19" x14ac:dyDescent="0.2">
      <c r="B1189" s="7">
        <f t="shared" si="483"/>
        <v>681</v>
      </c>
      <c r="C1189" s="119"/>
      <c r="D1189" s="119"/>
      <c r="E1189" s="119" t="s">
        <v>91</v>
      </c>
      <c r="F1189" s="120"/>
      <c r="G1189" s="120"/>
      <c r="H1189" s="119" t="s">
        <v>92</v>
      </c>
      <c r="I1189" s="121">
        <f>I1197+I1192+I1191+I1190</f>
        <v>73342</v>
      </c>
      <c r="J1189" s="121">
        <f t="shared" ref="J1189" si="497">J1197+J1192+J1191+J1190</f>
        <v>0</v>
      </c>
      <c r="K1189" s="121">
        <f t="shared" si="484"/>
        <v>73342</v>
      </c>
      <c r="L1189" s="16"/>
      <c r="M1189" s="121"/>
      <c r="N1189" s="121"/>
      <c r="O1189" s="121">
        <f t="shared" si="485"/>
        <v>0</v>
      </c>
      <c r="P1189" s="16"/>
      <c r="Q1189" s="123">
        <f t="shared" si="493"/>
        <v>73342</v>
      </c>
      <c r="R1189" s="123">
        <f t="shared" si="494"/>
        <v>0</v>
      </c>
      <c r="S1189" s="123">
        <f t="shared" si="494"/>
        <v>73342</v>
      </c>
    </row>
    <row r="1190" spans="2:19" x14ac:dyDescent="0.2">
      <c r="B1190" s="7">
        <f t="shared" si="483"/>
        <v>682</v>
      </c>
      <c r="C1190" s="13"/>
      <c r="D1190" s="13"/>
      <c r="E1190" s="13"/>
      <c r="F1190" s="14" t="s">
        <v>157</v>
      </c>
      <c r="G1190" s="15">
        <v>610</v>
      </c>
      <c r="H1190" s="13" t="s">
        <v>511</v>
      </c>
      <c r="I1190" s="16">
        <v>26529</v>
      </c>
      <c r="J1190" s="16"/>
      <c r="K1190" s="16">
        <f t="shared" si="484"/>
        <v>26529</v>
      </c>
      <c r="L1190" s="16"/>
      <c r="M1190" s="16"/>
      <c r="N1190" s="16"/>
      <c r="O1190" s="16">
        <f t="shared" si="485"/>
        <v>0</v>
      </c>
      <c r="P1190" s="16"/>
      <c r="Q1190" s="18">
        <f t="shared" si="493"/>
        <v>26529</v>
      </c>
      <c r="R1190" s="18">
        <f t="shared" si="494"/>
        <v>0</v>
      </c>
      <c r="S1190" s="18">
        <f t="shared" si="494"/>
        <v>26529</v>
      </c>
    </row>
    <row r="1191" spans="2:19" x14ac:dyDescent="0.2">
      <c r="B1191" s="7">
        <f t="shared" si="483"/>
        <v>683</v>
      </c>
      <c r="C1191" s="13"/>
      <c r="D1191" s="13"/>
      <c r="E1191" s="13"/>
      <c r="F1191" s="14" t="s">
        <v>157</v>
      </c>
      <c r="G1191" s="15">
        <v>620</v>
      </c>
      <c r="H1191" s="13" t="s">
        <v>122</v>
      </c>
      <c r="I1191" s="16">
        <v>10884</v>
      </c>
      <c r="J1191" s="16"/>
      <c r="K1191" s="16">
        <f t="shared" si="484"/>
        <v>10884</v>
      </c>
      <c r="L1191" s="16"/>
      <c r="M1191" s="16"/>
      <c r="N1191" s="16"/>
      <c r="O1191" s="16">
        <f t="shared" si="485"/>
        <v>0</v>
      </c>
      <c r="P1191" s="16"/>
      <c r="Q1191" s="18">
        <f t="shared" si="493"/>
        <v>10884</v>
      </c>
      <c r="R1191" s="18">
        <f t="shared" si="494"/>
        <v>0</v>
      </c>
      <c r="S1191" s="18">
        <f t="shared" si="494"/>
        <v>10884</v>
      </c>
    </row>
    <row r="1192" spans="2:19" x14ac:dyDescent="0.2">
      <c r="B1192" s="7">
        <f t="shared" si="483"/>
        <v>684</v>
      </c>
      <c r="C1192" s="13"/>
      <c r="D1192" s="13"/>
      <c r="E1192" s="13"/>
      <c r="F1192" s="14" t="s">
        <v>157</v>
      </c>
      <c r="G1192" s="15">
        <v>630</v>
      </c>
      <c r="H1192" s="13" t="s">
        <v>119</v>
      </c>
      <c r="I1192" s="16">
        <f>SUM(I1193:I1196)</f>
        <v>33429</v>
      </c>
      <c r="J1192" s="16">
        <f t="shared" ref="J1192" si="498">SUM(J1193:J1196)</f>
        <v>0</v>
      </c>
      <c r="K1192" s="16">
        <f t="shared" si="484"/>
        <v>33429</v>
      </c>
      <c r="L1192" s="16"/>
      <c r="M1192" s="16"/>
      <c r="N1192" s="16"/>
      <c r="O1192" s="16">
        <f t="shared" si="485"/>
        <v>0</v>
      </c>
      <c r="P1192" s="16"/>
      <c r="Q1192" s="18">
        <f t="shared" si="493"/>
        <v>33429</v>
      </c>
      <c r="R1192" s="18">
        <f t="shared" si="494"/>
        <v>0</v>
      </c>
      <c r="S1192" s="18">
        <f t="shared" si="494"/>
        <v>33429</v>
      </c>
    </row>
    <row r="1193" spans="2:19" x14ac:dyDescent="0.2">
      <c r="B1193" s="7">
        <f t="shared" si="483"/>
        <v>685</v>
      </c>
      <c r="C1193" s="13"/>
      <c r="D1193" s="13"/>
      <c r="E1193" s="13"/>
      <c r="F1193" s="14"/>
      <c r="G1193" s="21">
        <v>632</v>
      </c>
      <c r="H1193" s="19" t="s">
        <v>131</v>
      </c>
      <c r="I1193" s="22">
        <v>4110</v>
      </c>
      <c r="J1193" s="22"/>
      <c r="K1193" s="22">
        <f t="shared" si="484"/>
        <v>4110</v>
      </c>
      <c r="L1193" s="22"/>
      <c r="M1193" s="16"/>
      <c r="N1193" s="16"/>
      <c r="O1193" s="16">
        <f t="shared" si="485"/>
        <v>0</v>
      </c>
      <c r="P1193" s="16"/>
      <c r="Q1193" s="18">
        <f t="shared" si="493"/>
        <v>4110</v>
      </c>
      <c r="R1193" s="18">
        <f t="shared" ref="R1193:S1208" si="499">N1193+J1193</f>
        <v>0</v>
      </c>
      <c r="S1193" s="18">
        <f t="shared" si="499"/>
        <v>4110</v>
      </c>
    </row>
    <row r="1194" spans="2:19" x14ac:dyDescent="0.2">
      <c r="B1194" s="7">
        <f t="shared" si="483"/>
        <v>686</v>
      </c>
      <c r="C1194" s="19"/>
      <c r="D1194" s="19"/>
      <c r="E1194" s="19"/>
      <c r="F1194" s="20"/>
      <c r="G1194" s="21">
        <v>633</v>
      </c>
      <c r="H1194" s="19" t="s">
        <v>123</v>
      </c>
      <c r="I1194" s="22">
        <f>25231-800</f>
        <v>24431</v>
      </c>
      <c r="J1194" s="22"/>
      <c r="K1194" s="22">
        <f t="shared" si="484"/>
        <v>24431</v>
      </c>
      <c r="L1194" s="22"/>
      <c r="M1194" s="22"/>
      <c r="N1194" s="22"/>
      <c r="O1194" s="22">
        <f t="shared" si="485"/>
        <v>0</v>
      </c>
      <c r="P1194" s="22"/>
      <c r="Q1194" s="23">
        <f t="shared" si="493"/>
        <v>24431</v>
      </c>
      <c r="R1194" s="23">
        <f t="shared" si="499"/>
        <v>0</v>
      </c>
      <c r="S1194" s="23">
        <f t="shared" si="499"/>
        <v>24431</v>
      </c>
    </row>
    <row r="1195" spans="2:19" x14ac:dyDescent="0.2">
      <c r="B1195" s="7">
        <f t="shared" si="483"/>
        <v>687</v>
      </c>
      <c r="C1195" s="19"/>
      <c r="D1195" s="19"/>
      <c r="E1195" s="19"/>
      <c r="F1195" s="20"/>
      <c r="G1195" s="21">
        <v>635</v>
      </c>
      <c r="H1195" s="19" t="s">
        <v>130</v>
      </c>
      <c r="I1195" s="22">
        <f>1000+800</f>
        <v>1800</v>
      </c>
      <c r="J1195" s="22"/>
      <c r="K1195" s="22">
        <f t="shared" si="484"/>
        <v>1800</v>
      </c>
      <c r="L1195" s="22"/>
      <c r="M1195" s="22"/>
      <c r="N1195" s="22"/>
      <c r="O1195" s="22">
        <f t="shared" si="485"/>
        <v>0</v>
      </c>
      <c r="P1195" s="22"/>
      <c r="Q1195" s="23">
        <f t="shared" si="493"/>
        <v>1800</v>
      </c>
      <c r="R1195" s="23">
        <f t="shared" si="499"/>
        <v>0</v>
      </c>
      <c r="S1195" s="23">
        <f t="shared" si="499"/>
        <v>1800</v>
      </c>
    </row>
    <row r="1196" spans="2:19" x14ac:dyDescent="0.2">
      <c r="B1196" s="7">
        <f t="shared" si="483"/>
        <v>688</v>
      </c>
      <c r="C1196" s="19"/>
      <c r="D1196" s="19"/>
      <c r="E1196" s="19"/>
      <c r="F1196" s="20"/>
      <c r="G1196" s="21">
        <v>637</v>
      </c>
      <c r="H1196" s="19" t="s">
        <v>120</v>
      </c>
      <c r="I1196" s="22">
        <v>3088</v>
      </c>
      <c r="J1196" s="22"/>
      <c r="K1196" s="22">
        <f t="shared" si="484"/>
        <v>3088</v>
      </c>
      <c r="L1196" s="22"/>
      <c r="M1196" s="22"/>
      <c r="N1196" s="22"/>
      <c r="O1196" s="22">
        <f t="shared" si="485"/>
        <v>0</v>
      </c>
      <c r="P1196" s="22"/>
      <c r="Q1196" s="23">
        <f t="shared" si="493"/>
        <v>3088</v>
      </c>
      <c r="R1196" s="23">
        <f t="shared" si="499"/>
        <v>0</v>
      </c>
      <c r="S1196" s="23">
        <f t="shared" si="499"/>
        <v>3088</v>
      </c>
    </row>
    <row r="1197" spans="2:19" x14ac:dyDescent="0.2">
      <c r="B1197" s="7">
        <f t="shared" si="483"/>
        <v>689</v>
      </c>
      <c r="C1197" s="13"/>
      <c r="D1197" s="13"/>
      <c r="E1197" s="13"/>
      <c r="F1197" s="14" t="s">
        <v>157</v>
      </c>
      <c r="G1197" s="15">
        <v>640</v>
      </c>
      <c r="H1197" s="13" t="s">
        <v>127</v>
      </c>
      <c r="I1197" s="16">
        <v>2500</v>
      </c>
      <c r="J1197" s="16"/>
      <c r="K1197" s="16">
        <f t="shared" si="484"/>
        <v>2500</v>
      </c>
      <c r="L1197" s="16"/>
      <c r="M1197" s="16"/>
      <c r="N1197" s="16"/>
      <c r="O1197" s="16">
        <f t="shared" si="485"/>
        <v>0</v>
      </c>
      <c r="P1197" s="16"/>
      <c r="Q1197" s="18">
        <f t="shared" si="493"/>
        <v>2500</v>
      </c>
      <c r="R1197" s="18">
        <f t="shared" si="499"/>
        <v>0</v>
      </c>
      <c r="S1197" s="18">
        <f t="shared" si="499"/>
        <v>2500</v>
      </c>
    </row>
    <row r="1198" spans="2:19" x14ac:dyDescent="0.2">
      <c r="B1198" s="7">
        <f t="shared" si="483"/>
        <v>690</v>
      </c>
      <c r="C1198" s="119"/>
      <c r="D1198" s="119"/>
      <c r="E1198" s="119" t="s">
        <v>86</v>
      </c>
      <c r="F1198" s="120"/>
      <c r="G1198" s="120"/>
      <c r="H1198" s="119" t="s">
        <v>192</v>
      </c>
      <c r="I1198" s="121">
        <f>I1206+I1201+I1200+I1199</f>
        <v>69074</v>
      </c>
      <c r="J1198" s="121">
        <f t="shared" ref="J1198" si="500">J1206+J1201+J1200+J1199</f>
        <v>0</v>
      </c>
      <c r="K1198" s="121">
        <f t="shared" si="484"/>
        <v>69074</v>
      </c>
      <c r="L1198" s="16"/>
      <c r="M1198" s="121"/>
      <c r="N1198" s="121"/>
      <c r="O1198" s="121">
        <f t="shared" si="485"/>
        <v>0</v>
      </c>
      <c r="P1198" s="16"/>
      <c r="Q1198" s="123">
        <f t="shared" si="493"/>
        <v>69074</v>
      </c>
      <c r="R1198" s="123">
        <f t="shared" si="499"/>
        <v>0</v>
      </c>
      <c r="S1198" s="123">
        <f t="shared" si="499"/>
        <v>69074</v>
      </c>
    </row>
    <row r="1199" spans="2:19" x14ac:dyDescent="0.2">
      <c r="B1199" s="7">
        <f t="shared" si="483"/>
        <v>691</v>
      </c>
      <c r="C1199" s="13"/>
      <c r="D1199" s="13"/>
      <c r="E1199" s="13"/>
      <c r="F1199" s="14" t="s">
        <v>157</v>
      </c>
      <c r="G1199" s="15">
        <v>610</v>
      </c>
      <c r="H1199" s="13" t="s">
        <v>511</v>
      </c>
      <c r="I1199" s="16">
        <v>24697</v>
      </c>
      <c r="J1199" s="16"/>
      <c r="K1199" s="16">
        <f t="shared" si="484"/>
        <v>24697</v>
      </c>
      <c r="L1199" s="16"/>
      <c r="M1199" s="16"/>
      <c r="N1199" s="16"/>
      <c r="O1199" s="16">
        <f t="shared" si="485"/>
        <v>0</v>
      </c>
      <c r="P1199" s="16"/>
      <c r="Q1199" s="18">
        <f t="shared" si="493"/>
        <v>24697</v>
      </c>
      <c r="R1199" s="18">
        <f t="shared" si="499"/>
        <v>0</v>
      </c>
      <c r="S1199" s="18">
        <f t="shared" si="499"/>
        <v>24697</v>
      </c>
    </row>
    <row r="1200" spans="2:19" x14ac:dyDescent="0.2">
      <c r="B1200" s="7">
        <f t="shared" si="483"/>
        <v>692</v>
      </c>
      <c r="C1200" s="13"/>
      <c r="D1200" s="13"/>
      <c r="E1200" s="13"/>
      <c r="F1200" s="14" t="s">
        <v>157</v>
      </c>
      <c r="G1200" s="15">
        <v>620</v>
      </c>
      <c r="H1200" s="13" t="s">
        <v>122</v>
      </c>
      <c r="I1200" s="16">
        <v>9411</v>
      </c>
      <c r="J1200" s="16"/>
      <c r="K1200" s="16">
        <f t="shared" si="484"/>
        <v>9411</v>
      </c>
      <c r="L1200" s="16"/>
      <c r="M1200" s="16"/>
      <c r="N1200" s="16"/>
      <c r="O1200" s="16">
        <f t="shared" si="485"/>
        <v>0</v>
      </c>
      <c r="P1200" s="16"/>
      <c r="Q1200" s="18">
        <f t="shared" si="493"/>
        <v>9411</v>
      </c>
      <c r="R1200" s="18">
        <f t="shared" si="499"/>
        <v>0</v>
      </c>
      <c r="S1200" s="18">
        <f t="shared" si="499"/>
        <v>9411</v>
      </c>
    </row>
    <row r="1201" spans="2:19" x14ac:dyDescent="0.2">
      <c r="B1201" s="7">
        <f t="shared" si="483"/>
        <v>693</v>
      </c>
      <c r="C1201" s="13"/>
      <c r="D1201" s="13"/>
      <c r="E1201" s="13"/>
      <c r="F1201" s="14" t="s">
        <v>157</v>
      </c>
      <c r="G1201" s="15">
        <v>630</v>
      </c>
      <c r="H1201" s="13" t="s">
        <v>119</v>
      </c>
      <c r="I1201" s="16">
        <f>SUM(I1202:I1205)</f>
        <v>34516</v>
      </c>
      <c r="J1201" s="16">
        <f t="shared" ref="J1201" si="501">SUM(J1202:J1205)</f>
        <v>0</v>
      </c>
      <c r="K1201" s="16">
        <f t="shared" si="484"/>
        <v>34516</v>
      </c>
      <c r="L1201" s="16"/>
      <c r="M1201" s="16"/>
      <c r="N1201" s="16"/>
      <c r="O1201" s="16">
        <f t="shared" si="485"/>
        <v>0</v>
      </c>
      <c r="P1201" s="16"/>
      <c r="Q1201" s="18">
        <f t="shared" si="493"/>
        <v>34516</v>
      </c>
      <c r="R1201" s="18">
        <f t="shared" si="499"/>
        <v>0</v>
      </c>
      <c r="S1201" s="18">
        <f t="shared" si="499"/>
        <v>34516</v>
      </c>
    </row>
    <row r="1202" spans="2:19" x14ac:dyDescent="0.2">
      <c r="B1202" s="7">
        <f t="shared" si="483"/>
        <v>694</v>
      </c>
      <c r="C1202" s="13"/>
      <c r="D1202" s="13"/>
      <c r="E1202" s="13"/>
      <c r="F1202" s="14"/>
      <c r="G1202" s="21">
        <v>632</v>
      </c>
      <c r="H1202" s="19" t="s">
        <v>131</v>
      </c>
      <c r="I1202" s="22">
        <v>4820</v>
      </c>
      <c r="J1202" s="22"/>
      <c r="K1202" s="22">
        <f t="shared" si="484"/>
        <v>4820</v>
      </c>
      <c r="L1202" s="22"/>
      <c r="M1202" s="16"/>
      <c r="N1202" s="16"/>
      <c r="O1202" s="16">
        <f t="shared" si="485"/>
        <v>0</v>
      </c>
      <c r="P1202" s="16"/>
      <c r="Q1202" s="18">
        <f t="shared" si="493"/>
        <v>4820</v>
      </c>
      <c r="R1202" s="18">
        <f t="shared" si="499"/>
        <v>0</v>
      </c>
      <c r="S1202" s="18">
        <f t="shared" si="499"/>
        <v>4820</v>
      </c>
    </row>
    <row r="1203" spans="2:19" x14ac:dyDescent="0.2">
      <c r="B1203" s="7">
        <f t="shared" si="483"/>
        <v>695</v>
      </c>
      <c r="C1203" s="19"/>
      <c r="D1203" s="19"/>
      <c r="E1203" s="19"/>
      <c r="F1203" s="20"/>
      <c r="G1203" s="21">
        <v>633</v>
      </c>
      <c r="H1203" s="19" t="s">
        <v>123</v>
      </c>
      <c r="I1203" s="22">
        <v>24986</v>
      </c>
      <c r="J1203" s="22"/>
      <c r="K1203" s="22">
        <f t="shared" si="484"/>
        <v>24986</v>
      </c>
      <c r="L1203" s="22"/>
      <c r="M1203" s="22"/>
      <c r="N1203" s="22"/>
      <c r="O1203" s="22">
        <f t="shared" si="485"/>
        <v>0</v>
      </c>
      <c r="P1203" s="22"/>
      <c r="Q1203" s="23">
        <f t="shared" si="493"/>
        <v>24986</v>
      </c>
      <c r="R1203" s="23">
        <f t="shared" si="499"/>
        <v>0</v>
      </c>
      <c r="S1203" s="23">
        <f t="shared" si="499"/>
        <v>24986</v>
      </c>
    </row>
    <row r="1204" spans="2:19" x14ac:dyDescent="0.2">
      <c r="B1204" s="7">
        <f t="shared" si="483"/>
        <v>696</v>
      </c>
      <c r="C1204" s="19"/>
      <c r="D1204" s="19"/>
      <c r="E1204" s="19"/>
      <c r="F1204" s="20"/>
      <c r="G1204" s="21">
        <v>635</v>
      </c>
      <c r="H1204" s="19" t="s">
        <v>130</v>
      </c>
      <c r="I1204" s="22">
        <v>2500</v>
      </c>
      <c r="J1204" s="22"/>
      <c r="K1204" s="22">
        <f t="shared" si="484"/>
        <v>2500</v>
      </c>
      <c r="L1204" s="22"/>
      <c r="M1204" s="22"/>
      <c r="N1204" s="22"/>
      <c r="O1204" s="22">
        <f t="shared" si="485"/>
        <v>0</v>
      </c>
      <c r="P1204" s="22"/>
      <c r="Q1204" s="23">
        <f t="shared" si="493"/>
        <v>2500</v>
      </c>
      <c r="R1204" s="23">
        <f t="shared" si="499"/>
        <v>0</v>
      </c>
      <c r="S1204" s="23">
        <f t="shared" si="499"/>
        <v>2500</v>
      </c>
    </row>
    <row r="1205" spans="2:19" x14ac:dyDescent="0.2">
      <c r="B1205" s="7">
        <f t="shared" si="483"/>
        <v>697</v>
      </c>
      <c r="C1205" s="19"/>
      <c r="D1205" s="19"/>
      <c r="E1205" s="19"/>
      <c r="F1205" s="20"/>
      <c r="G1205" s="21">
        <v>637</v>
      </c>
      <c r="H1205" s="19" t="s">
        <v>120</v>
      </c>
      <c r="I1205" s="22">
        <v>2210</v>
      </c>
      <c r="J1205" s="22"/>
      <c r="K1205" s="22">
        <f t="shared" si="484"/>
        <v>2210</v>
      </c>
      <c r="L1205" s="22"/>
      <c r="M1205" s="22"/>
      <c r="N1205" s="22"/>
      <c r="O1205" s="22">
        <f t="shared" si="485"/>
        <v>0</v>
      </c>
      <c r="P1205" s="22"/>
      <c r="Q1205" s="23">
        <f t="shared" si="493"/>
        <v>2210</v>
      </c>
      <c r="R1205" s="23">
        <f t="shared" si="499"/>
        <v>0</v>
      </c>
      <c r="S1205" s="23">
        <f t="shared" si="499"/>
        <v>2210</v>
      </c>
    </row>
    <row r="1206" spans="2:19" x14ac:dyDescent="0.2">
      <c r="B1206" s="7">
        <f t="shared" si="483"/>
        <v>698</v>
      </c>
      <c r="C1206" s="13"/>
      <c r="D1206" s="13"/>
      <c r="E1206" s="13"/>
      <c r="F1206" s="14" t="s">
        <v>157</v>
      </c>
      <c r="G1206" s="15">
        <v>640</v>
      </c>
      <c r="H1206" s="13" t="s">
        <v>127</v>
      </c>
      <c r="I1206" s="16">
        <v>450</v>
      </c>
      <c r="J1206" s="16"/>
      <c r="K1206" s="16">
        <f t="shared" si="484"/>
        <v>450</v>
      </c>
      <c r="L1206" s="16"/>
      <c r="M1206" s="16"/>
      <c r="N1206" s="16"/>
      <c r="O1206" s="16">
        <f t="shared" si="485"/>
        <v>0</v>
      </c>
      <c r="P1206" s="16"/>
      <c r="Q1206" s="18">
        <f t="shared" si="493"/>
        <v>450</v>
      </c>
      <c r="R1206" s="18">
        <f t="shared" si="499"/>
        <v>0</v>
      </c>
      <c r="S1206" s="18">
        <f t="shared" si="499"/>
        <v>450</v>
      </c>
    </row>
    <row r="1207" spans="2:19" x14ac:dyDescent="0.2">
      <c r="B1207" s="7">
        <f t="shared" si="483"/>
        <v>699</v>
      </c>
      <c r="C1207" s="119"/>
      <c r="D1207" s="119"/>
      <c r="E1207" s="119" t="s">
        <v>87</v>
      </c>
      <c r="F1207" s="120"/>
      <c r="G1207" s="120"/>
      <c r="H1207" s="119" t="s">
        <v>88</v>
      </c>
      <c r="I1207" s="121">
        <f>I1215+I1210+I1209+I1208</f>
        <v>211102</v>
      </c>
      <c r="J1207" s="121">
        <f t="shared" ref="J1207" si="502">J1215+J1210+J1209+J1208</f>
        <v>0</v>
      </c>
      <c r="K1207" s="121">
        <f t="shared" si="484"/>
        <v>211102</v>
      </c>
      <c r="L1207" s="16"/>
      <c r="M1207" s="121">
        <f>M1216</f>
        <v>8000</v>
      </c>
      <c r="N1207" s="121">
        <f t="shared" ref="N1207" si="503">N1216</f>
        <v>0</v>
      </c>
      <c r="O1207" s="121">
        <f t="shared" si="485"/>
        <v>8000</v>
      </c>
      <c r="P1207" s="16"/>
      <c r="Q1207" s="123">
        <f t="shared" si="493"/>
        <v>219102</v>
      </c>
      <c r="R1207" s="123">
        <f t="shared" si="499"/>
        <v>0</v>
      </c>
      <c r="S1207" s="123">
        <f t="shared" si="499"/>
        <v>219102</v>
      </c>
    </row>
    <row r="1208" spans="2:19" x14ac:dyDescent="0.2">
      <c r="B1208" s="7">
        <f t="shared" si="483"/>
        <v>700</v>
      </c>
      <c r="C1208" s="13"/>
      <c r="D1208" s="13"/>
      <c r="E1208" s="13"/>
      <c r="F1208" s="14" t="s">
        <v>157</v>
      </c>
      <c r="G1208" s="15">
        <v>610</v>
      </c>
      <c r="H1208" s="13" t="s">
        <v>511</v>
      </c>
      <c r="I1208" s="16">
        <v>70284</v>
      </c>
      <c r="J1208" s="16"/>
      <c r="K1208" s="16">
        <f t="shared" si="484"/>
        <v>70284</v>
      </c>
      <c r="L1208" s="16"/>
      <c r="M1208" s="16"/>
      <c r="N1208" s="16"/>
      <c r="O1208" s="16">
        <f t="shared" si="485"/>
        <v>0</v>
      </c>
      <c r="P1208" s="16"/>
      <c r="Q1208" s="18">
        <f t="shared" si="493"/>
        <v>70284</v>
      </c>
      <c r="R1208" s="18">
        <f t="shared" si="499"/>
        <v>0</v>
      </c>
      <c r="S1208" s="18">
        <f t="shared" si="499"/>
        <v>70284</v>
      </c>
    </row>
    <row r="1209" spans="2:19" x14ac:dyDescent="0.2">
      <c r="B1209" s="7">
        <f t="shared" si="483"/>
        <v>701</v>
      </c>
      <c r="C1209" s="13"/>
      <c r="D1209" s="13"/>
      <c r="E1209" s="13"/>
      <c r="F1209" s="14" t="s">
        <v>157</v>
      </c>
      <c r="G1209" s="15">
        <v>620</v>
      </c>
      <c r="H1209" s="13" t="s">
        <v>122</v>
      </c>
      <c r="I1209" s="16">
        <v>27576</v>
      </c>
      <c r="J1209" s="16"/>
      <c r="K1209" s="16">
        <f t="shared" si="484"/>
        <v>27576</v>
      </c>
      <c r="L1209" s="16"/>
      <c r="M1209" s="16"/>
      <c r="N1209" s="16"/>
      <c r="O1209" s="16">
        <f t="shared" si="485"/>
        <v>0</v>
      </c>
      <c r="P1209" s="16"/>
      <c r="Q1209" s="18">
        <f t="shared" si="493"/>
        <v>27576</v>
      </c>
      <c r="R1209" s="18">
        <f t="shared" ref="R1209:S1224" si="504">N1209+J1209</f>
        <v>0</v>
      </c>
      <c r="S1209" s="18">
        <f t="shared" si="504"/>
        <v>27576</v>
      </c>
    </row>
    <row r="1210" spans="2:19" x14ac:dyDescent="0.2">
      <c r="B1210" s="7">
        <f t="shared" si="483"/>
        <v>702</v>
      </c>
      <c r="C1210" s="13"/>
      <c r="D1210" s="13"/>
      <c r="E1210" s="13"/>
      <c r="F1210" s="14" t="s">
        <v>157</v>
      </c>
      <c r="G1210" s="15">
        <v>630</v>
      </c>
      <c r="H1210" s="13" t="s">
        <v>119</v>
      </c>
      <c r="I1210" s="16">
        <f>SUM(I1211:I1214)</f>
        <v>112792</v>
      </c>
      <c r="J1210" s="16">
        <f t="shared" ref="J1210" si="505">SUM(J1211:J1214)</f>
        <v>0</v>
      </c>
      <c r="K1210" s="16">
        <f t="shared" si="484"/>
        <v>112792</v>
      </c>
      <c r="L1210" s="16"/>
      <c r="M1210" s="16"/>
      <c r="N1210" s="16"/>
      <c r="O1210" s="16">
        <f t="shared" si="485"/>
        <v>0</v>
      </c>
      <c r="P1210" s="16"/>
      <c r="Q1210" s="18">
        <f t="shared" si="493"/>
        <v>112792</v>
      </c>
      <c r="R1210" s="18">
        <f t="shared" si="504"/>
        <v>0</v>
      </c>
      <c r="S1210" s="18">
        <f t="shared" si="504"/>
        <v>112792</v>
      </c>
    </row>
    <row r="1211" spans="2:19" x14ac:dyDescent="0.2">
      <c r="B1211" s="7">
        <f t="shared" si="483"/>
        <v>703</v>
      </c>
      <c r="C1211" s="19"/>
      <c r="D1211" s="19"/>
      <c r="E1211" s="19"/>
      <c r="F1211" s="20"/>
      <c r="G1211" s="21">
        <v>632</v>
      </c>
      <c r="H1211" s="19" t="s">
        <v>131</v>
      </c>
      <c r="I1211" s="22">
        <v>18430</v>
      </c>
      <c r="J1211" s="22"/>
      <c r="K1211" s="22">
        <f t="shared" si="484"/>
        <v>18430</v>
      </c>
      <c r="L1211" s="22"/>
      <c r="M1211" s="22"/>
      <c r="N1211" s="22"/>
      <c r="O1211" s="22">
        <f t="shared" si="485"/>
        <v>0</v>
      </c>
      <c r="P1211" s="22"/>
      <c r="Q1211" s="23">
        <f t="shared" si="493"/>
        <v>18430</v>
      </c>
      <c r="R1211" s="23">
        <f t="shared" si="504"/>
        <v>0</v>
      </c>
      <c r="S1211" s="23">
        <f t="shared" si="504"/>
        <v>18430</v>
      </c>
    </row>
    <row r="1212" spans="2:19" x14ac:dyDescent="0.2">
      <c r="B1212" s="7">
        <f t="shared" si="483"/>
        <v>704</v>
      </c>
      <c r="C1212" s="19"/>
      <c r="D1212" s="19"/>
      <c r="E1212" s="19"/>
      <c r="F1212" s="20"/>
      <c r="G1212" s="21">
        <v>633</v>
      </c>
      <c r="H1212" s="19" t="s">
        <v>123</v>
      </c>
      <c r="I1212" s="22">
        <v>78349</v>
      </c>
      <c r="J1212" s="22"/>
      <c r="K1212" s="22">
        <f t="shared" si="484"/>
        <v>78349</v>
      </c>
      <c r="L1212" s="22"/>
      <c r="M1212" s="22"/>
      <c r="N1212" s="22"/>
      <c r="O1212" s="22">
        <f t="shared" si="485"/>
        <v>0</v>
      </c>
      <c r="P1212" s="22"/>
      <c r="Q1212" s="23">
        <f t="shared" si="493"/>
        <v>78349</v>
      </c>
      <c r="R1212" s="23">
        <f t="shared" si="504"/>
        <v>0</v>
      </c>
      <c r="S1212" s="23">
        <f t="shared" si="504"/>
        <v>78349</v>
      </c>
    </row>
    <row r="1213" spans="2:19" x14ac:dyDescent="0.2">
      <c r="B1213" s="7">
        <f t="shared" si="483"/>
        <v>705</v>
      </c>
      <c r="C1213" s="19"/>
      <c r="D1213" s="19"/>
      <c r="E1213" s="19"/>
      <c r="F1213" s="20"/>
      <c r="G1213" s="21">
        <v>635</v>
      </c>
      <c r="H1213" s="19" t="s">
        <v>130</v>
      </c>
      <c r="I1213" s="22">
        <f>6200+2500</f>
        <v>8700</v>
      </c>
      <c r="J1213" s="22"/>
      <c r="K1213" s="22">
        <f t="shared" si="484"/>
        <v>8700</v>
      </c>
      <c r="L1213" s="22"/>
      <c r="M1213" s="22"/>
      <c r="N1213" s="22"/>
      <c r="O1213" s="22">
        <f t="shared" si="485"/>
        <v>0</v>
      </c>
      <c r="P1213" s="22"/>
      <c r="Q1213" s="23">
        <f t="shared" si="493"/>
        <v>8700</v>
      </c>
      <c r="R1213" s="23">
        <f t="shared" si="504"/>
        <v>0</v>
      </c>
      <c r="S1213" s="23">
        <f t="shared" si="504"/>
        <v>8700</v>
      </c>
    </row>
    <row r="1214" spans="2:19" x14ac:dyDescent="0.2">
      <c r="B1214" s="7">
        <f t="shared" ref="B1214:B1278" si="506">B1213+1</f>
        <v>706</v>
      </c>
      <c r="C1214" s="19"/>
      <c r="D1214" s="19"/>
      <c r="E1214" s="19"/>
      <c r="F1214" s="20"/>
      <c r="G1214" s="21">
        <v>637</v>
      </c>
      <c r="H1214" s="19" t="s">
        <v>120</v>
      </c>
      <c r="I1214" s="22">
        <v>7313</v>
      </c>
      <c r="J1214" s="22"/>
      <c r="K1214" s="22">
        <f t="shared" ref="K1214:K1278" si="507">I1214+J1214</f>
        <v>7313</v>
      </c>
      <c r="L1214" s="22"/>
      <c r="M1214" s="22"/>
      <c r="N1214" s="22"/>
      <c r="O1214" s="22">
        <f t="shared" ref="O1214:O1278" si="508">M1214+N1214</f>
        <v>0</v>
      </c>
      <c r="P1214" s="22"/>
      <c r="Q1214" s="23">
        <f t="shared" si="493"/>
        <v>7313</v>
      </c>
      <c r="R1214" s="23">
        <f t="shared" si="504"/>
        <v>0</v>
      </c>
      <c r="S1214" s="23">
        <f t="shared" si="504"/>
        <v>7313</v>
      </c>
    </row>
    <row r="1215" spans="2:19" x14ac:dyDescent="0.2">
      <c r="B1215" s="7">
        <f t="shared" si="506"/>
        <v>707</v>
      </c>
      <c r="C1215" s="13"/>
      <c r="D1215" s="13"/>
      <c r="E1215" s="13"/>
      <c r="F1215" s="14" t="s">
        <v>157</v>
      </c>
      <c r="G1215" s="15">
        <v>640</v>
      </c>
      <c r="H1215" s="13" t="s">
        <v>127</v>
      </c>
      <c r="I1215" s="16">
        <v>450</v>
      </c>
      <c r="J1215" s="16"/>
      <c r="K1215" s="16">
        <f t="shared" si="507"/>
        <v>450</v>
      </c>
      <c r="L1215" s="16"/>
      <c r="M1215" s="16"/>
      <c r="N1215" s="16"/>
      <c r="O1215" s="16">
        <f t="shared" si="508"/>
        <v>0</v>
      </c>
      <c r="P1215" s="16"/>
      <c r="Q1215" s="18">
        <f t="shared" si="493"/>
        <v>450</v>
      </c>
      <c r="R1215" s="18">
        <f t="shared" si="504"/>
        <v>0</v>
      </c>
      <c r="S1215" s="18">
        <f t="shared" si="504"/>
        <v>450</v>
      </c>
    </row>
    <row r="1216" spans="2:19" x14ac:dyDescent="0.2">
      <c r="B1216" s="7">
        <f t="shared" si="506"/>
        <v>708</v>
      </c>
      <c r="C1216" s="13"/>
      <c r="D1216" s="13"/>
      <c r="E1216" s="13"/>
      <c r="F1216" s="14" t="s">
        <v>157</v>
      </c>
      <c r="G1216" s="15">
        <v>710</v>
      </c>
      <c r="H1216" s="13" t="s">
        <v>171</v>
      </c>
      <c r="I1216" s="16"/>
      <c r="J1216" s="16"/>
      <c r="K1216" s="16">
        <f t="shared" si="507"/>
        <v>0</v>
      </c>
      <c r="L1216" s="16"/>
      <c r="M1216" s="16">
        <f>M1217+M1219</f>
        <v>8000</v>
      </c>
      <c r="N1216" s="16">
        <f t="shared" ref="N1216" si="509">N1217+N1219</f>
        <v>0</v>
      </c>
      <c r="O1216" s="16">
        <f t="shared" si="508"/>
        <v>8000</v>
      </c>
      <c r="P1216" s="16"/>
      <c r="Q1216" s="23">
        <f t="shared" si="493"/>
        <v>8000</v>
      </c>
      <c r="R1216" s="23">
        <f t="shared" si="504"/>
        <v>0</v>
      </c>
      <c r="S1216" s="23">
        <f t="shared" si="504"/>
        <v>8000</v>
      </c>
    </row>
    <row r="1217" spans="2:19" x14ac:dyDescent="0.2">
      <c r="B1217" s="7">
        <f t="shared" si="506"/>
        <v>709</v>
      </c>
      <c r="C1217" s="13"/>
      <c r="D1217" s="13"/>
      <c r="E1217" s="13"/>
      <c r="F1217" s="14"/>
      <c r="G1217" s="21">
        <v>713</v>
      </c>
      <c r="H1217" s="19" t="s">
        <v>215</v>
      </c>
      <c r="I1217" s="16"/>
      <c r="J1217" s="16"/>
      <c r="K1217" s="16">
        <f t="shared" si="507"/>
        <v>0</v>
      </c>
      <c r="L1217" s="16"/>
      <c r="M1217" s="22">
        <f>M1218</f>
        <v>8000</v>
      </c>
      <c r="N1217" s="22">
        <f t="shared" ref="N1217" si="510">N1218</f>
        <v>0</v>
      </c>
      <c r="O1217" s="22">
        <f t="shared" si="508"/>
        <v>8000</v>
      </c>
      <c r="P1217" s="16"/>
      <c r="Q1217" s="23">
        <f t="shared" si="493"/>
        <v>8000</v>
      </c>
      <c r="R1217" s="23">
        <f t="shared" si="504"/>
        <v>0</v>
      </c>
      <c r="S1217" s="23">
        <f t="shared" si="504"/>
        <v>8000</v>
      </c>
    </row>
    <row r="1218" spans="2:19" x14ac:dyDescent="0.2">
      <c r="B1218" s="7">
        <f t="shared" si="506"/>
        <v>710</v>
      </c>
      <c r="C1218" s="13"/>
      <c r="D1218" s="13"/>
      <c r="E1218" s="13"/>
      <c r="F1218" s="14"/>
      <c r="G1218" s="25"/>
      <c r="H1218" s="1" t="s">
        <v>612</v>
      </c>
      <c r="I1218" s="16"/>
      <c r="J1218" s="16"/>
      <c r="K1218" s="16">
        <f t="shared" si="507"/>
        <v>0</v>
      </c>
      <c r="L1218" s="16"/>
      <c r="M1218" s="26">
        <v>8000</v>
      </c>
      <c r="N1218" s="26"/>
      <c r="O1218" s="26">
        <f t="shared" si="508"/>
        <v>8000</v>
      </c>
      <c r="P1218" s="16"/>
      <c r="Q1218" s="28">
        <f t="shared" si="493"/>
        <v>8000</v>
      </c>
      <c r="R1218" s="28">
        <f t="shared" si="504"/>
        <v>0</v>
      </c>
      <c r="S1218" s="28">
        <f t="shared" si="504"/>
        <v>8000</v>
      </c>
    </row>
    <row r="1219" spans="2:19" ht="15" x14ac:dyDescent="0.25">
      <c r="B1219" s="7">
        <f t="shared" si="506"/>
        <v>711</v>
      </c>
      <c r="C1219" s="108"/>
      <c r="D1219" s="108"/>
      <c r="E1219" s="108">
        <v>6</v>
      </c>
      <c r="F1219" s="109"/>
      <c r="G1219" s="109"/>
      <c r="H1219" s="108" t="s">
        <v>278</v>
      </c>
      <c r="I1219" s="110">
        <f>I1220+I1221+I1222+I1227+I1228+I1229+I1230+I1235</f>
        <v>450058</v>
      </c>
      <c r="J1219" s="110">
        <f t="shared" ref="J1219" si="511">J1220+J1221+J1222+J1227+J1228+J1229+J1230+J1235</f>
        <v>0</v>
      </c>
      <c r="K1219" s="110">
        <f t="shared" si="507"/>
        <v>450058</v>
      </c>
      <c r="L1219" s="321"/>
      <c r="M1219" s="110"/>
      <c r="N1219" s="110"/>
      <c r="O1219" s="110">
        <f t="shared" si="508"/>
        <v>0</v>
      </c>
      <c r="P1219" s="321"/>
      <c r="Q1219" s="112">
        <f t="shared" si="493"/>
        <v>450058</v>
      </c>
      <c r="R1219" s="112">
        <f t="shared" si="504"/>
        <v>0</v>
      </c>
      <c r="S1219" s="112">
        <f t="shared" si="504"/>
        <v>450058</v>
      </c>
    </row>
    <row r="1220" spans="2:19" x14ac:dyDescent="0.2">
      <c r="B1220" s="7">
        <f t="shared" si="506"/>
        <v>712</v>
      </c>
      <c r="C1220" s="13"/>
      <c r="D1220" s="13"/>
      <c r="E1220" s="13"/>
      <c r="F1220" s="14" t="s">
        <v>80</v>
      </c>
      <c r="G1220" s="15">
        <v>610</v>
      </c>
      <c r="H1220" s="13" t="s">
        <v>511</v>
      </c>
      <c r="I1220" s="16">
        <v>58393</v>
      </c>
      <c r="J1220" s="16"/>
      <c r="K1220" s="16">
        <f t="shared" si="507"/>
        <v>58393</v>
      </c>
      <c r="L1220" s="16"/>
      <c r="M1220" s="16"/>
      <c r="N1220" s="16"/>
      <c r="O1220" s="16">
        <f t="shared" si="508"/>
        <v>0</v>
      </c>
      <c r="P1220" s="16"/>
      <c r="Q1220" s="18">
        <f t="shared" si="493"/>
        <v>58393</v>
      </c>
      <c r="R1220" s="18">
        <f t="shared" si="504"/>
        <v>0</v>
      </c>
      <c r="S1220" s="18">
        <f t="shared" si="504"/>
        <v>58393</v>
      </c>
    </row>
    <row r="1221" spans="2:19" x14ac:dyDescent="0.2">
      <c r="B1221" s="7">
        <f t="shared" si="506"/>
        <v>713</v>
      </c>
      <c r="C1221" s="13"/>
      <c r="D1221" s="13"/>
      <c r="E1221" s="13"/>
      <c r="F1221" s="14" t="s">
        <v>80</v>
      </c>
      <c r="G1221" s="15">
        <v>620</v>
      </c>
      <c r="H1221" s="13" t="s">
        <v>122</v>
      </c>
      <c r="I1221" s="16">
        <v>21021</v>
      </c>
      <c r="J1221" s="16"/>
      <c r="K1221" s="16">
        <f t="shared" si="507"/>
        <v>21021</v>
      </c>
      <c r="L1221" s="16"/>
      <c r="M1221" s="16"/>
      <c r="N1221" s="16"/>
      <c r="O1221" s="16">
        <f t="shared" si="508"/>
        <v>0</v>
      </c>
      <c r="P1221" s="16"/>
      <c r="Q1221" s="18">
        <f t="shared" si="493"/>
        <v>21021</v>
      </c>
      <c r="R1221" s="18">
        <f t="shared" si="504"/>
        <v>0</v>
      </c>
      <c r="S1221" s="18">
        <f t="shared" si="504"/>
        <v>21021</v>
      </c>
    </row>
    <row r="1222" spans="2:19" x14ac:dyDescent="0.2">
      <c r="B1222" s="7">
        <f t="shared" si="506"/>
        <v>714</v>
      </c>
      <c r="C1222" s="13"/>
      <c r="D1222" s="13"/>
      <c r="E1222" s="13"/>
      <c r="F1222" s="14" t="s">
        <v>80</v>
      </c>
      <c r="G1222" s="15">
        <v>630</v>
      </c>
      <c r="H1222" s="13" t="s">
        <v>119</v>
      </c>
      <c r="I1222" s="16">
        <f>SUM(I1223:I1226)</f>
        <v>139062</v>
      </c>
      <c r="J1222" s="16">
        <f t="shared" ref="J1222" si="512">SUM(J1223:J1226)</f>
        <v>0</v>
      </c>
      <c r="K1222" s="16">
        <f t="shared" si="507"/>
        <v>139062</v>
      </c>
      <c r="L1222" s="16"/>
      <c r="M1222" s="16"/>
      <c r="N1222" s="16"/>
      <c r="O1222" s="16">
        <f t="shared" si="508"/>
        <v>0</v>
      </c>
      <c r="P1222" s="16"/>
      <c r="Q1222" s="18">
        <f t="shared" si="493"/>
        <v>139062</v>
      </c>
      <c r="R1222" s="18">
        <f t="shared" si="504"/>
        <v>0</v>
      </c>
      <c r="S1222" s="18">
        <f t="shared" si="504"/>
        <v>139062</v>
      </c>
    </row>
    <row r="1223" spans="2:19" x14ac:dyDescent="0.2">
      <c r="B1223" s="7">
        <f t="shared" si="506"/>
        <v>715</v>
      </c>
      <c r="C1223" s="19"/>
      <c r="D1223" s="19"/>
      <c r="E1223" s="19"/>
      <c r="F1223" s="20"/>
      <c r="G1223" s="21">
        <v>632</v>
      </c>
      <c r="H1223" s="19" t="s">
        <v>131</v>
      </c>
      <c r="I1223" s="22">
        <v>28020</v>
      </c>
      <c r="J1223" s="22"/>
      <c r="K1223" s="22">
        <f t="shared" si="507"/>
        <v>28020</v>
      </c>
      <c r="L1223" s="22"/>
      <c r="M1223" s="22"/>
      <c r="N1223" s="22"/>
      <c r="O1223" s="22">
        <f t="shared" si="508"/>
        <v>0</v>
      </c>
      <c r="P1223" s="22"/>
      <c r="Q1223" s="23">
        <f t="shared" si="493"/>
        <v>28020</v>
      </c>
      <c r="R1223" s="23">
        <f t="shared" si="504"/>
        <v>0</v>
      </c>
      <c r="S1223" s="23">
        <f t="shared" si="504"/>
        <v>28020</v>
      </c>
    </row>
    <row r="1224" spans="2:19" x14ac:dyDescent="0.2">
      <c r="B1224" s="7">
        <f t="shared" si="506"/>
        <v>716</v>
      </c>
      <c r="C1224" s="19"/>
      <c r="D1224" s="19"/>
      <c r="E1224" s="19"/>
      <c r="F1224" s="20"/>
      <c r="G1224" s="21">
        <v>633</v>
      </c>
      <c r="H1224" s="19" t="s">
        <v>123</v>
      </c>
      <c r="I1224" s="22">
        <v>101760</v>
      </c>
      <c r="J1224" s="22"/>
      <c r="K1224" s="22">
        <f t="shared" si="507"/>
        <v>101760</v>
      </c>
      <c r="L1224" s="22"/>
      <c r="M1224" s="22"/>
      <c r="N1224" s="22"/>
      <c r="O1224" s="22">
        <f t="shared" si="508"/>
        <v>0</v>
      </c>
      <c r="P1224" s="22"/>
      <c r="Q1224" s="23">
        <f t="shared" si="493"/>
        <v>101760</v>
      </c>
      <c r="R1224" s="23">
        <f t="shared" si="504"/>
        <v>0</v>
      </c>
      <c r="S1224" s="23">
        <f t="shared" si="504"/>
        <v>101760</v>
      </c>
    </row>
    <row r="1225" spans="2:19" x14ac:dyDescent="0.2">
      <c r="B1225" s="7">
        <f t="shared" si="506"/>
        <v>717</v>
      </c>
      <c r="C1225" s="19"/>
      <c r="D1225" s="19"/>
      <c r="E1225" s="19"/>
      <c r="F1225" s="20"/>
      <c r="G1225" s="21">
        <v>635</v>
      </c>
      <c r="H1225" s="19" t="s">
        <v>130</v>
      </c>
      <c r="I1225" s="22">
        <v>6112</v>
      </c>
      <c r="J1225" s="22"/>
      <c r="K1225" s="22">
        <f t="shared" si="507"/>
        <v>6112</v>
      </c>
      <c r="L1225" s="22"/>
      <c r="M1225" s="22"/>
      <c r="N1225" s="22"/>
      <c r="O1225" s="22">
        <f t="shared" si="508"/>
        <v>0</v>
      </c>
      <c r="P1225" s="22"/>
      <c r="Q1225" s="23">
        <f t="shared" si="493"/>
        <v>6112</v>
      </c>
      <c r="R1225" s="23">
        <f t="shared" ref="R1225:S1240" si="513">N1225+J1225</f>
        <v>0</v>
      </c>
      <c r="S1225" s="23">
        <f t="shared" si="513"/>
        <v>6112</v>
      </c>
    </row>
    <row r="1226" spans="2:19" x14ac:dyDescent="0.2">
      <c r="B1226" s="7">
        <f t="shared" si="506"/>
        <v>718</v>
      </c>
      <c r="C1226" s="19"/>
      <c r="D1226" s="19"/>
      <c r="E1226" s="19"/>
      <c r="F1226" s="20"/>
      <c r="G1226" s="21">
        <v>637</v>
      </c>
      <c r="H1226" s="19" t="s">
        <v>120</v>
      </c>
      <c r="I1226" s="22">
        <v>3170</v>
      </c>
      <c r="J1226" s="22"/>
      <c r="K1226" s="22">
        <f t="shared" si="507"/>
        <v>3170</v>
      </c>
      <c r="L1226" s="22"/>
      <c r="M1226" s="22"/>
      <c r="N1226" s="22"/>
      <c r="O1226" s="22">
        <f t="shared" si="508"/>
        <v>0</v>
      </c>
      <c r="P1226" s="22"/>
      <c r="Q1226" s="23">
        <f t="shared" si="493"/>
        <v>3170</v>
      </c>
      <c r="R1226" s="23">
        <f t="shared" si="513"/>
        <v>0</v>
      </c>
      <c r="S1226" s="23">
        <f t="shared" si="513"/>
        <v>3170</v>
      </c>
    </row>
    <row r="1227" spans="2:19" x14ac:dyDescent="0.2">
      <c r="B1227" s="7">
        <f t="shared" si="506"/>
        <v>719</v>
      </c>
      <c r="C1227" s="13"/>
      <c r="D1227" s="13"/>
      <c r="E1227" s="13"/>
      <c r="F1227" s="14" t="s">
        <v>80</v>
      </c>
      <c r="G1227" s="15">
        <v>640</v>
      </c>
      <c r="H1227" s="13" t="s">
        <v>127</v>
      </c>
      <c r="I1227" s="16">
        <v>2294</v>
      </c>
      <c r="J1227" s="16"/>
      <c r="K1227" s="16">
        <f t="shared" si="507"/>
        <v>2294</v>
      </c>
      <c r="L1227" s="16"/>
      <c r="M1227" s="16"/>
      <c r="N1227" s="16"/>
      <c r="O1227" s="16">
        <f t="shared" si="508"/>
        <v>0</v>
      </c>
      <c r="P1227" s="16"/>
      <c r="Q1227" s="18">
        <f t="shared" si="493"/>
        <v>2294</v>
      </c>
      <c r="R1227" s="18">
        <f t="shared" si="513"/>
        <v>0</v>
      </c>
      <c r="S1227" s="18">
        <f t="shared" si="513"/>
        <v>2294</v>
      </c>
    </row>
    <row r="1228" spans="2:19" x14ac:dyDescent="0.2">
      <c r="B1228" s="7">
        <f t="shared" si="506"/>
        <v>720</v>
      </c>
      <c r="C1228" s="13"/>
      <c r="D1228" s="13"/>
      <c r="E1228" s="13"/>
      <c r="F1228" s="14" t="s">
        <v>50</v>
      </c>
      <c r="G1228" s="15">
        <v>610</v>
      </c>
      <c r="H1228" s="13" t="s">
        <v>511</v>
      </c>
      <c r="I1228" s="16">
        <v>63832</v>
      </c>
      <c r="J1228" s="16"/>
      <c r="K1228" s="16">
        <f t="shared" si="507"/>
        <v>63832</v>
      </c>
      <c r="L1228" s="16"/>
      <c r="M1228" s="16"/>
      <c r="N1228" s="16"/>
      <c r="O1228" s="16">
        <f t="shared" si="508"/>
        <v>0</v>
      </c>
      <c r="P1228" s="16"/>
      <c r="Q1228" s="18">
        <f t="shared" si="493"/>
        <v>63832</v>
      </c>
      <c r="R1228" s="18">
        <f t="shared" si="513"/>
        <v>0</v>
      </c>
      <c r="S1228" s="18">
        <f t="shared" si="513"/>
        <v>63832</v>
      </c>
    </row>
    <row r="1229" spans="2:19" x14ac:dyDescent="0.2">
      <c r="B1229" s="7">
        <f t="shared" si="506"/>
        <v>721</v>
      </c>
      <c r="C1229" s="13"/>
      <c r="D1229" s="13"/>
      <c r="E1229" s="13"/>
      <c r="F1229" s="14" t="s">
        <v>50</v>
      </c>
      <c r="G1229" s="15">
        <v>620</v>
      </c>
      <c r="H1229" s="13" t="s">
        <v>122</v>
      </c>
      <c r="I1229" s="16">
        <v>22979</v>
      </c>
      <c r="J1229" s="16"/>
      <c r="K1229" s="16">
        <f t="shared" si="507"/>
        <v>22979</v>
      </c>
      <c r="L1229" s="16"/>
      <c r="M1229" s="16"/>
      <c r="N1229" s="16"/>
      <c r="O1229" s="16">
        <f t="shared" si="508"/>
        <v>0</v>
      </c>
      <c r="P1229" s="16"/>
      <c r="Q1229" s="18">
        <f t="shared" si="493"/>
        <v>22979</v>
      </c>
      <c r="R1229" s="18">
        <f t="shared" si="513"/>
        <v>0</v>
      </c>
      <c r="S1229" s="18">
        <f t="shared" si="513"/>
        <v>22979</v>
      </c>
    </row>
    <row r="1230" spans="2:19" x14ac:dyDescent="0.2">
      <c r="B1230" s="7">
        <f t="shared" si="506"/>
        <v>722</v>
      </c>
      <c r="C1230" s="13"/>
      <c r="D1230" s="13"/>
      <c r="E1230" s="13"/>
      <c r="F1230" s="14" t="s">
        <v>50</v>
      </c>
      <c r="G1230" s="15">
        <v>630</v>
      </c>
      <c r="H1230" s="13" t="s">
        <v>119</v>
      </c>
      <c r="I1230" s="16">
        <f>SUM(I1231:I1234)</f>
        <v>142183</v>
      </c>
      <c r="J1230" s="16">
        <f t="shared" ref="J1230" si="514">SUM(J1231:J1234)</f>
        <v>0</v>
      </c>
      <c r="K1230" s="16">
        <f t="shared" si="507"/>
        <v>142183</v>
      </c>
      <c r="L1230" s="16"/>
      <c r="M1230" s="16"/>
      <c r="N1230" s="16"/>
      <c r="O1230" s="16">
        <f t="shared" si="508"/>
        <v>0</v>
      </c>
      <c r="P1230" s="16"/>
      <c r="Q1230" s="18">
        <f t="shared" si="493"/>
        <v>142183</v>
      </c>
      <c r="R1230" s="18">
        <f t="shared" si="513"/>
        <v>0</v>
      </c>
      <c r="S1230" s="18">
        <f t="shared" si="513"/>
        <v>142183</v>
      </c>
    </row>
    <row r="1231" spans="2:19" x14ac:dyDescent="0.2">
      <c r="B1231" s="7">
        <f t="shared" si="506"/>
        <v>723</v>
      </c>
      <c r="C1231" s="19"/>
      <c r="D1231" s="19"/>
      <c r="E1231" s="19"/>
      <c r="F1231" s="20"/>
      <c r="G1231" s="21">
        <v>632</v>
      </c>
      <c r="H1231" s="19" t="s">
        <v>131</v>
      </c>
      <c r="I1231" s="22">
        <v>28021</v>
      </c>
      <c r="J1231" s="22"/>
      <c r="K1231" s="22">
        <f t="shared" si="507"/>
        <v>28021</v>
      </c>
      <c r="L1231" s="22"/>
      <c r="M1231" s="22"/>
      <c r="N1231" s="22"/>
      <c r="O1231" s="22">
        <f t="shared" si="508"/>
        <v>0</v>
      </c>
      <c r="P1231" s="22"/>
      <c r="Q1231" s="23">
        <f t="shared" si="493"/>
        <v>28021</v>
      </c>
      <c r="R1231" s="23">
        <f t="shared" si="513"/>
        <v>0</v>
      </c>
      <c r="S1231" s="23">
        <f t="shared" si="513"/>
        <v>28021</v>
      </c>
    </row>
    <row r="1232" spans="2:19" x14ac:dyDescent="0.2">
      <c r="B1232" s="7">
        <f t="shared" si="506"/>
        <v>724</v>
      </c>
      <c r="C1232" s="19"/>
      <c r="D1232" s="19"/>
      <c r="E1232" s="19"/>
      <c r="F1232" s="20"/>
      <c r="G1232" s="21">
        <v>633</v>
      </c>
      <c r="H1232" s="19" t="s">
        <v>123</v>
      </c>
      <c r="I1232" s="22">
        <v>104880</v>
      </c>
      <c r="J1232" s="22"/>
      <c r="K1232" s="22">
        <f t="shared" si="507"/>
        <v>104880</v>
      </c>
      <c r="L1232" s="22"/>
      <c r="M1232" s="22"/>
      <c r="N1232" s="22"/>
      <c r="O1232" s="22">
        <f t="shared" si="508"/>
        <v>0</v>
      </c>
      <c r="P1232" s="22"/>
      <c r="Q1232" s="23">
        <f t="shared" si="493"/>
        <v>104880</v>
      </c>
      <c r="R1232" s="23">
        <f t="shared" si="513"/>
        <v>0</v>
      </c>
      <c r="S1232" s="23">
        <f t="shared" si="513"/>
        <v>104880</v>
      </c>
    </row>
    <row r="1233" spans="2:19" x14ac:dyDescent="0.2">
      <c r="B1233" s="7">
        <f t="shared" si="506"/>
        <v>725</v>
      </c>
      <c r="C1233" s="19"/>
      <c r="D1233" s="19"/>
      <c r="E1233" s="19"/>
      <c r="F1233" s="20"/>
      <c r="G1233" s="21">
        <v>635</v>
      </c>
      <c r="H1233" s="19" t="s">
        <v>130</v>
      </c>
      <c r="I1233" s="22">
        <v>6112</v>
      </c>
      <c r="J1233" s="22"/>
      <c r="K1233" s="22">
        <f t="shared" si="507"/>
        <v>6112</v>
      </c>
      <c r="L1233" s="22"/>
      <c r="M1233" s="22"/>
      <c r="N1233" s="22"/>
      <c r="O1233" s="22">
        <f t="shared" si="508"/>
        <v>0</v>
      </c>
      <c r="P1233" s="22"/>
      <c r="Q1233" s="23">
        <f t="shared" si="493"/>
        <v>6112</v>
      </c>
      <c r="R1233" s="23">
        <f t="shared" si="513"/>
        <v>0</v>
      </c>
      <c r="S1233" s="23">
        <f t="shared" si="513"/>
        <v>6112</v>
      </c>
    </row>
    <row r="1234" spans="2:19" x14ac:dyDescent="0.2">
      <c r="B1234" s="7">
        <f t="shared" si="506"/>
        <v>726</v>
      </c>
      <c r="C1234" s="19"/>
      <c r="D1234" s="19"/>
      <c r="E1234" s="19"/>
      <c r="F1234" s="20"/>
      <c r="G1234" s="21">
        <v>637</v>
      </c>
      <c r="H1234" s="19" t="s">
        <v>120</v>
      </c>
      <c r="I1234" s="22">
        <v>3170</v>
      </c>
      <c r="J1234" s="22"/>
      <c r="K1234" s="22">
        <f t="shared" si="507"/>
        <v>3170</v>
      </c>
      <c r="L1234" s="22"/>
      <c r="M1234" s="22"/>
      <c r="N1234" s="22"/>
      <c r="O1234" s="22">
        <f t="shared" si="508"/>
        <v>0</v>
      </c>
      <c r="P1234" s="22"/>
      <c r="Q1234" s="23">
        <f t="shared" si="493"/>
        <v>3170</v>
      </c>
      <c r="R1234" s="23">
        <f t="shared" si="513"/>
        <v>0</v>
      </c>
      <c r="S1234" s="23">
        <f t="shared" si="513"/>
        <v>3170</v>
      </c>
    </row>
    <row r="1235" spans="2:19" x14ac:dyDescent="0.2">
      <c r="B1235" s="7">
        <f t="shared" si="506"/>
        <v>727</v>
      </c>
      <c r="C1235" s="13"/>
      <c r="D1235" s="13"/>
      <c r="E1235" s="13"/>
      <c r="F1235" s="14" t="s">
        <v>50</v>
      </c>
      <c r="G1235" s="15">
        <v>640</v>
      </c>
      <c r="H1235" s="13" t="s">
        <v>127</v>
      </c>
      <c r="I1235" s="16">
        <v>294</v>
      </c>
      <c r="J1235" s="16"/>
      <c r="K1235" s="16">
        <f t="shared" si="507"/>
        <v>294</v>
      </c>
      <c r="L1235" s="16"/>
      <c r="M1235" s="16"/>
      <c r="N1235" s="16"/>
      <c r="O1235" s="16">
        <f t="shared" si="508"/>
        <v>0</v>
      </c>
      <c r="P1235" s="16"/>
      <c r="Q1235" s="18">
        <f t="shared" si="493"/>
        <v>294</v>
      </c>
      <c r="R1235" s="18">
        <f t="shared" si="513"/>
        <v>0</v>
      </c>
      <c r="S1235" s="18">
        <f t="shared" si="513"/>
        <v>294</v>
      </c>
    </row>
    <row r="1236" spans="2:19" ht="15" x14ac:dyDescent="0.25">
      <c r="B1236" s="7">
        <f t="shared" si="506"/>
        <v>728</v>
      </c>
      <c r="C1236" s="108"/>
      <c r="D1236" s="108"/>
      <c r="E1236" s="108">
        <v>7</v>
      </c>
      <c r="F1236" s="109"/>
      <c r="G1236" s="109"/>
      <c r="H1236" s="108" t="s">
        <v>280</v>
      </c>
      <c r="I1236" s="110">
        <f>I1237+I1238+I1239+I1243+I1244+I1245+I1246+I1251</f>
        <v>549801</v>
      </c>
      <c r="J1236" s="110">
        <f t="shared" ref="J1236" si="515">J1237+J1238+J1239+J1243+J1244+J1245+J1246+J1251</f>
        <v>-2842</v>
      </c>
      <c r="K1236" s="110">
        <f t="shared" si="507"/>
        <v>546959</v>
      </c>
      <c r="L1236" s="321"/>
      <c r="M1236" s="110">
        <f>M1252</f>
        <v>1569000</v>
      </c>
      <c r="N1236" s="110">
        <f t="shared" ref="N1236" si="516">N1252</f>
        <v>2842</v>
      </c>
      <c r="O1236" s="110">
        <f t="shared" si="508"/>
        <v>1571842</v>
      </c>
      <c r="P1236" s="321"/>
      <c r="Q1236" s="112">
        <f t="shared" si="493"/>
        <v>2118801</v>
      </c>
      <c r="R1236" s="112">
        <f t="shared" si="513"/>
        <v>0</v>
      </c>
      <c r="S1236" s="112">
        <f t="shared" si="513"/>
        <v>2118801</v>
      </c>
    </row>
    <row r="1237" spans="2:19" x14ac:dyDescent="0.2">
      <c r="B1237" s="7">
        <f t="shared" si="506"/>
        <v>729</v>
      </c>
      <c r="C1237" s="13"/>
      <c r="D1237" s="13"/>
      <c r="E1237" s="13"/>
      <c r="F1237" s="14" t="s">
        <v>80</v>
      </c>
      <c r="G1237" s="15">
        <v>610</v>
      </c>
      <c r="H1237" s="13" t="s">
        <v>511</v>
      </c>
      <c r="I1237" s="16">
        <v>81336</v>
      </c>
      <c r="J1237" s="16"/>
      <c r="K1237" s="16">
        <f t="shared" si="507"/>
        <v>81336</v>
      </c>
      <c r="L1237" s="16"/>
      <c r="M1237" s="16"/>
      <c r="N1237" s="16"/>
      <c r="O1237" s="16">
        <f t="shared" si="508"/>
        <v>0</v>
      </c>
      <c r="P1237" s="16"/>
      <c r="Q1237" s="18">
        <f t="shared" si="493"/>
        <v>81336</v>
      </c>
      <c r="R1237" s="18">
        <f t="shared" si="513"/>
        <v>0</v>
      </c>
      <c r="S1237" s="18">
        <f t="shared" si="513"/>
        <v>81336</v>
      </c>
    </row>
    <row r="1238" spans="2:19" x14ac:dyDescent="0.2">
      <c r="B1238" s="7">
        <f t="shared" si="506"/>
        <v>730</v>
      </c>
      <c r="C1238" s="13"/>
      <c r="D1238" s="13"/>
      <c r="E1238" s="13"/>
      <c r="F1238" s="14" t="s">
        <v>80</v>
      </c>
      <c r="G1238" s="15">
        <v>620</v>
      </c>
      <c r="H1238" s="13" t="s">
        <v>122</v>
      </c>
      <c r="I1238" s="16">
        <v>30894</v>
      </c>
      <c r="J1238" s="16"/>
      <c r="K1238" s="16">
        <f t="shared" si="507"/>
        <v>30894</v>
      </c>
      <c r="L1238" s="16"/>
      <c r="M1238" s="16"/>
      <c r="N1238" s="16"/>
      <c r="O1238" s="16">
        <f t="shared" si="508"/>
        <v>0</v>
      </c>
      <c r="P1238" s="16"/>
      <c r="Q1238" s="18">
        <f t="shared" si="493"/>
        <v>30894</v>
      </c>
      <c r="R1238" s="18">
        <f t="shared" si="513"/>
        <v>0</v>
      </c>
      <c r="S1238" s="18">
        <f t="shared" si="513"/>
        <v>30894</v>
      </c>
    </row>
    <row r="1239" spans="2:19" x14ac:dyDescent="0.2">
      <c r="B1239" s="7">
        <f t="shared" si="506"/>
        <v>731</v>
      </c>
      <c r="C1239" s="13"/>
      <c r="D1239" s="13"/>
      <c r="E1239" s="13"/>
      <c r="F1239" s="14" t="s">
        <v>80</v>
      </c>
      <c r="G1239" s="15">
        <v>630</v>
      </c>
      <c r="H1239" s="13" t="s">
        <v>119</v>
      </c>
      <c r="I1239" s="16">
        <f>SUM(I1240:I1242)</f>
        <v>131395</v>
      </c>
      <c r="J1239" s="16">
        <f t="shared" ref="J1239" si="517">SUM(J1240:J1242)</f>
        <v>0</v>
      </c>
      <c r="K1239" s="16">
        <f t="shared" si="507"/>
        <v>131395</v>
      </c>
      <c r="L1239" s="16"/>
      <c r="M1239" s="16"/>
      <c r="N1239" s="16"/>
      <c r="O1239" s="16">
        <f t="shared" si="508"/>
        <v>0</v>
      </c>
      <c r="P1239" s="16"/>
      <c r="Q1239" s="18">
        <f t="shared" si="493"/>
        <v>131395</v>
      </c>
      <c r="R1239" s="18">
        <f t="shared" si="513"/>
        <v>0</v>
      </c>
      <c r="S1239" s="18">
        <f t="shared" si="513"/>
        <v>131395</v>
      </c>
    </row>
    <row r="1240" spans="2:19" x14ac:dyDescent="0.2">
      <c r="B1240" s="7">
        <f t="shared" si="506"/>
        <v>732</v>
      </c>
      <c r="C1240" s="19"/>
      <c r="D1240" s="19"/>
      <c r="E1240" s="19"/>
      <c r="F1240" s="20"/>
      <c r="G1240" s="21">
        <v>633</v>
      </c>
      <c r="H1240" s="19" t="s">
        <v>123</v>
      </c>
      <c r="I1240" s="22">
        <v>122435</v>
      </c>
      <c r="J1240" s="22"/>
      <c r="K1240" s="22">
        <f t="shared" si="507"/>
        <v>122435</v>
      </c>
      <c r="L1240" s="22"/>
      <c r="M1240" s="22"/>
      <c r="N1240" s="22"/>
      <c r="O1240" s="22">
        <f t="shared" si="508"/>
        <v>0</v>
      </c>
      <c r="P1240" s="22"/>
      <c r="Q1240" s="23">
        <f t="shared" si="493"/>
        <v>122435</v>
      </c>
      <c r="R1240" s="23">
        <f t="shared" si="513"/>
        <v>0</v>
      </c>
      <c r="S1240" s="23">
        <f t="shared" si="513"/>
        <v>122435</v>
      </c>
    </row>
    <row r="1241" spans="2:19" x14ac:dyDescent="0.2">
      <c r="B1241" s="7">
        <f t="shared" si="506"/>
        <v>733</v>
      </c>
      <c r="C1241" s="19"/>
      <c r="D1241" s="19"/>
      <c r="E1241" s="19"/>
      <c r="F1241" s="20"/>
      <c r="G1241" s="21">
        <v>635</v>
      </c>
      <c r="H1241" s="19" t="s">
        <v>130</v>
      </c>
      <c r="I1241" s="22">
        <v>3200</v>
      </c>
      <c r="J1241" s="22"/>
      <c r="K1241" s="22">
        <f t="shared" si="507"/>
        <v>3200</v>
      </c>
      <c r="L1241" s="22"/>
      <c r="M1241" s="22"/>
      <c r="N1241" s="22"/>
      <c r="O1241" s="22">
        <f t="shared" si="508"/>
        <v>0</v>
      </c>
      <c r="P1241" s="22"/>
      <c r="Q1241" s="23">
        <f t="shared" ref="Q1241:Q1253" si="518">M1241+I1241</f>
        <v>3200</v>
      </c>
      <c r="R1241" s="23">
        <f t="shared" ref="R1241:S1253" si="519">N1241+J1241</f>
        <v>0</v>
      </c>
      <c r="S1241" s="23">
        <f t="shared" si="519"/>
        <v>3200</v>
      </c>
    </row>
    <row r="1242" spans="2:19" x14ac:dyDescent="0.2">
      <c r="B1242" s="7">
        <f t="shared" si="506"/>
        <v>734</v>
      </c>
      <c r="C1242" s="19"/>
      <c r="D1242" s="19"/>
      <c r="E1242" s="19"/>
      <c r="F1242" s="20"/>
      <c r="G1242" s="21">
        <v>637</v>
      </c>
      <c r="H1242" s="19" t="s">
        <v>120</v>
      </c>
      <c r="I1242" s="22">
        <v>5760</v>
      </c>
      <c r="J1242" s="22"/>
      <c r="K1242" s="22">
        <f t="shared" si="507"/>
        <v>5760</v>
      </c>
      <c r="L1242" s="22"/>
      <c r="M1242" s="22"/>
      <c r="N1242" s="22"/>
      <c r="O1242" s="22">
        <f t="shared" si="508"/>
        <v>0</v>
      </c>
      <c r="P1242" s="22"/>
      <c r="Q1242" s="23">
        <f t="shared" si="518"/>
        <v>5760</v>
      </c>
      <c r="R1242" s="23">
        <f t="shared" si="519"/>
        <v>0</v>
      </c>
      <c r="S1242" s="23">
        <f t="shared" si="519"/>
        <v>5760</v>
      </c>
    </row>
    <row r="1243" spans="2:19" x14ac:dyDescent="0.2">
      <c r="B1243" s="7">
        <f t="shared" si="506"/>
        <v>735</v>
      </c>
      <c r="C1243" s="13"/>
      <c r="D1243" s="13"/>
      <c r="E1243" s="13"/>
      <c r="F1243" s="14" t="s">
        <v>80</v>
      </c>
      <c r="G1243" s="15">
        <v>640</v>
      </c>
      <c r="H1243" s="13" t="s">
        <v>127</v>
      </c>
      <c r="I1243" s="16">
        <v>1450</v>
      </c>
      <c r="J1243" s="16"/>
      <c r="K1243" s="16">
        <f t="shared" si="507"/>
        <v>1450</v>
      </c>
      <c r="L1243" s="16"/>
      <c r="M1243" s="16"/>
      <c r="N1243" s="16"/>
      <c r="O1243" s="16">
        <f t="shared" si="508"/>
        <v>0</v>
      </c>
      <c r="P1243" s="16"/>
      <c r="Q1243" s="18">
        <f t="shared" si="518"/>
        <v>1450</v>
      </c>
      <c r="R1243" s="18">
        <f t="shared" si="519"/>
        <v>0</v>
      </c>
      <c r="S1243" s="18">
        <f t="shared" si="519"/>
        <v>1450</v>
      </c>
    </row>
    <row r="1244" spans="2:19" x14ac:dyDescent="0.2">
      <c r="B1244" s="7">
        <f t="shared" si="506"/>
        <v>736</v>
      </c>
      <c r="C1244" s="13"/>
      <c r="D1244" s="13"/>
      <c r="E1244" s="13"/>
      <c r="F1244" s="14" t="s">
        <v>50</v>
      </c>
      <c r="G1244" s="15">
        <v>610</v>
      </c>
      <c r="H1244" s="13" t="s">
        <v>511</v>
      </c>
      <c r="I1244" s="16">
        <v>99456</v>
      </c>
      <c r="J1244" s="16"/>
      <c r="K1244" s="16">
        <f t="shared" si="507"/>
        <v>99456</v>
      </c>
      <c r="L1244" s="16"/>
      <c r="M1244" s="16"/>
      <c r="N1244" s="16"/>
      <c r="O1244" s="16">
        <f t="shared" si="508"/>
        <v>0</v>
      </c>
      <c r="P1244" s="16"/>
      <c r="Q1244" s="18">
        <f t="shared" si="518"/>
        <v>99456</v>
      </c>
      <c r="R1244" s="18">
        <f t="shared" si="519"/>
        <v>0</v>
      </c>
      <c r="S1244" s="18">
        <f t="shared" si="519"/>
        <v>99456</v>
      </c>
    </row>
    <row r="1245" spans="2:19" x14ac:dyDescent="0.2">
      <c r="B1245" s="7">
        <f t="shared" si="506"/>
        <v>737</v>
      </c>
      <c r="C1245" s="13"/>
      <c r="D1245" s="13"/>
      <c r="E1245" s="13"/>
      <c r="F1245" s="14" t="s">
        <v>50</v>
      </c>
      <c r="G1245" s="15">
        <v>620</v>
      </c>
      <c r="H1245" s="13" t="s">
        <v>122</v>
      </c>
      <c r="I1245" s="16">
        <v>40875</v>
      </c>
      <c r="J1245" s="16"/>
      <c r="K1245" s="16">
        <f t="shared" si="507"/>
        <v>40875</v>
      </c>
      <c r="L1245" s="16"/>
      <c r="M1245" s="16"/>
      <c r="N1245" s="16"/>
      <c r="O1245" s="16">
        <f t="shared" si="508"/>
        <v>0</v>
      </c>
      <c r="P1245" s="16"/>
      <c r="Q1245" s="18">
        <f t="shared" si="518"/>
        <v>40875</v>
      </c>
      <c r="R1245" s="18">
        <f t="shared" si="519"/>
        <v>0</v>
      </c>
      <c r="S1245" s="18">
        <f t="shared" si="519"/>
        <v>40875</v>
      </c>
    </row>
    <row r="1246" spans="2:19" x14ac:dyDescent="0.2">
      <c r="B1246" s="7">
        <f t="shared" si="506"/>
        <v>738</v>
      </c>
      <c r="C1246" s="13"/>
      <c r="D1246" s="13"/>
      <c r="E1246" s="13"/>
      <c r="F1246" s="14" t="s">
        <v>50</v>
      </c>
      <c r="G1246" s="15">
        <v>630</v>
      </c>
      <c r="H1246" s="13" t="s">
        <v>119</v>
      </c>
      <c r="I1246" s="16">
        <f>SUM(I1247:I1250)</f>
        <v>163145</v>
      </c>
      <c r="J1246" s="16">
        <f t="shared" ref="J1246" si="520">SUM(J1247:J1250)</f>
        <v>-2842</v>
      </c>
      <c r="K1246" s="16">
        <f t="shared" si="507"/>
        <v>160303</v>
      </c>
      <c r="L1246" s="16"/>
      <c r="M1246" s="16"/>
      <c r="N1246" s="16"/>
      <c r="O1246" s="16">
        <f t="shared" si="508"/>
        <v>0</v>
      </c>
      <c r="P1246" s="16"/>
      <c r="Q1246" s="18">
        <f t="shared" si="518"/>
        <v>163145</v>
      </c>
      <c r="R1246" s="18">
        <f t="shared" si="519"/>
        <v>-2842</v>
      </c>
      <c r="S1246" s="18">
        <f t="shared" si="519"/>
        <v>160303</v>
      </c>
    </row>
    <row r="1247" spans="2:19" x14ac:dyDescent="0.2">
      <c r="B1247" s="7">
        <f t="shared" si="506"/>
        <v>739</v>
      </c>
      <c r="C1247" s="19"/>
      <c r="D1247" s="19"/>
      <c r="E1247" s="19"/>
      <c r="F1247" s="20"/>
      <c r="G1247" s="21">
        <v>632</v>
      </c>
      <c r="H1247" s="19" t="s">
        <v>131</v>
      </c>
      <c r="I1247" s="22">
        <v>8250</v>
      </c>
      <c r="J1247" s="22"/>
      <c r="K1247" s="22">
        <f t="shared" si="507"/>
        <v>8250</v>
      </c>
      <c r="L1247" s="22"/>
      <c r="M1247" s="22"/>
      <c r="N1247" s="22"/>
      <c r="O1247" s="22">
        <f t="shared" si="508"/>
        <v>0</v>
      </c>
      <c r="P1247" s="22"/>
      <c r="Q1247" s="23">
        <f t="shared" si="518"/>
        <v>8250</v>
      </c>
      <c r="R1247" s="23">
        <f t="shared" si="519"/>
        <v>0</v>
      </c>
      <c r="S1247" s="23">
        <f t="shared" si="519"/>
        <v>8250</v>
      </c>
    </row>
    <row r="1248" spans="2:19" x14ac:dyDescent="0.2">
      <c r="B1248" s="7">
        <f t="shared" si="506"/>
        <v>740</v>
      </c>
      <c r="C1248" s="19"/>
      <c r="D1248" s="19"/>
      <c r="E1248" s="19"/>
      <c r="F1248" s="20"/>
      <c r="G1248" s="21">
        <v>633</v>
      </c>
      <c r="H1248" s="19" t="s">
        <v>123</v>
      </c>
      <c r="I1248" s="22">
        <v>140935</v>
      </c>
      <c r="J1248" s="22">
        <v>-2842</v>
      </c>
      <c r="K1248" s="22">
        <f t="shared" si="507"/>
        <v>138093</v>
      </c>
      <c r="L1248" s="22"/>
      <c r="M1248" s="22"/>
      <c r="N1248" s="22"/>
      <c r="O1248" s="22">
        <f t="shared" si="508"/>
        <v>0</v>
      </c>
      <c r="P1248" s="22"/>
      <c r="Q1248" s="23">
        <f t="shared" si="518"/>
        <v>140935</v>
      </c>
      <c r="R1248" s="23">
        <f t="shared" si="519"/>
        <v>-2842</v>
      </c>
      <c r="S1248" s="23">
        <f t="shared" si="519"/>
        <v>138093</v>
      </c>
    </row>
    <row r="1249" spans="2:19" x14ac:dyDescent="0.2">
      <c r="B1249" s="7">
        <f t="shared" si="506"/>
        <v>741</v>
      </c>
      <c r="C1249" s="19"/>
      <c r="D1249" s="19"/>
      <c r="E1249" s="19"/>
      <c r="F1249" s="20"/>
      <c r="G1249" s="21">
        <v>635</v>
      </c>
      <c r="H1249" s="19" t="s">
        <v>130</v>
      </c>
      <c r="I1249" s="22">
        <v>4850</v>
      </c>
      <c r="J1249" s="22"/>
      <c r="K1249" s="22">
        <f t="shared" si="507"/>
        <v>4850</v>
      </c>
      <c r="L1249" s="22"/>
      <c r="M1249" s="22"/>
      <c r="N1249" s="22"/>
      <c r="O1249" s="22">
        <f t="shared" si="508"/>
        <v>0</v>
      </c>
      <c r="P1249" s="22"/>
      <c r="Q1249" s="23">
        <f t="shared" si="518"/>
        <v>4850</v>
      </c>
      <c r="R1249" s="23">
        <f t="shared" si="519"/>
        <v>0</v>
      </c>
      <c r="S1249" s="23">
        <f t="shared" si="519"/>
        <v>4850</v>
      </c>
    </row>
    <row r="1250" spans="2:19" x14ac:dyDescent="0.2">
      <c r="B1250" s="7">
        <f t="shared" si="506"/>
        <v>742</v>
      </c>
      <c r="C1250" s="19"/>
      <c r="D1250" s="19"/>
      <c r="E1250" s="19"/>
      <c r="F1250" s="20"/>
      <c r="G1250" s="21">
        <v>637</v>
      </c>
      <c r="H1250" s="19" t="s">
        <v>120</v>
      </c>
      <c r="I1250" s="22">
        <v>9110</v>
      </c>
      <c r="J1250" s="22"/>
      <c r="K1250" s="22">
        <f t="shared" si="507"/>
        <v>9110</v>
      </c>
      <c r="L1250" s="22"/>
      <c r="M1250" s="22"/>
      <c r="N1250" s="22"/>
      <c r="O1250" s="22">
        <f t="shared" si="508"/>
        <v>0</v>
      </c>
      <c r="P1250" s="22"/>
      <c r="Q1250" s="23">
        <f t="shared" si="518"/>
        <v>9110</v>
      </c>
      <c r="R1250" s="23">
        <f t="shared" si="519"/>
        <v>0</v>
      </c>
      <c r="S1250" s="23">
        <f t="shared" si="519"/>
        <v>9110</v>
      </c>
    </row>
    <row r="1251" spans="2:19" x14ac:dyDescent="0.2">
      <c r="B1251" s="7">
        <f t="shared" si="506"/>
        <v>743</v>
      </c>
      <c r="C1251" s="13"/>
      <c r="D1251" s="13"/>
      <c r="E1251" s="13"/>
      <c r="F1251" s="14" t="s">
        <v>50</v>
      </c>
      <c r="G1251" s="15">
        <v>640</v>
      </c>
      <c r="H1251" s="13" t="s">
        <v>127</v>
      </c>
      <c r="I1251" s="16">
        <v>1250</v>
      </c>
      <c r="J1251" s="16"/>
      <c r="K1251" s="16">
        <f t="shared" si="507"/>
        <v>1250</v>
      </c>
      <c r="L1251" s="16"/>
      <c r="M1251" s="16"/>
      <c r="N1251" s="16"/>
      <c r="O1251" s="16">
        <f t="shared" si="508"/>
        <v>0</v>
      </c>
      <c r="P1251" s="16"/>
      <c r="Q1251" s="18">
        <f t="shared" si="518"/>
        <v>1250</v>
      </c>
      <c r="R1251" s="18">
        <f t="shared" si="519"/>
        <v>0</v>
      </c>
      <c r="S1251" s="18">
        <f t="shared" si="519"/>
        <v>1250</v>
      </c>
    </row>
    <row r="1252" spans="2:19" s="130" customFormat="1" ht="12" x14ac:dyDescent="0.2">
      <c r="B1252" s="7">
        <f t="shared" si="506"/>
        <v>744</v>
      </c>
      <c r="C1252" s="13"/>
      <c r="D1252" s="13"/>
      <c r="E1252" s="13"/>
      <c r="F1252" s="14" t="s">
        <v>50</v>
      </c>
      <c r="G1252" s="15">
        <v>710</v>
      </c>
      <c r="H1252" s="13" t="s">
        <v>171</v>
      </c>
      <c r="I1252" s="16"/>
      <c r="J1252" s="16"/>
      <c r="K1252" s="16">
        <f t="shared" si="507"/>
        <v>0</v>
      </c>
      <c r="L1252" s="16"/>
      <c r="M1252" s="16">
        <f>M1256+M1253</f>
        <v>1569000</v>
      </c>
      <c r="N1252" s="16">
        <f t="shared" ref="N1252" si="521">N1256+N1253</f>
        <v>2842</v>
      </c>
      <c r="O1252" s="16">
        <f t="shared" si="508"/>
        <v>1571842</v>
      </c>
      <c r="P1252" s="16"/>
      <c r="Q1252" s="18">
        <f t="shared" si="518"/>
        <v>1569000</v>
      </c>
      <c r="R1252" s="18">
        <f t="shared" si="519"/>
        <v>2842</v>
      </c>
      <c r="S1252" s="18">
        <f t="shared" si="519"/>
        <v>1571842</v>
      </c>
    </row>
    <row r="1253" spans="2:19" x14ac:dyDescent="0.2">
      <c r="B1253" s="7">
        <f t="shared" si="506"/>
        <v>745</v>
      </c>
      <c r="C1253" s="19"/>
      <c r="D1253" s="19"/>
      <c r="E1253" s="19"/>
      <c r="F1253" s="20"/>
      <c r="G1253" s="21">
        <v>713</v>
      </c>
      <c r="H1253" s="19" t="s">
        <v>215</v>
      </c>
      <c r="I1253" s="22"/>
      <c r="J1253" s="22"/>
      <c r="K1253" s="22">
        <f t="shared" si="507"/>
        <v>0</v>
      </c>
      <c r="L1253" s="22"/>
      <c r="M1253" s="22">
        <f>M1254</f>
        <v>365841</v>
      </c>
      <c r="N1253" s="22">
        <f>SUM(N1254:N1255)</f>
        <v>2842</v>
      </c>
      <c r="O1253" s="22">
        <f t="shared" si="508"/>
        <v>368683</v>
      </c>
      <c r="P1253" s="22"/>
      <c r="Q1253" s="23">
        <f t="shared" si="518"/>
        <v>365841</v>
      </c>
      <c r="R1253" s="23">
        <f t="shared" si="519"/>
        <v>2842</v>
      </c>
      <c r="S1253" s="23">
        <f t="shared" si="519"/>
        <v>368683</v>
      </c>
    </row>
    <row r="1254" spans="2:19" x14ac:dyDescent="0.2">
      <c r="B1254" s="7">
        <f t="shared" si="506"/>
        <v>746</v>
      </c>
      <c r="C1254" s="1"/>
      <c r="D1254" s="1"/>
      <c r="E1254" s="1"/>
      <c r="F1254" s="113"/>
      <c r="G1254" s="25"/>
      <c r="H1254" s="1" t="s">
        <v>535</v>
      </c>
      <c r="I1254" s="26"/>
      <c r="J1254" s="26"/>
      <c r="K1254" s="26">
        <f t="shared" si="507"/>
        <v>0</v>
      </c>
      <c r="L1254" s="26"/>
      <c r="M1254" s="26">
        <v>365841</v>
      </c>
      <c r="N1254" s="26"/>
      <c r="O1254" s="26">
        <f t="shared" si="508"/>
        <v>365841</v>
      </c>
      <c r="P1254" s="26"/>
      <c r="Q1254" s="28">
        <f>M1254</f>
        <v>365841</v>
      </c>
      <c r="R1254" s="28">
        <f t="shared" ref="R1254:S1254" si="522">N1254</f>
        <v>0</v>
      </c>
      <c r="S1254" s="28">
        <f t="shared" si="522"/>
        <v>365841</v>
      </c>
    </row>
    <row r="1255" spans="2:19" x14ac:dyDescent="0.2">
      <c r="B1255" s="7">
        <f t="shared" si="506"/>
        <v>747</v>
      </c>
      <c r="C1255" s="1"/>
      <c r="D1255" s="1"/>
      <c r="E1255" s="1"/>
      <c r="F1255" s="113"/>
      <c r="G1255" s="25"/>
      <c r="H1255" s="1" t="s">
        <v>756</v>
      </c>
      <c r="I1255" s="26"/>
      <c r="J1255" s="26"/>
      <c r="K1255" s="26"/>
      <c r="L1255" s="26"/>
      <c r="M1255" s="26">
        <v>0</v>
      </c>
      <c r="N1255" s="26">
        <v>2842</v>
      </c>
      <c r="O1255" s="26">
        <f t="shared" ref="O1255" si="523">M1255+N1255</f>
        <v>2842</v>
      </c>
      <c r="P1255" s="26"/>
      <c r="Q1255" s="28">
        <f>M1255</f>
        <v>0</v>
      </c>
      <c r="R1255" s="28">
        <f t="shared" ref="R1255" si="524">N1255</f>
        <v>2842</v>
      </c>
      <c r="S1255" s="28">
        <f t="shared" ref="S1255" si="525">O1255</f>
        <v>2842</v>
      </c>
    </row>
    <row r="1256" spans="2:19" x14ac:dyDescent="0.2">
      <c r="B1256" s="7">
        <f t="shared" si="506"/>
        <v>748</v>
      </c>
      <c r="C1256" s="19"/>
      <c r="D1256" s="19"/>
      <c r="E1256" s="19"/>
      <c r="F1256" s="20"/>
      <c r="G1256" s="21">
        <v>717</v>
      </c>
      <c r="H1256" s="19" t="s">
        <v>178</v>
      </c>
      <c r="I1256" s="22"/>
      <c r="J1256" s="22"/>
      <c r="K1256" s="22">
        <f t="shared" si="507"/>
        <v>0</v>
      </c>
      <c r="L1256" s="22"/>
      <c r="M1256" s="22">
        <f>M1257</f>
        <v>1203159</v>
      </c>
      <c r="N1256" s="22">
        <f t="shared" ref="N1256" si="526">N1257</f>
        <v>0</v>
      </c>
      <c r="O1256" s="22">
        <f t="shared" si="508"/>
        <v>1203159</v>
      </c>
      <c r="P1256" s="22"/>
      <c r="Q1256" s="23">
        <f t="shared" ref="Q1256:Q1287" si="527">M1256+I1256</f>
        <v>1203159</v>
      </c>
      <c r="R1256" s="23">
        <f t="shared" ref="R1256:S1271" si="528">N1256+J1256</f>
        <v>0</v>
      </c>
      <c r="S1256" s="23">
        <f t="shared" si="528"/>
        <v>1203159</v>
      </c>
    </row>
    <row r="1257" spans="2:19" x14ac:dyDescent="0.2">
      <c r="B1257" s="7">
        <f t="shared" si="506"/>
        <v>749</v>
      </c>
      <c r="C1257" s="1"/>
      <c r="D1257" s="1"/>
      <c r="E1257" s="1"/>
      <c r="F1257" s="113"/>
      <c r="G1257" s="25"/>
      <c r="H1257" s="1" t="s">
        <v>539</v>
      </c>
      <c r="I1257" s="26"/>
      <c r="J1257" s="26"/>
      <c r="K1257" s="26">
        <f t="shared" si="507"/>
        <v>0</v>
      </c>
      <c r="L1257" s="26"/>
      <c r="M1257" s="26">
        <f>1569000-365841</f>
        <v>1203159</v>
      </c>
      <c r="N1257" s="26"/>
      <c r="O1257" s="26">
        <f t="shared" si="508"/>
        <v>1203159</v>
      </c>
      <c r="P1257" s="26"/>
      <c r="Q1257" s="28">
        <f t="shared" si="527"/>
        <v>1203159</v>
      </c>
      <c r="R1257" s="28">
        <f t="shared" si="528"/>
        <v>0</v>
      </c>
      <c r="S1257" s="28">
        <f t="shared" si="528"/>
        <v>1203159</v>
      </c>
    </row>
    <row r="1258" spans="2:19" ht="15" customHeight="1" x14ac:dyDescent="0.25">
      <c r="B1258" s="7">
        <f t="shared" si="506"/>
        <v>750</v>
      </c>
      <c r="C1258" s="108"/>
      <c r="D1258" s="108"/>
      <c r="E1258" s="108">
        <v>8</v>
      </c>
      <c r="F1258" s="109"/>
      <c r="G1258" s="109"/>
      <c r="H1258" s="108" t="s">
        <v>6</v>
      </c>
      <c r="I1258" s="110">
        <v>0</v>
      </c>
      <c r="J1258" s="110">
        <v>0</v>
      </c>
      <c r="K1258" s="110">
        <f t="shared" si="507"/>
        <v>0</v>
      </c>
      <c r="L1258" s="321"/>
      <c r="M1258" s="110"/>
      <c r="N1258" s="110"/>
      <c r="O1258" s="110">
        <f t="shared" si="508"/>
        <v>0</v>
      </c>
      <c r="P1258" s="321"/>
      <c r="Q1258" s="112">
        <f t="shared" si="527"/>
        <v>0</v>
      </c>
      <c r="R1258" s="112">
        <f t="shared" si="528"/>
        <v>0</v>
      </c>
      <c r="S1258" s="112">
        <f t="shared" si="528"/>
        <v>0</v>
      </c>
    </row>
    <row r="1259" spans="2:19" ht="15.75" customHeight="1" x14ac:dyDescent="0.25">
      <c r="B1259" s="7">
        <f t="shared" si="506"/>
        <v>751</v>
      </c>
      <c r="C1259" s="108"/>
      <c r="D1259" s="108"/>
      <c r="E1259" s="108">
        <v>9</v>
      </c>
      <c r="F1259" s="109"/>
      <c r="G1259" s="109"/>
      <c r="H1259" s="108" t="s">
        <v>4</v>
      </c>
      <c r="I1259" s="110">
        <f>I1260+I1261+I1262+I1267+I1268+I1269+I1270+I1275+I1276</f>
        <v>519843</v>
      </c>
      <c r="J1259" s="110">
        <f t="shared" ref="J1259" si="529">J1260+J1261+J1262+J1267+J1268+J1269+J1270+J1275+J1276</f>
        <v>0</v>
      </c>
      <c r="K1259" s="110">
        <f t="shared" si="507"/>
        <v>519843</v>
      </c>
      <c r="L1259" s="17"/>
      <c r="M1259" s="111">
        <f>M1277</f>
        <v>32000</v>
      </c>
      <c r="N1259" s="111">
        <f t="shared" ref="N1259" si="530">N1277</f>
        <v>0</v>
      </c>
      <c r="O1259" s="111">
        <f t="shared" si="508"/>
        <v>32000</v>
      </c>
      <c r="P1259" s="17"/>
      <c r="Q1259" s="112">
        <f t="shared" si="527"/>
        <v>551843</v>
      </c>
      <c r="R1259" s="112">
        <f t="shared" si="528"/>
        <v>0</v>
      </c>
      <c r="S1259" s="112">
        <f t="shared" si="528"/>
        <v>551843</v>
      </c>
    </row>
    <row r="1260" spans="2:19" ht="15.75" customHeight="1" x14ac:dyDescent="0.2">
      <c r="B1260" s="7">
        <f t="shared" si="506"/>
        <v>752</v>
      </c>
      <c r="C1260" s="13"/>
      <c r="D1260" s="13"/>
      <c r="E1260" s="13"/>
      <c r="F1260" s="14" t="s">
        <v>80</v>
      </c>
      <c r="G1260" s="15">
        <v>610</v>
      </c>
      <c r="H1260" s="13" t="s">
        <v>511</v>
      </c>
      <c r="I1260" s="16">
        <v>66500</v>
      </c>
      <c r="J1260" s="16"/>
      <c r="K1260" s="16">
        <f t="shared" si="507"/>
        <v>66500</v>
      </c>
      <c r="L1260" s="16"/>
      <c r="M1260" s="16"/>
      <c r="N1260" s="16"/>
      <c r="O1260" s="16">
        <f t="shared" si="508"/>
        <v>0</v>
      </c>
      <c r="P1260" s="16"/>
      <c r="Q1260" s="18">
        <f t="shared" si="527"/>
        <v>66500</v>
      </c>
      <c r="R1260" s="18">
        <f t="shared" si="528"/>
        <v>0</v>
      </c>
      <c r="S1260" s="18">
        <f t="shared" si="528"/>
        <v>66500</v>
      </c>
    </row>
    <row r="1261" spans="2:19" x14ac:dyDescent="0.2">
      <c r="B1261" s="7">
        <f t="shared" si="506"/>
        <v>753</v>
      </c>
      <c r="C1261" s="13"/>
      <c r="D1261" s="13"/>
      <c r="E1261" s="13"/>
      <c r="F1261" s="14" t="s">
        <v>80</v>
      </c>
      <c r="G1261" s="15">
        <v>620</v>
      </c>
      <c r="H1261" s="13" t="s">
        <v>122</v>
      </c>
      <c r="I1261" s="16">
        <v>23915</v>
      </c>
      <c r="J1261" s="16"/>
      <c r="K1261" s="16">
        <f t="shared" si="507"/>
        <v>23915</v>
      </c>
      <c r="L1261" s="16"/>
      <c r="M1261" s="16"/>
      <c r="N1261" s="16"/>
      <c r="O1261" s="16">
        <f t="shared" si="508"/>
        <v>0</v>
      </c>
      <c r="P1261" s="16"/>
      <c r="Q1261" s="18">
        <f t="shared" si="527"/>
        <v>23915</v>
      </c>
      <c r="R1261" s="18">
        <f t="shared" si="528"/>
        <v>0</v>
      </c>
      <c r="S1261" s="18">
        <f t="shared" si="528"/>
        <v>23915</v>
      </c>
    </row>
    <row r="1262" spans="2:19" x14ac:dyDescent="0.2">
      <c r="B1262" s="7">
        <f t="shared" si="506"/>
        <v>754</v>
      </c>
      <c r="C1262" s="13"/>
      <c r="D1262" s="13"/>
      <c r="E1262" s="13"/>
      <c r="F1262" s="14" t="s">
        <v>80</v>
      </c>
      <c r="G1262" s="15">
        <v>630</v>
      </c>
      <c r="H1262" s="13" t="s">
        <v>119</v>
      </c>
      <c r="I1262" s="16">
        <f>SUM(I1263:I1266)</f>
        <v>144512</v>
      </c>
      <c r="J1262" s="16">
        <f t="shared" ref="J1262" si="531">SUM(J1263:J1266)</f>
        <v>0</v>
      </c>
      <c r="K1262" s="16">
        <f t="shared" si="507"/>
        <v>144512</v>
      </c>
      <c r="L1262" s="16"/>
      <c r="M1262" s="16"/>
      <c r="N1262" s="16"/>
      <c r="O1262" s="16">
        <f t="shared" si="508"/>
        <v>0</v>
      </c>
      <c r="P1262" s="16"/>
      <c r="Q1262" s="18">
        <f t="shared" si="527"/>
        <v>144512</v>
      </c>
      <c r="R1262" s="18">
        <f t="shared" si="528"/>
        <v>0</v>
      </c>
      <c r="S1262" s="18">
        <f t="shared" si="528"/>
        <v>144512</v>
      </c>
    </row>
    <row r="1263" spans="2:19" x14ac:dyDescent="0.2">
      <c r="B1263" s="7">
        <f t="shared" si="506"/>
        <v>755</v>
      </c>
      <c r="C1263" s="19"/>
      <c r="D1263" s="19"/>
      <c r="E1263" s="19"/>
      <c r="F1263" s="20"/>
      <c r="G1263" s="21">
        <v>632</v>
      </c>
      <c r="H1263" s="19" t="s">
        <v>131</v>
      </c>
      <c r="I1263" s="22">
        <v>14050</v>
      </c>
      <c r="J1263" s="22"/>
      <c r="K1263" s="22">
        <f t="shared" si="507"/>
        <v>14050</v>
      </c>
      <c r="L1263" s="22"/>
      <c r="M1263" s="22"/>
      <c r="N1263" s="22"/>
      <c r="O1263" s="22">
        <f t="shared" si="508"/>
        <v>0</v>
      </c>
      <c r="P1263" s="22"/>
      <c r="Q1263" s="23">
        <f t="shared" si="527"/>
        <v>14050</v>
      </c>
      <c r="R1263" s="23">
        <f t="shared" si="528"/>
        <v>0</v>
      </c>
      <c r="S1263" s="23">
        <f t="shared" si="528"/>
        <v>14050</v>
      </c>
    </row>
    <row r="1264" spans="2:19" x14ac:dyDescent="0.2">
      <c r="B1264" s="7">
        <f t="shared" si="506"/>
        <v>756</v>
      </c>
      <c r="C1264" s="19"/>
      <c r="D1264" s="19"/>
      <c r="E1264" s="19"/>
      <c r="F1264" s="20"/>
      <c r="G1264" s="21">
        <v>633</v>
      </c>
      <c r="H1264" s="19" t="s">
        <v>123</v>
      </c>
      <c r="I1264" s="22">
        <v>116907</v>
      </c>
      <c r="J1264" s="22"/>
      <c r="K1264" s="22">
        <f t="shared" si="507"/>
        <v>116907</v>
      </c>
      <c r="L1264" s="22"/>
      <c r="M1264" s="22"/>
      <c r="N1264" s="22"/>
      <c r="O1264" s="22">
        <f t="shared" si="508"/>
        <v>0</v>
      </c>
      <c r="P1264" s="22"/>
      <c r="Q1264" s="23">
        <f t="shared" si="527"/>
        <v>116907</v>
      </c>
      <c r="R1264" s="23">
        <f t="shared" si="528"/>
        <v>0</v>
      </c>
      <c r="S1264" s="23">
        <f t="shared" si="528"/>
        <v>116907</v>
      </c>
    </row>
    <row r="1265" spans="2:19" x14ac:dyDescent="0.2">
      <c r="B1265" s="7">
        <f t="shared" si="506"/>
        <v>757</v>
      </c>
      <c r="C1265" s="19"/>
      <c r="D1265" s="19"/>
      <c r="E1265" s="19"/>
      <c r="F1265" s="20"/>
      <c r="G1265" s="21">
        <v>635</v>
      </c>
      <c r="H1265" s="19" t="s">
        <v>130</v>
      </c>
      <c r="I1265" s="22">
        <v>2500</v>
      </c>
      <c r="J1265" s="22"/>
      <c r="K1265" s="22">
        <f t="shared" si="507"/>
        <v>2500</v>
      </c>
      <c r="L1265" s="22"/>
      <c r="M1265" s="22"/>
      <c r="N1265" s="22"/>
      <c r="O1265" s="22">
        <f t="shared" si="508"/>
        <v>0</v>
      </c>
      <c r="P1265" s="22"/>
      <c r="Q1265" s="23">
        <f t="shared" si="527"/>
        <v>2500</v>
      </c>
      <c r="R1265" s="23">
        <f t="shared" si="528"/>
        <v>0</v>
      </c>
      <c r="S1265" s="23">
        <f t="shared" si="528"/>
        <v>2500</v>
      </c>
    </row>
    <row r="1266" spans="2:19" x14ac:dyDescent="0.2">
      <c r="B1266" s="7">
        <f t="shared" si="506"/>
        <v>758</v>
      </c>
      <c r="C1266" s="19"/>
      <c r="D1266" s="19"/>
      <c r="E1266" s="19"/>
      <c r="F1266" s="20"/>
      <c r="G1266" s="21">
        <v>637</v>
      </c>
      <c r="H1266" s="19" t="s">
        <v>120</v>
      </c>
      <c r="I1266" s="22">
        <v>11055</v>
      </c>
      <c r="J1266" s="22"/>
      <c r="K1266" s="22">
        <f t="shared" si="507"/>
        <v>11055</v>
      </c>
      <c r="L1266" s="22"/>
      <c r="M1266" s="22"/>
      <c r="N1266" s="22"/>
      <c r="O1266" s="22">
        <f t="shared" si="508"/>
        <v>0</v>
      </c>
      <c r="P1266" s="22"/>
      <c r="Q1266" s="23">
        <f t="shared" si="527"/>
        <v>11055</v>
      </c>
      <c r="R1266" s="23">
        <f t="shared" si="528"/>
        <v>0</v>
      </c>
      <c r="S1266" s="23">
        <f t="shared" si="528"/>
        <v>11055</v>
      </c>
    </row>
    <row r="1267" spans="2:19" x14ac:dyDescent="0.2">
      <c r="B1267" s="7">
        <f t="shared" si="506"/>
        <v>759</v>
      </c>
      <c r="C1267" s="13"/>
      <c r="D1267" s="13"/>
      <c r="E1267" s="13"/>
      <c r="F1267" s="14" t="s">
        <v>80</v>
      </c>
      <c r="G1267" s="15">
        <v>640</v>
      </c>
      <c r="H1267" s="13" t="s">
        <v>127</v>
      </c>
      <c r="I1267" s="16">
        <v>1820</v>
      </c>
      <c r="J1267" s="16"/>
      <c r="K1267" s="16">
        <f t="shared" si="507"/>
        <v>1820</v>
      </c>
      <c r="L1267" s="16"/>
      <c r="M1267" s="16"/>
      <c r="N1267" s="16"/>
      <c r="O1267" s="16">
        <f t="shared" si="508"/>
        <v>0</v>
      </c>
      <c r="P1267" s="16"/>
      <c r="Q1267" s="18">
        <f t="shared" si="527"/>
        <v>1820</v>
      </c>
      <c r="R1267" s="18">
        <f t="shared" si="528"/>
        <v>0</v>
      </c>
      <c r="S1267" s="18">
        <f t="shared" si="528"/>
        <v>1820</v>
      </c>
    </row>
    <row r="1268" spans="2:19" x14ac:dyDescent="0.2">
      <c r="B1268" s="7">
        <f t="shared" si="506"/>
        <v>760</v>
      </c>
      <c r="C1268" s="13"/>
      <c r="D1268" s="13"/>
      <c r="E1268" s="13"/>
      <c r="F1268" s="14" t="s">
        <v>50</v>
      </c>
      <c r="G1268" s="15">
        <v>610</v>
      </c>
      <c r="H1268" s="13" t="s">
        <v>511</v>
      </c>
      <c r="I1268" s="16">
        <v>66500</v>
      </c>
      <c r="J1268" s="16"/>
      <c r="K1268" s="16">
        <f t="shared" si="507"/>
        <v>66500</v>
      </c>
      <c r="L1268" s="16"/>
      <c r="M1268" s="16"/>
      <c r="N1268" s="16"/>
      <c r="O1268" s="16">
        <f t="shared" si="508"/>
        <v>0</v>
      </c>
      <c r="P1268" s="16"/>
      <c r="Q1268" s="18">
        <f t="shared" si="527"/>
        <v>66500</v>
      </c>
      <c r="R1268" s="18">
        <f t="shared" si="528"/>
        <v>0</v>
      </c>
      <c r="S1268" s="18">
        <f t="shared" si="528"/>
        <v>66500</v>
      </c>
    </row>
    <row r="1269" spans="2:19" x14ac:dyDescent="0.2">
      <c r="B1269" s="7">
        <f t="shared" si="506"/>
        <v>761</v>
      </c>
      <c r="C1269" s="13"/>
      <c r="D1269" s="13"/>
      <c r="E1269" s="13"/>
      <c r="F1269" s="14" t="s">
        <v>50</v>
      </c>
      <c r="G1269" s="15">
        <v>620</v>
      </c>
      <c r="H1269" s="13" t="s">
        <v>122</v>
      </c>
      <c r="I1269" s="16">
        <v>23915</v>
      </c>
      <c r="J1269" s="16"/>
      <c r="K1269" s="16">
        <f t="shared" si="507"/>
        <v>23915</v>
      </c>
      <c r="L1269" s="16"/>
      <c r="M1269" s="16"/>
      <c r="N1269" s="16"/>
      <c r="O1269" s="16">
        <f t="shared" si="508"/>
        <v>0</v>
      </c>
      <c r="P1269" s="16"/>
      <c r="Q1269" s="18">
        <f t="shared" si="527"/>
        <v>23915</v>
      </c>
      <c r="R1269" s="18">
        <f t="shared" si="528"/>
        <v>0</v>
      </c>
      <c r="S1269" s="18">
        <f t="shared" si="528"/>
        <v>23915</v>
      </c>
    </row>
    <row r="1270" spans="2:19" x14ac:dyDescent="0.2">
      <c r="B1270" s="7">
        <f t="shared" si="506"/>
        <v>762</v>
      </c>
      <c r="C1270" s="13"/>
      <c r="D1270" s="13"/>
      <c r="E1270" s="13"/>
      <c r="F1270" s="14" t="s">
        <v>50</v>
      </c>
      <c r="G1270" s="15">
        <v>630</v>
      </c>
      <c r="H1270" s="13" t="s">
        <v>119</v>
      </c>
      <c r="I1270" s="16">
        <f>SUM(I1271:I1274)</f>
        <v>181347</v>
      </c>
      <c r="J1270" s="16">
        <f t="shared" ref="J1270" si="532">SUM(J1271:J1274)</f>
        <v>0</v>
      </c>
      <c r="K1270" s="16">
        <f t="shared" si="507"/>
        <v>181347</v>
      </c>
      <c r="L1270" s="16"/>
      <c r="M1270" s="16"/>
      <c r="N1270" s="16"/>
      <c r="O1270" s="16">
        <f t="shared" si="508"/>
        <v>0</v>
      </c>
      <c r="P1270" s="16"/>
      <c r="Q1270" s="18">
        <f t="shared" si="527"/>
        <v>181347</v>
      </c>
      <c r="R1270" s="18">
        <f t="shared" si="528"/>
        <v>0</v>
      </c>
      <c r="S1270" s="18">
        <f t="shared" si="528"/>
        <v>181347</v>
      </c>
    </row>
    <row r="1271" spans="2:19" x14ac:dyDescent="0.2">
      <c r="B1271" s="7">
        <f t="shared" si="506"/>
        <v>763</v>
      </c>
      <c r="C1271" s="19"/>
      <c r="D1271" s="19"/>
      <c r="E1271" s="19"/>
      <c r="F1271" s="20"/>
      <c r="G1271" s="21">
        <v>632</v>
      </c>
      <c r="H1271" s="19" t="s">
        <v>131</v>
      </c>
      <c r="I1271" s="22">
        <v>14050</v>
      </c>
      <c r="J1271" s="22"/>
      <c r="K1271" s="22">
        <f t="shared" si="507"/>
        <v>14050</v>
      </c>
      <c r="L1271" s="22"/>
      <c r="M1271" s="22"/>
      <c r="N1271" s="22"/>
      <c r="O1271" s="22">
        <f t="shared" si="508"/>
        <v>0</v>
      </c>
      <c r="P1271" s="22"/>
      <c r="Q1271" s="23">
        <f t="shared" si="527"/>
        <v>14050</v>
      </c>
      <c r="R1271" s="23">
        <f t="shared" si="528"/>
        <v>0</v>
      </c>
      <c r="S1271" s="23">
        <f t="shared" si="528"/>
        <v>14050</v>
      </c>
    </row>
    <row r="1272" spans="2:19" x14ac:dyDescent="0.2">
      <c r="B1272" s="7">
        <f t="shared" si="506"/>
        <v>764</v>
      </c>
      <c r="C1272" s="19"/>
      <c r="D1272" s="19"/>
      <c r="E1272" s="19"/>
      <c r="F1272" s="20"/>
      <c r="G1272" s="21">
        <v>633</v>
      </c>
      <c r="H1272" s="19" t="s">
        <v>123</v>
      </c>
      <c r="I1272" s="22">
        <f>159742-19221+13221</f>
        <v>153742</v>
      </c>
      <c r="J1272" s="22"/>
      <c r="K1272" s="22">
        <f t="shared" si="507"/>
        <v>153742</v>
      </c>
      <c r="L1272" s="22"/>
      <c r="M1272" s="22"/>
      <c r="N1272" s="22"/>
      <c r="O1272" s="22">
        <f t="shared" si="508"/>
        <v>0</v>
      </c>
      <c r="P1272" s="22"/>
      <c r="Q1272" s="23">
        <f t="shared" si="527"/>
        <v>153742</v>
      </c>
      <c r="R1272" s="23">
        <f t="shared" ref="R1272:S1287" si="533">N1272+J1272</f>
        <v>0</v>
      </c>
      <c r="S1272" s="23">
        <f t="shared" si="533"/>
        <v>153742</v>
      </c>
    </row>
    <row r="1273" spans="2:19" s="42" customFormat="1" x14ac:dyDescent="0.2">
      <c r="B1273" s="7">
        <f t="shared" si="506"/>
        <v>765</v>
      </c>
      <c r="C1273" s="19"/>
      <c r="D1273" s="19"/>
      <c r="E1273" s="19"/>
      <c r="F1273" s="20"/>
      <c r="G1273" s="21">
        <v>635</v>
      </c>
      <c r="H1273" s="19" t="s">
        <v>130</v>
      </c>
      <c r="I1273" s="22">
        <v>2500</v>
      </c>
      <c r="J1273" s="22"/>
      <c r="K1273" s="22">
        <f t="shared" si="507"/>
        <v>2500</v>
      </c>
      <c r="L1273" s="22"/>
      <c r="M1273" s="22"/>
      <c r="N1273" s="22"/>
      <c r="O1273" s="22">
        <f t="shared" si="508"/>
        <v>0</v>
      </c>
      <c r="P1273" s="22"/>
      <c r="Q1273" s="23">
        <f t="shared" si="527"/>
        <v>2500</v>
      </c>
      <c r="R1273" s="23">
        <f t="shared" si="533"/>
        <v>0</v>
      </c>
      <c r="S1273" s="23">
        <f t="shared" si="533"/>
        <v>2500</v>
      </c>
    </row>
    <row r="1274" spans="2:19" x14ac:dyDescent="0.2">
      <c r="B1274" s="7">
        <f t="shared" si="506"/>
        <v>766</v>
      </c>
      <c r="C1274" s="19"/>
      <c r="D1274" s="19"/>
      <c r="E1274" s="19"/>
      <c r="F1274" s="20"/>
      <c r="G1274" s="21">
        <v>637</v>
      </c>
      <c r="H1274" s="19" t="s">
        <v>120</v>
      </c>
      <c r="I1274" s="22">
        <v>11055</v>
      </c>
      <c r="J1274" s="22"/>
      <c r="K1274" s="22">
        <f t="shared" si="507"/>
        <v>11055</v>
      </c>
      <c r="L1274" s="22"/>
      <c r="M1274" s="22"/>
      <c r="N1274" s="22"/>
      <c r="O1274" s="22">
        <f t="shared" si="508"/>
        <v>0</v>
      </c>
      <c r="P1274" s="22"/>
      <c r="Q1274" s="23">
        <f t="shared" si="527"/>
        <v>11055</v>
      </c>
      <c r="R1274" s="23">
        <f t="shared" si="533"/>
        <v>0</v>
      </c>
      <c r="S1274" s="23">
        <f t="shared" si="533"/>
        <v>11055</v>
      </c>
    </row>
    <row r="1275" spans="2:19" x14ac:dyDescent="0.2">
      <c r="B1275" s="7">
        <f t="shared" si="506"/>
        <v>767</v>
      </c>
      <c r="C1275" s="13"/>
      <c r="D1275" s="13"/>
      <c r="E1275" s="13"/>
      <c r="F1275" s="14" t="s">
        <v>50</v>
      </c>
      <c r="G1275" s="15">
        <v>640</v>
      </c>
      <c r="H1275" s="13" t="s">
        <v>127</v>
      </c>
      <c r="I1275" s="16">
        <v>3918</v>
      </c>
      <c r="J1275" s="16"/>
      <c r="K1275" s="16">
        <f t="shared" si="507"/>
        <v>3918</v>
      </c>
      <c r="L1275" s="16"/>
      <c r="M1275" s="16"/>
      <c r="N1275" s="16"/>
      <c r="O1275" s="16">
        <f t="shared" si="508"/>
        <v>0</v>
      </c>
      <c r="P1275" s="16"/>
      <c r="Q1275" s="18">
        <f t="shared" si="527"/>
        <v>3918</v>
      </c>
      <c r="R1275" s="18">
        <f t="shared" si="533"/>
        <v>0</v>
      </c>
      <c r="S1275" s="18">
        <f t="shared" si="533"/>
        <v>3918</v>
      </c>
    </row>
    <row r="1276" spans="2:19" x14ac:dyDescent="0.2">
      <c r="B1276" s="7">
        <f t="shared" si="506"/>
        <v>768</v>
      </c>
      <c r="C1276" s="13"/>
      <c r="D1276" s="13"/>
      <c r="E1276" s="13"/>
      <c r="F1276" s="14" t="s">
        <v>50</v>
      </c>
      <c r="G1276" s="15">
        <v>630</v>
      </c>
      <c r="H1276" s="13" t="s">
        <v>686</v>
      </c>
      <c r="I1276" s="16">
        <v>7416</v>
      </c>
      <c r="J1276" s="16"/>
      <c r="K1276" s="16">
        <f t="shared" si="507"/>
        <v>7416</v>
      </c>
      <c r="L1276" s="16"/>
      <c r="M1276" s="16"/>
      <c r="N1276" s="16"/>
      <c r="O1276" s="16">
        <f t="shared" si="508"/>
        <v>0</v>
      </c>
      <c r="P1276" s="16"/>
      <c r="Q1276" s="18">
        <f t="shared" si="527"/>
        <v>7416</v>
      </c>
      <c r="R1276" s="18">
        <f t="shared" si="533"/>
        <v>0</v>
      </c>
      <c r="S1276" s="18">
        <f t="shared" si="533"/>
        <v>7416</v>
      </c>
    </row>
    <row r="1277" spans="2:19" x14ac:dyDescent="0.2">
      <c r="B1277" s="7">
        <f t="shared" si="506"/>
        <v>769</v>
      </c>
      <c r="C1277" s="13"/>
      <c r="D1277" s="13"/>
      <c r="E1277" s="13"/>
      <c r="F1277" s="14" t="s">
        <v>50</v>
      </c>
      <c r="G1277" s="15">
        <v>710</v>
      </c>
      <c r="H1277" s="13" t="s">
        <v>171</v>
      </c>
      <c r="I1277" s="16"/>
      <c r="J1277" s="16"/>
      <c r="K1277" s="16">
        <f t="shared" si="507"/>
        <v>0</v>
      </c>
      <c r="L1277" s="16"/>
      <c r="M1277" s="16">
        <f>M1278</f>
        <v>32000</v>
      </c>
      <c r="N1277" s="16">
        <f t="shared" ref="N1277:N1278" si="534">N1278</f>
        <v>0</v>
      </c>
      <c r="O1277" s="16">
        <f t="shared" si="508"/>
        <v>32000</v>
      </c>
      <c r="P1277" s="16"/>
      <c r="Q1277" s="18">
        <f t="shared" si="527"/>
        <v>32000</v>
      </c>
      <c r="R1277" s="18">
        <f t="shared" si="533"/>
        <v>0</v>
      </c>
      <c r="S1277" s="18">
        <f t="shared" si="533"/>
        <v>32000</v>
      </c>
    </row>
    <row r="1278" spans="2:19" x14ac:dyDescent="0.2">
      <c r="B1278" s="7">
        <f t="shared" si="506"/>
        <v>770</v>
      </c>
      <c r="C1278" s="13"/>
      <c r="D1278" s="13"/>
      <c r="E1278" s="13"/>
      <c r="F1278" s="20"/>
      <c r="G1278" s="21">
        <v>713</v>
      </c>
      <c r="H1278" s="19" t="s">
        <v>215</v>
      </c>
      <c r="I1278" s="16"/>
      <c r="J1278" s="16"/>
      <c r="K1278" s="16">
        <f t="shared" si="507"/>
        <v>0</v>
      </c>
      <c r="L1278" s="16"/>
      <c r="M1278" s="22">
        <f>M1279</f>
        <v>32000</v>
      </c>
      <c r="N1278" s="22">
        <f t="shared" si="534"/>
        <v>0</v>
      </c>
      <c r="O1278" s="22">
        <f t="shared" si="508"/>
        <v>32000</v>
      </c>
      <c r="P1278" s="22"/>
      <c r="Q1278" s="23">
        <f t="shared" si="527"/>
        <v>32000</v>
      </c>
      <c r="R1278" s="23">
        <f t="shared" si="533"/>
        <v>0</v>
      </c>
      <c r="S1278" s="23">
        <f t="shared" si="533"/>
        <v>32000</v>
      </c>
    </row>
    <row r="1279" spans="2:19" x14ac:dyDescent="0.2">
      <c r="B1279" s="7">
        <f t="shared" ref="B1279:B1342" si="535">B1278+1</f>
        <v>771</v>
      </c>
      <c r="C1279" s="13"/>
      <c r="D1279" s="13"/>
      <c r="E1279" s="13"/>
      <c r="F1279" s="113"/>
      <c r="G1279" s="25"/>
      <c r="H1279" s="1" t="s">
        <v>648</v>
      </c>
      <c r="I1279" s="16"/>
      <c r="J1279" s="16"/>
      <c r="K1279" s="16">
        <f t="shared" ref="K1279:K1342" si="536">I1279+J1279</f>
        <v>0</v>
      </c>
      <c r="L1279" s="16"/>
      <c r="M1279" s="26">
        <v>32000</v>
      </c>
      <c r="N1279" s="26"/>
      <c r="O1279" s="26">
        <f t="shared" ref="O1279:O1342" si="537">M1279+N1279</f>
        <v>32000</v>
      </c>
      <c r="P1279" s="26"/>
      <c r="Q1279" s="28">
        <f t="shared" si="527"/>
        <v>32000</v>
      </c>
      <c r="R1279" s="28">
        <f t="shared" si="533"/>
        <v>0</v>
      </c>
      <c r="S1279" s="28">
        <f t="shared" si="533"/>
        <v>32000</v>
      </c>
    </row>
    <row r="1280" spans="2:19" ht="15" x14ac:dyDescent="0.25">
      <c r="B1280" s="7">
        <f t="shared" si="535"/>
        <v>772</v>
      </c>
      <c r="C1280" s="108"/>
      <c r="D1280" s="108"/>
      <c r="E1280" s="108">
        <v>10</v>
      </c>
      <c r="F1280" s="109"/>
      <c r="G1280" s="109"/>
      <c r="H1280" s="108" t="s">
        <v>0</v>
      </c>
      <c r="I1280" s="110">
        <f>I1281+I1283+I1284+I1285+I1290+I1291+I1292+I1293+I1298+I1299</f>
        <v>566381</v>
      </c>
      <c r="J1280" s="110">
        <f t="shared" ref="J1280" si="538">J1281+J1283+J1284+J1285+J1290+J1291+J1292+J1293+J1298+J1299</f>
        <v>0</v>
      </c>
      <c r="K1280" s="110">
        <f t="shared" si="536"/>
        <v>566381</v>
      </c>
      <c r="L1280" s="321"/>
      <c r="M1280" s="110">
        <f>M1300</f>
        <v>6357</v>
      </c>
      <c r="N1280" s="110">
        <f t="shared" ref="N1280" si="539">N1300</f>
        <v>0</v>
      </c>
      <c r="O1280" s="110">
        <f t="shared" si="537"/>
        <v>6357</v>
      </c>
      <c r="P1280" s="321"/>
      <c r="Q1280" s="112">
        <f t="shared" si="527"/>
        <v>572738</v>
      </c>
      <c r="R1280" s="112">
        <f t="shared" si="533"/>
        <v>0</v>
      </c>
      <c r="S1280" s="112">
        <f t="shared" si="533"/>
        <v>572738</v>
      </c>
    </row>
    <row r="1281" spans="2:19" x14ac:dyDescent="0.2">
      <c r="B1281" s="7">
        <f t="shared" si="535"/>
        <v>773</v>
      </c>
      <c r="C1281" s="13"/>
      <c r="D1281" s="13"/>
      <c r="E1281" s="13"/>
      <c r="F1281" s="14" t="s">
        <v>157</v>
      </c>
      <c r="G1281" s="15">
        <v>630</v>
      </c>
      <c r="H1281" s="13" t="s">
        <v>119</v>
      </c>
      <c r="I1281" s="16">
        <f>I1282</f>
        <v>80199</v>
      </c>
      <c r="J1281" s="16">
        <f t="shared" ref="J1281" si="540">J1282</f>
        <v>0</v>
      </c>
      <c r="K1281" s="16">
        <f t="shared" si="536"/>
        <v>80199</v>
      </c>
      <c r="L1281" s="16"/>
      <c r="M1281" s="16"/>
      <c r="N1281" s="16"/>
      <c r="O1281" s="16">
        <f t="shared" si="537"/>
        <v>0</v>
      </c>
      <c r="P1281" s="16"/>
      <c r="Q1281" s="18">
        <f t="shared" si="527"/>
        <v>80199</v>
      </c>
      <c r="R1281" s="18">
        <f t="shared" si="533"/>
        <v>0</v>
      </c>
      <c r="S1281" s="18">
        <f t="shared" si="533"/>
        <v>80199</v>
      </c>
    </row>
    <row r="1282" spans="2:19" x14ac:dyDescent="0.2">
      <c r="B1282" s="7">
        <f t="shared" si="535"/>
        <v>774</v>
      </c>
      <c r="C1282" s="19"/>
      <c r="D1282" s="19"/>
      <c r="E1282" s="19"/>
      <c r="F1282" s="20"/>
      <c r="G1282" s="21">
        <v>633</v>
      </c>
      <c r="H1282" s="19" t="s">
        <v>123</v>
      </c>
      <c r="I1282" s="22">
        <v>80199</v>
      </c>
      <c r="J1282" s="22"/>
      <c r="K1282" s="22">
        <f t="shared" si="536"/>
        <v>80199</v>
      </c>
      <c r="L1282" s="22"/>
      <c r="M1282" s="22"/>
      <c r="N1282" s="22"/>
      <c r="O1282" s="22">
        <f t="shared" si="537"/>
        <v>0</v>
      </c>
      <c r="P1282" s="22"/>
      <c r="Q1282" s="23">
        <f t="shared" si="527"/>
        <v>80199</v>
      </c>
      <c r="R1282" s="23">
        <f t="shared" si="533"/>
        <v>0</v>
      </c>
      <c r="S1282" s="23">
        <f t="shared" si="533"/>
        <v>80199</v>
      </c>
    </row>
    <row r="1283" spans="2:19" x14ac:dyDescent="0.2">
      <c r="B1283" s="7">
        <f t="shared" si="535"/>
        <v>775</v>
      </c>
      <c r="C1283" s="13"/>
      <c r="D1283" s="13"/>
      <c r="E1283" s="13"/>
      <c r="F1283" s="14" t="s">
        <v>80</v>
      </c>
      <c r="G1283" s="15">
        <v>610</v>
      </c>
      <c r="H1283" s="13" t="s">
        <v>511</v>
      </c>
      <c r="I1283" s="16">
        <f>62160+3600</f>
        <v>65760</v>
      </c>
      <c r="J1283" s="16"/>
      <c r="K1283" s="16">
        <f t="shared" si="536"/>
        <v>65760</v>
      </c>
      <c r="L1283" s="16"/>
      <c r="M1283" s="16"/>
      <c r="N1283" s="16"/>
      <c r="O1283" s="16">
        <f t="shared" si="537"/>
        <v>0</v>
      </c>
      <c r="P1283" s="16"/>
      <c r="Q1283" s="18">
        <f t="shared" si="527"/>
        <v>65760</v>
      </c>
      <c r="R1283" s="18">
        <f t="shared" si="533"/>
        <v>0</v>
      </c>
      <c r="S1283" s="18">
        <f t="shared" si="533"/>
        <v>65760</v>
      </c>
    </row>
    <row r="1284" spans="2:19" x14ac:dyDescent="0.2">
      <c r="B1284" s="7">
        <f t="shared" si="535"/>
        <v>776</v>
      </c>
      <c r="C1284" s="13"/>
      <c r="D1284" s="13"/>
      <c r="E1284" s="13"/>
      <c r="F1284" s="14" t="s">
        <v>80</v>
      </c>
      <c r="G1284" s="15">
        <v>620</v>
      </c>
      <c r="H1284" s="13" t="s">
        <v>122</v>
      </c>
      <c r="I1284" s="16">
        <f>22347+1295</f>
        <v>23642</v>
      </c>
      <c r="J1284" s="16"/>
      <c r="K1284" s="16">
        <f t="shared" si="536"/>
        <v>23642</v>
      </c>
      <c r="L1284" s="16"/>
      <c r="M1284" s="16"/>
      <c r="N1284" s="16"/>
      <c r="O1284" s="16">
        <f t="shared" si="537"/>
        <v>0</v>
      </c>
      <c r="P1284" s="16"/>
      <c r="Q1284" s="18">
        <f t="shared" si="527"/>
        <v>23642</v>
      </c>
      <c r="R1284" s="18">
        <f t="shared" si="533"/>
        <v>0</v>
      </c>
      <c r="S1284" s="18">
        <f t="shared" si="533"/>
        <v>23642</v>
      </c>
    </row>
    <row r="1285" spans="2:19" x14ac:dyDescent="0.2">
      <c r="B1285" s="7">
        <f t="shared" si="535"/>
        <v>777</v>
      </c>
      <c r="C1285" s="13"/>
      <c r="D1285" s="13"/>
      <c r="E1285" s="13"/>
      <c r="F1285" s="14" t="s">
        <v>80</v>
      </c>
      <c r="G1285" s="15">
        <v>630</v>
      </c>
      <c r="H1285" s="13" t="s">
        <v>119</v>
      </c>
      <c r="I1285" s="16">
        <f>SUM(I1286:I1289)</f>
        <v>112779</v>
      </c>
      <c r="J1285" s="16">
        <f t="shared" ref="J1285" si="541">SUM(J1286:J1289)</f>
        <v>-1516</v>
      </c>
      <c r="K1285" s="16">
        <f t="shared" si="536"/>
        <v>111263</v>
      </c>
      <c r="L1285" s="16"/>
      <c r="M1285" s="17"/>
      <c r="N1285" s="17"/>
      <c r="O1285" s="17">
        <f t="shared" si="537"/>
        <v>0</v>
      </c>
      <c r="P1285" s="17"/>
      <c r="Q1285" s="18">
        <f t="shared" si="527"/>
        <v>112779</v>
      </c>
      <c r="R1285" s="18">
        <f t="shared" si="533"/>
        <v>-1516</v>
      </c>
      <c r="S1285" s="18">
        <f t="shared" si="533"/>
        <v>111263</v>
      </c>
    </row>
    <row r="1286" spans="2:19" x14ac:dyDescent="0.2">
      <c r="B1286" s="7">
        <f t="shared" si="535"/>
        <v>778</v>
      </c>
      <c r="C1286" s="19"/>
      <c r="D1286" s="19"/>
      <c r="E1286" s="19"/>
      <c r="F1286" s="20"/>
      <c r="G1286" s="21">
        <v>632</v>
      </c>
      <c r="H1286" s="19" t="s">
        <v>131</v>
      </c>
      <c r="I1286" s="22">
        <v>17695</v>
      </c>
      <c r="J1286" s="22"/>
      <c r="K1286" s="22">
        <f t="shared" si="536"/>
        <v>17695</v>
      </c>
      <c r="L1286" s="22"/>
      <c r="M1286" s="22"/>
      <c r="N1286" s="22"/>
      <c r="O1286" s="22">
        <f t="shared" si="537"/>
        <v>0</v>
      </c>
      <c r="P1286" s="22"/>
      <c r="Q1286" s="23">
        <f t="shared" si="527"/>
        <v>17695</v>
      </c>
      <c r="R1286" s="23">
        <f t="shared" si="533"/>
        <v>0</v>
      </c>
      <c r="S1286" s="23">
        <f t="shared" si="533"/>
        <v>17695</v>
      </c>
    </row>
    <row r="1287" spans="2:19" x14ac:dyDescent="0.2">
      <c r="B1287" s="7">
        <f t="shared" si="535"/>
        <v>779</v>
      </c>
      <c r="C1287" s="19"/>
      <c r="D1287" s="19"/>
      <c r="E1287" s="19"/>
      <c r="F1287" s="20"/>
      <c r="G1287" s="21">
        <v>633</v>
      </c>
      <c r="H1287" s="19" t="s">
        <v>123</v>
      </c>
      <c r="I1287" s="22">
        <f>85531-2447</f>
        <v>83084</v>
      </c>
      <c r="J1287" s="22">
        <v>-1516</v>
      </c>
      <c r="K1287" s="22">
        <f t="shared" si="536"/>
        <v>81568</v>
      </c>
      <c r="L1287" s="22"/>
      <c r="M1287" s="22"/>
      <c r="N1287" s="22"/>
      <c r="O1287" s="22">
        <f t="shared" si="537"/>
        <v>0</v>
      </c>
      <c r="P1287" s="22"/>
      <c r="Q1287" s="23">
        <f t="shared" si="527"/>
        <v>83084</v>
      </c>
      <c r="R1287" s="23">
        <f t="shared" si="533"/>
        <v>-1516</v>
      </c>
      <c r="S1287" s="23">
        <f t="shared" si="533"/>
        <v>81568</v>
      </c>
    </row>
    <row r="1288" spans="2:19" x14ac:dyDescent="0.2">
      <c r="B1288" s="7">
        <f t="shared" si="535"/>
        <v>780</v>
      </c>
      <c r="C1288" s="19"/>
      <c r="D1288" s="19"/>
      <c r="E1288" s="19"/>
      <c r="F1288" s="20"/>
      <c r="G1288" s="21">
        <v>635</v>
      </c>
      <c r="H1288" s="19" t="s">
        <v>130</v>
      </c>
      <c r="I1288" s="22">
        <v>4000</v>
      </c>
      <c r="J1288" s="22"/>
      <c r="K1288" s="22">
        <f t="shared" si="536"/>
        <v>4000</v>
      </c>
      <c r="L1288" s="22"/>
      <c r="M1288" s="22"/>
      <c r="N1288" s="22"/>
      <c r="O1288" s="22">
        <f t="shared" si="537"/>
        <v>0</v>
      </c>
      <c r="P1288" s="22"/>
      <c r="Q1288" s="23">
        <f t="shared" ref="Q1288:Q1319" si="542">M1288+I1288</f>
        <v>4000</v>
      </c>
      <c r="R1288" s="23">
        <f t="shared" ref="R1288:S1303" si="543">N1288+J1288</f>
        <v>0</v>
      </c>
      <c r="S1288" s="23">
        <f t="shared" si="543"/>
        <v>4000</v>
      </c>
    </row>
    <row r="1289" spans="2:19" x14ac:dyDescent="0.2">
      <c r="B1289" s="7">
        <f t="shared" si="535"/>
        <v>781</v>
      </c>
      <c r="C1289" s="19"/>
      <c r="D1289" s="19"/>
      <c r="E1289" s="19"/>
      <c r="F1289" s="20"/>
      <c r="G1289" s="21">
        <v>637</v>
      </c>
      <c r="H1289" s="19" t="s">
        <v>120</v>
      </c>
      <c r="I1289" s="22">
        <v>8000</v>
      </c>
      <c r="J1289" s="22"/>
      <c r="K1289" s="22">
        <f t="shared" si="536"/>
        <v>8000</v>
      </c>
      <c r="L1289" s="22"/>
      <c r="M1289" s="22"/>
      <c r="N1289" s="22"/>
      <c r="O1289" s="22">
        <f t="shared" si="537"/>
        <v>0</v>
      </c>
      <c r="P1289" s="22"/>
      <c r="Q1289" s="23">
        <f t="shared" si="542"/>
        <v>8000</v>
      </c>
      <c r="R1289" s="23">
        <f t="shared" si="543"/>
        <v>0</v>
      </c>
      <c r="S1289" s="23">
        <f t="shared" si="543"/>
        <v>8000</v>
      </c>
    </row>
    <row r="1290" spans="2:19" x14ac:dyDescent="0.2">
      <c r="B1290" s="7">
        <f t="shared" si="535"/>
        <v>782</v>
      </c>
      <c r="C1290" s="13"/>
      <c r="D1290" s="13"/>
      <c r="E1290" s="13"/>
      <c r="F1290" s="14" t="s">
        <v>80</v>
      </c>
      <c r="G1290" s="15">
        <v>640</v>
      </c>
      <c r="H1290" s="13" t="s">
        <v>127</v>
      </c>
      <c r="I1290" s="16">
        <v>700</v>
      </c>
      <c r="J1290" s="16">
        <v>1516</v>
      </c>
      <c r="K1290" s="16">
        <f t="shared" si="536"/>
        <v>2216</v>
      </c>
      <c r="L1290" s="16"/>
      <c r="M1290" s="16"/>
      <c r="N1290" s="16"/>
      <c r="O1290" s="16">
        <f t="shared" si="537"/>
        <v>0</v>
      </c>
      <c r="P1290" s="16"/>
      <c r="Q1290" s="18">
        <f t="shared" si="542"/>
        <v>700</v>
      </c>
      <c r="R1290" s="18">
        <f t="shared" si="543"/>
        <v>1516</v>
      </c>
      <c r="S1290" s="18">
        <f t="shared" si="543"/>
        <v>2216</v>
      </c>
    </row>
    <row r="1291" spans="2:19" x14ac:dyDescent="0.2">
      <c r="B1291" s="7">
        <f t="shared" si="535"/>
        <v>783</v>
      </c>
      <c r="C1291" s="13"/>
      <c r="D1291" s="13"/>
      <c r="E1291" s="13"/>
      <c r="F1291" s="14" t="s">
        <v>50</v>
      </c>
      <c r="G1291" s="15">
        <v>610</v>
      </c>
      <c r="H1291" s="13" t="s">
        <v>511</v>
      </c>
      <c r="I1291" s="16">
        <f>60928+13363</f>
        <v>74291</v>
      </c>
      <c r="J1291" s="16"/>
      <c r="K1291" s="16">
        <f t="shared" si="536"/>
        <v>74291</v>
      </c>
      <c r="L1291" s="16"/>
      <c r="M1291" s="16"/>
      <c r="N1291" s="16"/>
      <c r="O1291" s="16">
        <f t="shared" si="537"/>
        <v>0</v>
      </c>
      <c r="P1291" s="16"/>
      <c r="Q1291" s="18">
        <f t="shared" si="542"/>
        <v>74291</v>
      </c>
      <c r="R1291" s="18">
        <f t="shared" si="543"/>
        <v>0</v>
      </c>
      <c r="S1291" s="18">
        <f t="shared" si="543"/>
        <v>74291</v>
      </c>
    </row>
    <row r="1292" spans="2:19" x14ac:dyDescent="0.2">
      <c r="B1292" s="7">
        <f t="shared" si="535"/>
        <v>784</v>
      </c>
      <c r="C1292" s="13"/>
      <c r="D1292" s="13"/>
      <c r="E1292" s="13"/>
      <c r="F1292" s="14" t="s">
        <v>50</v>
      </c>
      <c r="G1292" s="15">
        <v>620</v>
      </c>
      <c r="H1292" s="13" t="s">
        <v>122</v>
      </c>
      <c r="I1292" s="16">
        <f>23019+4804</f>
        <v>27823</v>
      </c>
      <c r="J1292" s="16"/>
      <c r="K1292" s="16">
        <f t="shared" si="536"/>
        <v>27823</v>
      </c>
      <c r="L1292" s="16"/>
      <c r="M1292" s="16"/>
      <c r="N1292" s="16"/>
      <c r="O1292" s="16">
        <f t="shared" si="537"/>
        <v>0</v>
      </c>
      <c r="P1292" s="16"/>
      <c r="Q1292" s="18">
        <f t="shared" si="542"/>
        <v>27823</v>
      </c>
      <c r="R1292" s="18">
        <f t="shared" si="543"/>
        <v>0</v>
      </c>
      <c r="S1292" s="18">
        <f t="shared" si="543"/>
        <v>27823</v>
      </c>
    </row>
    <row r="1293" spans="2:19" x14ac:dyDescent="0.2">
      <c r="B1293" s="7">
        <f t="shared" si="535"/>
        <v>785</v>
      </c>
      <c r="C1293" s="13"/>
      <c r="D1293" s="13"/>
      <c r="E1293" s="13"/>
      <c r="F1293" s="14" t="s">
        <v>50</v>
      </c>
      <c r="G1293" s="15">
        <v>630</v>
      </c>
      <c r="H1293" s="13" t="s">
        <v>119</v>
      </c>
      <c r="I1293" s="16">
        <f>SUM(I1294:I1297)</f>
        <v>174256</v>
      </c>
      <c r="J1293" s="16">
        <f t="shared" ref="J1293" si="544">SUM(J1294:J1297)</f>
        <v>-913</v>
      </c>
      <c r="K1293" s="16">
        <f t="shared" si="536"/>
        <v>173343</v>
      </c>
      <c r="L1293" s="16"/>
      <c r="M1293" s="17"/>
      <c r="N1293" s="17"/>
      <c r="O1293" s="17">
        <f t="shared" si="537"/>
        <v>0</v>
      </c>
      <c r="P1293" s="17"/>
      <c r="Q1293" s="18">
        <f t="shared" si="542"/>
        <v>174256</v>
      </c>
      <c r="R1293" s="18">
        <f t="shared" si="543"/>
        <v>-913</v>
      </c>
      <c r="S1293" s="18">
        <f t="shared" si="543"/>
        <v>173343</v>
      </c>
    </row>
    <row r="1294" spans="2:19" x14ac:dyDescent="0.2">
      <c r="B1294" s="7">
        <f t="shared" si="535"/>
        <v>786</v>
      </c>
      <c r="C1294" s="19"/>
      <c r="D1294" s="19"/>
      <c r="E1294" s="19"/>
      <c r="F1294" s="20"/>
      <c r="G1294" s="21">
        <v>632</v>
      </c>
      <c r="H1294" s="19" t="s">
        <v>131</v>
      </c>
      <c r="I1294" s="22">
        <v>17695</v>
      </c>
      <c r="J1294" s="22"/>
      <c r="K1294" s="22">
        <f t="shared" si="536"/>
        <v>17695</v>
      </c>
      <c r="L1294" s="22"/>
      <c r="M1294" s="22"/>
      <c r="N1294" s="22"/>
      <c r="O1294" s="22">
        <f t="shared" si="537"/>
        <v>0</v>
      </c>
      <c r="P1294" s="22"/>
      <c r="Q1294" s="23">
        <f t="shared" si="542"/>
        <v>17695</v>
      </c>
      <c r="R1294" s="23">
        <f t="shared" si="543"/>
        <v>0</v>
      </c>
      <c r="S1294" s="23">
        <f t="shared" si="543"/>
        <v>17695</v>
      </c>
    </row>
    <row r="1295" spans="2:19" x14ac:dyDescent="0.2">
      <c r="B1295" s="7">
        <f t="shared" si="535"/>
        <v>787</v>
      </c>
      <c r="C1295" s="19"/>
      <c r="D1295" s="19"/>
      <c r="E1295" s="19"/>
      <c r="F1295" s="20"/>
      <c r="G1295" s="21">
        <v>633</v>
      </c>
      <c r="H1295" s="19" t="s">
        <v>123</v>
      </c>
      <c r="I1295" s="22">
        <f>148141-2448-367</f>
        <v>145326</v>
      </c>
      <c r="J1295" s="22">
        <v>-913</v>
      </c>
      <c r="K1295" s="22">
        <f t="shared" si="536"/>
        <v>144413</v>
      </c>
      <c r="L1295" s="22"/>
      <c r="M1295" s="22"/>
      <c r="N1295" s="22"/>
      <c r="O1295" s="22">
        <f t="shared" si="537"/>
        <v>0</v>
      </c>
      <c r="P1295" s="22"/>
      <c r="Q1295" s="23">
        <f t="shared" si="542"/>
        <v>145326</v>
      </c>
      <c r="R1295" s="23">
        <f t="shared" si="543"/>
        <v>-913</v>
      </c>
      <c r="S1295" s="23">
        <f t="shared" si="543"/>
        <v>144413</v>
      </c>
    </row>
    <row r="1296" spans="2:19" x14ac:dyDescent="0.2">
      <c r="B1296" s="7">
        <f t="shared" si="535"/>
        <v>788</v>
      </c>
      <c r="C1296" s="19"/>
      <c r="D1296" s="19"/>
      <c r="E1296" s="19"/>
      <c r="F1296" s="20"/>
      <c r="G1296" s="21">
        <v>635</v>
      </c>
      <c r="H1296" s="19" t="s">
        <v>130</v>
      </c>
      <c r="I1296" s="22">
        <v>4000</v>
      </c>
      <c r="J1296" s="22"/>
      <c r="K1296" s="22">
        <f t="shared" si="536"/>
        <v>4000</v>
      </c>
      <c r="L1296" s="22"/>
      <c r="M1296" s="22"/>
      <c r="N1296" s="22"/>
      <c r="O1296" s="22">
        <f t="shared" si="537"/>
        <v>0</v>
      </c>
      <c r="P1296" s="22"/>
      <c r="Q1296" s="23">
        <f t="shared" si="542"/>
        <v>4000</v>
      </c>
      <c r="R1296" s="23">
        <f t="shared" si="543"/>
        <v>0</v>
      </c>
      <c r="S1296" s="23">
        <f t="shared" si="543"/>
        <v>4000</v>
      </c>
    </row>
    <row r="1297" spans="2:19" x14ac:dyDescent="0.2">
      <c r="B1297" s="7">
        <f t="shared" si="535"/>
        <v>789</v>
      </c>
      <c r="C1297" s="19"/>
      <c r="D1297" s="19"/>
      <c r="E1297" s="19"/>
      <c r="F1297" s="20"/>
      <c r="G1297" s="21">
        <v>637</v>
      </c>
      <c r="H1297" s="19" t="s">
        <v>120</v>
      </c>
      <c r="I1297" s="22">
        <v>7235</v>
      </c>
      <c r="J1297" s="22"/>
      <c r="K1297" s="22">
        <f t="shared" si="536"/>
        <v>7235</v>
      </c>
      <c r="L1297" s="22"/>
      <c r="M1297" s="22"/>
      <c r="N1297" s="22"/>
      <c r="O1297" s="22">
        <f t="shared" si="537"/>
        <v>0</v>
      </c>
      <c r="P1297" s="22"/>
      <c r="Q1297" s="23">
        <f t="shared" si="542"/>
        <v>7235</v>
      </c>
      <c r="R1297" s="23">
        <f t="shared" si="543"/>
        <v>0</v>
      </c>
      <c r="S1297" s="23">
        <f t="shared" si="543"/>
        <v>7235</v>
      </c>
    </row>
    <row r="1298" spans="2:19" x14ac:dyDescent="0.2">
      <c r="B1298" s="7">
        <f t="shared" si="535"/>
        <v>790</v>
      </c>
      <c r="C1298" s="13"/>
      <c r="D1298" s="13"/>
      <c r="E1298" s="13"/>
      <c r="F1298" s="14" t="s">
        <v>50</v>
      </c>
      <c r="G1298" s="15">
        <v>640</v>
      </c>
      <c r="H1298" s="13" t="s">
        <v>127</v>
      </c>
      <c r="I1298" s="16">
        <v>3802</v>
      </c>
      <c r="J1298" s="16">
        <v>913</v>
      </c>
      <c r="K1298" s="16">
        <f t="shared" si="536"/>
        <v>4715</v>
      </c>
      <c r="L1298" s="16"/>
      <c r="M1298" s="16"/>
      <c r="N1298" s="16"/>
      <c r="O1298" s="16">
        <f t="shared" si="537"/>
        <v>0</v>
      </c>
      <c r="P1298" s="16"/>
      <c r="Q1298" s="18">
        <f t="shared" si="542"/>
        <v>3802</v>
      </c>
      <c r="R1298" s="18">
        <f t="shared" si="543"/>
        <v>913</v>
      </c>
      <c r="S1298" s="18">
        <f t="shared" si="543"/>
        <v>4715</v>
      </c>
    </row>
    <row r="1299" spans="2:19" x14ac:dyDescent="0.2">
      <c r="B1299" s="7">
        <f t="shared" si="535"/>
        <v>791</v>
      </c>
      <c r="C1299" s="13"/>
      <c r="D1299" s="13"/>
      <c r="E1299" s="13"/>
      <c r="F1299" s="14" t="s">
        <v>50</v>
      </c>
      <c r="G1299" s="15">
        <v>630</v>
      </c>
      <c r="H1299" s="13" t="s">
        <v>686</v>
      </c>
      <c r="I1299" s="16">
        <v>3129</v>
      </c>
      <c r="J1299" s="16"/>
      <c r="K1299" s="16">
        <f t="shared" si="536"/>
        <v>3129</v>
      </c>
      <c r="L1299" s="16"/>
      <c r="M1299" s="16"/>
      <c r="N1299" s="16"/>
      <c r="O1299" s="16">
        <f t="shared" si="537"/>
        <v>0</v>
      </c>
      <c r="P1299" s="16"/>
      <c r="Q1299" s="18">
        <f t="shared" si="542"/>
        <v>3129</v>
      </c>
      <c r="R1299" s="18">
        <f t="shared" si="543"/>
        <v>0</v>
      </c>
      <c r="S1299" s="18">
        <f t="shared" si="543"/>
        <v>3129</v>
      </c>
    </row>
    <row r="1300" spans="2:19" x14ac:dyDescent="0.2">
      <c r="B1300" s="7">
        <f t="shared" si="535"/>
        <v>792</v>
      </c>
      <c r="C1300" s="13"/>
      <c r="D1300" s="13"/>
      <c r="E1300" s="13"/>
      <c r="F1300" s="14" t="s">
        <v>50</v>
      </c>
      <c r="G1300" s="15">
        <v>710</v>
      </c>
      <c r="H1300" s="13" t="s">
        <v>171</v>
      </c>
      <c r="I1300" s="16"/>
      <c r="J1300" s="16"/>
      <c r="K1300" s="16">
        <f t="shared" si="536"/>
        <v>0</v>
      </c>
      <c r="L1300" s="16"/>
      <c r="M1300" s="16">
        <f>M1301</f>
        <v>6357</v>
      </c>
      <c r="N1300" s="16">
        <f t="shared" ref="N1300" si="545">N1301</f>
        <v>0</v>
      </c>
      <c r="O1300" s="16">
        <f t="shared" si="537"/>
        <v>6357</v>
      </c>
      <c r="P1300" s="16"/>
      <c r="Q1300" s="18">
        <f t="shared" si="542"/>
        <v>6357</v>
      </c>
      <c r="R1300" s="18">
        <f t="shared" si="543"/>
        <v>0</v>
      </c>
      <c r="S1300" s="18">
        <f t="shared" si="543"/>
        <v>6357</v>
      </c>
    </row>
    <row r="1301" spans="2:19" x14ac:dyDescent="0.2">
      <c r="B1301" s="7">
        <f t="shared" si="535"/>
        <v>793</v>
      </c>
      <c r="C1301" s="13"/>
      <c r="D1301" s="13"/>
      <c r="E1301" s="13"/>
      <c r="F1301" s="20"/>
      <c r="G1301" s="21">
        <v>713</v>
      </c>
      <c r="H1301" s="19" t="s">
        <v>215</v>
      </c>
      <c r="I1301" s="16"/>
      <c r="J1301" s="16"/>
      <c r="K1301" s="16">
        <f t="shared" si="536"/>
        <v>0</v>
      </c>
      <c r="L1301" s="16"/>
      <c r="M1301" s="22">
        <f>M1302+M1303</f>
        <v>6357</v>
      </c>
      <c r="N1301" s="22">
        <f t="shared" ref="N1301" si="546">N1302+N1303</f>
        <v>0</v>
      </c>
      <c r="O1301" s="22">
        <f t="shared" si="537"/>
        <v>6357</v>
      </c>
      <c r="P1301" s="16"/>
      <c r="Q1301" s="18">
        <f t="shared" si="542"/>
        <v>6357</v>
      </c>
      <c r="R1301" s="18">
        <f t="shared" si="543"/>
        <v>0</v>
      </c>
      <c r="S1301" s="18">
        <f t="shared" si="543"/>
        <v>6357</v>
      </c>
    </row>
    <row r="1302" spans="2:19" x14ac:dyDescent="0.2">
      <c r="B1302" s="7">
        <f t="shared" si="535"/>
        <v>794</v>
      </c>
      <c r="C1302" s="13"/>
      <c r="D1302" s="13"/>
      <c r="E1302" s="13"/>
      <c r="F1302" s="113"/>
      <c r="G1302" s="25"/>
      <c r="H1302" s="1" t="s">
        <v>693</v>
      </c>
      <c r="I1302" s="16"/>
      <c r="J1302" s="16"/>
      <c r="K1302" s="16">
        <f t="shared" si="536"/>
        <v>0</v>
      </c>
      <c r="L1302" s="16"/>
      <c r="M1302" s="26">
        <v>3036</v>
      </c>
      <c r="N1302" s="26"/>
      <c r="O1302" s="26">
        <f t="shared" si="537"/>
        <v>3036</v>
      </c>
      <c r="P1302" s="16"/>
      <c r="Q1302" s="23">
        <f t="shared" si="542"/>
        <v>3036</v>
      </c>
      <c r="R1302" s="23">
        <f t="shared" si="543"/>
        <v>0</v>
      </c>
      <c r="S1302" s="23">
        <f t="shared" si="543"/>
        <v>3036</v>
      </c>
    </row>
    <row r="1303" spans="2:19" x14ac:dyDescent="0.2">
      <c r="B1303" s="7">
        <f t="shared" si="535"/>
        <v>795</v>
      </c>
      <c r="C1303" s="13"/>
      <c r="D1303" s="13"/>
      <c r="E1303" s="13"/>
      <c r="F1303" s="113"/>
      <c r="G1303" s="25"/>
      <c r="H1303" s="1" t="s">
        <v>694</v>
      </c>
      <c r="I1303" s="16"/>
      <c r="J1303" s="16"/>
      <c r="K1303" s="16">
        <f t="shared" si="536"/>
        <v>0</v>
      </c>
      <c r="L1303" s="16"/>
      <c r="M1303" s="26">
        <v>3321</v>
      </c>
      <c r="N1303" s="26"/>
      <c r="O1303" s="26">
        <f t="shared" si="537"/>
        <v>3321</v>
      </c>
      <c r="P1303" s="16"/>
      <c r="Q1303" s="23">
        <f t="shared" si="542"/>
        <v>3321</v>
      </c>
      <c r="R1303" s="23">
        <f t="shared" si="543"/>
        <v>0</v>
      </c>
      <c r="S1303" s="23">
        <f t="shared" si="543"/>
        <v>3321</v>
      </c>
    </row>
    <row r="1304" spans="2:19" ht="15" x14ac:dyDescent="0.25">
      <c r="B1304" s="7">
        <f t="shared" si="535"/>
        <v>796</v>
      </c>
      <c r="C1304" s="108"/>
      <c r="D1304" s="108"/>
      <c r="E1304" s="108">
        <v>11</v>
      </c>
      <c r="F1304" s="109"/>
      <c r="G1304" s="109"/>
      <c r="H1304" s="108" t="s">
        <v>7</v>
      </c>
      <c r="I1304" s="110">
        <f>I1305+I1306+I1307+I1312+I1313+I1314+I1315+I1320+I1321</f>
        <v>680454</v>
      </c>
      <c r="J1304" s="110">
        <f t="shared" ref="J1304" si="547">J1305+J1306+J1307+J1312+J1313+J1314+J1315+J1320+J1321</f>
        <v>0</v>
      </c>
      <c r="K1304" s="110">
        <f t="shared" si="536"/>
        <v>680454</v>
      </c>
      <c r="L1304" s="321"/>
      <c r="M1304" s="111"/>
      <c r="N1304" s="111"/>
      <c r="O1304" s="111">
        <f t="shared" si="537"/>
        <v>0</v>
      </c>
      <c r="P1304" s="17"/>
      <c r="Q1304" s="112">
        <f t="shared" si="542"/>
        <v>680454</v>
      </c>
      <c r="R1304" s="112">
        <f t="shared" ref="R1304:S1319" si="548">N1304+J1304</f>
        <v>0</v>
      </c>
      <c r="S1304" s="112">
        <f t="shared" si="548"/>
        <v>680454</v>
      </c>
    </row>
    <row r="1305" spans="2:19" x14ac:dyDescent="0.2">
      <c r="B1305" s="7">
        <f t="shared" si="535"/>
        <v>797</v>
      </c>
      <c r="C1305" s="13"/>
      <c r="D1305" s="13"/>
      <c r="E1305" s="13"/>
      <c r="F1305" s="14" t="s">
        <v>80</v>
      </c>
      <c r="G1305" s="15">
        <v>610</v>
      </c>
      <c r="H1305" s="13" t="s">
        <v>511</v>
      </c>
      <c r="I1305" s="16">
        <v>88460</v>
      </c>
      <c r="J1305" s="16"/>
      <c r="K1305" s="16">
        <f t="shared" si="536"/>
        <v>88460</v>
      </c>
      <c r="L1305" s="16"/>
      <c r="M1305" s="16"/>
      <c r="N1305" s="16"/>
      <c r="O1305" s="16">
        <f t="shared" si="537"/>
        <v>0</v>
      </c>
      <c r="P1305" s="16"/>
      <c r="Q1305" s="18">
        <f t="shared" si="542"/>
        <v>88460</v>
      </c>
      <c r="R1305" s="18">
        <f t="shared" si="548"/>
        <v>0</v>
      </c>
      <c r="S1305" s="18">
        <f t="shared" si="548"/>
        <v>88460</v>
      </c>
    </row>
    <row r="1306" spans="2:19" x14ac:dyDescent="0.2">
      <c r="B1306" s="7">
        <f t="shared" si="535"/>
        <v>798</v>
      </c>
      <c r="C1306" s="13"/>
      <c r="D1306" s="13"/>
      <c r="E1306" s="13"/>
      <c r="F1306" s="14" t="s">
        <v>80</v>
      </c>
      <c r="G1306" s="15">
        <v>620</v>
      </c>
      <c r="H1306" s="13" t="s">
        <v>122</v>
      </c>
      <c r="I1306" s="16">
        <v>34520</v>
      </c>
      <c r="J1306" s="16"/>
      <c r="K1306" s="16">
        <f t="shared" si="536"/>
        <v>34520</v>
      </c>
      <c r="L1306" s="16"/>
      <c r="M1306" s="16"/>
      <c r="N1306" s="16"/>
      <c r="O1306" s="16">
        <f t="shared" si="537"/>
        <v>0</v>
      </c>
      <c r="P1306" s="16"/>
      <c r="Q1306" s="18">
        <f t="shared" si="542"/>
        <v>34520</v>
      </c>
      <c r="R1306" s="18">
        <f t="shared" si="548"/>
        <v>0</v>
      </c>
      <c r="S1306" s="18">
        <f t="shared" si="548"/>
        <v>34520</v>
      </c>
    </row>
    <row r="1307" spans="2:19" x14ac:dyDescent="0.2">
      <c r="B1307" s="7">
        <f t="shared" si="535"/>
        <v>799</v>
      </c>
      <c r="C1307" s="13"/>
      <c r="D1307" s="13"/>
      <c r="E1307" s="13"/>
      <c r="F1307" s="14" t="s">
        <v>80</v>
      </c>
      <c r="G1307" s="15">
        <v>630</v>
      </c>
      <c r="H1307" s="13" t="s">
        <v>119</v>
      </c>
      <c r="I1307" s="16">
        <f>SUM(I1308:I1311)</f>
        <v>48610</v>
      </c>
      <c r="J1307" s="16">
        <f t="shared" ref="J1307" si="549">SUM(J1308:J1311)</f>
        <v>0</v>
      </c>
      <c r="K1307" s="16">
        <f t="shared" si="536"/>
        <v>48610</v>
      </c>
      <c r="L1307" s="16"/>
      <c r="M1307" s="16"/>
      <c r="N1307" s="16"/>
      <c r="O1307" s="16">
        <f t="shared" si="537"/>
        <v>0</v>
      </c>
      <c r="P1307" s="16"/>
      <c r="Q1307" s="18">
        <f t="shared" si="542"/>
        <v>48610</v>
      </c>
      <c r="R1307" s="18">
        <f t="shared" si="548"/>
        <v>0</v>
      </c>
      <c r="S1307" s="18">
        <f t="shared" si="548"/>
        <v>48610</v>
      </c>
    </row>
    <row r="1308" spans="2:19" x14ac:dyDescent="0.2">
      <c r="B1308" s="7">
        <f t="shared" si="535"/>
        <v>800</v>
      </c>
      <c r="C1308" s="19"/>
      <c r="D1308" s="19"/>
      <c r="E1308" s="19"/>
      <c r="F1308" s="20"/>
      <c r="G1308" s="21">
        <v>632</v>
      </c>
      <c r="H1308" s="19" t="s">
        <v>131</v>
      </c>
      <c r="I1308" s="22">
        <v>23140</v>
      </c>
      <c r="J1308" s="22"/>
      <c r="K1308" s="22">
        <f t="shared" si="536"/>
        <v>23140</v>
      </c>
      <c r="L1308" s="22"/>
      <c r="M1308" s="22"/>
      <c r="N1308" s="22"/>
      <c r="O1308" s="22">
        <f t="shared" si="537"/>
        <v>0</v>
      </c>
      <c r="P1308" s="22"/>
      <c r="Q1308" s="23">
        <f t="shared" si="542"/>
        <v>23140</v>
      </c>
      <c r="R1308" s="23">
        <f t="shared" si="548"/>
        <v>0</v>
      </c>
      <c r="S1308" s="23">
        <f t="shared" si="548"/>
        <v>23140</v>
      </c>
    </row>
    <row r="1309" spans="2:19" x14ac:dyDescent="0.2">
      <c r="B1309" s="7">
        <f t="shared" si="535"/>
        <v>801</v>
      </c>
      <c r="C1309" s="19"/>
      <c r="D1309" s="19"/>
      <c r="E1309" s="19"/>
      <c r="F1309" s="20"/>
      <c r="G1309" s="21">
        <v>633</v>
      </c>
      <c r="H1309" s="19" t="s">
        <v>123</v>
      </c>
      <c r="I1309" s="22">
        <v>13750</v>
      </c>
      <c r="J1309" s="22"/>
      <c r="K1309" s="22">
        <f t="shared" si="536"/>
        <v>13750</v>
      </c>
      <c r="L1309" s="22"/>
      <c r="M1309" s="22"/>
      <c r="N1309" s="22"/>
      <c r="O1309" s="22">
        <f t="shared" si="537"/>
        <v>0</v>
      </c>
      <c r="P1309" s="22"/>
      <c r="Q1309" s="23">
        <f t="shared" si="542"/>
        <v>13750</v>
      </c>
      <c r="R1309" s="23">
        <f t="shared" si="548"/>
        <v>0</v>
      </c>
      <c r="S1309" s="23">
        <f t="shared" si="548"/>
        <v>13750</v>
      </c>
    </row>
    <row r="1310" spans="2:19" x14ac:dyDescent="0.2">
      <c r="B1310" s="7">
        <f t="shared" si="535"/>
        <v>802</v>
      </c>
      <c r="C1310" s="19"/>
      <c r="D1310" s="19"/>
      <c r="E1310" s="19"/>
      <c r="F1310" s="20"/>
      <c r="G1310" s="21">
        <v>635</v>
      </c>
      <c r="H1310" s="19" t="s">
        <v>130</v>
      </c>
      <c r="I1310" s="22">
        <v>3300</v>
      </c>
      <c r="J1310" s="22"/>
      <c r="K1310" s="22">
        <f t="shared" si="536"/>
        <v>3300</v>
      </c>
      <c r="L1310" s="22"/>
      <c r="M1310" s="22"/>
      <c r="N1310" s="22"/>
      <c r="O1310" s="22">
        <f t="shared" si="537"/>
        <v>0</v>
      </c>
      <c r="P1310" s="22"/>
      <c r="Q1310" s="23">
        <f t="shared" si="542"/>
        <v>3300</v>
      </c>
      <c r="R1310" s="23">
        <f t="shared" si="548"/>
        <v>0</v>
      </c>
      <c r="S1310" s="23">
        <f t="shared" si="548"/>
        <v>3300</v>
      </c>
    </row>
    <row r="1311" spans="2:19" x14ac:dyDescent="0.2">
      <c r="B1311" s="7">
        <f t="shared" si="535"/>
        <v>803</v>
      </c>
      <c r="C1311" s="19"/>
      <c r="D1311" s="19"/>
      <c r="E1311" s="19"/>
      <c r="F1311" s="20"/>
      <c r="G1311" s="21">
        <v>637</v>
      </c>
      <c r="H1311" s="19" t="s">
        <v>120</v>
      </c>
      <c r="I1311" s="22">
        <v>8420</v>
      </c>
      <c r="J1311" s="22"/>
      <c r="K1311" s="22">
        <f t="shared" si="536"/>
        <v>8420</v>
      </c>
      <c r="L1311" s="22"/>
      <c r="M1311" s="22"/>
      <c r="N1311" s="22"/>
      <c r="O1311" s="22">
        <f t="shared" si="537"/>
        <v>0</v>
      </c>
      <c r="P1311" s="22"/>
      <c r="Q1311" s="23">
        <f t="shared" si="542"/>
        <v>8420</v>
      </c>
      <c r="R1311" s="23">
        <f t="shared" si="548"/>
        <v>0</v>
      </c>
      <c r="S1311" s="23">
        <f t="shared" si="548"/>
        <v>8420</v>
      </c>
    </row>
    <row r="1312" spans="2:19" x14ac:dyDescent="0.2">
      <c r="B1312" s="7">
        <f t="shared" si="535"/>
        <v>804</v>
      </c>
      <c r="C1312" s="13"/>
      <c r="D1312" s="13"/>
      <c r="E1312" s="13"/>
      <c r="F1312" s="14" t="s">
        <v>80</v>
      </c>
      <c r="G1312" s="15">
        <v>640</v>
      </c>
      <c r="H1312" s="13" t="s">
        <v>127</v>
      </c>
      <c r="I1312" s="16">
        <v>3490</v>
      </c>
      <c r="J1312" s="16"/>
      <c r="K1312" s="16">
        <f t="shared" si="536"/>
        <v>3490</v>
      </c>
      <c r="L1312" s="16"/>
      <c r="M1312" s="16"/>
      <c r="N1312" s="16"/>
      <c r="O1312" s="16">
        <f t="shared" si="537"/>
        <v>0</v>
      </c>
      <c r="P1312" s="16"/>
      <c r="Q1312" s="18">
        <f t="shared" si="542"/>
        <v>3490</v>
      </c>
      <c r="R1312" s="18">
        <f t="shared" si="548"/>
        <v>0</v>
      </c>
      <c r="S1312" s="18">
        <f t="shared" si="548"/>
        <v>3490</v>
      </c>
    </row>
    <row r="1313" spans="2:19" x14ac:dyDescent="0.2">
      <c r="B1313" s="7">
        <f t="shared" si="535"/>
        <v>805</v>
      </c>
      <c r="C1313" s="13"/>
      <c r="D1313" s="13"/>
      <c r="E1313" s="13"/>
      <c r="F1313" s="14" t="s">
        <v>50</v>
      </c>
      <c r="G1313" s="15">
        <v>610</v>
      </c>
      <c r="H1313" s="13" t="s">
        <v>511</v>
      </c>
      <c r="I1313" s="16">
        <v>128300</v>
      </c>
      <c r="J1313" s="16"/>
      <c r="K1313" s="16">
        <f t="shared" si="536"/>
        <v>128300</v>
      </c>
      <c r="L1313" s="16"/>
      <c r="M1313" s="16"/>
      <c r="N1313" s="16"/>
      <c r="O1313" s="16">
        <f t="shared" si="537"/>
        <v>0</v>
      </c>
      <c r="P1313" s="16"/>
      <c r="Q1313" s="18">
        <f t="shared" si="542"/>
        <v>128300</v>
      </c>
      <c r="R1313" s="18">
        <f t="shared" si="548"/>
        <v>0</v>
      </c>
      <c r="S1313" s="18">
        <f t="shared" si="548"/>
        <v>128300</v>
      </c>
    </row>
    <row r="1314" spans="2:19" x14ac:dyDescent="0.2">
      <c r="B1314" s="7">
        <f t="shared" si="535"/>
        <v>806</v>
      </c>
      <c r="C1314" s="13"/>
      <c r="D1314" s="13"/>
      <c r="E1314" s="13"/>
      <c r="F1314" s="14" t="s">
        <v>50</v>
      </c>
      <c r="G1314" s="15">
        <v>620</v>
      </c>
      <c r="H1314" s="13" t="s">
        <v>122</v>
      </c>
      <c r="I1314" s="16">
        <v>51930</v>
      </c>
      <c r="J1314" s="16"/>
      <c r="K1314" s="16">
        <f t="shared" si="536"/>
        <v>51930</v>
      </c>
      <c r="L1314" s="16"/>
      <c r="M1314" s="16"/>
      <c r="N1314" s="16"/>
      <c r="O1314" s="16">
        <f t="shared" si="537"/>
        <v>0</v>
      </c>
      <c r="P1314" s="16"/>
      <c r="Q1314" s="18">
        <f t="shared" si="542"/>
        <v>51930</v>
      </c>
      <c r="R1314" s="18">
        <f t="shared" si="548"/>
        <v>0</v>
      </c>
      <c r="S1314" s="18">
        <f t="shared" si="548"/>
        <v>51930</v>
      </c>
    </row>
    <row r="1315" spans="2:19" x14ac:dyDescent="0.2">
      <c r="B1315" s="7">
        <f t="shared" si="535"/>
        <v>807</v>
      </c>
      <c r="C1315" s="13"/>
      <c r="D1315" s="13"/>
      <c r="E1315" s="13"/>
      <c r="F1315" s="14" t="s">
        <v>50</v>
      </c>
      <c r="G1315" s="15">
        <v>630</v>
      </c>
      <c r="H1315" s="13" t="s">
        <v>119</v>
      </c>
      <c r="I1315" s="16">
        <f>SUM(I1316:I1319)</f>
        <v>314005</v>
      </c>
      <c r="J1315" s="16">
        <f t="shared" ref="J1315" si="550">SUM(J1316:J1319)</f>
        <v>0</v>
      </c>
      <c r="K1315" s="16">
        <f t="shared" si="536"/>
        <v>314005</v>
      </c>
      <c r="L1315" s="16"/>
      <c r="M1315" s="16"/>
      <c r="N1315" s="16"/>
      <c r="O1315" s="16">
        <f t="shared" si="537"/>
        <v>0</v>
      </c>
      <c r="P1315" s="16"/>
      <c r="Q1315" s="18">
        <f t="shared" si="542"/>
        <v>314005</v>
      </c>
      <c r="R1315" s="18">
        <f t="shared" si="548"/>
        <v>0</v>
      </c>
      <c r="S1315" s="18">
        <f t="shared" si="548"/>
        <v>314005</v>
      </c>
    </row>
    <row r="1316" spans="2:19" x14ac:dyDescent="0.2">
      <c r="B1316" s="7">
        <f t="shared" si="535"/>
        <v>808</v>
      </c>
      <c r="C1316" s="19"/>
      <c r="D1316" s="19"/>
      <c r="E1316" s="19"/>
      <c r="F1316" s="20"/>
      <c r="G1316" s="21">
        <v>632</v>
      </c>
      <c r="H1316" s="19" t="s">
        <v>131</v>
      </c>
      <c r="I1316" s="22">
        <v>27310</v>
      </c>
      <c r="J1316" s="22"/>
      <c r="K1316" s="22">
        <f t="shared" si="536"/>
        <v>27310</v>
      </c>
      <c r="L1316" s="22"/>
      <c r="M1316" s="22"/>
      <c r="N1316" s="22"/>
      <c r="O1316" s="22">
        <f t="shared" si="537"/>
        <v>0</v>
      </c>
      <c r="P1316" s="22"/>
      <c r="Q1316" s="23">
        <f t="shared" si="542"/>
        <v>27310</v>
      </c>
      <c r="R1316" s="23">
        <f t="shared" si="548"/>
        <v>0</v>
      </c>
      <c r="S1316" s="23">
        <f t="shared" si="548"/>
        <v>27310</v>
      </c>
    </row>
    <row r="1317" spans="2:19" x14ac:dyDescent="0.2">
      <c r="B1317" s="7">
        <f t="shared" si="535"/>
        <v>809</v>
      </c>
      <c r="C1317" s="19"/>
      <c r="D1317" s="19"/>
      <c r="E1317" s="19"/>
      <c r="F1317" s="20"/>
      <c r="G1317" s="21">
        <v>633</v>
      </c>
      <c r="H1317" s="19" t="s">
        <v>123</v>
      </c>
      <c r="I1317" s="22">
        <v>246645</v>
      </c>
      <c r="J1317" s="22"/>
      <c r="K1317" s="22">
        <f t="shared" si="536"/>
        <v>246645</v>
      </c>
      <c r="L1317" s="22"/>
      <c r="M1317" s="22"/>
      <c r="N1317" s="22"/>
      <c r="O1317" s="22">
        <f t="shared" si="537"/>
        <v>0</v>
      </c>
      <c r="P1317" s="22"/>
      <c r="Q1317" s="23">
        <f t="shared" si="542"/>
        <v>246645</v>
      </c>
      <c r="R1317" s="23">
        <f t="shared" si="548"/>
        <v>0</v>
      </c>
      <c r="S1317" s="23">
        <f t="shared" si="548"/>
        <v>246645</v>
      </c>
    </row>
    <row r="1318" spans="2:19" x14ac:dyDescent="0.2">
      <c r="B1318" s="7">
        <f t="shared" si="535"/>
        <v>810</v>
      </c>
      <c r="C1318" s="19"/>
      <c r="D1318" s="19"/>
      <c r="E1318" s="19"/>
      <c r="F1318" s="20"/>
      <c r="G1318" s="21">
        <v>635</v>
      </c>
      <c r="H1318" s="19" t="s">
        <v>130</v>
      </c>
      <c r="I1318" s="22">
        <v>5000</v>
      </c>
      <c r="J1318" s="22"/>
      <c r="K1318" s="22">
        <f t="shared" si="536"/>
        <v>5000</v>
      </c>
      <c r="L1318" s="22"/>
      <c r="M1318" s="22"/>
      <c r="N1318" s="22"/>
      <c r="O1318" s="22">
        <f t="shared" si="537"/>
        <v>0</v>
      </c>
      <c r="P1318" s="22"/>
      <c r="Q1318" s="23">
        <f t="shared" si="542"/>
        <v>5000</v>
      </c>
      <c r="R1318" s="23">
        <f t="shared" si="548"/>
        <v>0</v>
      </c>
      <c r="S1318" s="23">
        <f t="shared" si="548"/>
        <v>5000</v>
      </c>
    </row>
    <row r="1319" spans="2:19" x14ac:dyDescent="0.2">
      <c r="B1319" s="7">
        <f t="shared" si="535"/>
        <v>811</v>
      </c>
      <c r="C1319" s="19"/>
      <c r="D1319" s="19"/>
      <c r="E1319" s="19"/>
      <c r="F1319" s="20"/>
      <c r="G1319" s="21">
        <v>637</v>
      </c>
      <c r="H1319" s="19" t="s">
        <v>120</v>
      </c>
      <c r="I1319" s="22">
        <v>35050</v>
      </c>
      <c r="J1319" s="22"/>
      <c r="K1319" s="22">
        <f t="shared" si="536"/>
        <v>35050</v>
      </c>
      <c r="L1319" s="22"/>
      <c r="M1319" s="22"/>
      <c r="N1319" s="22"/>
      <c r="O1319" s="22">
        <f t="shared" si="537"/>
        <v>0</v>
      </c>
      <c r="P1319" s="22"/>
      <c r="Q1319" s="23">
        <f t="shared" si="542"/>
        <v>35050</v>
      </c>
      <c r="R1319" s="23">
        <f t="shared" si="548"/>
        <v>0</v>
      </c>
      <c r="S1319" s="23">
        <f t="shared" si="548"/>
        <v>35050</v>
      </c>
    </row>
    <row r="1320" spans="2:19" x14ac:dyDescent="0.2">
      <c r="B1320" s="7">
        <f t="shared" si="535"/>
        <v>812</v>
      </c>
      <c r="C1320" s="13"/>
      <c r="D1320" s="13"/>
      <c r="E1320" s="13"/>
      <c r="F1320" s="14" t="s">
        <v>50</v>
      </c>
      <c r="G1320" s="15">
        <v>640</v>
      </c>
      <c r="H1320" s="13" t="s">
        <v>127</v>
      </c>
      <c r="I1320" s="16">
        <v>3600</v>
      </c>
      <c r="J1320" s="16"/>
      <c r="K1320" s="16">
        <f t="shared" si="536"/>
        <v>3600</v>
      </c>
      <c r="L1320" s="16"/>
      <c r="M1320" s="16"/>
      <c r="N1320" s="16"/>
      <c r="O1320" s="16">
        <f t="shared" si="537"/>
        <v>0</v>
      </c>
      <c r="P1320" s="16"/>
      <c r="Q1320" s="18">
        <f t="shared" ref="Q1320:Q1351" si="551">M1320+I1320</f>
        <v>3600</v>
      </c>
      <c r="R1320" s="18">
        <f t="shared" ref="R1320:S1335" si="552">N1320+J1320</f>
        <v>0</v>
      </c>
      <c r="S1320" s="18">
        <f t="shared" si="552"/>
        <v>3600</v>
      </c>
    </row>
    <row r="1321" spans="2:19" x14ac:dyDescent="0.2">
      <c r="B1321" s="7">
        <f t="shared" si="535"/>
        <v>813</v>
      </c>
      <c r="C1321" s="13"/>
      <c r="D1321" s="13"/>
      <c r="E1321" s="13"/>
      <c r="F1321" s="14"/>
      <c r="G1321" s="15">
        <v>640</v>
      </c>
      <c r="H1321" s="282" t="s">
        <v>285</v>
      </c>
      <c r="I1321" s="16">
        <v>7539</v>
      </c>
      <c r="J1321" s="16"/>
      <c r="K1321" s="16">
        <f t="shared" si="536"/>
        <v>7539</v>
      </c>
      <c r="L1321" s="16"/>
      <c r="M1321" s="16"/>
      <c r="N1321" s="16"/>
      <c r="O1321" s="16">
        <f t="shared" si="537"/>
        <v>0</v>
      </c>
      <c r="P1321" s="16"/>
      <c r="Q1321" s="18">
        <f t="shared" si="551"/>
        <v>7539</v>
      </c>
      <c r="R1321" s="18">
        <f t="shared" si="552"/>
        <v>0</v>
      </c>
      <c r="S1321" s="18">
        <f t="shared" si="552"/>
        <v>7539</v>
      </c>
    </row>
    <row r="1322" spans="2:19" s="34" customFormat="1" ht="15" x14ac:dyDescent="0.25">
      <c r="B1322" s="7">
        <f t="shared" si="535"/>
        <v>814</v>
      </c>
      <c r="C1322" s="108"/>
      <c r="D1322" s="108"/>
      <c r="E1322" s="108">
        <v>12</v>
      </c>
      <c r="F1322" s="109"/>
      <c r="G1322" s="109"/>
      <c r="H1322" s="108" t="s">
        <v>5</v>
      </c>
      <c r="I1322" s="110">
        <f>I1323+I1324+I1325+I1330+I1331+I1332+I1333+I1339</f>
        <v>641165</v>
      </c>
      <c r="J1322" s="110">
        <f t="shared" ref="J1322" si="553">J1323+J1324+J1325+J1330+J1331+J1332+J1333+J1339</f>
        <v>0</v>
      </c>
      <c r="K1322" s="110">
        <f t="shared" si="536"/>
        <v>641165</v>
      </c>
      <c r="L1322" s="321"/>
      <c r="M1322" s="110"/>
      <c r="N1322" s="110"/>
      <c r="O1322" s="110">
        <f t="shared" si="537"/>
        <v>0</v>
      </c>
      <c r="P1322" s="321"/>
      <c r="Q1322" s="112">
        <f t="shared" si="551"/>
        <v>641165</v>
      </c>
      <c r="R1322" s="112">
        <f t="shared" si="552"/>
        <v>0</v>
      </c>
      <c r="S1322" s="112">
        <f t="shared" si="552"/>
        <v>641165</v>
      </c>
    </row>
    <row r="1323" spans="2:19" s="34" customFormat="1" x14ac:dyDescent="0.2">
      <c r="B1323" s="7">
        <f t="shared" si="535"/>
        <v>815</v>
      </c>
      <c r="C1323" s="13"/>
      <c r="D1323" s="13"/>
      <c r="E1323" s="13"/>
      <c r="F1323" s="14" t="s">
        <v>80</v>
      </c>
      <c r="G1323" s="15">
        <v>610</v>
      </c>
      <c r="H1323" s="13" t="s">
        <v>511</v>
      </c>
      <c r="I1323" s="16">
        <v>76770</v>
      </c>
      <c r="J1323" s="16"/>
      <c r="K1323" s="16">
        <f t="shared" si="536"/>
        <v>76770</v>
      </c>
      <c r="L1323" s="16"/>
      <c r="M1323" s="16"/>
      <c r="N1323" s="16"/>
      <c r="O1323" s="16">
        <f t="shared" si="537"/>
        <v>0</v>
      </c>
      <c r="P1323" s="16"/>
      <c r="Q1323" s="18">
        <f t="shared" si="551"/>
        <v>76770</v>
      </c>
      <c r="R1323" s="18">
        <f t="shared" si="552"/>
        <v>0</v>
      </c>
      <c r="S1323" s="18">
        <f t="shared" si="552"/>
        <v>76770</v>
      </c>
    </row>
    <row r="1324" spans="2:19" x14ac:dyDescent="0.2">
      <c r="B1324" s="7">
        <f t="shared" si="535"/>
        <v>816</v>
      </c>
      <c r="C1324" s="13"/>
      <c r="D1324" s="13"/>
      <c r="E1324" s="13"/>
      <c r="F1324" s="14" t="s">
        <v>80</v>
      </c>
      <c r="G1324" s="15">
        <v>620</v>
      </c>
      <c r="H1324" s="13" t="s">
        <v>122</v>
      </c>
      <c r="I1324" s="16">
        <v>46385</v>
      </c>
      <c r="J1324" s="16"/>
      <c r="K1324" s="16">
        <f t="shared" si="536"/>
        <v>46385</v>
      </c>
      <c r="L1324" s="16"/>
      <c r="M1324" s="16"/>
      <c r="N1324" s="16"/>
      <c r="O1324" s="16">
        <f t="shared" si="537"/>
        <v>0</v>
      </c>
      <c r="P1324" s="16"/>
      <c r="Q1324" s="18">
        <f t="shared" si="551"/>
        <v>46385</v>
      </c>
      <c r="R1324" s="18">
        <f t="shared" si="552"/>
        <v>0</v>
      </c>
      <c r="S1324" s="18">
        <f t="shared" si="552"/>
        <v>46385</v>
      </c>
    </row>
    <row r="1325" spans="2:19" x14ac:dyDescent="0.2">
      <c r="B1325" s="7">
        <f t="shared" si="535"/>
        <v>817</v>
      </c>
      <c r="C1325" s="13"/>
      <c r="D1325" s="13"/>
      <c r="E1325" s="13"/>
      <c r="F1325" s="14" t="s">
        <v>80</v>
      </c>
      <c r="G1325" s="15">
        <v>630</v>
      </c>
      <c r="H1325" s="13" t="s">
        <v>119</v>
      </c>
      <c r="I1325" s="16">
        <f>SUM(I1326:I1329)</f>
        <v>203030</v>
      </c>
      <c r="J1325" s="16">
        <f t="shared" ref="J1325" si="554">SUM(J1326:J1329)</f>
        <v>0</v>
      </c>
      <c r="K1325" s="16">
        <f t="shared" si="536"/>
        <v>203030</v>
      </c>
      <c r="L1325" s="16"/>
      <c r="M1325" s="16"/>
      <c r="N1325" s="16"/>
      <c r="O1325" s="16">
        <f t="shared" si="537"/>
        <v>0</v>
      </c>
      <c r="P1325" s="16"/>
      <c r="Q1325" s="18">
        <f t="shared" si="551"/>
        <v>203030</v>
      </c>
      <c r="R1325" s="18">
        <f t="shared" si="552"/>
        <v>0</v>
      </c>
      <c r="S1325" s="18">
        <f t="shared" si="552"/>
        <v>203030</v>
      </c>
    </row>
    <row r="1326" spans="2:19" x14ac:dyDescent="0.2">
      <c r="B1326" s="7">
        <f t="shared" si="535"/>
        <v>818</v>
      </c>
      <c r="C1326" s="19"/>
      <c r="D1326" s="19"/>
      <c r="E1326" s="19"/>
      <c r="F1326" s="20"/>
      <c r="G1326" s="21">
        <v>632</v>
      </c>
      <c r="H1326" s="19" t="s">
        <v>131</v>
      </c>
      <c r="I1326" s="22">
        <v>16850</v>
      </c>
      <c r="J1326" s="22"/>
      <c r="K1326" s="22">
        <f t="shared" si="536"/>
        <v>16850</v>
      </c>
      <c r="L1326" s="22"/>
      <c r="M1326" s="22"/>
      <c r="N1326" s="22"/>
      <c r="O1326" s="22">
        <f t="shared" si="537"/>
        <v>0</v>
      </c>
      <c r="P1326" s="22"/>
      <c r="Q1326" s="23">
        <f t="shared" si="551"/>
        <v>16850</v>
      </c>
      <c r="R1326" s="23">
        <f t="shared" si="552"/>
        <v>0</v>
      </c>
      <c r="S1326" s="23">
        <f t="shared" si="552"/>
        <v>16850</v>
      </c>
    </row>
    <row r="1327" spans="2:19" x14ac:dyDescent="0.2">
      <c r="B1327" s="7">
        <f t="shared" si="535"/>
        <v>819</v>
      </c>
      <c r="C1327" s="19"/>
      <c r="D1327" s="19"/>
      <c r="E1327" s="19"/>
      <c r="F1327" s="20"/>
      <c r="G1327" s="21">
        <v>633</v>
      </c>
      <c r="H1327" s="19" t="s">
        <v>123</v>
      </c>
      <c r="I1327" s="22">
        <v>157100</v>
      </c>
      <c r="J1327" s="22"/>
      <c r="K1327" s="22">
        <f t="shared" si="536"/>
        <v>157100</v>
      </c>
      <c r="L1327" s="22"/>
      <c r="M1327" s="22"/>
      <c r="N1327" s="22"/>
      <c r="O1327" s="22">
        <f t="shared" si="537"/>
        <v>0</v>
      </c>
      <c r="P1327" s="22"/>
      <c r="Q1327" s="23">
        <f t="shared" si="551"/>
        <v>157100</v>
      </c>
      <c r="R1327" s="23">
        <f t="shared" si="552"/>
        <v>0</v>
      </c>
      <c r="S1327" s="23">
        <f t="shared" si="552"/>
        <v>157100</v>
      </c>
    </row>
    <row r="1328" spans="2:19" x14ac:dyDescent="0.2">
      <c r="B1328" s="7">
        <f t="shared" si="535"/>
        <v>820</v>
      </c>
      <c r="C1328" s="19"/>
      <c r="D1328" s="19"/>
      <c r="E1328" s="19"/>
      <c r="F1328" s="20"/>
      <c r="G1328" s="21">
        <v>635</v>
      </c>
      <c r="H1328" s="19" t="s">
        <v>130</v>
      </c>
      <c r="I1328" s="22">
        <v>6150</v>
      </c>
      <c r="J1328" s="22"/>
      <c r="K1328" s="22">
        <f t="shared" si="536"/>
        <v>6150</v>
      </c>
      <c r="L1328" s="22"/>
      <c r="M1328" s="22"/>
      <c r="N1328" s="22"/>
      <c r="O1328" s="22">
        <f t="shared" si="537"/>
        <v>0</v>
      </c>
      <c r="P1328" s="22"/>
      <c r="Q1328" s="23">
        <f t="shared" si="551"/>
        <v>6150</v>
      </c>
      <c r="R1328" s="23">
        <f t="shared" si="552"/>
        <v>0</v>
      </c>
      <c r="S1328" s="23">
        <f t="shared" si="552"/>
        <v>6150</v>
      </c>
    </row>
    <row r="1329" spans="2:19" x14ac:dyDescent="0.2">
      <c r="B1329" s="7">
        <f t="shared" si="535"/>
        <v>821</v>
      </c>
      <c r="C1329" s="19"/>
      <c r="D1329" s="19"/>
      <c r="E1329" s="19"/>
      <c r="F1329" s="20"/>
      <c r="G1329" s="21">
        <v>637</v>
      </c>
      <c r="H1329" s="19" t="s">
        <v>120</v>
      </c>
      <c r="I1329" s="22">
        <v>22930</v>
      </c>
      <c r="J1329" s="22"/>
      <c r="K1329" s="22">
        <f t="shared" si="536"/>
        <v>22930</v>
      </c>
      <c r="L1329" s="22"/>
      <c r="M1329" s="22"/>
      <c r="N1329" s="22"/>
      <c r="O1329" s="22">
        <f t="shared" si="537"/>
        <v>0</v>
      </c>
      <c r="P1329" s="22"/>
      <c r="Q1329" s="23">
        <f t="shared" si="551"/>
        <v>22930</v>
      </c>
      <c r="R1329" s="23">
        <f t="shared" si="552"/>
        <v>0</v>
      </c>
      <c r="S1329" s="23">
        <f t="shared" si="552"/>
        <v>22930</v>
      </c>
    </row>
    <row r="1330" spans="2:19" x14ac:dyDescent="0.2">
      <c r="B1330" s="7">
        <f t="shared" si="535"/>
        <v>822</v>
      </c>
      <c r="C1330" s="13"/>
      <c r="D1330" s="13"/>
      <c r="E1330" s="13"/>
      <c r="F1330" s="14" t="s">
        <v>80</v>
      </c>
      <c r="G1330" s="15">
        <v>640</v>
      </c>
      <c r="H1330" s="13" t="s">
        <v>127</v>
      </c>
      <c r="I1330" s="16">
        <v>2000</v>
      </c>
      <c r="J1330" s="16"/>
      <c r="K1330" s="16">
        <f t="shared" si="536"/>
        <v>2000</v>
      </c>
      <c r="L1330" s="16"/>
      <c r="M1330" s="16"/>
      <c r="N1330" s="16"/>
      <c r="O1330" s="16">
        <f t="shared" si="537"/>
        <v>0</v>
      </c>
      <c r="P1330" s="16"/>
      <c r="Q1330" s="18">
        <f t="shared" si="551"/>
        <v>2000</v>
      </c>
      <c r="R1330" s="18">
        <f t="shared" si="552"/>
        <v>0</v>
      </c>
      <c r="S1330" s="18">
        <f t="shared" si="552"/>
        <v>2000</v>
      </c>
    </row>
    <row r="1331" spans="2:19" x14ac:dyDescent="0.2">
      <c r="B1331" s="7">
        <f t="shared" si="535"/>
        <v>823</v>
      </c>
      <c r="C1331" s="13"/>
      <c r="D1331" s="13"/>
      <c r="E1331" s="13"/>
      <c r="F1331" s="14" t="s">
        <v>50</v>
      </c>
      <c r="G1331" s="15">
        <v>610</v>
      </c>
      <c r="H1331" s="13" t="s">
        <v>511</v>
      </c>
      <c r="I1331" s="16">
        <v>90680</v>
      </c>
      <c r="J1331" s="16"/>
      <c r="K1331" s="16">
        <f t="shared" si="536"/>
        <v>90680</v>
      </c>
      <c r="L1331" s="16"/>
      <c r="M1331" s="16"/>
      <c r="N1331" s="16"/>
      <c r="O1331" s="16">
        <f t="shared" si="537"/>
        <v>0</v>
      </c>
      <c r="P1331" s="16"/>
      <c r="Q1331" s="18">
        <f t="shared" si="551"/>
        <v>90680</v>
      </c>
      <c r="R1331" s="18">
        <f t="shared" si="552"/>
        <v>0</v>
      </c>
      <c r="S1331" s="18">
        <f t="shared" si="552"/>
        <v>90680</v>
      </c>
    </row>
    <row r="1332" spans="2:19" x14ac:dyDescent="0.2">
      <c r="B1332" s="7">
        <f t="shared" si="535"/>
        <v>824</v>
      </c>
      <c r="C1332" s="13"/>
      <c r="D1332" s="13"/>
      <c r="E1332" s="13"/>
      <c r="F1332" s="14" t="s">
        <v>50</v>
      </c>
      <c r="G1332" s="15">
        <v>620</v>
      </c>
      <c r="H1332" s="13" t="s">
        <v>122</v>
      </c>
      <c r="I1332" s="16">
        <v>33785</v>
      </c>
      <c r="J1332" s="16"/>
      <c r="K1332" s="16">
        <f t="shared" si="536"/>
        <v>33785</v>
      </c>
      <c r="L1332" s="16"/>
      <c r="M1332" s="16"/>
      <c r="N1332" s="16"/>
      <c r="O1332" s="16">
        <f t="shared" si="537"/>
        <v>0</v>
      </c>
      <c r="P1332" s="16"/>
      <c r="Q1332" s="18">
        <f t="shared" si="551"/>
        <v>33785</v>
      </c>
      <c r="R1332" s="18">
        <f t="shared" si="552"/>
        <v>0</v>
      </c>
      <c r="S1332" s="18">
        <f t="shared" si="552"/>
        <v>33785</v>
      </c>
    </row>
    <row r="1333" spans="2:19" x14ac:dyDescent="0.2">
      <c r="B1333" s="7">
        <f t="shared" si="535"/>
        <v>825</v>
      </c>
      <c r="C1333" s="13"/>
      <c r="D1333" s="13"/>
      <c r="E1333" s="13"/>
      <c r="F1333" s="14" t="s">
        <v>50</v>
      </c>
      <c r="G1333" s="15">
        <v>630</v>
      </c>
      <c r="H1333" s="13" t="s">
        <v>119</v>
      </c>
      <c r="I1333" s="16">
        <f>SUM(I1334:I1338)</f>
        <v>186515</v>
      </c>
      <c r="J1333" s="16">
        <f t="shared" ref="J1333" si="555">SUM(J1334:J1338)</f>
        <v>0</v>
      </c>
      <c r="K1333" s="16">
        <f t="shared" si="536"/>
        <v>186515</v>
      </c>
      <c r="L1333" s="16"/>
      <c r="M1333" s="16"/>
      <c r="N1333" s="16"/>
      <c r="O1333" s="16">
        <f t="shared" si="537"/>
        <v>0</v>
      </c>
      <c r="P1333" s="16"/>
      <c r="Q1333" s="18">
        <f t="shared" si="551"/>
        <v>186515</v>
      </c>
      <c r="R1333" s="18">
        <f t="shared" si="552"/>
        <v>0</v>
      </c>
      <c r="S1333" s="18">
        <f t="shared" si="552"/>
        <v>186515</v>
      </c>
    </row>
    <row r="1334" spans="2:19" x14ac:dyDescent="0.2">
      <c r="B1334" s="7">
        <f t="shared" si="535"/>
        <v>826</v>
      </c>
      <c r="C1334" s="19"/>
      <c r="D1334" s="19"/>
      <c r="E1334" s="19"/>
      <c r="F1334" s="20"/>
      <c r="G1334" s="21">
        <v>631</v>
      </c>
      <c r="H1334" s="19" t="s">
        <v>125</v>
      </c>
      <c r="I1334" s="22">
        <v>55</v>
      </c>
      <c r="J1334" s="22"/>
      <c r="K1334" s="22">
        <f t="shared" si="536"/>
        <v>55</v>
      </c>
      <c r="L1334" s="22"/>
      <c r="M1334" s="22"/>
      <c r="N1334" s="22"/>
      <c r="O1334" s="22">
        <f t="shared" si="537"/>
        <v>0</v>
      </c>
      <c r="P1334" s="22"/>
      <c r="Q1334" s="23">
        <f t="shared" si="551"/>
        <v>55</v>
      </c>
      <c r="R1334" s="23">
        <f t="shared" si="552"/>
        <v>0</v>
      </c>
      <c r="S1334" s="23">
        <f t="shared" si="552"/>
        <v>55</v>
      </c>
    </row>
    <row r="1335" spans="2:19" x14ac:dyDescent="0.2">
      <c r="B1335" s="7">
        <f t="shared" si="535"/>
        <v>827</v>
      </c>
      <c r="C1335" s="19"/>
      <c r="D1335" s="19"/>
      <c r="E1335" s="19"/>
      <c r="F1335" s="20"/>
      <c r="G1335" s="21">
        <v>632</v>
      </c>
      <c r="H1335" s="19" t="s">
        <v>131</v>
      </c>
      <c r="I1335" s="22">
        <v>17150</v>
      </c>
      <c r="J1335" s="22"/>
      <c r="K1335" s="22">
        <f t="shared" si="536"/>
        <v>17150</v>
      </c>
      <c r="L1335" s="22"/>
      <c r="M1335" s="22"/>
      <c r="N1335" s="22"/>
      <c r="O1335" s="22">
        <f t="shared" si="537"/>
        <v>0</v>
      </c>
      <c r="P1335" s="22"/>
      <c r="Q1335" s="23">
        <f t="shared" si="551"/>
        <v>17150</v>
      </c>
      <c r="R1335" s="23">
        <f t="shared" si="552"/>
        <v>0</v>
      </c>
      <c r="S1335" s="23">
        <f t="shared" si="552"/>
        <v>17150</v>
      </c>
    </row>
    <row r="1336" spans="2:19" x14ac:dyDescent="0.2">
      <c r="B1336" s="7">
        <f t="shared" si="535"/>
        <v>828</v>
      </c>
      <c r="C1336" s="19"/>
      <c r="D1336" s="19"/>
      <c r="E1336" s="19"/>
      <c r="F1336" s="20"/>
      <c r="G1336" s="21">
        <v>633</v>
      </c>
      <c r="H1336" s="19" t="s">
        <v>123</v>
      </c>
      <c r="I1336" s="22">
        <v>143050</v>
      </c>
      <c r="J1336" s="22"/>
      <c r="K1336" s="22">
        <f t="shared" si="536"/>
        <v>143050</v>
      </c>
      <c r="L1336" s="22"/>
      <c r="M1336" s="22"/>
      <c r="N1336" s="22"/>
      <c r="O1336" s="22">
        <f t="shared" si="537"/>
        <v>0</v>
      </c>
      <c r="P1336" s="22"/>
      <c r="Q1336" s="23">
        <f t="shared" si="551"/>
        <v>143050</v>
      </c>
      <c r="R1336" s="23">
        <f t="shared" ref="R1336:S1351" si="556">N1336+J1336</f>
        <v>0</v>
      </c>
      <c r="S1336" s="23">
        <f t="shared" si="556"/>
        <v>143050</v>
      </c>
    </row>
    <row r="1337" spans="2:19" x14ac:dyDescent="0.2">
      <c r="B1337" s="7">
        <f t="shared" si="535"/>
        <v>829</v>
      </c>
      <c r="C1337" s="19"/>
      <c r="D1337" s="19"/>
      <c r="E1337" s="19"/>
      <c r="F1337" s="20"/>
      <c r="G1337" s="21">
        <v>635</v>
      </c>
      <c r="H1337" s="19" t="s">
        <v>130</v>
      </c>
      <c r="I1337" s="22">
        <v>6150</v>
      </c>
      <c r="J1337" s="22"/>
      <c r="K1337" s="22">
        <f t="shared" si="536"/>
        <v>6150</v>
      </c>
      <c r="L1337" s="22"/>
      <c r="M1337" s="22"/>
      <c r="N1337" s="22"/>
      <c r="O1337" s="22">
        <f t="shared" si="537"/>
        <v>0</v>
      </c>
      <c r="P1337" s="22"/>
      <c r="Q1337" s="23">
        <f t="shared" si="551"/>
        <v>6150</v>
      </c>
      <c r="R1337" s="23">
        <f t="shared" si="556"/>
        <v>0</v>
      </c>
      <c r="S1337" s="23">
        <f t="shared" si="556"/>
        <v>6150</v>
      </c>
    </row>
    <row r="1338" spans="2:19" x14ac:dyDescent="0.2">
      <c r="B1338" s="7">
        <f t="shared" si="535"/>
        <v>830</v>
      </c>
      <c r="C1338" s="19"/>
      <c r="D1338" s="19"/>
      <c r="E1338" s="19"/>
      <c r="F1338" s="20"/>
      <c r="G1338" s="21">
        <v>637</v>
      </c>
      <c r="H1338" s="19" t="s">
        <v>120</v>
      </c>
      <c r="I1338" s="22">
        <v>20110</v>
      </c>
      <c r="J1338" s="22"/>
      <c r="K1338" s="22">
        <f t="shared" si="536"/>
        <v>20110</v>
      </c>
      <c r="L1338" s="22"/>
      <c r="M1338" s="22"/>
      <c r="N1338" s="22"/>
      <c r="O1338" s="22">
        <f t="shared" si="537"/>
        <v>0</v>
      </c>
      <c r="P1338" s="22"/>
      <c r="Q1338" s="23">
        <f t="shared" si="551"/>
        <v>20110</v>
      </c>
      <c r="R1338" s="23">
        <f t="shared" si="556"/>
        <v>0</v>
      </c>
      <c r="S1338" s="23">
        <f t="shared" si="556"/>
        <v>20110</v>
      </c>
    </row>
    <row r="1339" spans="2:19" x14ac:dyDescent="0.2">
      <c r="B1339" s="7">
        <f t="shared" si="535"/>
        <v>831</v>
      </c>
      <c r="C1339" s="13"/>
      <c r="D1339" s="13"/>
      <c r="E1339" s="13"/>
      <c r="F1339" s="14" t="s">
        <v>50</v>
      </c>
      <c r="G1339" s="15">
        <v>640</v>
      </c>
      <c r="H1339" s="13" t="s">
        <v>127</v>
      </c>
      <c r="I1339" s="16">
        <v>2000</v>
      </c>
      <c r="J1339" s="16"/>
      <c r="K1339" s="16">
        <f t="shared" si="536"/>
        <v>2000</v>
      </c>
      <c r="L1339" s="16"/>
      <c r="M1339" s="16"/>
      <c r="N1339" s="16"/>
      <c r="O1339" s="16">
        <f t="shared" si="537"/>
        <v>0</v>
      </c>
      <c r="P1339" s="16"/>
      <c r="Q1339" s="18">
        <f t="shared" si="551"/>
        <v>2000</v>
      </c>
      <c r="R1339" s="18">
        <f t="shared" si="556"/>
        <v>0</v>
      </c>
      <c r="S1339" s="18">
        <f t="shared" si="556"/>
        <v>2000</v>
      </c>
    </row>
    <row r="1340" spans="2:19" ht="15" x14ac:dyDescent="0.25">
      <c r="B1340" s="7">
        <f t="shared" si="535"/>
        <v>832</v>
      </c>
      <c r="C1340" s="108"/>
      <c r="D1340" s="108"/>
      <c r="E1340" s="108">
        <v>13</v>
      </c>
      <c r="F1340" s="109"/>
      <c r="G1340" s="109"/>
      <c r="H1340" s="108" t="s">
        <v>12</v>
      </c>
      <c r="I1340" s="110">
        <f>I1341+I1343+I1344+I1345+I1350+I1351+I1352+I1353+I1358+I1359</f>
        <v>322072</v>
      </c>
      <c r="J1340" s="110">
        <f t="shared" ref="J1340" si="557">J1341+J1343+J1344+J1345+J1350+J1351+J1352+J1353+J1358+J1359</f>
        <v>0</v>
      </c>
      <c r="K1340" s="110">
        <f t="shared" si="536"/>
        <v>322072</v>
      </c>
      <c r="L1340" s="321"/>
      <c r="M1340" s="110"/>
      <c r="N1340" s="110"/>
      <c r="O1340" s="110">
        <f t="shared" si="537"/>
        <v>0</v>
      </c>
      <c r="P1340" s="321"/>
      <c r="Q1340" s="112">
        <f t="shared" si="551"/>
        <v>322072</v>
      </c>
      <c r="R1340" s="112">
        <f t="shared" si="556"/>
        <v>0</v>
      </c>
      <c r="S1340" s="112">
        <f t="shared" si="556"/>
        <v>322072</v>
      </c>
    </row>
    <row r="1341" spans="2:19" x14ac:dyDescent="0.2">
      <c r="B1341" s="7">
        <f t="shared" si="535"/>
        <v>833</v>
      </c>
      <c r="C1341" s="13"/>
      <c r="D1341" s="13"/>
      <c r="E1341" s="13"/>
      <c r="F1341" s="14" t="s">
        <v>157</v>
      </c>
      <c r="G1341" s="15">
        <v>630</v>
      </c>
      <c r="H1341" s="13" t="s">
        <v>119</v>
      </c>
      <c r="I1341" s="16">
        <f>I1342</f>
        <v>25886</v>
      </c>
      <c r="J1341" s="16">
        <f t="shared" ref="J1341" si="558">J1342</f>
        <v>0</v>
      </c>
      <c r="K1341" s="16">
        <f t="shared" si="536"/>
        <v>25886</v>
      </c>
      <c r="L1341" s="16"/>
      <c r="M1341" s="16"/>
      <c r="N1341" s="16"/>
      <c r="O1341" s="16">
        <f t="shared" si="537"/>
        <v>0</v>
      </c>
      <c r="P1341" s="16"/>
      <c r="Q1341" s="18">
        <f t="shared" si="551"/>
        <v>25886</v>
      </c>
      <c r="R1341" s="18">
        <f t="shared" si="556"/>
        <v>0</v>
      </c>
      <c r="S1341" s="18">
        <f t="shared" si="556"/>
        <v>25886</v>
      </c>
    </row>
    <row r="1342" spans="2:19" x14ac:dyDescent="0.2">
      <c r="B1342" s="7">
        <f t="shared" si="535"/>
        <v>834</v>
      </c>
      <c r="C1342" s="19"/>
      <c r="D1342" s="19"/>
      <c r="E1342" s="19"/>
      <c r="F1342" s="20"/>
      <c r="G1342" s="21">
        <v>633</v>
      </c>
      <c r="H1342" s="19" t="s">
        <v>123</v>
      </c>
      <c r="I1342" s="22">
        <v>25886</v>
      </c>
      <c r="J1342" s="22"/>
      <c r="K1342" s="22">
        <f t="shared" si="536"/>
        <v>25886</v>
      </c>
      <c r="L1342" s="22"/>
      <c r="M1342" s="22"/>
      <c r="N1342" s="22"/>
      <c r="O1342" s="22">
        <f t="shared" si="537"/>
        <v>0</v>
      </c>
      <c r="P1342" s="22"/>
      <c r="Q1342" s="23">
        <f t="shared" si="551"/>
        <v>25886</v>
      </c>
      <c r="R1342" s="23">
        <f t="shared" si="556"/>
        <v>0</v>
      </c>
      <c r="S1342" s="23">
        <f t="shared" si="556"/>
        <v>25886</v>
      </c>
    </row>
    <row r="1343" spans="2:19" x14ac:dyDescent="0.2">
      <c r="B1343" s="7">
        <f t="shared" ref="B1343:B1378" si="559">B1342+1</f>
        <v>835</v>
      </c>
      <c r="C1343" s="13"/>
      <c r="D1343" s="13"/>
      <c r="E1343" s="13"/>
      <c r="F1343" s="14" t="s">
        <v>80</v>
      </c>
      <c r="G1343" s="15">
        <v>610</v>
      </c>
      <c r="H1343" s="13" t="s">
        <v>511</v>
      </c>
      <c r="I1343" s="16">
        <v>55860</v>
      </c>
      <c r="J1343" s="16"/>
      <c r="K1343" s="16">
        <f t="shared" ref="K1343:K1378" si="560">I1343+J1343</f>
        <v>55860</v>
      </c>
      <c r="L1343" s="16"/>
      <c r="M1343" s="16"/>
      <c r="N1343" s="16"/>
      <c r="O1343" s="16">
        <f t="shared" ref="O1343:O1378" si="561">M1343+N1343</f>
        <v>0</v>
      </c>
      <c r="P1343" s="16"/>
      <c r="Q1343" s="18">
        <f t="shared" si="551"/>
        <v>55860</v>
      </c>
      <c r="R1343" s="18">
        <f t="shared" si="556"/>
        <v>0</v>
      </c>
      <c r="S1343" s="18">
        <f t="shared" si="556"/>
        <v>55860</v>
      </c>
    </row>
    <row r="1344" spans="2:19" x14ac:dyDescent="0.2">
      <c r="B1344" s="7">
        <f t="shared" si="559"/>
        <v>836</v>
      </c>
      <c r="C1344" s="13"/>
      <c r="D1344" s="13"/>
      <c r="E1344" s="13"/>
      <c r="F1344" s="14" t="s">
        <v>80</v>
      </c>
      <c r="G1344" s="15">
        <v>620</v>
      </c>
      <c r="H1344" s="13" t="s">
        <v>122</v>
      </c>
      <c r="I1344" s="16">
        <v>20090</v>
      </c>
      <c r="J1344" s="16"/>
      <c r="K1344" s="16">
        <f t="shared" si="560"/>
        <v>20090</v>
      </c>
      <c r="L1344" s="16"/>
      <c r="M1344" s="16"/>
      <c r="N1344" s="16"/>
      <c r="O1344" s="16">
        <f t="shared" si="561"/>
        <v>0</v>
      </c>
      <c r="P1344" s="16"/>
      <c r="Q1344" s="18">
        <f t="shared" si="551"/>
        <v>20090</v>
      </c>
      <c r="R1344" s="18">
        <f t="shared" si="556"/>
        <v>0</v>
      </c>
      <c r="S1344" s="18">
        <f t="shared" si="556"/>
        <v>20090</v>
      </c>
    </row>
    <row r="1345" spans="2:19" x14ac:dyDescent="0.2">
      <c r="B1345" s="7">
        <f t="shared" si="559"/>
        <v>837</v>
      </c>
      <c r="C1345" s="13"/>
      <c r="D1345" s="13"/>
      <c r="E1345" s="13"/>
      <c r="F1345" s="14" t="s">
        <v>80</v>
      </c>
      <c r="G1345" s="15">
        <v>630</v>
      </c>
      <c r="H1345" s="13" t="s">
        <v>119</v>
      </c>
      <c r="I1345" s="16">
        <f>SUM(I1346:I1349)</f>
        <v>71960</v>
      </c>
      <c r="J1345" s="16">
        <f t="shared" ref="J1345" si="562">SUM(J1346:J1349)</f>
        <v>0</v>
      </c>
      <c r="K1345" s="16">
        <f t="shared" si="560"/>
        <v>71960</v>
      </c>
      <c r="L1345" s="16"/>
      <c r="M1345" s="16"/>
      <c r="N1345" s="16"/>
      <c r="O1345" s="16">
        <f t="shared" si="561"/>
        <v>0</v>
      </c>
      <c r="P1345" s="16"/>
      <c r="Q1345" s="18">
        <f t="shared" si="551"/>
        <v>71960</v>
      </c>
      <c r="R1345" s="18">
        <f t="shared" si="556"/>
        <v>0</v>
      </c>
      <c r="S1345" s="18">
        <f t="shared" si="556"/>
        <v>71960</v>
      </c>
    </row>
    <row r="1346" spans="2:19" x14ac:dyDescent="0.2">
      <c r="B1346" s="7">
        <f t="shared" si="559"/>
        <v>838</v>
      </c>
      <c r="C1346" s="19"/>
      <c r="D1346" s="19"/>
      <c r="E1346" s="19"/>
      <c r="F1346" s="20"/>
      <c r="G1346" s="21">
        <v>632</v>
      </c>
      <c r="H1346" s="19" t="s">
        <v>131</v>
      </c>
      <c r="I1346" s="22">
        <v>13900</v>
      </c>
      <c r="J1346" s="22"/>
      <c r="K1346" s="22">
        <f t="shared" si="560"/>
        <v>13900</v>
      </c>
      <c r="L1346" s="16"/>
      <c r="M1346" s="22"/>
      <c r="N1346" s="22"/>
      <c r="O1346" s="22">
        <f t="shared" si="561"/>
        <v>0</v>
      </c>
      <c r="P1346" s="22"/>
      <c r="Q1346" s="23">
        <f t="shared" si="551"/>
        <v>13900</v>
      </c>
      <c r="R1346" s="23">
        <f t="shared" si="556"/>
        <v>0</v>
      </c>
      <c r="S1346" s="23">
        <f t="shared" si="556"/>
        <v>13900</v>
      </c>
    </row>
    <row r="1347" spans="2:19" x14ac:dyDescent="0.2">
      <c r="B1347" s="7">
        <f t="shared" si="559"/>
        <v>839</v>
      </c>
      <c r="C1347" s="19"/>
      <c r="D1347" s="19"/>
      <c r="E1347" s="19"/>
      <c r="F1347" s="20"/>
      <c r="G1347" s="21">
        <v>633</v>
      </c>
      <c r="H1347" s="19" t="s">
        <v>123</v>
      </c>
      <c r="I1347" s="22">
        <v>43710</v>
      </c>
      <c r="J1347" s="22"/>
      <c r="K1347" s="22">
        <f t="shared" si="560"/>
        <v>43710</v>
      </c>
      <c r="L1347" s="16"/>
      <c r="M1347" s="22"/>
      <c r="N1347" s="22"/>
      <c r="O1347" s="22">
        <f t="shared" si="561"/>
        <v>0</v>
      </c>
      <c r="P1347" s="22"/>
      <c r="Q1347" s="23">
        <f t="shared" si="551"/>
        <v>43710</v>
      </c>
      <c r="R1347" s="23">
        <f t="shared" si="556"/>
        <v>0</v>
      </c>
      <c r="S1347" s="23">
        <f t="shared" si="556"/>
        <v>43710</v>
      </c>
    </row>
    <row r="1348" spans="2:19" x14ac:dyDescent="0.2">
      <c r="B1348" s="7">
        <f t="shared" si="559"/>
        <v>840</v>
      </c>
      <c r="C1348" s="19"/>
      <c r="D1348" s="19"/>
      <c r="E1348" s="19"/>
      <c r="F1348" s="20"/>
      <c r="G1348" s="21">
        <v>635</v>
      </c>
      <c r="H1348" s="19" t="s">
        <v>130</v>
      </c>
      <c r="I1348" s="22">
        <v>9500</v>
      </c>
      <c r="J1348" s="22"/>
      <c r="K1348" s="22">
        <f t="shared" si="560"/>
        <v>9500</v>
      </c>
      <c r="L1348" s="22"/>
      <c r="M1348" s="22"/>
      <c r="N1348" s="22"/>
      <c r="O1348" s="22">
        <f t="shared" si="561"/>
        <v>0</v>
      </c>
      <c r="P1348" s="22"/>
      <c r="Q1348" s="23">
        <f t="shared" si="551"/>
        <v>9500</v>
      </c>
      <c r="R1348" s="23">
        <f t="shared" si="556"/>
        <v>0</v>
      </c>
      <c r="S1348" s="23">
        <f t="shared" si="556"/>
        <v>9500</v>
      </c>
    </row>
    <row r="1349" spans="2:19" x14ac:dyDescent="0.2">
      <c r="B1349" s="7">
        <f t="shared" si="559"/>
        <v>841</v>
      </c>
      <c r="C1349" s="19"/>
      <c r="D1349" s="19"/>
      <c r="E1349" s="19"/>
      <c r="F1349" s="20"/>
      <c r="G1349" s="21">
        <v>637</v>
      </c>
      <c r="H1349" s="19" t="s">
        <v>120</v>
      </c>
      <c r="I1349" s="22">
        <v>4850</v>
      </c>
      <c r="J1349" s="22"/>
      <c r="K1349" s="22">
        <f t="shared" si="560"/>
        <v>4850</v>
      </c>
      <c r="L1349" s="22"/>
      <c r="M1349" s="22"/>
      <c r="N1349" s="22"/>
      <c r="O1349" s="22">
        <f t="shared" si="561"/>
        <v>0</v>
      </c>
      <c r="P1349" s="22"/>
      <c r="Q1349" s="23">
        <f t="shared" si="551"/>
        <v>4850</v>
      </c>
      <c r="R1349" s="23">
        <f t="shared" si="556"/>
        <v>0</v>
      </c>
      <c r="S1349" s="23">
        <f t="shared" si="556"/>
        <v>4850</v>
      </c>
    </row>
    <row r="1350" spans="2:19" x14ac:dyDescent="0.2">
      <c r="B1350" s="7">
        <f t="shared" si="559"/>
        <v>842</v>
      </c>
      <c r="C1350" s="13"/>
      <c r="D1350" s="13"/>
      <c r="E1350" s="13"/>
      <c r="F1350" s="14" t="s">
        <v>80</v>
      </c>
      <c r="G1350" s="15">
        <v>640</v>
      </c>
      <c r="H1350" s="13" t="s">
        <v>127</v>
      </c>
      <c r="I1350" s="16">
        <v>300</v>
      </c>
      <c r="J1350" s="16"/>
      <c r="K1350" s="16">
        <f t="shared" si="560"/>
        <v>300</v>
      </c>
      <c r="L1350" s="16"/>
      <c r="M1350" s="16"/>
      <c r="N1350" s="16"/>
      <c r="O1350" s="16">
        <f t="shared" si="561"/>
        <v>0</v>
      </c>
      <c r="P1350" s="16"/>
      <c r="Q1350" s="18">
        <f t="shared" si="551"/>
        <v>300</v>
      </c>
      <c r="R1350" s="18">
        <f t="shared" si="556"/>
        <v>0</v>
      </c>
      <c r="S1350" s="18">
        <f t="shared" si="556"/>
        <v>300</v>
      </c>
    </row>
    <row r="1351" spans="2:19" x14ac:dyDescent="0.2">
      <c r="B1351" s="7">
        <f t="shared" si="559"/>
        <v>843</v>
      </c>
      <c r="C1351" s="13"/>
      <c r="D1351" s="13"/>
      <c r="E1351" s="13"/>
      <c r="F1351" s="14" t="s">
        <v>50</v>
      </c>
      <c r="G1351" s="15">
        <v>610</v>
      </c>
      <c r="H1351" s="13" t="s">
        <v>511</v>
      </c>
      <c r="I1351" s="16">
        <v>48868</v>
      </c>
      <c r="J1351" s="16"/>
      <c r="K1351" s="16">
        <f t="shared" si="560"/>
        <v>48868</v>
      </c>
      <c r="L1351" s="16"/>
      <c r="M1351" s="16"/>
      <c r="N1351" s="16"/>
      <c r="O1351" s="16">
        <f t="shared" si="561"/>
        <v>0</v>
      </c>
      <c r="P1351" s="16"/>
      <c r="Q1351" s="18">
        <f t="shared" si="551"/>
        <v>48868</v>
      </c>
      <c r="R1351" s="18">
        <f t="shared" si="556"/>
        <v>0</v>
      </c>
      <c r="S1351" s="18">
        <f t="shared" si="556"/>
        <v>48868</v>
      </c>
    </row>
    <row r="1352" spans="2:19" x14ac:dyDescent="0.2">
      <c r="B1352" s="7">
        <f t="shared" si="559"/>
        <v>844</v>
      </c>
      <c r="C1352" s="13"/>
      <c r="D1352" s="13"/>
      <c r="E1352" s="13"/>
      <c r="F1352" s="14" t="s">
        <v>50</v>
      </c>
      <c r="G1352" s="15">
        <v>620</v>
      </c>
      <c r="H1352" s="13" t="s">
        <v>122</v>
      </c>
      <c r="I1352" s="16">
        <v>17570</v>
      </c>
      <c r="J1352" s="16"/>
      <c r="K1352" s="16">
        <f t="shared" si="560"/>
        <v>17570</v>
      </c>
      <c r="L1352" s="16"/>
      <c r="M1352" s="16"/>
      <c r="N1352" s="16"/>
      <c r="O1352" s="16">
        <f t="shared" si="561"/>
        <v>0</v>
      </c>
      <c r="P1352" s="16"/>
      <c r="Q1352" s="18">
        <f t="shared" ref="Q1352:Q1378" si="563">M1352+I1352</f>
        <v>17570</v>
      </c>
      <c r="R1352" s="18">
        <f t="shared" ref="R1352:S1367" si="564">N1352+J1352</f>
        <v>0</v>
      </c>
      <c r="S1352" s="18">
        <f t="shared" si="564"/>
        <v>17570</v>
      </c>
    </row>
    <row r="1353" spans="2:19" x14ac:dyDescent="0.2">
      <c r="B1353" s="7">
        <f t="shared" si="559"/>
        <v>845</v>
      </c>
      <c r="C1353" s="13"/>
      <c r="D1353" s="13"/>
      <c r="E1353" s="13"/>
      <c r="F1353" s="14" t="s">
        <v>50</v>
      </c>
      <c r="G1353" s="15">
        <v>630</v>
      </c>
      <c r="H1353" s="13" t="s">
        <v>119</v>
      </c>
      <c r="I1353" s="16">
        <f>SUM(I1354:I1357)</f>
        <v>79260</v>
      </c>
      <c r="J1353" s="16">
        <f t="shared" ref="J1353" si="565">SUM(J1354:J1357)</f>
        <v>0</v>
      </c>
      <c r="K1353" s="16">
        <f t="shared" si="560"/>
        <v>79260</v>
      </c>
      <c r="L1353" s="16"/>
      <c r="M1353" s="16"/>
      <c r="N1353" s="16"/>
      <c r="O1353" s="16">
        <f t="shared" si="561"/>
        <v>0</v>
      </c>
      <c r="P1353" s="16"/>
      <c r="Q1353" s="18">
        <f t="shared" si="563"/>
        <v>79260</v>
      </c>
      <c r="R1353" s="18">
        <f t="shared" si="564"/>
        <v>0</v>
      </c>
      <c r="S1353" s="18">
        <f t="shared" si="564"/>
        <v>79260</v>
      </c>
    </row>
    <row r="1354" spans="2:19" x14ac:dyDescent="0.2">
      <c r="B1354" s="7">
        <f t="shared" si="559"/>
        <v>846</v>
      </c>
      <c r="C1354" s="19"/>
      <c r="D1354" s="19"/>
      <c r="E1354" s="19"/>
      <c r="F1354" s="20"/>
      <c r="G1354" s="21">
        <v>632</v>
      </c>
      <c r="H1354" s="19" t="s">
        <v>131</v>
      </c>
      <c r="I1354" s="22">
        <v>16050</v>
      </c>
      <c r="J1354" s="22"/>
      <c r="K1354" s="22">
        <f t="shared" si="560"/>
        <v>16050</v>
      </c>
      <c r="L1354" s="22"/>
      <c r="M1354" s="22"/>
      <c r="N1354" s="22"/>
      <c r="O1354" s="22">
        <f t="shared" si="561"/>
        <v>0</v>
      </c>
      <c r="P1354" s="22"/>
      <c r="Q1354" s="23">
        <f t="shared" si="563"/>
        <v>16050</v>
      </c>
      <c r="R1354" s="23">
        <f t="shared" si="564"/>
        <v>0</v>
      </c>
      <c r="S1354" s="23">
        <f t="shared" si="564"/>
        <v>16050</v>
      </c>
    </row>
    <row r="1355" spans="2:19" x14ac:dyDescent="0.2">
      <c r="B1355" s="7">
        <f t="shared" si="559"/>
        <v>847</v>
      </c>
      <c r="C1355" s="19"/>
      <c r="D1355" s="19"/>
      <c r="E1355" s="19"/>
      <c r="F1355" s="20"/>
      <c r="G1355" s="21">
        <v>633</v>
      </c>
      <c r="H1355" s="19" t="s">
        <v>123</v>
      </c>
      <c r="I1355" s="22">
        <v>56450</v>
      </c>
      <c r="J1355" s="22"/>
      <c r="K1355" s="22">
        <f t="shared" si="560"/>
        <v>56450</v>
      </c>
      <c r="L1355" s="22"/>
      <c r="M1355" s="22"/>
      <c r="N1355" s="22"/>
      <c r="O1355" s="22">
        <f t="shared" si="561"/>
        <v>0</v>
      </c>
      <c r="P1355" s="22"/>
      <c r="Q1355" s="23">
        <f t="shared" si="563"/>
        <v>56450</v>
      </c>
      <c r="R1355" s="23">
        <f t="shared" si="564"/>
        <v>0</v>
      </c>
      <c r="S1355" s="23">
        <f t="shared" si="564"/>
        <v>56450</v>
      </c>
    </row>
    <row r="1356" spans="2:19" x14ac:dyDescent="0.2">
      <c r="B1356" s="7">
        <f t="shared" si="559"/>
        <v>848</v>
      </c>
      <c r="C1356" s="19"/>
      <c r="D1356" s="19"/>
      <c r="E1356" s="19"/>
      <c r="F1356" s="20"/>
      <c r="G1356" s="21">
        <v>635</v>
      </c>
      <c r="H1356" s="19" t="s">
        <v>130</v>
      </c>
      <c r="I1356" s="22">
        <v>2600</v>
      </c>
      <c r="J1356" s="22"/>
      <c r="K1356" s="22">
        <f t="shared" si="560"/>
        <v>2600</v>
      </c>
      <c r="L1356" s="22"/>
      <c r="M1356" s="22"/>
      <c r="N1356" s="22"/>
      <c r="O1356" s="22">
        <f t="shared" si="561"/>
        <v>0</v>
      </c>
      <c r="P1356" s="22"/>
      <c r="Q1356" s="23">
        <f t="shared" si="563"/>
        <v>2600</v>
      </c>
      <c r="R1356" s="23">
        <f t="shared" si="564"/>
        <v>0</v>
      </c>
      <c r="S1356" s="23">
        <f t="shared" si="564"/>
        <v>2600</v>
      </c>
    </row>
    <row r="1357" spans="2:19" x14ac:dyDescent="0.2">
      <c r="B1357" s="7">
        <f t="shared" si="559"/>
        <v>849</v>
      </c>
      <c r="C1357" s="19"/>
      <c r="D1357" s="19"/>
      <c r="E1357" s="19"/>
      <c r="F1357" s="20"/>
      <c r="G1357" s="21">
        <v>637</v>
      </c>
      <c r="H1357" s="19" t="s">
        <v>120</v>
      </c>
      <c r="I1357" s="22">
        <v>4160</v>
      </c>
      <c r="J1357" s="22"/>
      <c r="K1357" s="22">
        <f t="shared" si="560"/>
        <v>4160</v>
      </c>
      <c r="L1357" s="22"/>
      <c r="M1357" s="22"/>
      <c r="N1357" s="22"/>
      <c r="O1357" s="22">
        <f t="shared" si="561"/>
        <v>0</v>
      </c>
      <c r="P1357" s="22"/>
      <c r="Q1357" s="23">
        <f t="shared" si="563"/>
        <v>4160</v>
      </c>
      <c r="R1357" s="23">
        <f t="shared" si="564"/>
        <v>0</v>
      </c>
      <c r="S1357" s="23">
        <f t="shared" si="564"/>
        <v>4160</v>
      </c>
    </row>
    <row r="1358" spans="2:19" x14ac:dyDescent="0.2">
      <c r="B1358" s="7">
        <f t="shared" si="559"/>
        <v>850</v>
      </c>
      <c r="C1358" s="13"/>
      <c r="D1358" s="13"/>
      <c r="E1358" s="13"/>
      <c r="F1358" s="14" t="s">
        <v>50</v>
      </c>
      <c r="G1358" s="15">
        <v>640</v>
      </c>
      <c r="H1358" s="13" t="s">
        <v>127</v>
      </c>
      <c r="I1358" s="16">
        <v>300</v>
      </c>
      <c r="J1358" s="16"/>
      <c r="K1358" s="16">
        <f t="shared" si="560"/>
        <v>300</v>
      </c>
      <c r="L1358" s="16"/>
      <c r="M1358" s="16"/>
      <c r="N1358" s="16"/>
      <c r="O1358" s="16">
        <f t="shared" si="561"/>
        <v>0</v>
      </c>
      <c r="P1358" s="16"/>
      <c r="Q1358" s="18">
        <f t="shared" si="563"/>
        <v>300</v>
      </c>
      <c r="R1358" s="18">
        <f t="shared" si="564"/>
        <v>0</v>
      </c>
      <c r="S1358" s="18">
        <f t="shared" si="564"/>
        <v>300</v>
      </c>
    </row>
    <row r="1359" spans="2:19" x14ac:dyDescent="0.2">
      <c r="B1359" s="7">
        <f t="shared" si="559"/>
        <v>851</v>
      </c>
      <c r="C1359" s="13"/>
      <c r="D1359" s="13"/>
      <c r="E1359" s="13"/>
      <c r="F1359" s="14" t="s">
        <v>50</v>
      </c>
      <c r="G1359" s="15">
        <v>630</v>
      </c>
      <c r="H1359" s="13" t="s">
        <v>686</v>
      </c>
      <c r="I1359" s="16">
        <v>1978</v>
      </c>
      <c r="J1359" s="16"/>
      <c r="K1359" s="16">
        <f t="shared" si="560"/>
        <v>1978</v>
      </c>
      <c r="L1359" s="16"/>
      <c r="M1359" s="16"/>
      <c r="N1359" s="16"/>
      <c r="O1359" s="16">
        <f t="shared" si="561"/>
        <v>0</v>
      </c>
      <c r="P1359" s="16"/>
      <c r="Q1359" s="18">
        <f t="shared" si="563"/>
        <v>1978</v>
      </c>
      <c r="R1359" s="18">
        <f t="shared" si="564"/>
        <v>0</v>
      </c>
      <c r="S1359" s="18">
        <f t="shared" si="564"/>
        <v>1978</v>
      </c>
    </row>
    <row r="1360" spans="2:19" ht="15" x14ac:dyDescent="0.2">
      <c r="B1360" s="7">
        <f t="shared" si="559"/>
        <v>852</v>
      </c>
      <c r="C1360" s="10">
        <v>5</v>
      </c>
      <c r="D1360" s="420" t="s">
        <v>118</v>
      </c>
      <c r="E1360" s="421"/>
      <c r="F1360" s="421"/>
      <c r="G1360" s="421"/>
      <c r="H1360" s="421"/>
      <c r="I1360" s="11">
        <f>I1363+I1368+I1375+I1361</f>
        <v>151600</v>
      </c>
      <c r="J1360" s="11">
        <f t="shared" ref="J1360" si="566">J1363+J1368+J1375+J1361</f>
        <v>0</v>
      </c>
      <c r="K1360" s="11">
        <f t="shared" si="560"/>
        <v>151600</v>
      </c>
      <c r="L1360" s="320"/>
      <c r="M1360" s="11"/>
      <c r="N1360" s="11"/>
      <c r="O1360" s="11">
        <f t="shared" si="561"/>
        <v>0</v>
      </c>
      <c r="P1360" s="320"/>
      <c r="Q1360" s="35">
        <f t="shared" si="563"/>
        <v>151600</v>
      </c>
      <c r="R1360" s="35">
        <f t="shared" si="564"/>
        <v>0</v>
      </c>
      <c r="S1360" s="35">
        <f t="shared" si="564"/>
        <v>151600</v>
      </c>
    </row>
    <row r="1361" spans="2:19" ht="15" x14ac:dyDescent="0.2">
      <c r="B1361" s="7">
        <f t="shared" si="559"/>
        <v>853</v>
      </c>
      <c r="C1361" s="13"/>
      <c r="D1361" s="13"/>
      <c r="E1361" s="13"/>
      <c r="F1361" s="14" t="s">
        <v>51</v>
      </c>
      <c r="G1361" s="15">
        <v>630</v>
      </c>
      <c r="H1361" s="13" t="s">
        <v>119</v>
      </c>
      <c r="I1361" s="16">
        <f>I1362</f>
        <v>15000</v>
      </c>
      <c r="J1361" s="16">
        <f t="shared" ref="J1361" si="567">J1362</f>
        <v>0</v>
      </c>
      <c r="K1361" s="16">
        <f t="shared" si="560"/>
        <v>15000</v>
      </c>
      <c r="L1361" s="320"/>
      <c r="M1361" s="16"/>
      <c r="N1361" s="16"/>
      <c r="O1361" s="16">
        <f t="shared" si="561"/>
        <v>0</v>
      </c>
      <c r="P1361" s="16"/>
      <c r="Q1361" s="18">
        <f t="shared" si="563"/>
        <v>15000</v>
      </c>
      <c r="R1361" s="18">
        <f t="shared" si="564"/>
        <v>0</v>
      </c>
      <c r="S1361" s="18">
        <f t="shared" si="564"/>
        <v>15000</v>
      </c>
    </row>
    <row r="1362" spans="2:19" ht="15" x14ac:dyDescent="0.2">
      <c r="B1362" s="7">
        <f t="shared" si="559"/>
        <v>854</v>
      </c>
      <c r="C1362" s="19"/>
      <c r="D1362" s="19"/>
      <c r="E1362" s="19"/>
      <c r="F1362" s="20"/>
      <c r="G1362" s="21">
        <v>637</v>
      </c>
      <c r="H1362" s="19" t="s">
        <v>120</v>
      </c>
      <c r="I1362" s="22">
        <v>15000</v>
      </c>
      <c r="J1362" s="22"/>
      <c r="K1362" s="22">
        <f t="shared" si="560"/>
        <v>15000</v>
      </c>
      <c r="L1362" s="320"/>
      <c r="M1362" s="22"/>
      <c r="N1362" s="22"/>
      <c r="O1362" s="22">
        <f t="shared" si="561"/>
        <v>0</v>
      </c>
      <c r="P1362" s="22"/>
      <c r="Q1362" s="23">
        <f t="shared" si="563"/>
        <v>15000</v>
      </c>
      <c r="R1362" s="23">
        <f t="shared" si="564"/>
        <v>0</v>
      </c>
      <c r="S1362" s="23">
        <f t="shared" si="564"/>
        <v>15000</v>
      </c>
    </row>
    <row r="1363" spans="2:19" x14ac:dyDescent="0.2">
      <c r="B1363" s="7">
        <f t="shared" si="559"/>
        <v>855</v>
      </c>
      <c r="C1363" s="119"/>
      <c r="D1363" s="119"/>
      <c r="E1363" s="119"/>
      <c r="F1363" s="120"/>
      <c r="G1363" s="120"/>
      <c r="H1363" s="119" t="s">
        <v>126</v>
      </c>
      <c r="I1363" s="121">
        <f>SUM(I1364:I1366)</f>
        <v>4750</v>
      </c>
      <c r="J1363" s="121">
        <f t="shared" ref="J1363" si="568">SUM(J1364:J1366)</f>
        <v>0</v>
      </c>
      <c r="K1363" s="121">
        <f t="shared" si="560"/>
        <v>4750</v>
      </c>
      <c r="L1363" s="16"/>
      <c r="M1363" s="121"/>
      <c r="N1363" s="121"/>
      <c r="O1363" s="121">
        <f t="shared" si="561"/>
        <v>0</v>
      </c>
      <c r="P1363" s="16"/>
      <c r="Q1363" s="123">
        <f t="shared" si="563"/>
        <v>4750</v>
      </c>
      <c r="R1363" s="123">
        <f t="shared" si="564"/>
        <v>0</v>
      </c>
      <c r="S1363" s="123">
        <f t="shared" si="564"/>
        <v>4750</v>
      </c>
    </row>
    <row r="1364" spans="2:19" x14ac:dyDescent="0.2">
      <c r="B1364" s="7">
        <f t="shared" si="559"/>
        <v>856</v>
      </c>
      <c r="C1364" s="13"/>
      <c r="D1364" s="13"/>
      <c r="E1364" s="13"/>
      <c r="F1364" s="14" t="s">
        <v>51</v>
      </c>
      <c r="G1364" s="15">
        <v>610</v>
      </c>
      <c r="H1364" s="13" t="s">
        <v>511</v>
      </c>
      <c r="I1364" s="16">
        <f>1200-1200</f>
        <v>0</v>
      </c>
      <c r="J1364" s="16"/>
      <c r="K1364" s="16">
        <f t="shared" si="560"/>
        <v>0</v>
      </c>
      <c r="L1364" s="16"/>
      <c r="M1364" s="16"/>
      <c r="N1364" s="16"/>
      <c r="O1364" s="16">
        <f t="shared" si="561"/>
        <v>0</v>
      </c>
      <c r="P1364" s="16"/>
      <c r="Q1364" s="18">
        <f t="shared" si="563"/>
        <v>0</v>
      </c>
      <c r="R1364" s="18">
        <f t="shared" si="564"/>
        <v>0</v>
      </c>
      <c r="S1364" s="18">
        <f t="shared" si="564"/>
        <v>0</v>
      </c>
    </row>
    <row r="1365" spans="2:19" x14ac:dyDescent="0.2">
      <c r="B1365" s="7">
        <f t="shared" si="559"/>
        <v>857</v>
      </c>
      <c r="C1365" s="13"/>
      <c r="D1365" s="13"/>
      <c r="E1365" s="13"/>
      <c r="F1365" s="14" t="s">
        <v>51</v>
      </c>
      <c r="G1365" s="15">
        <v>620</v>
      </c>
      <c r="H1365" s="13" t="s">
        <v>122</v>
      </c>
      <c r="I1365" s="16">
        <f>420-420</f>
        <v>0</v>
      </c>
      <c r="J1365" s="16"/>
      <c r="K1365" s="16">
        <f t="shared" si="560"/>
        <v>0</v>
      </c>
      <c r="L1365" s="16"/>
      <c r="M1365" s="16"/>
      <c r="N1365" s="16"/>
      <c r="O1365" s="16">
        <f t="shared" si="561"/>
        <v>0</v>
      </c>
      <c r="P1365" s="16"/>
      <c r="Q1365" s="18">
        <f t="shared" si="563"/>
        <v>0</v>
      </c>
      <c r="R1365" s="18">
        <f t="shared" si="564"/>
        <v>0</v>
      </c>
      <c r="S1365" s="18">
        <f t="shared" si="564"/>
        <v>0</v>
      </c>
    </row>
    <row r="1366" spans="2:19" x14ac:dyDescent="0.2">
      <c r="B1366" s="7">
        <f t="shared" si="559"/>
        <v>858</v>
      </c>
      <c r="C1366" s="13"/>
      <c r="D1366" s="13"/>
      <c r="E1366" s="13"/>
      <c r="F1366" s="14" t="s">
        <v>51</v>
      </c>
      <c r="G1366" s="15">
        <v>630</v>
      </c>
      <c r="H1366" s="13" t="s">
        <v>119</v>
      </c>
      <c r="I1366" s="16">
        <f>I1367</f>
        <v>4750</v>
      </c>
      <c r="J1366" s="16">
        <f t="shared" ref="J1366" si="569">J1367</f>
        <v>0</v>
      </c>
      <c r="K1366" s="16">
        <f t="shared" si="560"/>
        <v>4750</v>
      </c>
      <c r="L1366" s="16"/>
      <c r="M1366" s="16"/>
      <c r="N1366" s="16"/>
      <c r="O1366" s="16">
        <f t="shared" si="561"/>
        <v>0</v>
      </c>
      <c r="P1366" s="16"/>
      <c r="Q1366" s="18">
        <f t="shared" si="563"/>
        <v>4750</v>
      </c>
      <c r="R1366" s="18">
        <f t="shared" si="564"/>
        <v>0</v>
      </c>
      <c r="S1366" s="18">
        <f t="shared" si="564"/>
        <v>4750</v>
      </c>
    </row>
    <row r="1367" spans="2:19" x14ac:dyDescent="0.2">
      <c r="B1367" s="7">
        <f t="shared" si="559"/>
        <v>859</v>
      </c>
      <c r="C1367" s="19"/>
      <c r="D1367" s="19"/>
      <c r="E1367" s="19"/>
      <c r="F1367" s="20"/>
      <c r="G1367" s="21">
        <v>633</v>
      </c>
      <c r="H1367" s="19" t="s">
        <v>123</v>
      </c>
      <c r="I1367" s="22">
        <v>4750</v>
      </c>
      <c r="J1367" s="22"/>
      <c r="K1367" s="22">
        <f t="shared" si="560"/>
        <v>4750</v>
      </c>
      <c r="L1367" s="22"/>
      <c r="M1367" s="22"/>
      <c r="N1367" s="22"/>
      <c r="O1367" s="22">
        <f t="shared" si="561"/>
        <v>0</v>
      </c>
      <c r="P1367" s="22"/>
      <c r="Q1367" s="23">
        <f t="shared" si="563"/>
        <v>4750</v>
      </c>
      <c r="R1367" s="23">
        <f t="shared" si="564"/>
        <v>0</v>
      </c>
      <c r="S1367" s="23">
        <f t="shared" si="564"/>
        <v>4750</v>
      </c>
    </row>
    <row r="1368" spans="2:19" x14ac:dyDescent="0.2">
      <c r="B1368" s="7">
        <f t="shared" si="559"/>
        <v>860</v>
      </c>
      <c r="C1368" s="119"/>
      <c r="D1368" s="119"/>
      <c r="E1368" s="119"/>
      <c r="F1368" s="120"/>
      <c r="G1368" s="120"/>
      <c r="H1368" s="119" t="s">
        <v>121</v>
      </c>
      <c r="I1368" s="121">
        <f>I1369+I1370+I1371+I1374</f>
        <v>101850</v>
      </c>
      <c r="J1368" s="121">
        <f t="shared" ref="J1368" si="570">J1369+J1370+J1371+J1374</f>
        <v>0</v>
      </c>
      <c r="K1368" s="121">
        <f t="shared" si="560"/>
        <v>101850</v>
      </c>
      <c r="L1368" s="16"/>
      <c r="M1368" s="122"/>
      <c r="N1368" s="122"/>
      <c r="O1368" s="122">
        <f t="shared" si="561"/>
        <v>0</v>
      </c>
      <c r="P1368" s="17">
        <f>P1369+P1370+P1371+P1374</f>
        <v>0</v>
      </c>
      <c r="Q1368" s="123">
        <f t="shared" si="563"/>
        <v>101850</v>
      </c>
      <c r="R1368" s="123">
        <f t="shared" ref="R1368:S1378" si="571">N1368+J1368</f>
        <v>0</v>
      </c>
      <c r="S1368" s="123">
        <f t="shared" si="571"/>
        <v>101850</v>
      </c>
    </row>
    <row r="1369" spans="2:19" x14ac:dyDescent="0.2">
      <c r="B1369" s="7">
        <f t="shared" si="559"/>
        <v>861</v>
      </c>
      <c r="C1369" s="13"/>
      <c r="D1369" s="13"/>
      <c r="E1369" s="13"/>
      <c r="F1369" s="14" t="s">
        <v>51</v>
      </c>
      <c r="G1369" s="15">
        <v>610</v>
      </c>
      <c r="H1369" s="13" t="s">
        <v>511</v>
      </c>
      <c r="I1369" s="16">
        <v>70000</v>
      </c>
      <c r="J1369" s="16"/>
      <c r="K1369" s="16">
        <f t="shared" si="560"/>
        <v>70000</v>
      </c>
      <c r="L1369" s="16"/>
      <c r="M1369" s="16"/>
      <c r="N1369" s="16"/>
      <c r="O1369" s="16">
        <f t="shared" si="561"/>
        <v>0</v>
      </c>
      <c r="P1369" s="16"/>
      <c r="Q1369" s="18">
        <f t="shared" si="563"/>
        <v>70000</v>
      </c>
      <c r="R1369" s="18">
        <f t="shared" si="571"/>
        <v>0</v>
      </c>
      <c r="S1369" s="18">
        <f t="shared" si="571"/>
        <v>70000</v>
      </c>
    </row>
    <row r="1370" spans="2:19" x14ac:dyDescent="0.2">
      <c r="B1370" s="7">
        <f t="shared" si="559"/>
        <v>862</v>
      </c>
      <c r="C1370" s="13"/>
      <c r="D1370" s="13"/>
      <c r="E1370" s="13"/>
      <c r="F1370" s="14" t="s">
        <v>51</v>
      </c>
      <c r="G1370" s="15">
        <v>620</v>
      </c>
      <c r="H1370" s="13" t="s">
        <v>122</v>
      </c>
      <c r="I1370" s="16">
        <v>27000</v>
      </c>
      <c r="J1370" s="16"/>
      <c r="K1370" s="16">
        <f t="shared" si="560"/>
        <v>27000</v>
      </c>
      <c r="L1370" s="16"/>
      <c r="M1370" s="16"/>
      <c r="N1370" s="16"/>
      <c r="O1370" s="16">
        <f t="shared" si="561"/>
        <v>0</v>
      </c>
      <c r="P1370" s="16"/>
      <c r="Q1370" s="18">
        <f t="shared" si="563"/>
        <v>27000</v>
      </c>
      <c r="R1370" s="18">
        <f t="shared" si="571"/>
        <v>0</v>
      </c>
      <c r="S1370" s="18">
        <f t="shared" si="571"/>
        <v>27000</v>
      </c>
    </row>
    <row r="1371" spans="2:19" x14ac:dyDescent="0.2">
      <c r="B1371" s="7">
        <f t="shared" si="559"/>
        <v>863</v>
      </c>
      <c r="C1371" s="13"/>
      <c r="D1371" s="13"/>
      <c r="E1371" s="13"/>
      <c r="F1371" s="14" t="s">
        <v>51</v>
      </c>
      <c r="G1371" s="15">
        <v>630</v>
      </c>
      <c r="H1371" s="13" t="s">
        <v>119</v>
      </c>
      <c r="I1371" s="16">
        <f>I1372+I1373</f>
        <v>2850</v>
      </c>
      <c r="J1371" s="16">
        <f t="shared" ref="J1371" si="572">J1372+J1373</f>
        <v>0</v>
      </c>
      <c r="K1371" s="16">
        <f t="shared" si="560"/>
        <v>2850</v>
      </c>
      <c r="L1371" s="16"/>
      <c r="M1371" s="16"/>
      <c r="N1371" s="16"/>
      <c r="O1371" s="16">
        <f t="shared" si="561"/>
        <v>0</v>
      </c>
      <c r="P1371" s="16"/>
      <c r="Q1371" s="18">
        <f t="shared" si="563"/>
        <v>2850</v>
      </c>
      <c r="R1371" s="18">
        <f t="shared" si="571"/>
        <v>0</v>
      </c>
      <c r="S1371" s="18">
        <f t="shared" si="571"/>
        <v>2850</v>
      </c>
    </row>
    <row r="1372" spans="2:19" x14ac:dyDescent="0.2">
      <c r="B1372" s="7">
        <f t="shared" si="559"/>
        <v>864</v>
      </c>
      <c r="C1372" s="19"/>
      <c r="D1372" s="19"/>
      <c r="E1372" s="19"/>
      <c r="F1372" s="20"/>
      <c r="G1372" s="21">
        <v>633</v>
      </c>
      <c r="H1372" s="19" t="s">
        <v>123</v>
      </c>
      <c r="I1372" s="22">
        <v>380</v>
      </c>
      <c r="J1372" s="22"/>
      <c r="K1372" s="22">
        <f t="shared" si="560"/>
        <v>380</v>
      </c>
      <c r="L1372" s="22"/>
      <c r="M1372" s="22"/>
      <c r="N1372" s="22"/>
      <c r="O1372" s="22">
        <f t="shared" si="561"/>
        <v>0</v>
      </c>
      <c r="P1372" s="22"/>
      <c r="Q1372" s="23">
        <f t="shared" si="563"/>
        <v>380</v>
      </c>
      <c r="R1372" s="23">
        <f t="shared" si="571"/>
        <v>0</v>
      </c>
      <c r="S1372" s="23">
        <f t="shared" si="571"/>
        <v>380</v>
      </c>
    </row>
    <row r="1373" spans="2:19" x14ac:dyDescent="0.2">
      <c r="B1373" s="7">
        <f t="shared" si="559"/>
        <v>865</v>
      </c>
      <c r="C1373" s="19"/>
      <c r="D1373" s="19"/>
      <c r="E1373" s="19"/>
      <c r="F1373" s="20"/>
      <c r="G1373" s="21">
        <v>637</v>
      </c>
      <c r="H1373" s="19" t="s">
        <v>120</v>
      </c>
      <c r="I1373" s="22">
        <v>2470</v>
      </c>
      <c r="J1373" s="22"/>
      <c r="K1373" s="22">
        <f t="shared" si="560"/>
        <v>2470</v>
      </c>
      <c r="L1373" s="22"/>
      <c r="M1373" s="22"/>
      <c r="N1373" s="22"/>
      <c r="O1373" s="22">
        <f t="shared" si="561"/>
        <v>0</v>
      </c>
      <c r="P1373" s="22"/>
      <c r="Q1373" s="23">
        <f t="shared" si="563"/>
        <v>2470</v>
      </c>
      <c r="R1373" s="23">
        <f t="shared" si="571"/>
        <v>0</v>
      </c>
      <c r="S1373" s="23">
        <f t="shared" si="571"/>
        <v>2470</v>
      </c>
    </row>
    <row r="1374" spans="2:19" ht="13.5" customHeight="1" x14ac:dyDescent="0.2">
      <c r="B1374" s="7">
        <f t="shared" si="559"/>
        <v>866</v>
      </c>
      <c r="C1374" s="19"/>
      <c r="D1374" s="19"/>
      <c r="E1374" s="19"/>
      <c r="F1374" s="20" t="s">
        <v>51</v>
      </c>
      <c r="G1374" s="15">
        <v>640</v>
      </c>
      <c r="H1374" s="13" t="s">
        <v>127</v>
      </c>
      <c r="I1374" s="16">
        <v>2000</v>
      </c>
      <c r="J1374" s="16"/>
      <c r="K1374" s="16">
        <f t="shared" si="560"/>
        <v>2000</v>
      </c>
      <c r="L1374" s="16"/>
      <c r="M1374" s="22"/>
      <c r="N1374" s="22"/>
      <c r="O1374" s="22">
        <f t="shared" si="561"/>
        <v>0</v>
      </c>
      <c r="P1374" s="22"/>
      <c r="Q1374" s="23">
        <f t="shared" si="563"/>
        <v>2000</v>
      </c>
      <c r="R1374" s="23">
        <f t="shared" si="571"/>
        <v>0</v>
      </c>
      <c r="S1374" s="23">
        <f t="shared" si="571"/>
        <v>2000</v>
      </c>
    </row>
    <row r="1375" spans="2:19" ht="12.75" customHeight="1" x14ac:dyDescent="0.2">
      <c r="B1375" s="7">
        <f t="shared" si="559"/>
        <v>867</v>
      </c>
      <c r="C1375" s="124"/>
      <c r="D1375" s="124"/>
      <c r="E1375" s="124"/>
      <c r="F1375" s="125"/>
      <c r="G1375" s="126"/>
      <c r="H1375" s="124" t="s">
        <v>330</v>
      </c>
      <c r="I1375" s="127">
        <f>I1376</f>
        <v>30000</v>
      </c>
      <c r="J1375" s="127">
        <f t="shared" ref="J1375" si="573">J1376</f>
        <v>0</v>
      </c>
      <c r="K1375" s="127">
        <f t="shared" si="560"/>
        <v>30000</v>
      </c>
      <c r="L1375" s="16"/>
      <c r="M1375" s="128"/>
      <c r="N1375" s="128"/>
      <c r="O1375" s="128">
        <f t="shared" si="561"/>
        <v>0</v>
      </c>
      <c r="P1375" s="17">
        <f>P1376</f>
        <v>0</v>
      </c>
      <c r="Q1375" s="129">
        <f t="shared" si="563"/>
        <v>30000</v>
      </c>
      <c r="R1375" s="129">
        <f t="shared" si="571"/>
        <v>0</v>
      </c>
      <c r="S1375" s="129">
        <f t="shared" si="571"/>
        <v>30000</v>
      </c>
    </row>
    <row r="1376" spans="2:19" x14ac:dyDescent="0.2">
      <c r="B1376" s="7">
        <f t="shared" si="559"/>
        <v>868</v>
      </c>
      <c r="C1376" s="13"/>
      <c r="D1376" s="13"/>
      <c r="E1376" s="13"/>
      <c r="F1376" s="14" t="s">
        <v>51</v>
      </c>
      <c r="G1376" s="15">
        <v>640</v>
      </c>
      <c r="H1376" s="13" t="s">
        <v>127</v>
      </c>
      <c r="I1376" s="16">
        <f>I1377+I1378</f>
        <v>30000</v>
      </c>
      <c r="J1376" s="16">
        <f t="shared" ref="J1376" si="574">J1377+J1378</f>
        <v>0</v>
      </c>
      <c r="K1376" s="16">
        <f t="shared" si="560"/>
        <v>30000</v>
      </c>
      <c r="L1376" s="16"/>
      <c r="M1376" s="17"/>
      <c r="N1376" s="17"/>
      <c r="O1376" s="17">
        <f t="shared" si="561"/>
        <v>0</v>
      </c>
      <c r="P1376" s="17">
        <f>SUM(P1377:P1378)</f>
        <v>0</v>
      </c>
      <c r="Q1376" s="18">
        <f t="shared" si="563"/>
        <v>30000</v>
      </c>
      <c r="R1376" s="18">
        <f t="shared" si="571"/>
        <v>0</v>
      </c>
      <c r="S1376" s="18">
        <f t="shared" si="571"/>
        <v>30000</v>
      </c>
    </row>
    <row r="1377" spans="2:19" x14ac:dyDescent="0.2">
      <c r="B1377" s="7">
        <f t="shared" si="559"/>
        <v>869</v>
      </c>
      <c r="C1377" s="19"/>
      <c r="D1377" s="19"/>
      <c r="E1377" s="19"/>
      <c r="F1377" s="20"/>
      <c r="G1377" s="21"/>
      <c r="H1377" s="19" t="s">
        <v>260</v>
      </c>
      <c r="I1377" s="22">
        <v>15000</v>
      </c>
      <c r="J1377" s="22"/>
      <c r="K1377" s="22">
        <f t="shared" si="560"/>
        <v>15000</v>
      </c>
      <c r="L1377" s="22"/>
      <c r="M1377" s="22"/>
      <c r="N1377" s="22"/>
      <c r="O1377" s="22">
        <f t="shared" si="561"/>
        <v>0</v>
      </c>
      <c r="P1377" s="22"/>
      <c r="Q1377" s="23">
        <f t="shared" si="563"/>
        <v>15000</v>
      </c>
      <c r="R1377" s="23">
        <f t="shared" si="571"/>
        <v>0</v>
      </c>
      <c r="S1377" s="23">
        <f t="shared" si="571"/>
        <v>15000</v>
      </c>
    </row>
    <row r="1378" spans="2:19" ht="17.25" customHeight="1" x14ac:dyDescent="0.2">
      <c r="B1378" s="174">
        <f t="shared" si="559"/>
        <v>870</v>
      </c>
      <c r="C1378" s="285"/>
      <c r="D1378" s="285"/>
      <c r="E1378" s="285"/>
      <c r="F1378" s="286"/>
      <c r="G1378" s="287"/>
      <c r="H1378" s="285" t="s">
        <v>13</v>
      </c>
      <c r="I1378" s="288">
        <v>15000</v>
      </c>
      <c r="J1378" s="288"/>
      <c r="K1378" s="288">
        <f t="shared" si="560"/>
        <v>15000</v>
      </c>
      <c r="L1378" s="288"/>
      <c r="M1378" s="288"/>
      <c r="N1378" s="288"/>
      <c r="O1378" s="288">
        <f t="shared" si="561"/>
        <v>0</v>
      </c>
      <c r="P1378" s="288"/>
      <c r="Q1378" s="289">
        <f t="shared" si="563"/>
        <v>15000</v>
      </c>
      <c r="R1378" s="289">
        <f t="shared" si="571"/>
        <v>0</v>
      </c>
      <c r="S1378" s="289">
        <f t="shared" si="571"/>
        <v>15000</v>
      </c>
    </row>
    <row r="1379" spans="2:19" x14ac:dyDescent="0.2">
      <c r="B1379" s="3"/>
      <c r="F1379" s="3"/>
      <c r="G1379" s="3"/>
      <c r="I1379" s="3"/>
      <c r="J1379" s="3"/>
      <c r="K1379" s="3"/>
      <c r="L1379" s="3"/>
      <c r="M1379" s="3"/>
      <c r="N1379" s="3"/>
      <c r="O1379" s="3"/>
      <c r="P1379" s="3"/>
      <c r="Q1379" s="3"/>
    </row>
    <row r="1380" spans="2:19" x14ac:dyDescent="0.2">
      <c r="B1380" s="3"/>
      <c r="F1380" s="3"/>
      <c r="G1380" s="3"/>
      <c r="I1380" s="3"/>
      <c r="J1380" s="3"/>
      <c r="K1380" s="3"/>
      <c r="L1380" s="3"/>
      <c r="M1380" s="3"/>
      <c r="N1380" s="3"/>
      <c r="O1380" s="3"/>
      <c r="P1380" s="3"/>
      <c r="Q1380" s="3"/>
    </row>
    <row r="1381" spans="2:19" x14ac:dyDescent="0.2">
      <c r="B1381" s="3"/>
      <c r="F1381" s="3"/>
      <c r="G1381" s="3"/>
      <c r="I1381" s="3"/>
      <c r="J1381" s="3"/>
      <c r="K1381" s="3"/>
      <c r="L1381" s="3"/>
      <c r="M1381" s="3"/>
      <c r="N1381" s="3"/>
      <c r="O1381" s="3"/>
      <c r="P1381" s="3"/>
      <c r="Q1381" s="3"/>
    </row>
    <row r="1382" spans="2:19" ht="27.75" x14ac:dyDescent="0.4">
      <c r="B1382" s="429" t="s">
        <v>377</v>
      </c>
      <c r="C1382" s="430"/>
      <c r="D1382" s="430"/>
      <c r="E1382" s="430"/>
      <c r="F1382" s="430"/>
      <c r="G1382" s="430"/>
      <c r="H1382" s="430"/>
      <c r="I1382" s="430"/>
      <c r="J1382" s="430"/>
      <c r="K1382" s="430"/>
      <c r="L1382" s="430"/>
      <c r="M1382" s="430"/>
      <c r="N1382" s="430"/>
      <c r="O1382" s="430"/>
      <c r="P1382" s="430"/>
      <c r="Q1382" s="430"/>
    </row>
    <row r="1383" spans="2:19" ht="12.75" customHeight="1" x14ac:dyDescent="0.2">
      <c r="B1383" s="431" t="s">
        <v>464</v>
      </c>
      <c r="C1383" s="432"/>
      <c r="D1383" s="432"/>
      <c r="E1383" s="432"/>
      <c r="F1383" s="432"/>
      <c r="G1383" s="432"/>
      <c r="H1383" s="432"/>
      <c r="I1383" s="432"/>
      <c r="J1383" s="432"/>
      <c r="K1383" s="432"/>
      <c r="L1383" s="432"/>
      <c r="M1383" s="432"/>
      <c r="N1383" s="432"/>
      <c r="O1383" s="432"/>
      <c r="P1383" s="432"/>
      <c r="Q1383" s="433" t="s">
        <v>735</v>
      </c>
      <c r="R1383" s="433" t="s">
        <v>733</v>
      </c>
      <c r="S1383" s="433" t="s">
        <v>736</v>
      </c>
    </row>
    <row r="1384" spans="2:19" ht="12.75" customHeight="1" x14ac:dyDescent="0.2">
      <c r="B1384" s="436"/>
      <c r="C1384" s="422" t="s">
        <v>112</v>
      </c>
      <c r="D1384" s="422" t="s">
        <v>113</v>
      </c>
      <c r="E1384" s="422"/>
      <c r="F1384" s="422" t="s">
        <v>114</v>
      </c>
      <c r="G1384" s="423" t="s">
        <v>115</v>
      </c>
      <c r="H1384" s="424" t="s">
        <v>116</v>
      </c>
      <c r="I1384" s="435" t="s">
        <v>737</v>
      </c>
      <c r="J1384" s="455" t="s">
        <v>733</v>
      </c>
      <c r="K1384" s="435" t="s">
        <v>738</v>
      </c>
      <c r="L1384" s="318"/>
      <c r="M1384" s="435" t="s">
        <v>739</v>
      </c>
      <c r="N1384" s="455" t="s">
        <v>733</v>
      </c>
      <c r="O1384" s="435" t="s">
        <v>740</v>
      </c>
      <c r="P1384" s="318"/>
      <c r="Q1384" s="434"/>
      <c r="R1384" s="434"/>
      <c r="S1384" s="434"/>
    </row>
    <row r="1385" spans="2:19" x14ac:dyDescent="0.2">
      <c r="B1385" s="436"/>
      <c r="C1385" s="422"/>
      <c r="D1385" s="422"/>
      <c r="E1385" s="422"/>
      <c r="F1385" s="422"/>
      <c r="G1385" s="423"/>
      <c r="H1385" s="424"/>
      <c r="I1385" s="435"/>
      <c r="J1385" s="456"/>
      <c r="K1385" s="435"/>
      <c r="L1385" s="318"/>
      <c r="M1385" s="435"/>
      <c r="N1385" s="456"/>
      <c r="O1385" s="435"/>
      <c r="P1385" s="318"/>
      <c r="Q1385" s="434"/>
      <c r="R1385" s="434"/>
      <c r="S1385" s="434"/>
    </row>
    <row r="1386" spans="2:19" s="42" customFormat="1" x14ac:dyDescent="0.2">
      <c r="B1386" s="436"/>
      <c r="C1386" s="422"/>
      <c r="D1386" s="422"/>
      <c r="E1386" s="422"/>
      <c r="F1386" s="422"/>
      <c r="G1386" s="423"/>
      <c r="H1386" s="424"/>
      <c r="I1386" s="435"/>
      <c r="J1386" s="456"/>
      <c r="K1386" s="435"/>
      <c r="L1386" s="318"/>
      <c r="M1386" s="435"/>
      <c r="N1386" s="456"/>
      <c r="O1386" s="435"/>
      <c r="P1386" s="318"/>
      <c r="Q1386" s="434"/>
      <c r="R1386" s="434"/>
      <c r="S1386" s="434"/>
    </row>
    <row r="1387" spans="2:19" x14ac:dyDescent="0.2">
      <c r="B1387" s="436"/>
      <c r="C1387" s="422"/>
      <c r="D1387" s="422"/>
      <c r="E1387" s="422"/>
      <c r="F1387" s="422"/>
      <c r="G1387" s="423"/>
      <c r="H1387" s="424"/>
      <c r="I1387" s="435"/>
      <c r="J1387" s="457"/>
      <c r="K1387" s="435"/>
      <c r="L1387" s="318"/>
      <c r="M1387" s="435"/>
      <c r="N1387" s="457"/>
      <c r="O1387" s="435"/>
      <c r="P1387" s="318"/>
      <c r="Q1387" s="434"/>
      <c r="R1387" s="434"/>
      <c r="S1387" s="434"/>
    </row>
    <row r="1388" spans="2:19" ht="15.75" x14ac:dyDescent="0.2">
      <c r="B1388" s="7">
        <v>1</v>
      </c>
      <c r="C1388" s="439" t="s">
        <v>377</v>
      </c>
      <c r="D1388" s="440"/>
      <c r="E1388" s="440"/>
      <c r="F1388" s="440"/>
      <c r="G1388" s="440"/>
      <c r="H1388" s="440"/>
      <c r="I1388" s="8">
        <f>I1474+I1405+I1392+I1389</f>
        <v>3159345</v>
      </c>
      <c r="J1388" s="8">
        <f>J1474+J1405+J1392+J1389</f>
        <v>43500</v>
      </c>
      <c r="K1388" s="8">
        <f>I1388+J1388</f>
        <v>3202845</v>
      </c>
      <c r="L1388" s="319"/>
      <c r="M1388" s="8">
        <f>M1474+M1405+M1392+M1389</f>
        <v>27982682</v>
      </c>
      <c r="N1388" s="8">
        <f t="shared" ref="N1388" si="575">N1474+N1405+N1392+N1389</f>
        <v>0</v>
      </c>
      <c r="O1388" s="8">
        <f>M1388+N1388</f>
        <v>27982682</v>
      </c>
      <c r="P1388" s="319"/>
      <c r="Q1388" s="9">
        <f t="shared" ref="Q1388:Q1419" si="576">M1388+I1388</f>
        <v>31142027</v>
      </c>
      <c r="R1388" s="9">
        <f t="shared" ref="R1388:S1403" si="577">N1388+J1388</f>
        <v>43500</v>
      </c>
      <c r="S1388" s="9">
        <f t="shared" si="577"/>
        <v>31185527</v>
      </c>
    </row>
    <row r="1389" spans="2:19" ht="15" x14ac:dyDescent="0.2">
      <c r="B1389" s="7">
        <f>B1388+1</f>
        <v>2</v>
      </c>
      <c r="C1389" s="10">
        <v>1</v>
      </c>
      <c r="D1389" s="420" t="s">
        <v>224</v>
      </c>
      <c r="E1389" s="421"/>
      <c r="F1389" s="421"/>
      <c r="G1389" s="421"/>
      <c r="H1389" s="421"/>
      <c r="I1389" s="11">
        <f>I1390</f>
        <v>6650</v>
      </c>
      <c r="J1389" s="11">
        <f t="shared" ref="J1389:J1390" si="578">J1390</f>
        <v>0</v>
      </c>
      <c r="K1389" s="11">
        <f t="shared" ref="K1389:K1452" si="579">I1389+J1389</f>
        <v>6650</v>
      </c>
      <c r="L1389" s="320"/>
      <c r="M1389" s="11"/>
      <c r="N1389" s="11"/>
      <c r="O1389" s="11">
        <f t="shared" ref="O1389:O1452" si="580">M1389+N1389</f>
        <v>0</v>
      </c>
      <c r="P1389" s="320"/>
      <c r="Q1389" s="35">
        <f t="shared" si="576"/>
        <v>6650</v>
      </c>
      <c r="R1389" s="35">
        <f t="shared" si="577"/>
        <v>0</v>
      </c>
      <c r="S1389" s="35">
        <f t="shared" si="577"/>
        <v>6650</v>
      </c>
    </row>
    <row r="1390" spans="2:19" x14ac:dyDescent="0.2">
      <c r="B1390" s="7">
        <f>B1389+1</f>
        <v>3</v>
      </c>
      <c r="C1390" s="13"/>
      <c r="D1390" s="13"/>
      <c r="E1390" s="13"/>
      <c r="F1390" s="14" t="s">
        <v>175</v>
      </c>
      <c r="G1390" s="15">
        <v>630</v>
      </c>
      <c r="H1390" s="13" t="s">
        <v>119</v>
      </c>
      <c r="I1390" s="16">
        <f>I1391</f>
        <v>6650</v>
      </c>
      <c r="J1390" s="16">
        <f t="shared" si="578"/>
        <v>0</v>
      </c>
      <c r="K1390" s="16">
        <f t="shared" si="579"/>
        <v>6650</v>
      </c>
      <c r="L1390" s="16"/>
      <c r="M1390" s="16"/>
      <c r="N1390" s="16"/>
      <c r="O1390" s="16">
        <f t="shared" si="580"/>
        <v>0</v>
      </c>
      <c r="P1390" s="16"/>
      <c r="Q1390" s="18">
        <f t="shared" si="576"/>
        <v>6650</v>
      </c>
      <c r="R1390" s="18">
        <f t="shared" si="577"/>
        <v>0</v>
      </c>
      <c r="S1390" s="18">
        <f t="shared" si="577"/>
        <v>6650</v>
      </c>
    </row>
    <row r="1391" spans="2:19" x14ac:dyDescent="0.2">
      <c r="B1391" s="7">
        <f>B1390+1</f>
        <v>4</v>
      </c>
      <c r="C1391" s="19"/>
      <c r="D1391" s="19"/>
      <c r="E1391" s="19"/>
      <c r="F1391" s="20"/>
      <c r="G1391" s="21">
        <v>637</v>
      </c>
      <c r="H1391" s="19" t="s">
        <v>120</v>
      </c>
      <c r="I1391" s="22">
        <v>6650</v>
      </c>
      <c r="J1391" s="22"/>
      <c r="K1391" s="22">
        <f t="shared" si="579"/>
        <v>6650</v>
      </c>
      <c r="L1391" s="22"/>
      <c r="M1391" s="22"/>
      <c r="N1391" s="22"/>
      <c r="O1391" s="22">
        <f t="shared" si="580"/>
        <v>0</v>
      </c>
      <c r="P1391" s="22"/>
      <c r="Q1391" s="23">
        <f t="shared" si="576"/>
        <v>6650</v>
      </c>
      <c r="R1391" s="23">
        <f t="shared" si="577"/>
        <v>0</v>
      </c>
      <c r="S1391" s="23">
        <f t="shared" si="577"/>
        <v>6650</v>
      </c>
    </row>
    <row r="1392" spans="2:19" ht="14.25" customHeight="1" x14ac:dyDescent="0.2">
      <c r="B1392" s="7">
        <f>B1391+1</f>
        <v>5</v>
      </c>
      <c r="C1392" s="10">
        <v>2</v>
      </c>
      <c r="D1392" s="420" t="s">
        <v>348</v>
      </c>
      <c r="E1392" s="421"/>
      <c r="F1392" s="421"/>
      <c r="G1392" s="421"/>
      <c r="H1392" s="421"/>
      <c r="I1392" s="11">
        <f>I1393</f>
        <v>295000</v>
      </c>
      <c r="J1392" s="11">
        <f t="shared" ref="J1392" si="581">J1393</f>
        <v>0</v>
      </c>
      <c r="K1392" s="11">
        <f t="shared" si="579"/>
        <v>295000</v>
      </c>
      <c r="L1392" s="320"/>
      <c r="M1392" s="11"/>
      <c r="N1392" s="11"/>
      <c r="O1392" s="11">
        <f t="shared" si="580"/>
        <v>0</v>
      </c>
      <c r="P1392" s="320"/>
      <c r="Q1392" s="35">
        <f t="shared" si="576"/>
        <v>295000</v>
      </c>
      <c r="R1392" s="35">
        <f t="shared" si="577"/>
        <v>0</v>
      </c>
      <c r="S1392" s="35">
        <f t="shared" si="577"/>
        <v>295000</v>
      </c>
    </row>
    <row r="1393" spans="2:19" x14ac:dyDescent="0.2">
      <c r="B1393" s="7">
        <f t="shared" ref="B1393:B1400" si="582">B1392+1</f>
        <v>6</v>
      </c>
      <c r="C1393" s="13"/>
      <c r="D1393" s="13"/>
      <c r="E1393" s="13"/>
      <c r="F1393" s="14" t="s">
        <v>175</v>
      </c>
      <c r="G1393" s="15">
        <v>640</v>
      </c>
      <c r="H1393" s="13" t="s">
        <v>127</v>
      </c>
      <c r="I1393" s="16">
        <f>SUM(I1394:I1404)</f>
        <v>295000</v>
      </c>
      <c r="J1393" s="16">
        <f>SUM(J1394:J1404)</f>
        <v>0</v>
      </c>
      <c r="K1393" s="16">
        <f t="shared" si="579"/>
        <v>295000</v>
      </c>
      <c r="L1393" s="16"/>
      <c r="M1393" s="16"/>
      <c r="N1393" s="16"/>
      <c r="O1393" s="16">
        <f t="shared" si="580"/>
        <v>0</v>
      </c>
      <c r="P1393" s="16"/>
      <c r="Q1393" s="18">
        <f t="shared" si="576"/>
        <v>295000</v>
      </c>
      <c r="R1393" s="18">
        <f t="shared" si="577"/>
        <v>0</v>
      </c>
      <c r="S1393" s="18">
        <f t="shared" si="577"/>
        <v>295000</v>
      </c>
    </row>
    <row r="1394" spans="2:19" x14ac:dyDescent="0.2">
      <c r="B1394" s="7">
        <f t="shared" si="582"/>
        <v>7</v>
      </c>
      <c r="C1394" s="24"/>
      <c r="D1394" s="24"/>
      <c r="E1394" s="24"/>
      <c r="F1394" s="136"/>
      <c r="G1394" s="136"/>
      <c r="H1394" s="1" t="s">
        <v>411</v>
      </c>
      <c r="I1394" s="26">
        <f>40000-9827</f>
        <v>30173</v>
      </c>
      <c r="J1394" s="26"/>
      <c r="K1394" s="26">
        <f t="shared" si="579"/>
        <v>30173</v>
      </c>
      <c r="L1394" s="26"/>
      <c r="M1394" s="27"/>
      <c r="N1394" s="27"/>
      <c r="O1394" s="27">
        <f t="shared" si="580"/>
        <v>0</v>
      </c>
      <c r="P1394" s="27"/>
      <c r="Q1394" s="28">
        <f t="shared" si="576"/>
        <v>30173</v>
      </c>
      <c r="R1394" s="28">
        <f t="shared" si="577"/>
        <v>0</v>
      </c>
      <c r="S1394" s="28">
        <f t="shared" si="577"/>
        <v>30173</v>
      </c>
    </row>
    <row r="1395" spans="2:19" x14ac:dyDescent="0.2">
      <c r="B1395" s="7">
        <f t="shared" si="582"/>
        <v>8</v>
      </c>
      <c r="C1395" s="24"/>
      <c r="D1395" s="24"/>
      <c r="E1395" s="24"/>
      <c r="F1395" s="136"/>
      <c r="G1395" s="136"/>
      <c r="H1395" s="1" t="s">
        <v>410</v>
      </c>
      <c r="I1395" s="26">
        <f>35000+65000</f>
        <v>100000</v>
      </c>
      <c r="J1395" s="26"/>
      <c r="K1395" s="26">
        <f t="shared" si="579"/>
        <v>100000</v>
      </c>
      <c r="L1395" s="26"/>
      <c r="M1395" s="27"/>
      <c r="N1395" s="27"/>
      <c r="O1395" s="27">
        <f t="shared" si="580"/>
        <v>0</v>
      </c>
      <c r="P1395" s="27"/>
      <c r="Q1395" s="28">
        <f t="shared" si="576"/>
        <v>100000</v>
      </c>
      <c r="R1395" s="28">
        <f t="shared" si="577"/>
        <v>0</v>
      </c>
      <c r="S1395" s="28">
        <f t="shared" si="577"/>
        <v>100000</v>
      </c>
    </row>
    <row r="1396" spans="2:19" x14ac:dyDescent="0.2">
      <c r="B1396" s="7">
        <f t="shared" si="582"/>
        <v>9</v>
      </c>
      <c r="C1396" s="24"/>
      <c r="D1396" s="24"/>
      <c r="E1396" s="24"/>
      <c r="F1396" s="136"/>
      <c r="G1396" s="136"/>
      <c r="H1396" s="1" t="s">
        <v>656</v>
      </c>
      <c r="I1396" s="26">
        <v>5535</v>
      </c>
      <c r="J1396" s="26"/>
      <c r="K1396" s="26">
        <f t="shared" si="579"/>
        <v>5535</v>
      </c>
      <c r="L1396" s="26"/>
      <c r="M1396" s="27"/>
      <c r="N1396" s="27"/>
      <c r="O1396" s="27">
        <f t="shared" si="580"/>
        <v>0</v>
      </c>
      <c r="P1396" s="27"/>
      <c r="Q1396" s="28">
        <f t="shared" si="576"/>
        <v>5535</v>
      </c>
      <c r="R1396" s="28">
        <f t="shared" si="577"/>
        <v>0</v>
      </c>
      <c r="S1396" s="28">
        <f t="shared" si="577"/>
        <v>5535</v>
      </c>
    </row>
    <row r="1397" spans="2:19" x14ac:dyDescent="0.2">
      <c r="B1397" s="7">
        <f t="shared" si="582"/>
        <v>10</v>
      </c>
      <c r="C1397" s="24"/>
      <c r="D1397" s="24"/>
      <c r="E1397" s="24"/>
      <c r="F1397" s="136"/>
      <c r="G1397" s="136"/>
      <c r="H1397" s="1" t="s">
        <v>660</v>
      </c>
      <c r="I1397" s="26">
        <v>40000</v>
      </c>
      <c r="J1397" s="26"/>
      <c r="K1397" s="26">
        <f t="shared" si="579"/>
        <v>40000</v>
      </c>
      <c r="L1397" s="26"/>
      <c r="M1397" s="27"/>
      <c r="N1397" s="27"/>
      <c r="O1397" s="27">
        <f t="shared" si="580"/>
        <v>0</v>
      </c>
      <c r="P1397" s="27"/>
      <c r="Q1397" s="28">
        <f t="shared" si="576"/>
        <v>40000</v>
      </c>
      <c r="R1397" s="28">
        <f t="shared" si="577"/>
        <v>0</v>
      </c>
      <c r="S1397" s="28">
        <f t="shared" si="577"/>
        <v>40000</v>
      </c>
    </row>
    <row r="1398" spans="2:19" x14ac:dyDescent="0.2">
      <c r="B1398" s="7">
        <f t="shared" si="582"/>
        <v>11</v>
      </c>
      <c r="C1398" s="24"/>
      <c r="D1398" s="24"/>
      <c r="E1398" s="24"/>
      <c r="F1398" s="136"/>
      <c r="G1398" s="136"/>
      <c r="H1398" s="1" t="s">
        <v>663</v>
      </c>
      <c r="I1398" s="26">
        <v>40000</v>
      </c>
      <c r="J1398" s="26"/>
      <c r="K1398" s="26">
        <f t="shared" si="579"/>
        <v>40000</v>
      </c>
      <c r="L1398" s="26"/>
      <c r="M1398" s="27"/>
      <c r="N1398" s="27"/>
      <c r="O1398" s="27">
        <f t="shared" si="580"/>
        <v>0</v>
      </c>
      <c r="P1398" s="27"/>
      <c r="Q1398" s="28">
        <f t="shared" si="576"/>
        <v>40000</v>
      </c>
      <c r="R1398" s="28">
        <f t="shared" si="577"/>
        <v>0</v>
      </c>
      <c r="S1398" s="28">
        <f t="shared" si="577"/>
        <v>40000</v>
      </c>
    </row>
    <row r="1399" spans="2:19" x14ac:dyDescent="0.2">
      <c r="B1399" s="7">
        <f t="shared" si="582"/>
        <v>12</v>
      </c>
      <c r="C1399" s="24"/>
      <c r="D1399" s="24"/>
      <c r="E1399" s="24"/>
      <c r="F1399" s="136"/>
      <c r="G1399" s="136"/>
      <c r="H1399" s="1" t="s">
        <v>661</v>
      </c>
      <c r="I1399" s="26">
        <v>10000</v>
      </c>
      <c r="J1399" s="26"/>
      <c r="K1399" s="26">
        <f t="shared" si="579"/>
        <v>10000</v>
      </c>
      <c r="L1399" s="26"/>
      <c r="M1399" s="27"/>
      <c r="N1399" s="27"/>
      <c r="O1399" s="27">
        <f t="shared" si="580"/>
        <v>0</v>
      </c>
      <c r="P1399" s="27"/>
      <c r="Q1399" s="28">
        <f t="shared" si="576"/>
        <v>10000</v>
      </c>
      <c r="R1399" s="28">
        <f t="shared" si="577"/>
        <v>0</v>
      </c>
      <c r="S1399" s="28">
        <f t="shared" si="577"/>
        <v>10000</v>
      </c>
    </row>
    <row r="1400" spans="2:19" ht="24" x14ac:dyDescent="0.2">
      <c r="B1400" s="7">
        <f t="shared" si="582"/>
        <v>13</v>
      </c>
      <c r="C1400" s="24"/>
      <c r="D1400" s="24"/>
      <c r="E1400" s="24"/>
      <c r="F1400" s="136"/>
      <c r="G1400" s="136"/>
      <c r="H1400" s="43" t="s">
        <v>664</v>
      </c>
      <c r="I1400" s="26">
        <f>15000+5000</f>
        <v>20000</v>
      </c>
      <c r="J1400" s="26"/>
      <c r="K1400" s="26">
        <f t="shared" si="579"/>
        <v>20000</v>
      </c>
      <c r="L1400" s="26"/>
      <c r="M1400" s="27"/>
      <c r="N1400" s="27"/>
      <c r="O1400" s="27">
        <f t="shared" si="580"/>
        <v>0</v>
      </c>
      <c r="P1400" s="27"/>
      <c r="Q1400" s="28">
        <f t="shared" si="576"/>
        <v>20000</v>
      </c>
      <c r="R1400" s="28">
        <f t="shared" si="577"/>
        <v>0</v>
      </c>
      <c r="S1400" s="28">
        <f t="shared" si="577"/>
        <v>20000</v>
      </c>
    </row>
    <row r="1401" spans="2:19" x14ac:dyDescent="0.2">
      <c r="B1401" s="7">
        <f t="shared" ref="B1401:B1421" si="583">B1400+1</f>
        <v>14</v>
      </c>
      <c r="C1401" s="24"/>
      <c r="D1401" s="24"/>
      <c r="E1401" s="24"/>
      <c r="F1401" s="136"/>
      <c r="G1401" s="136"/>
      <c r="H1401" s="1" t="s">
        <v>662</v>
      </c>
      <c r="I1401" s="26">
        <v>15000</v>
      </c>
      <c r="J1401" s="26"/>
      <c r="K1401" s="26">
        <f t="shared" si="579"/>
        <v>15000</v>
      </c>
      <c r="L1401" s="26"/>
      <c r="M1401" s="27"/>
      <c r="N1401" s="27"/>
      <c r="O1401" s="27">
        <f t="shared" si="580"/>
        <v>0</v>
      </c>
      <c r="P1401" s="27"/>
      <c r="Q1401" s="28">
        <f t="shared" si="576"/>
        <v>15000</v>
      </c>
      <c r="R1401" s="28">
        <f t="shared" si="577"/>
        <v>0</v>
      </c>
      <c r="S1401" s="28">
        <f t="shared" si="577"/>
        <v>15000</v>
      </c>
    </row>
    <row r="1402" spans="2:19" x14ac:dyDescent="0.2">
      <c r="B1402" s="7">
        <f t="shared" si="583"/>
        <v>15</v>
      </c>
      <c r="C1402" s="24"/>
      <c r="D1402" s="24"/>
      <c r="E1402" s="24"/>
      <c r="F1402" s="136"/>
      <c r="G1402" s="136"/>
      <c r="H1402" s="1" t="s">
        <v>657</v>
      </c>
      <c r="I1402" s="26">
        <v>4292</v>
      </c>
      <c r="J1402" s="26"/>
      <c r="K1402" s="26">
        <f t="shared" si="579"/>
        <v>4292</v>
      </c>
      <c r="L1402" s="26"/>
      <c r="M1402" s="27"/>
      <c r="N1402" s="27"/>
      <c r="O1402" s="27">
        <f t="shared" si="580"/>
        <v>0</v>
      </c>
      <c r="P1402" s="27"/>
      <c r="Q1402" s="28">
        <f t="shared" si="576"/>
        <v>4292</v>
      </c>
      <c r="R1402" s="28">
        <f t="shared" si="577"/>
        <v>0</v>
      </c>
      <c r="S1402" s="28">
        <f t="shared" si="577"/>
        <v>4292</v>
      </c>
    </row>
    <row r="1403" spans="2:19" x14ac:dyDescent="0.2">
      <c r="B1403" s="7">
        <f t="shared" si="583"/>
        <v>16</v>
      </c>
      <c r="C1403" s="24"/>
      <c r="D1403" s="24"/>
      <c r="E1403" s="24"/>
      <c r="F1403" s="136"/>
      <c r="G1403" s="136"/>
      <c r="H1403" s="43" t="s">
        <v>515</v>
      </c>
      <c r="I1403" s="26">
        <f>10000+5000</f>
        <v>15000</v>
      </c>
      <c r="J1403" s="26"/>
      <c r="K1403" s="26">
        <f t="shared" si="579"/>
        <v>15000</v>
      </c>
      <c r="L1403" s="26"/>
      <c r="M1403" s="27"/>
      <c r="N1403" s="27"/>
      <c r="O1403" s="27">
        <f t="shared" si="580"/>
        <v>0</v>
      </c>
      <c r="P1403" s="27"/>
      <c r="Q1403" s="28">
        <f t="shared" si="576"/>
        <v>15000</v>
      </c>
      <c r="R1403" s="28">
        <f t="shared" si="577"/>
        <v>0</v>
      </c>
      <c r="S1403" s="28">
        <f t="shared" si="577"/>
        <v>15000</v>
      </c>
    </row>
    <row r="1404" spans="2:19" ht="24" x14ac:dyDescent="0.2">
      <c r="B1404" s="7">
        <f t="shared" si="583"/>
        <v>17</v>
      </c>
      <c r="C1404" s="36"/>
      <c r="D1404" s="36"/>
      <c r="E1404" s="36"/>
      <c r="F1404" s="168"/>
      <c r="G1404" s="168"/>
      <c r="H1404" s="38" t="s">
        <v>486</v>
      </c>
      <c r="I1404" s="39">
        <f>10000+5000</f>
        <v>15000</v>
      </c>
      <c r="J1404" s="39"/>
      <c r="K1404" s="39">
        <f t="shared" si="579"/>
        <v>15000</v>
      </c>
      <c r="L1404" s="39"/>
      <c r="M1404" s="40"/>
      <c r="N1404" s="40"/>
      <c r="O1404" s="40">
        <f t="shared" si="580"/>
        <v>0</v>
      </c>
      <c r="P1404" s="40"/>
      <c r="Q1404" s="41">
        <f t="shared" si="576"/>
        <v>15000</v>
      </c>
      <c r="R1404" s="41">
        <f t="shared" ref="R1404:S1419" si="584">N1404+J1404</f>
        <v>0</v>
      </c>
      <c r="S1404" s="41">
        <f t="shared" si="584"/>
        <v>15000</v>
      </c>
    </row>
    <row r="1405" spans="2:19" ht="15" x14ac:dyDescent="0.2">
      <c r="B1405" s="7">
        <f t="shared" si="583"/>
        <v>18</v>
      </c>
      <c r="C1405" s="10">
        <v>3</v>
      </c>
      <c r="D1405" s="420" t="s">
        <v>194</v>
      </c>
      <c r="E1405" s="421"/>
      <c r="F1405" s="421"/>
      <c r="G1405" s="421"/>
      <c r="H1405" s="421"/>
      <c r="I1405" s="11">
        <f>I1473+I1451+I1425+I1413+I1406</f>
        <v>2569775</v>
      </c>
      <c r="J1405" s="11">
        <f>J1473+J1451+J1425+J1413+J1406</f>
        <v>43500</v>
      </c>
      <c r="K1405" s="11">
        <f t="shared" si="579"/>
        <v>2613275</v>
      </c>
      <c r="L1405" s="320"/>
      <c r="M1405" s="11">
        <f>M1473+M1451+M1425+M1413+M1406</f>
        <v>5991650</v>
      </c>
      <c r="N1405" s="11">
        <f t="shared" ref="N1405" si="585">N1473+N1451+N1425+N1413+N1406</f>
        <v>0</v>
      </c>
      <c r="O1405" s="11">
        <f t="shared" si="580"/>
        <v>5991650</v>
      </c>
      <c r="P1405" s="272"/>
      <c r="Q1405" s="35">
        <f t="shared" si="576"/>
        <v>8561425</v>
      </c>
      <c r="R1405" s="35">
        <f t="shared" si="584"/>
        <v>43500</v>
      </c>
      <c r="S1405" s="35">
        <f t="shared" si="584"/>
        <v>8604925</v>
      </c>
    </row>
    <row r="1406" spans="2:19" ht="15" x14ac:dyDescent="0.25">
      <c r="B1406" s="7">
        <f t="shared" si="583"/>
        <v>19</v>
      </c>
      <c r="C1406" s="29"/>
      <c r="D1406" s="29">
        <v>1</v>
      </c>
      <c r="E1406" s="441" t="s">
        <v>193</v>
      </c>
      <c r="F1406" s="442"/>
      <c r="G1406" s="442"/>
      <c r="H1406" s="442"/>
      <c r="I1406" s="30">
        <f>I1407</f>
        <v>253500</v>
      </c>
      <c r="J1406" s="30">
        <f t="shared" ref="J1406" si="586">J1407</f>
        <v>0</v>
      </c>
      <c r="K1406" s="30">
        <f t="shared" si="579"/>
        <v>253500</v>
      </c>
      <c r="L1406" s="321"/>
      <c r="M1406" s="31">
        <f>M1410</f>
        <v>27650</v>
      </c>
      <c r="N1406" s="31">
        <f t="shared" ref="N1406" si="587">N1410</f>
        <v>0</v>
      </c>
      <c r="O1406" s="31">
        <f t="shared" si="580"/>
        <v>27650</v>
      </c>
      <c r="P1406" s="17"/>
      <c r="Q1406" s="32">
        <f t="shared" si="576"/>
        <v>281150</v>
      </c>
      <c r="R1406" s="32">
        <f t="shared" si="584"/>
        <v>0</v>
      </c>
      <c r="S1406" s="32">
        <f t="shared" si="584"/>
        <v>281150</v>
      </c>
    </row>
    <row r="1407" spans="2:19" x14ac:dyDescent="0.2">
      <c r="B1407" s="7">
        <f t="shared" si="583"/>
        <v>20</v>
      </c>
      <c r="C1407" s="13"/>
      <c r="D1407" s="13"/>
      <c r="E1407" s="13"/>
      <c r="F1407" s="14" t="s">
        <v>175</v>
      </c>
      <c r="G1407" s="15">
        <v>630</v>
      </c>
      <c r="H1407" s="13" t="s">
        <v>119</v>
      </c>
      <c r="I1407" s="16">
        <f>SUM(I1408:I1409)</f>
        <v>253500</v>
      </c>
      <c r="J1407" s="16">
        <f t="shared" ref="J1407" si="588">SUM(J1408:J1409)</f>
        <v>0</v>
      </c>
      <c r="K1407" s="16">
        <f t="shared" si="579"/>
        <v>253500</v>
      </c>
      <c r="L1407" s="16"/>
      <c r="M1407" s="17"/>
      <c r="N1407" s="17"/>
      <c r="O1407" s="17">
        <f t="shared" si="580"/>
        <v>0</v>
      </c>
      <c r="P1407" s="17"/>
      <c r="Q1407" s="18">
        <f t="shared" si="576"/>
        <v>253500</v>
      </c>
      <c r="R1407" s="18">
        <f t="shared" si="584"/>
        <v>0</v>
      </c>
      <c r="S1407" s="18">
        <f t="shared" si="584"/>
        <v>253500</v>
      </c>
    </row>
    <row r="1408" spans="2:19" x14ac:dyDescent="0.2">
      <c r="B1408" s="7">
        <f t="shared" si="583"/>
        <v>21</v>
      </c>
      <c r="C1408" s="19"/>
      <c r="D1408" s="19"/>
      <c r="E1408" s="19"/>
      <c r="F1408" s="20"/>
      <c r="G1408" s="21">
        <v>636</v>
      </c>
      <c r="H1408" s="19" t="s">
        <v>124</v>
      </c>
      <c r="I1408" s="22">
        <v>250000</v>
      </c>
      <c r="J1408" s="22"/>
      <c r="K1408" s="22">
        <f t="shared" si="579"/>
        <v>250000</v>
      </c>
      <c r="L1408" s="22"/>
      <c r="M1408" s="22"/>
      <c r="N1408" s="22"/>
      <c r="O1408" s="22">
        <f t="shared" si="580"/>
        <v>0</v>
      </c>
      <c r="P1408" s="22"/>
      <c r="Q1408" s="23">
        <f t="shared" si="576"/>
        <v>250000</v>
      </c>
      <c r="R1408" s="23">
        <f t="shared" si="584"/>
        <v>0</v>
      </c>
      <c r="S1408" s="23">
        <f t="shared" si="584"/>
        <v>250000</v>
      </c>
    </row>
    <row r="1409" spans="2:19" x14ac:dyDescent="0.2">
      <c r="B1409" s="7">
        <f t="shared" si="583"/>
        <v>22</v>
      </c>
      <c r="C1409" s="19"/>
      <c r="D1409" s="19"/>
      <c r="E1409" s="19"/>
      <c r="F1409" s="20"/>
      <c r="G1409" s="21">
        <v>637</v>
      </c>
      <c r="H1409" s="19" t="s">
        <v>120</v>
      </c>
      <c r="I1409" s="22">
        <v>3500</v>
      </c>
      <c r="J1409" s="22"/>
      <c r="K1409" s="22">
        <f t="shared" si="579"/>
        <v>3500</v>
      </c>
      <c r="L1409" s="22"/>
      <c r="M1409" s="22"/>
      <c r="N1409" s="22"/>
      <c r="O1409" s="22">
        <f t="shared" si="580"/>
        <v>0</v>
      </c>
      <c r="P1409" s="22"/>
      <c r="Q1409" s="23">
        <f t="shared" si="576"/>
        <v>3500</v>
      </c>
      <c r="R1409" s="23">
        <f t="shared" si="584"/>
        <v>0</v>
      </c>
      <c r="S1409" s="23">
        <f t="shared" si="584"/>
        <v>3500</v>
      </c>
    </row>
    <row r="1410" spans="2:19" x14ac:dyDescent="0.2">
      <c r="B1410" s="7">
        <f t="shared" si="583"/>
        <v>23</v>
      </c>
      <c r="C1410" s="19"/>
      <c r="D1410" s="19"/>
      <c r="E1410" s="19"/>
      <c r="F1410" s="14" t="s">
        <v>175</v>
      </c>
      <c r="G1410" s="15">
        <v>710</v>
      </c>
      <c r="H1410" s="13" t="s">
        <v>171</v>
      </c>
      <c r="I1410" s="16"/>
      <c r="J1410" s="16"/>
      <c r="K1410" s="16">
        <f t="shared" si="579"/>
        <v>0</v>
      </c>
      <c r="L1410" s="16"/>
      <c r="M1410" s="16">
        <f>M1411</f>
        <v>27650</v>
      </c>
      <c r="N1410" s="16">
        <f t="shared" ref="N1410:N1411" si="589">N1411</f>
        <v>0</v>
      </c>
      <c r="O1410" s="16">
        <f t="shared" si="580"/>
        <v>27650</v>
      </c>
      <c r="P1410" s="16"/>
      <c r="Q1410" s="18">
        <f t="shared" si="576"/>
        <v>27650</v>
      </c>
      <c r="R1410" s="18">
        <f t="shared" si="584"/>
        <v>0</v>
      </c>
      <c r="S1410" s="18">
        <f t="shared" si="584"/>
        <v>27650</v>
      </c>
    </row>
    <row r="1411" spans="2:19" x14ac:dyDescent="0.2">
      <c r="B1411" s="7">
        <f t="shared" si="583"/>
        <v>24</v>
      </c>
      <c r="C1411" s="19"/>
      <c r="D1411" s="19"/>
      <c r="E1411" s="19"/>
      <c r="F1411" s="20"/>
      <c r="G1411" s="21">
        <v>717</v>
      </c>
      <c r="H1411" s="19" t="s">
        <v>178</v>
      </c>
      <c r="I1411" s="22"/>
      <c r="J1411" s="22"/>
      <c r="K1411" s="22">
        <f t="shared" si="579"/>
        <v>0</v>
      </c>
      <c r="L1411" s="22"/>
      <c r="M1411" s="22">
        <f>M1412</f>
        <v>27650</v>
      </c>
      <c r="N1411" s="22">
        <f t="shared" si="589"/>
        <v>0</v>
      </c>
      <c r="O1411" s="22">
        <f t="shared" si="580"/>
        <v>27650</v>
      </c>
      <c r="P1411" s="22"/>
      <c r="Q1411" s="23">
        <f t="shared" si="576"/>
        <v>27650</v>
      </c>
      <c r="R1411" s="23">
        <f t="shared" si="584"/>
        <v>0</v>
      </c>
      <c r="S1411" s="23">
        <f t="shared" si="584"/>
        <v>27650</v>
      </c>
    </row>
    <row r="1412" spans="2:19" x14ac:dyDescent="0.2">
      <c r="B1412" s="7">
        <f t="shared" si="583"/>
        <v>25</v>
      </c>
      <c r="C1412" s="19"/>
      <c r="D1412" s="19"/>
      <c r="E1412" s="19"/>
      <c r="F1412" s="136"/>
      <c r="G1412" s="136"/>
      <c r="H1412" s="1" t="s">
        <v>606</v>
      </c>
      <c r="I1412" s="26"/>
      <c r="J1412" s="26"/>
      <c r="K1412" s="26">
        <f t="shared" si="579"/>
        <v>0</v>
      </c>
      <c r="L1412" s="26"/>
      <c r="M1412" s="26">
        <v>27650</v>
      </c>
      <c r="N1412" s="26"/>
      <c r="O1412" s="26">
        <f t="shared" si="580"/>
        <v>27650</v>
      </c>
      <c r="P1412" s="26"/>
      <c r="Q1412" s="28">
        <f t="shared" si="576"/>
        <v>27650</v>
      </c>
      <c r="R1412" s="28">
        <f t="shared" si="584"/>
        <v>0</v>
      </c>
      <c r="S1412" s="28">
        <f t="shared" si="584"/>
        <v>27650</v>
      </c>
    </row>
    <row r="1413" spans="2:19" ht="15" x14ac:dyDescent="0.25">
      <c r="B1413" s="7">
        <f t="shared" si="583"/>
        <v>26</v>
      </c>
      <c r="C1413" s="29"/>
      <c r="D1413" s="29">
        <v>2</v>
      </c>
      <c r="E1413" s="441" t="s">
        <v>195</v>
      </c>
      <c r="F1413" s="442"/>
      <c r="G1413" s="442"/>
      <c r="H1413" s="442"/>
      <c r="I1413" s="30">
        <f>I1414</f>
        <v>521680</v>
      </c>
      <c r="J1413" s="30">
        <f t="shared" ref="J1413" si="590">J1414</f>
        <v>0</v>
      </c>
      <c r="K1413" s="30">
        <f t="shared" si="579"/>
        <v>521680</v>
      </c>
      <c r="L1413" s="17"/>
      <c r="M1413" s="30">
        <f>M1418</f>
        <v>65000</v>
      </c>
      <c r="N1413" s="30">
        <f t="shared" ref="N1413" si="591">N1418</f>
        <v>0</v>
      </c>
      <c r="O1413" s="30">
        <f t="shared" si="580"/>
        <v>65000</v>
      </c>
      <c r="P1413" s="321"/>
      <c r="Q1413" s="32">
        <f t="shared" si="576"/>
        <v>586680</v>
      </c>
      <c r="R1413" s="32">
        <f t="shared" si="584"/>
        <v>0</v>
      </c>
      <c r="S1413" s="32">
        <f t="shared" si="584"/>
        <v>586680</v>
      </c>
    </row>
    <row r="1414" spans="2:19" x14ac:dyDescent="0.2">
      <c r="B1414" s="7">
        <f t="shared" si="583"/>
        <v>27</v>
      </c>
      <c r="C1414" s="13"/>
      <c r="D1414" s="13"/>
      <c r="E1414" s="13"/>
      <c r="F1414" s="14" t="s">
        <v>175</v>
      </c>
      <c r="G1414" s="15">
        <v>630</v>
      </c>
      <c r="H1414" s="13" t="s">
        <v>119</v>
      </c>
      <c r="I1414" s="16">
        <f>SUM(I1415:I1417)</f>
        <v>521680</v>
      </c>
      <c r="J1414" s="16">
        <f t="shared" ref="J1414" si="592">SUM(J1415:J1417)</f>
        <v>0</v>
      </c>
      <c r="K1414" s="16">
        <f t="shared" si="579"/>
        <v>521680</v>
      </c>
      <c r="L1414" s="17"/>
      <c r="M1414" s="16"/>
      <c r="N1414" s="16"/>
      <c r="O1414" s="16">
        <f t="shared" si="580"/>
        <v>0</v>
      </c>
      <c r="P1414" s="16"/>
      <c r="Q1414" s="18">
        <f t="shared" si="576"/>
        <v>521680</v>
      </c>
      <c r="R1414" s="18">
        <f t="shared" si="584"/>
        <v>0</v>
      </c>
      <c r="S1414" s="18">
        <f t="shared" si="584"/>
        <v>521680</v>
      </c>
    </row>
    <row r="1415" spans="2:19" x14ac:dyDescent="0.2">
      <c r="B1415" s="7">
        <f t="shared" si="583"/>
        <v>28</v>
      </c>
      <c r="C1415" s="19"/>
      <c r="D1415" s="19"/>
      <c r="E1415" s="19"/>
      <c r="F1415" s="20"/>
      <c r="G1415" s="21">
        <v>632</v>
      </c>
      <c r="H1415" s="19" t="s">
        <v>131</v>
      </c>
      <c r="I1415" s="22">
        <v>20430</v>
      </c>
      <c r="J1415" s="22"/>
      <c r="K1415" s="22">
        <f t="shared" si="579"/>
        <v>20430</v>
      </c>
      <c r="L1415" s="22"/>
      <c r="M1415" s="22"/>
      <c r="N1415" s="22"/>
      <c r="O1415" s="22">
        <f t="shared" si="580"/>
        <v>0</v>
      </c>
      <c r="P1415" s="22"/>
      <c r="Q1415" s="23">
        <f t="shared" si="576"/>
        <v>20430</v>
      </c>
      <c r="R1415" s="23">
        <f t="shared" si="584"/>
        <v>0</v>
      </c>
      <c r="S1415" s="23">
        <f t="shared" si="584"/>
        <v>20430</v>
      </c>
    </row>
    <row r="1416" spans="2:19" x14ac:dyDescent="0.2">
      <c r="B1416" s="7">
        <f t="shared" si="583"/>
        <v>29</v>
      </c>
      <c r="C1416" s="19"/>
      <c r="D1416" s="19"/>
      <c r="E1416" s="19"/>
      <c r="F1416" s="20"/>
      <c r="G1416" s="21">
        <v>636</v>
      </c>
      <c r="H1416" s="19" t="s">
        <v>124</v>
      </c>
      <c r="I1416" s="22">
        <v>500000</v>
      </c>
      <c r="J1416" s="22"/>
      <c r="K1416" s="22">
        <f t="shared" si="579"/>
        <v>500000</v>
      </c>
      <c r="L1416" s="22"/>
      <c r="M1416" s="22"/>
      <c r="N1416" s="22"/>
      <c r="O1416" s="22">
        <f t="shared" si="580"/>
        <v>0</v>
      </c>
      <c r="P1416" s="22"/>
      <c r="Q1416" s="23">
        <f t="shared" si="576"/>
        <v>500000</v>
      </c>
      <c r="R1416" s="23">
        <f t="shared" si="584"/>
        <v>0</v>
      </c>
      <c r="S1416" s="23">
        <f t="shared" si="584"/>
        <v>500000</v>
      </c>
    </row>
    <row r="1417" spans="2:19" x14ac:dyDescent="0.2">
      <c r="B1417" s="7">
        <f t="shared" si="583"/>
        <v>30</v>
      </c>
      <c r="C1417" s="19"/>
      <c r="D1417" s="19"/>
      <c r="E1417" s="19"/>
      <c r="F1417" s="20"/>
      <c r="G1417" s="21">
        <v>637</v>
      </c>
      <c r="H1417" s="19" t="s">
        <v>120</v>
      </c>
      <c r="I1417" s="22">
        <v>1250</v>
      </c>
      <c r="J1417" s="22"/>
      <c r="K1417" s="22">
        <f t="shared" si="579"/>
        <v>1250</v>
      </c>
      <c r="L1417" s="22"/>
      <c r="M1417" s="22"/>
      <c r="N1417" s="22"/>
      <c r="O1417" s="22">
        <f t="shared" si="580"/>
        <v>0</v>
      </c>
      <c r="P1417" s="22"/>
      <c r="Q1417" s="23">
        <f t="shared" si="576"/>
        <v>1250</v>
      </c>
      <c r="R1417" s="23">
        <f t="shared" si="584"/>
        <v>0</v>
      </c>
      <c r="S1417" s="23">
        <f t="shared" si="584"/>
        <v>1250</v>
      </c>
    </row>
    <row r="1418" spans="2:19" x14ac:dyDescent="0.2">
      <c r="B1418" s="7">
        <f t="shared" si="583"/>
        <v>31</v>
      </c>
      <c r="C1418" s="19"/>
      <c r="D1418" s="19"/>
      <c r="E1418" s="19"/>
      <c r="F1418" s="14" t="s">
        <v>175</v>
      </c>
      <c r="G1418" s="15">
        <v>710</v>
      </c>
      <c r="H1418" s="13" t="s">
        <v>171</v>
      </c>
      <c r="I1418" s="16"/>
      <c r="J1418" s="16"/>
      <c r="K1418" s="16">
        <f t="shared" si="579"/>
        <v>0</v>
      </c>
      <c r="L1418" s="16"/>
      <c r="M1418" s="16">
        <f>M1421+M1419</f>
        <v>65000</v>
      </c>
      <c r="N1418" s="16">
        <f t="shared" ref="N1418" si="593">N1421+N1419</f>
        <v>0</v>
      </c>
      <c r="O1418" s="16">
        <f t="shared" si="580"/>
        <v>65000</v>
      </c>
      <c r="P1418" s="16"/>
      <c r="Q1418" s="18">
        <f t="shared" si="576"/>
        <v>65000</v>
      </c>
      <c r="R1418" s="18">
        <f t="shared" si="584"/>
        <v>0</v>
      </c>
      <c r="S1418" s="18">
        <f t="shared" si="584"/>
        <v>65000</v>
      </c>
    </row>
    <row r="1419" spans="2:19" x14ac:dyDescent="0.2">
      <c r="B1419" s="7">
        <f t="shared" si="583"/>
        <v>32</v>
      </c>
      <c r="C1419" s="19"/>
      <c r="D1419" s="19"/>
      <c r="E1419" s="19"/>
      <c r="F1419" s="14"/>
      <c r="G1419" s="83">
        <v>716</v>
      </c>
      <c r="H1419" s="81" t="s">
        <v>211</v>
      </c>
      <c r="I1419" s="84"/>
      <c r="J1419" s="84"/>
      <c r="K1419" s="84">
        <f t="shared" si="579"/>
        <v>0</v>
      </c>
      <c r="L1419" s="84"/>
      <c r="M1419" s="84">
        <f>M1420</f>
        <v>12500</v>
      </c>
      <c r="N1419" s="84">
        <f t="shared" ref="N1419" si="594">N1420</f>
        <v>0</v>
      </c>
      <c r="O1419" s="84">
        <f t="shared" si="580"/>
        <v>12500</v>
      </c>
      <c r="P1419" s="84"/>
      <c r="Q1419" s="86">
        <f t="shared" si="576"/>
        <v>12500</v>
      </c>
      <c r="R1419" s="86">
        <f t="shared" si="584"/>
        <v>0</v>
      </c>
      <c r="S1419" s="86">
        <f t="shared" si="584"/>
        <v>12500</v>
      </c>
    </row>
    <row r="1420" spans="2:19" x14ac:dyDescent="0.2">
      <c r="B1420" s="7">
        <f t="shared" si="583"/>
        <v>33</v>
      </c>
      <c r="C1420" s="19"/>
      <c r="D1420" s="19"/>
      <c r="E1420" s="19"/>
      <c r="F1420" s="14"/>
      <c r="G1420" s="93"/>
      <c r="H1420" s="91" t="s">
        <v>618</v>
      </c>
      <c r="I1420" s="94"/>
      <c r="J1420" s="94"/>
      <c r="K1420" s="94">
        <f t="shared" si="579"/>
        <v>0</v>
      </c>
      <c r="L1420" s="94"/>
      <c r="M1420" s="94">
        <f>2000+10500</f>
        <v>12500</v>
      </c>
      <c r="N1420" s="94"/>
      <c r="O1420" s="94">
        <f t="shared" si="580"/>
        <v>12500</v>
      </c>
      <c r="P1420" s="94"/>
      <c r="Q1420" s="95">
        <f t="shared" ref="Q1420:Q1451" si="595">M1420+I1420</f>
        <v>12500</v>
      </c>
      <c r="R1420" s="95">
        <f t="shared" ref="R1420:S1435" si="596">N1420+J1420</f>
        <v>0</v>
      </c>
      <c r="S1420" s="95">
        <f t="shared" si="596"/>
        <v>12500</v>
      </c>
    </row>
    <row r="1421" spans="2:19" x14ac:dyDescent="0.2">
      <c r="B1421" s="7">
        <f t="shared" si="583"/>
        <v>34</v>
      </c>
      <c r="C1421" s="19"/>
      <c r="D1421" s="19"/>
      <c r="E1421" s="19"/>
      <c r="F1421" s="20"/>
      <c r="G1421" s="21">
        <v>717</v>
      </c>
      <c r="H1421" s="19" t="s">
        <v>178</v>
      </c>
      <c r="I1421" s="22"/>
      <c r="J1421" s="22"/>
      <c r="K1421" s="22">
        <f t="shared" si="579"/>
        <v>0</v>
      </c>
      <c r="L1421" s="22"/>
      <c r="M1421" s="22">
        <f>M1423+M1424+M1422</f>
        <v>52500</v>
      </c>
      <c r="N1421" s="22">
        <f t="shared" ref="N1421" si="597">N1423+N1424+N1422</f>
        <v>0</v>
      </c>
      <c r="O1421" s="22">
        <f t="shared" si="580"/>
        <v>52500</v>
      </c>
      <c r="P1421" s="22"/>
      <c r="Q1421" s="23">
        <f t="shared" si="595"/>
        <v>52500</v>
      </c>
      <c r="R1421" s="23">
        <f t="shared" si="596"/>
        <v>0</v>
      </c>
      <c r="S1421" s="23">
        <f t="shared" si="596"/>
        <v>52500</v>
      </c>
    </row>
    <row r="1422" spans="2:19" x14ac:dyDescent="0.2">
      <c r="B1422" s="7"/>
      <c r="C1422" s="19"/>
      <c r="D1422" s="19"/>
      <c r="E1422" s="19"/>
      <c r="F1422" s="20"/>
      <c r="G1422" s="21"/>
      <c r="H1422" s="91" t="s">
        <v>723</v>
      </c>
      <c r="I1422" s="39"/>
      <c r="J1422" s="39"/>
      <c r="K1422" s="39">
        <f t="shared" si="579"/>
        <v>0</v>
      </c>
      <c r="L1422" s="39"/>
      <c r="M1422" s="39">
        <v>9500</v>
      </c>
      <c r="N1422" s="39"/>
      <c r="O1422" s="39">
        <f t="shared" si="580"/>
        <v>9500</v>
      </c>
      <c r="P1422" s="39"/>
      <c r="Q1422" s="41">
        <f t="shared" si="595"/>
        <v>9500</v>
      </c>
      <c r="R1422" s="41">
        <f t="shared" si="596"/>
        <v>0</v>
      </c>
      <c r="S1422" s="41">
        <f t="shared" si="596"/>
        <v>9500</v>
      </c>
    </row>
    <row r="1423" spans="2:19" x14ac:dyDescent="0.2">
      <c r="B1423" s="7">
        <f>B1421+1</f>
        <v>35</v>
      </c>
      <c r="C1423" s="19"/>
      <c r="D1423" s="19"/>
      <c r="E1423" s="19"/>
      <c r="F1423" s="20"/>
      <c r="G1423" s="21"/>
      <c r="H1423" s="91" t="s">
        <v>618</v>
      </c>
      <c r="I1423" s="39"/>
      <c r="J1423" s="39"/>
      <c r="K1423" s="39">
        <f t="shared" si="579"/>
        <v>0</v>
      </c>
      <c r="L1423" s="39"/>
      <c r="M1423" s="39">
        <f>36000-10500</f>
        <v>25500</v>
      </c>
      <c r="N1423" s="39"/>
      <c r="O1423" s="39">
        <f t="shared" si="580"/>
        <v>25500</v>
      </c>
      <c r="P1423" s="39"/>
      <c r="Q1423" s="41">
        <f t="shared" si="595"/>
        <v>25500</v>
      </c>
      <c r="R1423" s="41">
        <f t="shared" si="596"/>
        <v>0</v>
      </c>
      <c r="S1423" s="41">
        <f t="shared" si="596"/>
        <v>25500</v>
      </c>
    </row>
    <row r="1424" spans="2:19" x14ac:dyDescent="0.2">
      <c r="B1424" s="7">
        <f t="shared" ref="B1424:B1444" si="598">B1423+1</f>
        <v>36</v>
      </c>
      <c r="C1424" s="19"/>
      <c r="D1424" s="19"/>
      <c r="E1424" s="19"/>
      <c r="F1424" s="168"/>
      <c r="G1424" s="168"/>
      <c r="H1424" s="38" t="s">
        <v>617</v>
      </c>
      <c r="I1424" s="39"/>
      <c r="J1424" s="39"/>
      <c r="K1424" s="39">
        <f t="shared" si="579"/>
        <v>0</v>
      </c>
      <c r="L1424" s="39"/>
      <c r="M1424" s="39">
        <v>17500</v>
      </c>
      <c r="N1424" s="39"/>
      <c r="O1424" s="39">
        <f t="shared" si="580"/>
        <v>17500</v>
      </c>
      <c r="P1424" s="39"/>
      <c r="Q1424" s="41">
        <f t="shared" si="595"/>
        <v>17500</v>
      </c>
      <c r="R1424" s="41">
        <f t="shared" si="596"/>
        <v>0</v>
      </c>
      <c r="S1424" s="41">
        <f t="shared" si="596"/>
        <v>17500</v>
      </c>
    </row>
    <row r="1425" spans="2:19" ht="15" x14ac:dyDescent="0.25">
      <c r="B1425" s="7">
        <f t="shared" si="598"/>
        <v>37</v>
      </c>
      <c r="C1425" s="29"/>
      <c r="D1425" s="29">
        <v>3</v>
      </c>
      <c r="E1425" s="441" t="s">
        <v>196</v>
      </c>
      <c r="F1425" s="442"/>
      <c r="G1425" s="442"/>
      <c r="H1425" s="442"/>
      <c r="I1425" s="30">
        <f>I1426+I1432+I1448</f>
        <v>826785</v>
      </c>
      <c r="J1425" s="30">
        <f t="shared" ref="J1425" si="599">J1426+J1432+J1448</f>
        <v>50000</v>
      </c>
      <c r="K1425" s="30">
        <f t="shared" si="579"/>
        <v>876785</v>
      </c>
      <c r="L1425" s="321"/>
      <c r="M1425" s="30">
        <f>M1428+M1432</f>
        <v>937000</v>
      </c>
      <c r="N1425" s="30">
        <f t="shared" ref="N1425" si="600">N1428+N1432</f>
        <v>0</v>
      </c>
      <c r="O1425" s="30">
        <f t="shared" si="580"/>
        <v>937000</v>
      </c>
      <c r="P1425" s="321"/>
      <c r="Q1425" s="32">
        <f t="shared" si="595"/>
        <v>1763785</v>
      </c>
      <c r="R1425" s="32">
        <f t="shared" si="596"/>
        <v>50000</v>
      </c>
      <c r="S1425" s="32">
        <f t="shared" si="596"/>
        <v>1813785</v>
      </c>
    </row>
    <row r="1426" spans="2:19" x14ac:dyDescent="0.2">
      <c r="B1426" s="7">
        <f t="shared" si="598"/>
        <v>38</v>
      </c>
      <c r="C1426" s="13"/>
      <c r="D1426" s="13"/>
      <c r="E1426" s="13"/>
      <c r="F1426" s="14" t="s">
        <v>175</v>
      </c>
      <c r="G1426" s="15">
        <v>630</v>
      </c>
      <c r="H1426" s="13" t="s">
        <v>119</v>
      </c>
      <c r="I1426" s="16">
        <f>I1427</f>
        <v>10360</v>
      </c>
      <c r="J1426" s="16">
        <f t="shared" ref="J1426" si="601">J1427</f>
        <v>0</v>
      </c>
      <c r="K1426" s="16">
        <f t="shared" si="579"/>
        <v>10360</v>
      </c>
      <c r="L1426" s="16"/>
      <c r="M1426" s="16"/>
      <c r="N1426" s="16"/>
      <c r="O1426" s="16">
        <f t="shared" si="580"/>
        <v>0</v>
      </c>
      <c r="P1426" s="16"/>
      <c r="Q1426" s="18">
        <f t="shared" si="595"/>
        <v>10360</v>
      </c>
      <c r="R1426" s="18">
        <f t="shared" si="596"/>
        <v>0</v>
      </c>
      <c r="S1426" s="18">
        <f t="shared" si="596"/>
        <v>10360</v>
      </c>
    </row>
    <row r="1427" spans="2:19" x14ac:dyDescent="0.2">
      <c r="B1427" s="7">
        <f t="shared" si="598"/>
        <v>39</v>
      </c>
      <c r="C1427" s="19"/>
      <c r="D1427" s="19"/>
      <c r="E1427" s="19"/>
      <c r="F1427" s="20"/>
      <c r="G1427" s="21">
        <v>637</v>
      </c>
      <c r="H1427" s="19" t="s">
        <v>120</v>
      </c>
      <c r="I1427" s="22">
        <v>10360</v>
      </c>
      <c r="J1427" s="22"/>
      <c r="K1427" s="22">
        <f t="shared" si="579"/>
        <v>10360</v>
      </c>
      <c r="L1427" s="22"/>
      <c r="M1427" s="22"/>
      <c r="N1427" s="22"/>
      <c r="O1427" s="22">
        <f t="shared" si="580"/>
        <v>0</v>
      </c>
      <c r="P1427" s="22"/>
      <c r="Q1427" s="23">
        <f t="shared" si="595"/>
        <v>10360</v>
      </c>
      <c r="R1427" s="23">
        <f t="shared" si="596"/>
        <v>0</v>
      </c>
      <c r="S1427" s="23">
        <f t="shared" si="596"/>
        <v>10360</v>
      </c>
    </row>
    <row r="1428" spans="2:19" x14ac:dyDescent="0.2">
      <c r="B1428" s="7">
        <f t="shared" si="598"/>
        <v>40</v>
      </c>
      <c r="C1428" s="13"/>
      <c r="D1428" s="13"/>
      <c r="E1428" s="13"/>
      <c r="F1428" s="14" t="s">
        <v>175</v>
      </c>
      <c r="G1428" s="15">
        <v>710</v>
      </c>
      <c r="H1428" s="13" t="s">
        <v>171</v>
      </c>
      <c r="I1428" s="16"/>
      <c r="J1428" s="16"/>
      <c r="K1428" s="16">
        <f t="shared" si="579"/>
        <v>0</v>
      </c>
      <c r="L1428" s="16"/>
      <c r="M1428" s="16">
        <f>M1429</f>
        <v>380000</v>
      </c>
      <c r="N1428" s="16">
        <f t="shared" ref="N1428" si="602">N1429</f>
        <v>0</v>
      </c>
      <c r="O1428" s="16">
        <f t="shared" si="580"/>
        <v>380000</v>
      </c>
      <c r="P1428" s="16"/>
      <c r="Q1428" s="18">
        <f t="shared" si="595"/>
        <v>380000</v>
      </c>
      <c r="R1428" s="18">
        <f t="shared" si="596"/>
        <v>0</v>
      </c>
      <c r="S1428" s="18">
        <f t="shared" si="596"/>
        <v>380000</v>
      </c>
    </row>
    <row r="1429" spans="2:19" x14ac:dyDescent="0.2">
      <c r="B1429" s="7">
        <f t="shared" si="598"/>
        <v>41</v>
      </c>
      <c r="C1429" s="19"/>
      <c r="D1429" s="19"/>
      <c r="E1429" s="19"/>
      <c r="F1429" s="20"/>
      <c r="G1429" s="21">
        <v>717</v>
      </c>
      <c r="H1429" s="19" t="s">
        <v>178</v>
      </c>
      <c r="I1429" s="22"/>
      <c r="J1429" s="22"/>
      <c r="K1429" s="22">
        <f t="shared" si="579"/>
        <v>0</v>
      </c>
      <c r="L1429" s="22"/>
      <c r="M1429" s="22">
        <f>M1430+M1431</f>
        <v>380000</v>
      </c>
      <c r="N1429" s="22">
        <f t="shared" ref="N1429" si="603">N1430+N1431</f>
        <v>0</v>
      </c>
      <c r="O1429" s="22">
        <f t="shared" si="580"/>
        <v>380000</v>
      </c>
      <c r="P1429" s="22"/>
      <c r="Q1429" s="23">
        <f t="shared" si="595"/>
        <v>380000</v>
      </c>
      <c r="R1429" s="23">
        <f t="shared" si="596"/>
        <v>0</v>
      </c>
      <c r="S1429" s="23">
        <f t="shared" si="596"/>
        <v>380000</v>
      </c>
    </row>
    <row r="1430" spans="2:19" x14ac:dyDescent="0.2">
      <c r="B1430" s="7">
        <f t="shared" si="598"/>
        <v>42</v>
      </c>
      <c r="C1430" s="24"/>
      <c r="D1430" s="24"/>
      <c r="E1430" s="24"/>
      <c r="F1430" s="136"/>
      <c r="G1430" s="136"/>
      <c r="H1430" s="1" t="s">
        <v>578</v>
      </c>
      <c r="I1430" s="26"/>
      <c r="J1430" s="26"/>
      <c r="K1430" s="26">
        <f t="shared" si="579"/>
        <v>0</v>
      </c>
      <c r="L1430" s="26"/>
      <c r="M1430" s="26">
        <f>380000-11775</f>
        <v>368225</v>
      </c>
      <c r="N1430" s="26"/>
      <c r="O1430" s="26">
        <f t="shared" si="580"/>
        <v>368225</v>
      </c>
      <c r="P1430" s="26"/>
      <c r="Q1430" s="28">
        <f t="shared" si="595"/>
        <v>368225</v>
      </c>
      <c r="R1430" s="28">
        <f t="shared" si="596"/>
        <v>0</v>
      </c>
      <c r="S1430" s="28">
        <f t="shared" si="596"/>
        <v>368225</v>
      </c>
    </row>
    <row r="1431" spans="2:19" s="42" customFormat="1" x14ac:dyDescent="0.2">
      <c r="B1431" s="7">
        <f t="shared" si="598"/>
        <v>43</v>
      </c>
      <c r="C1431" s="24"/>
      <c r="D1431" s="24"/>
      <c r="E1431" s="24"/>
      <c r="F1431" s="136"/>
      <c r="G1431" s="136"/>
      <c r="H1431" s="1" t="s">
        <v>653</v>
      </c>
      <c r="I1431" s="26"/>
      <c r="J1431" s="26"/>
      <c r="K1431" s="26">
        <f t="shared" si="579"/>
        <v>0</v>
      </c>
      <c r="L1431" s="26"/>
      <c r="M1431" s="26">
        <v>11775</v>
      </c>
      <c r="N1431" s="26"/>
      <c r="O1431" s="26">
        <f t="shared" si="580"/>
        <v>11775</v>
      </c>
      <c r="P1431" s="26"/>
      <c r="Q1431" s="28">
        <f t="shared" si="595"/>
        <v>11775</v>
      </c>
      <c r="R1431" s="28">
        <f t="shared" si="596"/>
        <v>0</v>
      </c>
      <c r="S1431" s="28">
        <f t="shared" si="596"/>
        <v>11775</v>
      </c>
    </row>
    <row r="1432" spans="2:19" ht="15" x14ac:dyDescent="0.25">
      <c r="B1432" s="7">
        <f t="shared" si="598"/>
        <v>44</v>
      </c>
      <c r="C1432" s="108"/>
      <c r="D1432" s="108"/>
      <c r="E1432" s="108">
        <v>2</v>
      </c>
      <c r="F1432" s="109"/>
      <c r="G1432" s="109"/>
      <c r="H1432" s="108" t="s">
        <v>11</v>
      </c>
      <c r="I1432" s="110">
        <f>I1433+I1434+I1435+I1441</f>
        <v>776425</v>
      </c>
      <c r="J1432" s="110">
        <f t="shared" ref="J1432" si="604">J1433+J1434+J1435+J1441</f>
        <v>50000</v>
      </c>
      <c r="K1432" s="110">
        <f t="shared" si="579"/>
        <v>826425</v>
      </c>
      <c r="L1432" s="321"/>
      <c r="M1432" s="110">
        <f>M1442</f>
        <v>557000</v>
      </c>
      <c r="N1432" s="110">
        <f t="shared" ref="N1432" si="605">N1442</f>
        <v>0</v>
      </c>
      <c r="O1432" s="110">
        <f t="shared" si="580"/>
        <v>557000</v>
      </c>
      <c r="P1432" s="321"/>
      <c r="Q1432" s="112">
        <f t="shared" si="595"/>
        <v>1333425</v>
      </c>
      <c r="R1432" s="112">
        <f t="shared" si="596"/>
        <v>50000</v>
      </c>
      <c r="S1432" s="112">
        <f t="shared" si="596"/>
        <v>1383425</v>
      </c>
    </row>
    <row r="1433" spans="2:19" x14ac:dyDescent="0.2">
      <c r="B1433" s="7">
        <f t="shared" si="598"/>
        <v>45</v>
      </c>
      <c r="C1433" s="13"/>
      <c r="D1433" s="13"/>
      <c r="E1433" s="13"/>
      <c r="F1433" s="14" t="s">
        <v>175</v>
      </c>
      <c r="G1433" s="15">
        <v>610</v>
      </c>
      <c r="H1433" s="13" t="s">
        <v>511</v>
      </c>
      <c r="I1433" s="16">
        <v>108255</v>
      </c>
      <c r="J1433" s="16"/>
      <c r="K1433" s="16">
        <f t="shared" si="579"/>
        <v>108255</v>
      </c>
      <c r="L1433" s="16"/>
      <c r="M1433" s="16"/>
      <c r="N1433" s="16"/>
      <c r="O1433" s="16">
        <f t="shared" si="580"/>
        <v>0</v>
      </c>
      <c r="P1433" s="16"/>
      <c r="Q1433" s="18">
        <f t="shared" si="595"/>
        <v>108255</v>
      </c>
      <c r="R1433" s="18">
        <f t="shared" si="596"/>
        <v>0</v>
      </c>
      <c r="S1433" s="18">
        <f t="shared" si="596"/>
        <v>108255</v>
      </c>
    </row>
    <row r="1434" spans="2:19" x14ac:dyDescent="0.2">
      <c r="B1434" s="7">
        <f t="shared" si="598"/>
        <v>46</v>
      </c>
      <c r="C1434" s="13"/>
      <c r="D1434" s="13"/>
      <c r="E1434" s="13"/>
      <c r="F1434" s="14" t="s">
        <v>175</v>
      </c>
      <c r="G1434" s="15">
        <v>620</v>
      </c>
      <c r="H1434" s="13" t="s">
        <v>122</v>
      </c>
      <c r="I1434" s="16">
        <v>43385</v>
      </c>
      <c r="J1434" s="16"/>
      <c r="K1434" s="16">
        <f t="shared" si="579"/>
        <v>43385</v>
      </c>
      <c r="L1434" s="16"/>
      <c r="M1434" s="16"/>
      <c r="N1434" s="16"/>
      <c r="O1434" s="16">
        <f t="shared" si="580"/>
        <v>0</v>
      </c>
      <c r="P1434" s="16"/>
      <c r="Q1434" s="18">
        <f t="shared" si="595"/>
        <v>43385</v>
      </c>
      <c r="R1434" s="18">
        <f t="shared" si="596"/>
        <v>0</v>
      </c>
      <c r="S1434" s="18">
        <f t="shared" si="596"/>
        <v>43385</v>
      </c>
    </row>
    <row r="1435" spans="2:19" x14ac:dyDescent="0.2">
      <c r="B1435" s="7">
        <f t="shared" si="598"/>
        <v>47</v>
      </c>
      <c r="C1435" s="13"/>
      <c r="D1435" s="13"/>
      <c r="E1435" s="13"/>
      <c r="F1435" s="14" t="s">
        <v>175</v>
      </c>
      <c r="G1435" s="15">
        <v>630</v>
      </c>
      <c r="H1435" s="13" t="s">
        <v>119</v>
      </c>
      <c r="I1435" s="16">
        <f>SUM(I1436:I1440)</f>
        <v>609325</v>
      </c>
      <c r="J1435" s="16">
        <f t="shared" ref="J1435" si="606">SUM(J1436:J1440)</f>
        <v>50000</v>
      </c>
      <c r="K1435" s="16">
        <f t="shared" si="579"/>
        <v>659325</v>
      </c>
      <c r="L1435" s="16"/>
      <c r="M1435" s="16"/>
      <c r="N1435" s="16"/>
      <c r="O1435" s="16">
        <f t="shared" si="580"/>
        <v>0</v>
      </c>
      <c r="P1435" s="16"/>
      <c r="Q1435" s="18">
        <f t="shared" si="595"/>
        <v>609325</v>
      </c>
      <c r="R1435" s="18">
        <f t="shared" si="596"/>
        <v>50000</v>
      </c>
      <c r="S1435" s="18">
        <f t="shared" si="596"/>
        <v>659325</v>
      </c>
    </row>
    <row r="1436" spans="2:19" x14ac:dyDescent="0.2">
      <c r="B1436" s="7">
        <f t="shared" si="598"/>
        <v>48</v>
      </c>
      <c r="C1436" s="19"/>
      <c r="D1436" s="19"/>
      <c r="E1436" s="19"/>
      <c r="F1436" s="20"/>
      <c r="G1436" s="21">
        <v>632</v>
      </c>
      <c r="H1436" s="19" t="s">
        <v>131</v>
      </c>
      <c r="I1436" s="22">
        <f>314000+60000</f>
        <v>374000</v>
      </c>
      <c r="J1436" s="22">
        <v>10000</v>
      </c>
      <c r="K1436" s="22">
        <f t="shared" si="579"/>
        <v>384000</v>
      </c>
      <c r="L1436" s="22"/>
      <c r="M1436" s="22"/>
      <c r="N1436" s="22"/>
      <c r="O1436" s="22">
        <f t="shared" si="580"/>
        <v>0</v>
      </c>
      <c r="P1436" s="22"/>
      <c r="Q1436" s="23">
        <f t="shared" si="595"/>
        <v>374000</v>
      </c>
      <c r="R1436" s="23">
        <f t="shared" ref="R1436:S1451" si="607">N1436+J1436</f>
        <v>10000</v>
      </c>
      <c r="S1436" s="23">
        <f t="shared" si="607"/>
        <v>384000</v>
      </c>
    </row>
    <row r="1437" spans="2:19" x14ac:dyDescent="0.2">
      <c r="B1437" s="7">
        <f t="shared" si="598"/>
        <v>49</v>
      </c>
      <c r="C1437" s="19"/>
      <c r="D1437" s="19"/>
      <c r="E1437" s="19"/>
      <c r="F1437" s="20"/>
      <c r="G1437" s="21">
        <v>633</v>
      </c>
      <c r="H1437" s="19" t="s">
        <v>123</v>
      </c>
      <c r="I1437" s="22">
        <v>20000</v>
      </c>
      <c r="J1437" s="22">
        <v>4000</v>
      </c>
      <c r="K1437" s="22">
        <f t="shared" si="579"/>
        <v>24000</v>
      </c>
      <c r="L1437" s="22"/>
      <c r="M1437" s="22"/>
      <c r="N1437" s="22"/>
      <c r="O1437" s="22">
        <f t="shared" si="580"/>
        <v>0</v>
      </c>
      <c r="P1437" s="22"/>
      <c r="Q1437" s="23">
        <f t="shared" si="595"/>
        <v>20000</v>
      </c>
      <c r="R1437" s="23">
        <f t="shared" si="607"/>
        <v>4000</v>
      </c>
      <c r="S1437" s="23">
        <f t="shared" si="607"/>
        <v>24000</v>
      </c>
    </row>
    <row r="1438" spans="2:19" x14ac:dyDescent="0.2">
      <c r="B1438" s="7">
        <f t="shared" si="598"/>
        <v>50</v>
      </c>
      <c r="C1438" s="19"/>
      <c r="D1438" s="19"/>
      <c r="E1438" s="19"/>
      <c r="F1438" s="20"/>
      <c r="G1438" s="21">
        <v>635</v>
      </c>
      <c r="H1438" s="19" t="s">
        <v>130</v>
      </c>
      <c r="I1438" s="22">
        <v>139500</v>
      </c>
      <c r="J1438" s="22">
        <v>36000</v>
      </c>
      <c r="K1438" s="22">
        <f t="shared" si="579"/>
        <v>175500</v>
      </c>
      <c r="L1438" s="22"/>
      <c r="M1438" s="22"/>
      <c r="N1438" s="22"/>
      <c r="O1438" s="22">
        <f t="shared" si="580"/>
        <v>0</v>
      </c>
      <c r="P1438" s="22"/>
      <c r="Q1438" s="23">
        <f t="shared" si="595"/>
        <v>139500</v>
      </c>
      <c r="R1438" s="23">
        <f t="shared" si="607"/>
        <v>36000</v>
      </c>
      <c r="S1438" s="23">
        <f t="shared" si="607"/>
        <v>175500</v>
      </c>
    </row>
    <row r="1439" spans="2:19" x14ac:dyDescent="0.2">
      <c r="B1439" s="7">
        <f t="shared" si="598"/>
        <v>51</v>
      </c>
      <c r="C1439" s="19"/>
      <c r="D1439" s="19"/>
      <c r="E1439" s="19"/>
      <c r="F1439" s="20"/>
      <c r="G1439" s="21">
        <v>636</v>
      </c>
      <c r="H1439" s="19" t="s">
        <v>124</v>
      </c>
      <c r="I1439" s="22">
        <v>200</v>
      </c>
      <c r="J1439" s="22"/>
      <c r="K1439" s="22">
        <f t="shared" si="579"/>
        <v>200</v>
      </c>
      <c r="L1439" s="22"/>
      <c r="M1439" s="22"/>
      <c r="N1439" s="22"/>
      <c r="O1439" s="22">
        <f t="shared" si="580"/>
        <v>0</v>
      </c>
      <c r="P1439" s="22"/>
      <c r="Q1439" s="23">
        <f t="shared" si="595"/>
        <v>200</v>
      </c>
      <c r="R1439" s="23">
        <f t="shared" si="607"/>
        <v>0</v>
      </c>
      <c r="S1439" s="23">
        <f t="shared" si="607"/>
        <v>200</v>
      </c>
    </row>
    <row r="1440" spans="2:19" x14ac:dyDescent="0.2">
      <c r="B1440" s="7">
        <f t="shared" si="598"/>
        <v>52</v>
      </c>
      <c r="C1440" s="19"/>
      <c r="D1440" s="19"/>
      <c r="E1440" s="19"/>
      <c r="F1440" s="20"/>
      <c r="G1440" s="21">
        <v>637</v>
      </c>
      <c r="H1440" s="19" t="s">
        <v>120</v>
      </c>
      <c r="I1440" s="22">
        <v>75625</v>
      </c>
      <c r="J1440" s="22"/>
      <c r="K1440" s="22">
        <f t="shared" si="579"/>
        <v>75625</v>
      </c>
      <c r="L1440" s="22"/>
      <c r="M1440" s="22"/>
      <c r="N1440" s="22"/>
      <c r="O1440" s="22">
        <f t="shared" si="580"/>
        <v>0</v>
      </c>
      <c r="P1440" s="22"/>
      <c r="Q1440" s="23">
        <f t="shared" si="595"/>
        <v>75625</v>
      </c>
      <c r="R1440" s="23">
        <f t="shared" si="607"/>
        <v>0</v>
      </c>
      <c r="S1440" s="23">
        <f t="shared" si="607"/>
        <v>75625</v>
      </c>
    </row>
    <row r="1441" spans="2:19" x14ac:dyDescent="0.2">
      <c r="B1441" s="7">
        <f t="shared" si="598"/>
        <v>53</v>
      </c>
      <c r="C1441" s="13"/>
      <c r="D1441" s="13"/>
      <c r="E1441" s="13"/>
      <c r="F1441" s="14" t="s">
        <v>175</v>
      </c>
      <c r="G1441" s="15">
        <v>640</v>
      </c>
      <c r="H1441" s="13" t="s">
        <v>127</v>
      </c>
      <c r="I1441" s="16">
        <v>15460</v>
      </c>
      <c r="J1441" s="16"/>
      <c r="K1441" s="16">
        <f t="shared" si="579"/>
        <v>15460</v>
      </c>
      <c r="L1441" s="16"/>
      <c r="M1441" s="16"/>
      <c r="N1441" s="16"/>
      <c r="O1441" s="16">
        <f t="shared" si="580"/>
        <v>0</v>
      </c>
      <c r="P1441" s="16"/>
      <c r="Q1441" s="18">
        <f t="shared" si="595"/>
        <v>15460</v>
      </c>
      <c r="R1441" s="18">
        <f t="shared" si="607"/>
        <v>0</v>
      </c>
      <c r="S1441" s="18">
        <f t="shared" si="607"/>
        <v>15460</v>
      </c>
    </row>
    <row r="1442" spans="2:19" x14ac:dyDescent="0.2">
      <c r="B1442" s="7">
        <f t="shared" si="598"/>
        <v>54</v>
      </c>
      <c r="C1442" s="13"/>
      <c r="D1442" s="13"/>
      <c r="E1442" s="13"/>
      <c r="F1442" s="14" t="s">
        <v>175</v>
      </c>
      <c r="G1442" s="15">
        <v>710</v>
      </c>
      <c r="H1442" s="13" t="s">
        <v>171</v>
      </c>
      <c r="I1442" s="16"/>
      <c r="J1442" s="16"/>
      <c r="K1442" s="16">
        <f t="shared" si="579"/>
        <v>0</v>
      </c>
      <c r="L1442" s="16"/>
      <c r="M1442" s="16">
        <f>M1446+M1443</f>
        <v>557000</v>
      </c>
      <c r="N1442" s="16">
        <f t="shared" ref="N1442" si="608">N1446+N1443</f>
        <v>0</v>
      </c>
      <c r="O1442" s="16">
        <f t="shared" si="580"/>
        <v>557000</v>
      </c>
      <c r="P1442" s="16"/>
      <c r="Q1442" s="18">
        <f t="shared" si="595"/>
        <v>557000</v>
      </c>
      <c r="R1442" s="18">
        <f t="shared" si="607"/>
        <v>0</v>
      </c>
      <c r="S1442" s="18">
        <f t="shared" si="607"/>
        <v>557000</v>
      </c>
    </row>
    <row r="1443" spans="2:19" x14ac:dyDescent="0.2">
      <c r="B1443" s="7">
        <f t="shared" si="598"/>
        <v>55</v>
      </c>
      <c r="C1443" s="13"/>
      <c r="D1443" s="13"/>
      <c r="E1443" s="13"/>
      <c r="F1443" s="14"/>
      <c r="G1443" s="21">
        <v>717</v>
      </c>
      <c r="H1443" s="19" t="s">
        <v>178</v>
      </c>
      <c r="I1443" s="22"/>
      <c r="J1443" s="22"/>
      <c r="K1443" s="22">
        <f t="shared" si="579"/>
        <v>0</v>
      </c>
      <c r="L1443" s="22"/>
      <c r="M1443" s="22">
        <f>M1445+M1444</f>
        <v>369000</v>
      </c>
      <c r="N1443" s="22">
        <f t="shared" ref="N1443" si="609">N1445+N1444</f>
        <v>0</v>
      </c>
      <c r="O1443" s="22">
        <f t="shared" si="580"/>
        <v>369000</v>
      </c>
      <c r="P1443" s="22"/>
      <c r="Q1443" s="23">
        <f t="shared" si="595"/>
        <v>369000</v>
      </c>
      <c r="R1443" s="23">
        <f t="shared" si="607"/>
        <v>0</v>
      </c>
      <c r="S1443" s="23">
        <f t="shared" si="607"/>
        <v>369000</v>
      </c>
    </row>
    <row r="1444" spans="2:19" x14ac:dyDescent="0.2">
      <c r="B1444" s="7">
        <f t="shared" si="598"/>
        <v>56</v>
      </c>
      <c r="C1444" s="13"/>
      <c r="D1444" s="13"/>
      <c r="E1444" s="13"/>
      <c r="F1444" s="14"/>
      <c r="G1444" s="21"/>
      <c r="H1444" s="43" t="s">
        <v>695</v>
      </c>
      <c r="I1444" s="26"/>
      <c r="J1444" s="26"/>
      <c r="K1444" s="26">
        <f t="shared" si="579"/>
        <v>0</v>
      </c>
      <c r="L1444" s="26"/>
      <c r="M1444" s="26">
        <f>50000+11000</f>
        <v>61000</v>
      </c>
      <c r="N1444" s="26"/>
      <c r="O1444" s="26">
        <f t="shared" si="580"/>
        <v>61000</v>
      </c>
      <c r="P1444" s="26"/>
      <c r="Q1444" s="28">
        <f t="shared" si="595"/>
        <v>61000</v>
      </c>
      <c r="R1444" s="28">
        <f t="shared" si="607"/>
        <v>0</v>
      </c>
      <c r="S1444" s="28">
        <f t="shared" si="607"/>
        <v>61000</v>
      </c>
    </row>
    <row r="1445" spans="2:19" s="42" customFormat="1" ht="24" x14ac:dyDescent="0.2">
      <c r="B1445" s="7">
        <f>B1443+1</f>
        <v>56</v>
      </c>
      <c r="C1445" s="393"/>
      <c r="D1445" s="393"/>
      <c r="E1445" s="393"/>
      <c r="F1445" s="394"/>
      <c r="G1445" s="59"/>
      <c r="H1445" s="38" t="s">
        <v>639</v>
      </c>
      <c r="I1445" s="39"/>
      <c r="J1445" s="39"/>
      <c r="K1445" s="39">
        <f t="shared" si="579"/>
        <v>0</v>
      </c>
      <c r="L1445" s="39"/>
      <c r="M1445" s="39">
        <v>308000</v>
      </c>
      <c r="N1445" s="39"/>
      <c r="O1445" s="39">
        <f t="shared" si="580"/>
        <v>308000</v>
      </c>
      <c r="P1445" s="39"/>
      <c r="Q1445" s="41">
        <f t="shared" si="595"/>
        <v>308000</v>
      </c>
      <c r="R1445" s="41">
        <f t="shared" si="607"/>
        <v>0</v>
      </c>
      <c r="S1445" s="41">
        <f t="shared" si="607"/>
        <v>308000</v>
      </c>
    </row>
    <row r="1446" spans="2:19" x14ac:dyDescent="0.2">
      <c r="B1446" s="7">
        <f t="shared" ref="B1446:B1465" si="610">B1445+1</f>
        <v>57</v>
      </c>
      <c r="C1446" s="13"/>
      <c r="D1446" s="13"/>
      <c r="E1446" s="13"/>
      <c r="F1446" s="14"/>
      <c r="G1446" s="21">
        <v>713</v>
      </c>
      <c r="H1446" s="19" t="s">
        <v>215</v>
      </c>
      <c r="I1446" s="16"/>
      <c r="J1446" s="16"/>
      <c r="K1446" s="16">
        <f t="shared" si="579"/>
        <v>0</v>
      </c>
      <c r="L1446" s="16"/>
      <c r="M1446" s="22">
        <f>M1447</f>
        <v>188000</v>
      </c>
      <c r="N1446" s="22">
        <f t="shared" ref="N1446" si="611">N1447</f>
        <v>0</v>
      </c>
      <c r="O1446" s="22">
        <f t="shared" si="580"/>
        <v>188000</v>
      </c>
      <c r="P1446" s="16"/>
      <c r="Q1446" s="23">
        <f t="shared" si="595"/>
        <v>188000</v>
      </c>
      <c r="R1446" s="23">
        <f t="shared" si="607"/>
        <v>0</v>
      </c>
      <c r="S1446" s="23">
        <f t="shared" si="607"/>
        <v>188000</v>
      </c>
    </row>
    <row r="1447" spans="2:19" x14ac:dyDescent="0.2">
      <c r="B1447" s="7">
        <f t="shared" si="610"/>
        <v>58</v>
      </c>
      <c r="C1447" s="13"/>
      <c r="D1447" s="13"/>
      <c r="E1447" s="13"/>
      <c r="F1447" s="14"/>
      <c r="G1447" s="136"/>
      <c r="H1447" s="1" t="s">
        <v>530</v>
      </c>
      <c r="I1447" s="16"/>
      <c r="J1447" s="16"/>
      <c r="K1447" s="16">
        <f t="shared" si="579"/>
        <v>0</v>
      </c>
      <c r="L1447" s="16"/>
      <c r="M1447" s="26">
        <f>180000+8000</f>
        <v>188000</v>
      </c>
      <c r="N1447" s="26"/>
      <c r="O1447" s="26">
        <f t="shared" si="580"/>
        <v>188000</v>
      </c>
      <c r="P1447" s="16"/>
      <c r="Q1447" s="28">
        <f t="shared" si="595"/>
        <v>188000</v>
      </c>
      <c r="R1447" s="28">
        <f t="shared" si="607"/>
        <v>0</v>
      </c>
      <c r="S1447" s="28">
        <f t="shared" si="607"/>
        <v>188000</v>
      </c>
    </row>
    <row r="1448" spans="2:19" ht="13.5" customHeight="1" x14ac:dyDescent="0.25">
      <c r="B1448" s="7">
        <f t="shared" si="610"/>
        <v>59</v>
      </c>
      <c r="C1448" s="108"/>
      <c r="D1448" s="108"/>
      <c r="E1448" s="108">
        <v>8</v>
      </c>
      <c r="F1448" s="109"/>
      <c r="G1448" s="109"/>
      <c r="H1448" s="108" t="s">
        <v>6</v>
      </c>
      <c r="I1448" s="110">
        <f>I1449</f>
        <v>40000</v>
      </c>
      <c r="J1448" s="110">
        <f t="shared" ref="J1448:J1449" si="612">J1449</f>
        <v>0</v>
      </c>
      <c r="K1448" s="110">
        <f t="shared" si="579"/>
        <v>40000</v>
      </c>
      <c r="L1448" s="321"/>
      <c r="M1448" s="110"/>
      <c r="N1448" s="110"/>
      <c r="O1448" s="110">
        <f t="shared" si="580"/>
        <v>0</v>
      </c>
      <c r="P1448" s="321"/>
      <c r="Q1448" s="112">
        <f t="shared" si="595"/>
        <v>40000</v>
      </c>
      <c r="R1448" s="112">
        <f t="shared" si="607"/>
        <v>0</v>
      </c>
      <c r="S1448" s="112">
        <f t="shared" si="607"/>
        <v>40000</v>
      </c>
    </row>
    <row r="1449" spans="2:19" ht="12.75" customHeight="1" x14ac:dyDescent="0.2">
      <c r="B1449" s="7">
        <f t="shared" si="610"/>
        <v>60</v>
      </c>
      <c r="C1449" s="13"/>
      <c r="D1449" s="13"/>
      <c r="E1449" s="13"/>
      <c r="F1449" s="14" t="s">
        <v>175</v>
      </c>
      <c r="G1449" s="15">
        <v>630</v>
      </c>
      <c r="H1449" s="13" t="s">
        <v>119</v>
      </c>
      <c r="I1449" s="16">
        <f>I1450</f>
        <v>40000</v>
      </c>
      <c r="J1449" s="16">
        <f t="shared" si="612"/>
        <v>0</v>
      </c>
      <c r="K1449" s="16">
        <f t="shared" si="579"/>
        <v>40000</v>
      </c>
      <c r="L1449" s="16"/>
      <c r="M1449" s="16"/>
      <c r="N1449" s="16"/>
      <c r="O1449" s="16">
        <f t="shared" si="580"/>
        <v>0</v>
      </c>
      <c r="P1449" s="16"/>
      <c r="Q1449" s="18">
        <f t="shared" si="595"/>
        <v>40000</v>
      </c>
      <c r="R1449" s="18">
        <f t="shared" si="607"/>
        <v>0</v>
      </c>
      <c r="S1449" s="18">
        <f t="shared" si="607"/>
        <v>40000</v>
      </c>
    </row>
    <row r="1450" spans="2:19" x14ac:dyDescent="0.2">
      <c r="B1450" s="7">
        <f t="shared" si="610"/>
        <v>61</v>
      </c>
      <c r="C1450" s="19"/>
      <c r="D1450" s="19"/>
      <c r="E1450" s="19"/>
      <c r="F1450" s="20"/>
      <c r="G1450" s="21">
        <v>636</v>
      </c>
      <c r="H1450" s="19" t="s">
        <v>124</v>
      </c>
      <c r="I1450" s="33">
        <v>40000</v>
      </c>
      <c r="J1450" s="33"/>
      <c r="K1450" s="33">
        <f t="shared" si="579"/>
        <v>40000</v>
      </c>
      <c r="L1450" s="22"/>
      <c r="M1450" s="22"/>
      <c r="N1450" s="22"/>
      <c r="O1450" s="22">
        <f t="shared" si="580"/>
        <v>0</v>
      </c>
      <c r="P1450" s="22"/>
      <c r="Q1450" s="23">
        <f t="shared" si="595"/>
        <v>40000</v>
      </c>
      <c r="R1450" s="23">
        <f t="shared" si="607"/>
        <v>0</v>
      </c>
      <c r="S1450" s="23">
        <f t="shared" si="607"/>
        <v>40000</v>
      </c>
    </row>
    <row r="1451" spans="2:19" ht="15" x14ac:dyDescent="0.25">
      <c r="B1451" s="7">
        <f t="shared" si="610"/>
        <v>62</v>
      </c>
      <c r="C1451" s="29"/>
      <c r="D1451" s="29">
        <v>4</v>
      </c>
      <c r="E1451" s="441" t="s">
        <v>197</v>
      </c>
      <c r="F1451" s="442"/>
      <c r="G1451" s="442"/>
      <c r="H1451" s="442"/>
      <c r="I1451" s="30">
        <f>I1456</f>
        <v>967810</v>
      </c>
      <c r="J1451" s="30">
        <f t="shared" ref="J1451" si="613">J1456</f>
        <v>-6500</v>
      </c>
      <c r="K1451" s="30">
        <f t="shared" si="579"/>
        <v>961310</v>
      </c>
      <c r="L1451" s="321"/>
      <c r="M1451" s="30">
        <f>M1452+M1456</f>
        <v>4962000</v>
      </c>
      <c r="N1451" s="30">
        <f t="shared" ref="N1451" si="614">N1452+N1456</f>
        <v>0</v>
      </c>
      <c r="O1451" s="30">
        <f t="shared" si="580"/>
        <v>4962000</v>
      </c>
      <c r="P1451" s="321"/>
      <c r="Q1451" s="32">
        <f t="shared" si="595"/>
        <v>5929810</v>
      </c>
      <c r="R1451" s="32">
        <f t="shared" si="607"/>
        <v>-6500</v>
      </c>
      <c r="S1451" s="32">
        <f t="shared" si="607"/>
        <v>5923310</v>
      </c>
    </row>
    <row r="1452" spans="2:19" ht="18" customHeight="1" x14ac:dyDescent="0.2">
      <c r="B1452" s="7">
        <f t="shared" si="610"/>
        <v>63</v>
      </c>
      <c r="C1452" s="13"/>
      <c r="D1452" s="13"/>
      <c r="E1452" s="13"/>
      <c r="F1452" s="14" t="s">
        <v>175</v>
      </c>
      <c r="G1452" s="15">
        <v>710</v>
      </c>
      <c r="H1452" s="13" t="s">
        <v>171</v>
      </c>
      <c r="I1452" s="16"/>
      <c r="J1452" s="16"/>
      <c r="K1452" s="16">
        <f t="shared" si="579"/>
        <v>0</v>
      </c>
      <c r="L1452" s="16"/>
      <c r="M1452" s="16">
        <f>M1453</f>
        <v>4772000</v>
      </c>
      <c r="N1452" s="16">
        <f t="shared" ref="N1452" si="615">N1453</f>
        <v>0</v>
      </c>
      <c r="O1452" s="16">
        <f t="shared" si="580"/>
        <v>4772000</v>
      </c>
      <c r="P1452" s="16"/>
      <c r="Q1452" s="18">
        <f t="shared" ref="Q1452:Q1466" si="616">M1452+I1452</f>
        <v>4772000</v>
      </c>
      <c r="R1452" s="18">
        <f t="shared" ref="R1452:S1466" si="617">N1452+J1452</f>
        <v>0</v>
      </c>
      <c r="S1452" s="18">
        <f t="shared" si="617"/>
        <v>4772000</v>
      </c>
    </row>
    <row r="1453" spans="2:19" x14ac:dyDescent="0.2">
      <c r="B1453" s="7">
        <f t="shared" si="610"/>
        <v>64</v>
      </c>
      <c r="C1453" s="19"/>
      <c r="D1453" s="19"/>
      <c r="E1453" s="19"/>
      <c r="F1453" s="20"/>
      <c r="G1453" s="21">
        <v>717</v>
      </c>
      <c r="H1453" s="19" t="s">
        <v>178</v>
      </c>
      <c r="I1453" s="22"/>
      <c r="J1453" s="22"/>
      <c r="K1453" s="22">
        <f t="shared" ref="K1453:K1513" si="618">I1453+J1453</f>
        <v>0</v>
      </c>
      <c r="L1453" s="22"/>
      <c r="M1453" s="22">
        <f>SUM(M1454:M1455)</f>
        <v>4772000</v>
      </c>
      <c r="N1453" s="22">
        <f t="shared" ref="N1453" si="619">SUM(N1454:N1455)</f>
        <v>0</v>
      </c>
      <c r="O1453" s="22">
        <f t="shared" ref="O1453:O1516" si="620">M1453+N1453</f>
        <v>4772000</v>
      </c>
      <c r="P1453" s="22"/>
      <c r="Q1453" s="23">
        <f t="shared" si="616"/>
        <v>4772000</v>
      </c>
      <c r="R1453" s="23">
        <f t="shared" si="617"/>
        <v>0</v>
      </c>
      <c r="S1453" s="23">
        <f t="shared" si="617"/>
        <v>4772000</v>
      </c>
    </row>
    <row r="1454" spans="2:19" x14ac:dyDescent="0.2">
      <c r="B1454" s="7">
        <f t="shared" si="610"/>
        <v>65</v>
      </c>
      <c r="C1454" s="24"/>
      <c r="D1454" s="24"/>
      <c r="E1454" s="24"/>
      <c r="F1454" s="136"/>
      <c r="G1454" s="136"/>
      <c r="H1454" s="1" t="s">
        <v>557</v>
      </c>
      <c r="I1454" s="27"/>
      <c r="J1454" s="27"/>
      <c r="K1454" s="27">
        <f t="shared" si="618"/>
        <v>0</v>
      </c>
      <c r="L1454" s="27"/>
      <c r="M1454" s="26">
        <f>900000+430000-790000</f>
        <v>540000</v>
      </c>
      <c r="N1454" s="26"/>
      <c r="O1454" s="26">
        <f t="shared" si="620"/>
        <v>540000</v>
      </c>
      <c r="P1454" s="26"/>
      <c r="Q1454" s="28">
        <f t="shared" si="616"/>
        <v>540000</v>
      </c>
      <c r="R1454" s="28">
        <f t="shared" si="617"/>
        <v>0</v>
      </c>
      <c r="S1454" s="28">
        <f t="shared" si="617"/>
        <v>540000</v>
      </c>
    </row>
    <row r="1455" spans="2:19" x14ac:dyDescent="0.2">
      <c r="B1455" s="7">
        <f t="shared" si="610"/>
        <v>66</v>
      </c>
      <c r="C1455" s="24"/>
      <c r="D1455" s="24"/>
      <c r="E1455" s="24"/>
      <c r="F1455" s="136"/>
      <c r="G1455" s="136"/>
      <c r="H1455" s="1" t="s">
        <v>558</v>
      </c>
      <c r="I1455" s="27"/>
      <c r="J1455" s="27"/>
      <c r="K1455" s="27">
        <f t="shared" si="618"/>
        <v>0</v>
      </c>
      <c r="L1455" s="27"/>
      <c r="M1455" s="26">
        <f>4600000-368000</f>
        <v>4232000</v>
      </c>
      <c r="N1455" s="26"/>
      <c r="O1455" s="26">
        <f t="shared" si="620"/>
        <v>4232000</v>
      </c>
      <c r="P1455" s="26"/>
      <c r="Q1455" s="28">
        <f t="shared" si="616"/>
        <v>4232000</v>
      </c>
      <c r="R1455" s="28">
        <f t="shared" si="617"/>
        <v>0</v>
      </c>
      <c r="S1455" s="28">
        <f t="shared" si="617"/>
        <v>4232000</v>
      </c>
    </row>
    <row r="1456" spans="2:19" ht="15" x14ac:dyDescent="0.25">
      <c r="B1456" s="7">
        <f t="shared" si="610"/>
        <v>67</v>
      </c>
      <c r="C1456" s="108"/>
      <c r="D1456" s="108"/>
      <c r="E1456" s="108">
        <v>2</v>
      </c>
      <c r="F1456" s="109"/>
      <c r="G1456" s="109"/>
      <c r="H1456" s="108" t="s">
        <v>11</v>
      </c>
      <c r="I1456" s="110">
        <f>I1457+I1458+I1459+I1464</f>
        <v>967810</v>
      </c>
      <c r="J1456" s="110">
        <f t="shared" ref="J1456" si="621">J1457+J1458+J1459+J1464</f>
        <v>-6500</v>
      </c>
      <c r="K1456" s="110">
        <f t="shared" si="618"/>
        <v>961310</v>
      </c>
      <c r="L1456" s="321"/>
      <c r="M1456" s="110">
        <f>M1465</f>
        <v>190000</v>
      </c>
      <c r="N1456" s="110">
        <f t="shared" ref="N1456" si="622">N1465</f>
        <v>0</v>
      </c>
      <c r="O1456" s="110">
        <f t="shared" si="620"/>
        <v>190000</v>
      </c>
      <c r="P1456" s="321"/>
      <c r="Q1456" s="112">
        <f t="shared" si="616"/>
        <v>1157810</v>
      </c>
      <c r="R1456" s="112">
        <f t="shared" si="617"/>
        <v>-6500</v>
      </c>
      <c r="S1456" s="112">
        <f t="shared" si="617"/>
        <v>1151310</v>
      </c>
    </row>
    <row r="1457" spans="2:19" x14ac:dyDescent="0.2">
      <c r="B1457" s="7">
        <f t="shared" si="610"/>
        <v>68</v>
      </c>
      <c r="C1457" s="13"/>
      <c r="D1457" s="13"/>
      <c r="E1457" s="13"/>
      <c r="F1457" s="14" t="s">
        <v>175</v>
      </c>
      <c r="G1457" s="15">
        <v>610</v>
      </c>
      <c r="H1457" s="13" t="s">
        <v>511</v>
      </c>
      <c r="I1457" s="16">
        <v>242945</v>
      </c>
      <c r="J1457" s="16"/>
      <c r="K1457" s="16">
        <f t="shared" si="618"/>
        <v>242945</v>
      </c>
      <c r="L1457" s="16"/>
      <c r="M1457" s="16"/>
      <c r="N1457" s="16"/>
      <c r="O1457" s="16">
        <f t="shared" si="620"/>
        <v>0</v>
      </c>
      <c r="P1457" s="16"/>
      <c r="Q1457" s="18">
        <f t="shared" si="616"/>
        <v>242945</v>
      </c>
      <c r="R1457" s="18">
        <f t="shared" si="617"/>
        <v>0</v>
      </c>
      <c r="S1457" s="18">
        <f t="shared" si="617"/>
        <v>242945</v>
      </c>
    </row>
    <row r="1458" spans="2:19" x14ac:dyDescent="0.2">
      <c r="B1458" s="7">
        <f t="shared" si="610"/>
        <v>69</v>
      </c>
      <c r="C1458" s="13"/>
      <c r="D1458" s="13"/>
      <c r="E1458" s="13"/>
      <c r="F1458" s="14" t="s">
        <v>175</v>
      </c>
      <c r="G1458" s="15">
        <v>620</v>
      </c>
      <c r="H1458" s="13" t="s">
        <v>122</v>
      </c>
      <c r="I1458" s="16">
        <v>120325</v>
      </c>
      <c r="J1458" s="16">
        <v>-1500</v>
      </c>
      <c r="K1458" s="16">
        <f t="shared" si="618"/>
        <v>118825</v>
      </c>
      <c r="L1458" s="16"/>
      <c r="M1458" s="16"/>
      <c r="N1458" s="16"/>
      <c r="O1458" s="16">
        <f t="shared" si="620"/>
        <v>0</v>
      </c>
      <c r="P1458" s="16"/>
      <c r="Q1458" s="18">
        <f t="shared" si="616"/>
        <v>120325</v>
      </c>
      <c r="R1458" s="18">
        <f t="shared" si="617"/>
        <v>-1500</v>
      </c>
      <c r="S1458" s="18">
        <f t="shared" si="617"/>
        <v>118825</v>
      </c>
    </row>
    <row r="1459" spans="2:19" x14ac:dyDescent="0.2">
      <c r="B1459" s="7">
        <f t="shared" si="610"/>
        <v>70</v>
      </c>
      <c r="C1459" s="13"/>
      <c r="D1459" s="13"/>
      <c r="E1459" s="13"/>
      <c r="F1459" s="14" t="s">
        <v>175</v>
      </c>
      <c r="G1459" s="15">
        <v>630</v>
      </c>
      <c r="H1459" s="13" t="s">
        <v>119</v>
      </c>
      <c r="I1459" s="16">
        <f>SUM(I1460:I1463)</f>
        <v>590190</v>
      </c>
      <c r="J1459" s="16">
        <f t="shared" ref="J1459" si="623">SUM(J1460:J1463)</f>
        <v>-5000</v>
      </c>
      <c r="K1459" s="16">
        <f t="shared" si="618"/>
        <v>585190</v>
      </c>
      <c r="L1459" s="16"/>
      <c r="M1459" s="16"/>
      <c r="N1459" s="16"/>
      <c r="O1459" s="16">
        <f t="shared" si="620"/>
        <v>0</v>
      </c>
      <c r="P1459" s="16"/>
      <c r="Q1459" s="18">
        <f t="shared" si="616"/>
        <v>590190</v>
      </c>
      <c r="R1459" s="18">
        <f t="shared" si="617"/>
        <v>-5000</v>
      </c>
      <c r="S1459" s="18">
        <f t="shared" si="617"/>
        <v>585190</v>
      </c>
    </row>
    <row r="1460" spans="2:19" x14ac:dyDescent="0.2">
      <c r="B1460" s="7">
        <f t="shared" si="610"/>
        <v>71</v>
      </c>
      <c r="C1460" s="19"/>
      <c r="D1460" s="19"/>
      <c r="E1460" s="19"/>
      <c r="F1460" s="20"/>
      <c r="G1460" s="21">
        <v>632</v>
      </c>
      <c r="H1460" s="19" t="s">
        <v>131</v>
      </c>
      <c r="I1460" s="22">
        <v>333000</v>
      </c>
      <c r="J1460" s="22"/>
      <c r="K1460" s="22">
        <f t="shared" si="618"/>
        <v>333000</v>
      </c>
      <c r="L1460" s="22"/>
      <c r="M1460" s="22"/>
      <c r="N1460" s="22"/>
      <c r="O1460" s="22">
        <f t="shared" si="620"/>
        <v>0</v>
      </c>
      <c r="P1460" s="22"/>
      <c r="Q1460" s="23">
        <f t="shared" si="616"/>
        <v>333000</v>
      </c>
      <c r="R1460" s="23">
        <f t="shared" si="617"/>
        <v>0</v>
      </c>
      <c r="S1460" s="23">
        <f t="shared" si="617"/>
        <v>333000</v>
      </c>
    </row>
    <row r="1461" spans="2:19" x14ac:dyDescent="0.2">
      <c r="B1461" s="7">
        <f t="shared" si="610"/>
        <v>72</v>
      </c>
      <c r="C1461" s="19"/>
      <c r="D1461" s="19"/>
      <c r="E1461" s="19"/>
      <c r="F1461" s="20"/>
      <c r="G1461" s="21">
        <v>633</v>
      </c>
      <c r="H1461" s="19" t="s">
        <v>123</v>
      </c>
      <c r="I1461" s="22">
        <f>65400+5000</f>
        <v>70400</v>
      </c>
      <c r="J1461" s="22"/>
      <c r="K1461" s="22">
        <f t="shared" si="618"/>
        <v>70400</v>
      </c>
      <c r="L1461" s="22"/>
      <c r="M1461" s="22"/>
      <c r="N1461" s="22"/>
      <c r="O1461" s="22">
        <f t="shared" si="620"/>
        <v>0</v>
      </c>
      <c r="P1461" s="22"/>
      <c r="Q1461" s="23">
        <f t="shared" si="616"/>
        <v>70400</v>
      </c>
      <c r="R1461" s="23">
        <f t="shared" si="617"/>
        <v>0</v>
      </c>
      <c r="S1461" s="23">
        <f t="shared" si="617"/>
        <v>70400</v>
      </c>
    </row>
    <row r="1462" spans="2:19" x14ac:dyDescent="0.2">
      <c r="B1462" s="7">
        <f t="shared" si="610"/>
        <v>73</v>
      </c>
      <c r="C1462" s="19"/>
      <c r="D1462" s="19"/>
      <c r="E1462" s="19"/>
      <c r="F1462" s="20"/>
      <c r="G1462" s="21">
        <v>635</v>
      </c>
      <c r="H1462" s="19" t="s">
        <v>130</v>
      </c>
      <c r="I1462" s="22">
        <v>64400</v>
      </c>
      <c r="J1462" s="22"/>
      <c r="K1462" s="22">
        <f t="shared" si="618"/>
        <v>64400</v>
      </c>
      <c r="L1462" s="22"/>
      <c r="M1462" s="22"/>
      <c r="N1462" s="22"/>
      <c r="O1462" s="22">
        <f t="shared" si="620"/>
        <v>0</v>
      </c>
      <c r="P1462" s="22"/>
      <c r="Q1462" s="23">
        <f t="shared" si="616"/>
        <v>64400</v>
      </c>
      <c r="R1462" s="23">
        <f t="shared" si="617"/>
        <v>0</v>
      </c>
      <c r="S1462" s="23">
        <f t="shared" si="617"/>
        <v>64400</v>
      </c>
    </row>
    <row r="1463" spans="2:19" x14ac:dyDescent="0.2">
      <c r="B1463" s="7">
        <f t="shared" si="610"/>
        <v>74</v>
      </c>
      <c r="C1463" s="19"/>
      <c r="D1463" s="19"/>
      <c r="E1463" s="19"/>
      <c r="F1463" s="20"/>
      <c r="G1463" s="21">
        <v>637</v>
      </c>
      <c r="H1463" s="19" t="s">
        <v>120</v>
      </c>
      <c r="I1463" s="22">
        <v>122390</v>
      </c>
      <c r="J1463" s="22">
        <v>-5000</v>
      </c>
      <c r="K1463" s="22">
        <f t="shared" si="618"/>
        <v>117390</v>
      </c>
      <c r="L1463" s="22"/>
      <c r="M1463" s="22"/>
      <c r="N1463" s="22"/>
      <c r="O1463" s="22">
        <f t="shared" si="620"/>
        <v>0</v>
      </c>
      <c r="P1463" s="22"/>
      <c r="Q1463" s="23">
        <f t="shared" si="616"/>
        <v>122390</v>
      </c>
      <c r="R1463" s="23">
        <f t="shared" si="617"/>
        <v>-5000</v>
      </c>
      <c r="S1463" s="23">
        <f t="shared" si="617"/>
        <v>117390</v>
      </c>
    </row>
    <row r="1464" spans="2:19" x14ac:dyDescent="0.2">
      <c r="B1464" s="7">
        <f t="shared" si="610"/>
        <v>75</v>
      </c>
      <c r="C1464" s="13"/>
      <c r="D1464" s="13"/>
      <c r="E1464" s="13"/>
      <c r="F1464" s="14" t="s">
        <v>175</v>
      </c>
      <c r="G1464" s="15">
        <v>640</v>
      </c>
      <c r="H1464" s="13" t="s">
        <v>127</v>
      </c>
      <c r="I1464" s="16">
        <v>14350</v>
      </c>
      <c r="J1464" s="16"/>
      <c r="K1464" s="16">
        <f t="shared" si="618"/>
        <v>14350</v>
      </c>
      <c r="L1464" s="16"/>
      <c r="M1464" s="16"/>
      <c r="N1464" s="16"/>
      <c r="O1464" s="16">
        <f t="shared" si="620"/>
        <v>0</v>
      </c>
      <c r="P1464" s="16"/>
      <c r="Q1464" s="18">
        <f t="shared" si="616"/>
        <v>14350</v>
      </c>
      <c r="R1464" s="18">
        <f t="shared" si="617"/>
        <v>0</v>
      </c>
      <c r="S1464" s="18">
        <f t="shared" si="617"/>
        <v>14350</v>
      </c>
    </row>
    <row r="1465" spans="2:19" x14ac:dyDescent="0.2">
      <c r="B1465" s="7">
        <f t="shared" si="610"/>
        <v>76</v>
      </c>
      <c r="C1465" s="13"/>
      <c r="D1465" s="13"/>
      <c r="E1465" s="13"/>
      <c r="F1465" s="14" t="s">
        <v>175</v>
      </c>
      <c r="G1465" s="15">
        <v>710</v>
      </c>
      <c r="H1465" s="13" t="s">
        <v>171</v>
      </c>
      <c r="I1465" s="16"/>
      <c r="J1465" s="16"/>
      <c r="K1465" s="16">
        <f t="shared" si="618"/>
        <v>0</v>
      </c>
      <c r="L1465" s="16"/>
      <c r="M1465" s="16">
        <f>M1468+M1470+M1466</f>
        <v>190000</v>
      </c>
      <c r="N1465" s="16">
        <f t="shared" ref="N1465" si="624">N1468+N1470+N1466</f>
        <v>0</v>
      </c>
      <c r="O1465" s="16">
        <f t="shared" si="620"/>
        <v>190000</v>
      </c>
      <c r="P1465" s="16"/>
      <c r="Q1465" s="18">
        <f t="shared" si="616"/>
        <v>190000</v>
      </c>
      <c r="R1465" s="18">
        <f t="shared" si="617"/>
        <v>0</v>
      </c>
      <c r="S1465" s="18">
        <f t="shared" si="617"/>
        <v>190000</v>
      </c>
    </row>
    <row r="1466" spans="2:19" x14ac:dyDescent="0.2">
      <c r="B1466" s="7">
        <f t="shared" ref="B1466:B1482" si="625">B1465+1</f>
        <v>77</v>
      </c>
      <c r="C1466" s="13"/>
      <c r="D1466" s="13"/>
      <c r="E1466" s="13"/>
      <c r="F1466" s="14"/>
      <c r="G1466" s="21">
        <v>711</v>
      </c>
      <c r="H1466" s="19" t="s">
        <v>205</v>
      </c>
      <c r="I1466" s="22"/>
      <c r="J1466" s="22"/>
      <c r="K1466" s="22">
        <f t="shared" si="618"/>
        <v>0</v>
      </c>
      <c r="L1466" s="22"/>
      <c r="M1466" s="22">
        <f>M1467</f>
        <v>4500</v>
      </c>
      <c r="N1466" s="22">
        <f t="shared" ref="N1466" si="626">N1467</f>
        <v>0</v>
      </c>
      <c r="O1466" s="22">
        <f t="shared" si="620"/>
        <v>4500</v>
      </c>
      <c r="P1466" s="22"/>
      <c r="Q1466" s="23">
        <f t="shared" si="616"/>
        <v>4500</v>
      </c>
      <c r="R1466" s="23">
        <f t="shared" si="617"/>
        <v>0</v>
      </c>
      <c r="S1466" s="23">
        <f t="shared" si="617"/>
        <v>4500</v>
      </c>
    </row>
    <row r="1467" spans="2:19" x14ac:dyDescent="0.2">
      <c r="B1467" s="7">
        <f t="shared" si="625"/>
        <v>78</v>
      </c>
      <c r="C1467" s="13"/>
      <c r="D1467" s="13"/>
      <c r="E1467" s="13"/>
      <c r="F1467" s="14"/>
      <c r="G1467" s="15"/>
      <c r="H1467" s="1" t="s">
        <v>720</v>
      </c>
      <c r="I1467" s="16"/>
      <c r="J1467" s="16"/>
      <c r="K1467" s="16">
        <f t="shared" si="618"/>
        <v>0</v>
      </c>
      <c r="L1467" s="16"/>
      <c r="M1467" s="26">
        <v>4500</v>
      </c>
      <c r="N1467" s="26"/>
      <c r="O1467" s="26">
        <f t="shared" si="620"/>
        <v>4500</v>
      </c>
      <c r="P1467" s="16"/>
      <c r="Q1467" s="28">
        <f>M1467</f>
        <v>4500</v>
      </c>
      <c r="R1467" s="28">
        <f t="shared" ref="R1467:S1467" si="627">N1467</f>
        <v>0</v>
      </c>
      <c r="S1467" s="28">
        <f t="shared" si="627"/>
        <v>4500</v>
      </c>
    </row>
    <row r="1468" spans="2:19" x14ac:dyDescent="0.2">
      <c r="B1468" s="7">
        <f t="shared" si="625"/>
        <v>79</v>
      </c>
      <c r="C1468" s="19"/>
      <c r="D1468" s="19"/>
      <c r="E1468" s="19"/>
      <c r="F1468" s="20"/>
      <c r="G1468" s="21">
        <v>713</v>
      </c>
      <c r="H1468" s="19" t="s">
        <v>215</v>
      </c>
      <c r="I1468" s="22"/>
      <c r="J1468" s="22"/>
      <c r="K1468" s="22">
        <f t="shared" si="618"/>
        <v>0</v>
      </c>
      <c r="L1468" s="22"/>
      <c r="M1468" s="22">
        <f>M1469</f>
        <v>4000</v>
      </c>
      <c r="N1468" s="22">
        <f t="shared" ref="N1468" si="628">N1469</f>
        <v>0</v>
      </c>
      <c r="O1468" s="22">
        <f t="shared" si="620"/>
        <v>4000</v>
      </c>
      <c r="P1468" s="22"/>
      <c r="Q1468" s="23">
        <f t="shared" ref="Q1468:Q1499" si="629">M1468+I1468</f>
        <v>4000</v>
      </c>
      <c r="R1468" s="23">
        <f t="shared" ref="R1468:S1483" si="630">N1468+J1468</f>
        <v>0</v>
      </c>
      <c r="S1468" s="23">
        <f t="shared" si="630"/>
        <v>4000</v>
      </c>
    </row>
    <row r="1469" spans="2:19" x14ac:dyDescent="0.2">
      <c r="B1469" s="7">
        <f t="shared" si="625"/>
        <v>80</v>
      </c>
      <c r="C1469" s="1"/>
      <c r="D1469" s="1"/>
      <c r="E1469" s="1"/>
      <c r="F1469" s="113"/>
      <c r="G1469" s="25"/>
      <c r="H1469" s="1" t="s">
        <v>556</v>
      </c>
      <c r="I1469" s="26"/>
      <c r="J1469" s="26"/>
      <c r="K1469" s="26">
        <f t="shared" si="618"/>
        <v>0</v>
      </c>
      <c r="L1469" s="26"/>
      <c r="M1469" s="26">
        <v>4000</v>
      </c>
      <c r="N1469" s="26"/>
      <c r="O1469" s="26">
        <f t="shared" si="620"/>
        <v>4000</v>
      </c>
      <c r="P1469" s="26"/>
      <c r="Q1469" s="28">
        <f t="shared" si="629"/>
        <v>4000</v>
      </c>
      <c r="R1469" s="28">
        <f t="shared" si="630"/>
        <v>0</v>
      </c>
      <c r="S1469" s="28">
        <f t="shared" si="630"/>
        <v>4000</v>
      </c>
    </row>
    <row r="1470" spans="2:19" x14ac:dyDescent="0.2">
      <c r="B1470" s="7">
        <f t="shared" si="625"/>
        <v>81</v>
      </c>
      <c r="C1470" s="19"/>
      <c r="D1470" s="19"/>
      <c r="E1470" s="19"/>
      <c r="F1470" s="20"/>
      <c r="G1470" s="21">
        <v>717</v>
      </c>
      <c r="H1470" s="19" t="s">
        <v>178</v>
      </c>
      <c r="I1470" s="22"/>
      <c r="J1470" s="22"/>
      <c r="K1470" s="22">
        <f t="shared" si="618"/>
        <v>0</v>
      </c>
      <c r="L1470" s="22"/>
      <c r="M1470" s="22">
        <f>M1471+M1472</f>
        <v>181500</v>
      </c>
      <c r="N1470" s="22">
        <f t="shared" ref="N1470" si="631">N1471+N1472</f>
        <v>0</v>
      </c>
      <c r="O1470" s="22">
        <f t="shared" si="620"/>
        <v>181500</v>
      </c>
      <c r="P1470" s="22"/>
      <c r="Q1470" s="23">
        <f t="shared" si="629"/>
        <v>181500</v>
      </c>
      <c r="R1470" s="23">
        <f t="shared" si="630"/>
        <v>0</v>
      </c>
      <c r="S1470" s="23">
        <f t="shared" si="630"/>
        <v>181500</v>
      </c>
    </row>
    <row r="1471" spans="2:19" x14ac:dyDescent="0.2">
      <c r="B1471" s="7">
        <f t="shared" si="625"/>
        <v>82</v>
      </c>
      <c r="C1471" s="24"/>
      <c r="D1471" s="24"/>
      <c r="E1471" s="24"/>
      <c r="F1471" s="136"/>
      <c r="G1471" s="136"/>
      <c r="H1471" s="1" t="s">
        <v>555</v>
      </c>
      <c r="I1471" s="26"/>
      <c r="J1471" s="26"/>
      <c r="K1471" s="26">
        <f t="shared" si="618"/>
        <v>0</v>
      </c>
      <c r="L1471" s="26"/>
      <c r="M1471" s="26">
        <v>164000</v>
      </c>
      <c r="N1471" s="26"/>
      <c r="O1471" s="26">
        <f t="shared" si="620"/>
        <v>164000</v>
      </c>
      <c r="P1471" s="26"/>
      <c r="Q1471" s="28">
        <f t="shared" si="629"/>
        <v>164000</v>
      </c>
      <c r="R1471" s="28">
        <f t="shared" si="630"/>
        <v>0</v>
      </c>
      <c r="S1471" s="28">
        <f t="shared" si="630"/>
        <v>164000</v>
      </c>
    </row>
    <row r="1472" spans="2:19" x14ac:dyDescent="0.2">
      <c r="B1472" s="7">
        <f t="shared" si="625"/>
        <v>83</v>
      </c>
      <c r="C1472" s="24"/>
      <c r="D1472" s="24"/>
      <c r="E1472" s="24"/>
      <c r="F1472" s="136"/>
      <c r="G1472" s="136"/>
      <c r="H1472" s="1" t="s">
        <v>703</v>
      </c>
      <c r="I1472" s="27"/>
      <c r="J1472" s="27"/>
      <c r="K1472" s="27">
        <f t="shared" si="618"/>
        <v>0</v>
      </c>
      <c r="L1472" s="27"/>
      <c r="M1472" s="26">
        <v>17500</v>
      </c>
      <c r="N1472" s="26"/>
      <c r="O1472" s="26">
        <f t="shared" si="620"/>
        <v>17500</v>
      </c>
      <c r="P1472" s="26"/>
      <c r="Q1472" s="28">
        <f t="shared" si="629"/>
        <v>17500</v>
      </c>
      <c r="R1472" s="28">
        <f t="shared" si="630"/>
        <v>0</v>
      </c>
      <c r="S1472" s="28">
        <f t="shared" si="630"/>
        <v>17500</v>
      </c>
    </row>
    <row r="1473" spans="2:19" ht="15" x14ac:dyDescent="0.25">
      <c r="B1473" s="7">
        <f t="shared" si="625"/>
        <v>84</v>
      </c>
      <c r="C1473" s="29"/>
      <c r="D1473" s="29">
        <v>5</v>
      </c>
      <c r="E1473" s="441" t="s">
        <v>244</v>
      </c>
      <c r="F1473" s="442"/>
      <c r="G1473" s="442"/>
      <c r="H1473" s="442"/>
      <c r="I1473" s="30">
        <v>0</v>
      </c>
      <c r="J1473" s="30">
        <v>0</v>
      </c>
      <c r="K1473" s="30">
        <f t="shared" si="618"/>
        <v>0</v>
      </c>
      <c r="L1473" s="321"/>
      <c r="M1473" s="30"/>
      <c r="N1473" s="30"/>
      <c r="O1473" s="30">
        <f t="shared" si="620"/>
        <v>0</v>
      </c>
      <c r="P1473" s="321"/>
      <c r="Q1473" s="32">
        <f t="shared" si="629"/>
        <v>0</v>
      </c>
      <c r="R1473" s="32">
        <f t="shared" si="630"/>
        <v>0</v>
      </c>
      <c r="S1473" s="32">
        <f t="shared" si="630"/>
        <v>0</v>
      </c>
    </row>
    <row r="1474" spans="2:19" ht="15" x14ac:dyDescent="0.2">
      <c r="B1474" s="7">
        <f t="shared" si="625"/>
        <v>85</v>
      </c>
      <c r="C1474" s="10">
        <v>4</v>
      </c>
      <c r="D1474" s="420" t="s">
        <v>262</v>
      </c>
      <c r="E1474" s="421"/>
      <c r="F1474" s="421"/>
      <c r="G1474" s="421"/>
      <c r="H1474" s="421"/>
      <c r="I1474" s="11">
        <f>I1506</f>
        <v>287920</v>
      </c>
      <c r="J1474" s="11">
        <f>J1506</f>
        <v>0</v>
      </c>
      <c r="K1474" s="11">
        <f t="shared" si="618"/>
        <v>287920</v>
      </c>
      <c r="L1474" s="320"/>
      <c r="M1474" s="11">
        <f>M1475+M1506</f>
        <v>21991032</v>
      </c>
      <c r="N1474" s="11">
        <f t="shared" ref="N1474" si="632">N1475+N1506</f>
        <v>0</v>
      </c>
      <c r="O1474" s="11">
        <f t="shared" si="620"/>
        <v>21991032</v>
      </c>
      <c r="P1474" s="272">
        <f>P1475+P1506</f>
        <v>0</v>
      </c>
      <c r="Q1474" s="35">
        <f t="shared" si="629"/>
        <v>22278952</v>
      </c>
      <c r="R1474" s="35">
        <f t="shared" si="630"/>
        <v>0</v>
      </c>
      <c r="S1474" s="35">
        <f t="shared" si="630"/>
        <v>22278952</v>
      </c>
    </row>
    <row r="1475" spans="2:19" x14ac:dyDescent="0.2">
      <c r="B1475" s="7">
        <f t="shared" si="625"/>
        <v>86</v>
      </c>
      <c r="C1475" s="13"/>
      <c r="D1475" s="13"/>
      <c r="E1475" s="13"/>
      <c r="F1475" s="14" t="s">
        <v>188</v>
      </c>
      <c r="G1475" s="15">
        <v>710</v>
      </c>
      <c r="H1475" s="13" t="s">
        <v>171</v>
      </c>
      <c r="I1475" s="16"/>
      <c r="J1475" s="16"/>
      <c r="K1475" s="16">
        <f t="shared" si="618"/>
        <v>0</v>
      </c>
      <c r="L1475" s="16"/>
      <c r="M1475" s="16">
        <f>M1476+M1486</f>
        <v>21961027</v>
      </c>
      <c r="N1475" s="16">
        <f t="shared" ref="N1475" si="633">N1476+N1486</f>
        <v>0</v>
      </c>
      <c r="O1475" s="16">
        <f t="shared" si="620"/>
        <v>21961027</v>
      </c>
      <c r="P1475" s="16"/>
      <c r="Q1475" s="18">
        <f t="shared" si="629"/>
        <v>21961027</v>
      </c>
      <c r="R1475" s="18">
        <f t="shared" si="630"/>
        <v>0</v>
      </c>
      <c r="S1475" s="18">
        <f t="shared" si="630"/>
        <v>21961027</v>
      </c>
    </row>
    <row r="1476" spans="2:19" x14ac:dyDescent="0.2">
      <c r="B1476" s="7">
        <f t="shared" si="625"/>
        <v>87</v>
      </c>
      <c r="C1476" s="114"/>
      <c r="D1476" s="114"/>
      <c r="E1476" s="114"/>
      <c r="F1476" s="115"/>
      <c r="G1476" s="116">
        <v>716</v>
      </c>
      <c r="H1476" s="114" t="s">
        <v>211</v>
      </c>
      <c r="I1476" s="117"/>
      <c r="J1476" s="117"/>
      <c r="K1476" s="117">
        <f t="shared" si="618"/>
        <v>0</v>
      </c>
      <c r="L1476" s="22"/>
      <c r="M1476" s="117">
        <f>SUM(M1477:M1485)</f>
        <v>322318</v>
      </c>
      <c r="N1476" s="117">
        <f t="shared" ref="N1476" si="634">SUM(N1477:N1485)</f>
        <v>0</v>
      </c>
      <c r="O1476" s="117">
        <f t="shared" si="620"/>
        <v>322318</v>
      </c>
      <c r="P1476" s="22"/>
      <c r="Q1476" s="118">
        <f t="shared" si="629"/>
        <v>322318</v>
      </c>
      <c r="R1476" s="118">
        <f t="shared" si="630"/>
        <v>0</v>
      </c>
      <c r="S1476" s="118">
        <f t="shared" si="630"/>
        <v>322318</v>
      </c>
    </row>
    <row r="1477" spans="2:19" x14ac:dyDescent="0.2">
      <c r="B1477" s="7">
        <f t="shared" si="625"/>
        <v>88</v>
      </c>
      <c r="C1477" s="24"/>
      <c r="D1477" s="24"/>
      <c r="E1477" s="24"/>
      <c r="F1477" s="136"/>
      <c r="G1477" s="136"/>
      <c r="H1477" s="1" t="s">
        <v>444</v>
      </c>
      <c r="I1477" s="26"/>
      <c r="J1477" s="26"/>
      <c r="K1477" s="26">
        <f t="shared" si="618"/>
        <v>0</v>
      </c>
      <c r="L1477" s="26"/>
      <c r="M1477" s="26">
        <v>26000</v>
      </c>
      <c r="N1477" s="26"/>
      <c r="O1477" s="26">
        <f t="shared" si="620"/>
        <v>26000</v>
      </c>
      <c r="P1477" s="26"/>
      <c r="Q1477" s="28">
        <f t="shared" si="629"/>
        <v>26000</v>
      </c>
      <c r="R1477" s="28">
        <f t="shared" si="630"/>
        <v>0</v>
      </c>
      <c r="S1477" s="28">
        <f t="shared" si="630"/>
        <v>26000</v>
      </c>
    </row>
    <row r="1478" spans="2:19" x14ac:dyDescent="0.2">
      <c r="B1478" s="7">
        <f t="shared" si="625"/>
        <v>89</v>
      </c>
      <c r="C1478" s="24"/>
      <c r="D1478" s="24"/>
      <c r="E1478" s="24"/>
      <c r="F1478" s="136"/>
      <c r="G1478" s="136"/>
      <c r="H1478" s="1" t="s">
        <v>702</v>
      </c>
      <c r="I1478" s="26"/>
      <c r="J1478" s="26"/>
      <c r="K1478" s="26">
        <f t="shared" si="618"/>
        <v>0</v>
      </c>
      <c r="L1478" s="26"/>
      <c r="M1478" s="26">
        <v>950</v>
      </c>
      <c r="N1478" s="26"/>
      <c r="O1478" s="26">
        <f t="shared" si="620"/>
        <v>950</v>
      </c>
      <c r="P1478" s="26"/>
      <c r="Q1478" s="28">
        <f t="shared" si="629"/>
        <v>950</v>
      </c>
      <c r="R1478" s="28">
        <f t="shared" si="630"/>
        <v>0</v>
      </c>
      <c r="S1478" s="28">
        <f t="shared" si="630"/>
        <v>950</v>
      </c>
    </row>
    <row r="1479" spans="2:19" x14ac:dyDescent="0.2">
      <c r="B1479" s="7">
        <f t="shared" si="625"/>
        <v>90</v>
      </c>
      <c r="C1479" s="24"/>
      <c r="D1479" s="24"/>
      <c r="E1479" s="24"/>
      <c r="F1479" s="136"/>
      <c r="G1479" s="136"/>
      <c r="H1479" s="1" t="s">
        <v>416</v>
      </c>
      <c r="I1479" s="26"/>
      <c r="J1479" s="26"/>
      <c r="K1479" s="26">
        <f t="shared" si="618"/>
        <v>0</v>
      </c>
      <c r="L1479" s="26"/>
      <c r="M1479" s="26">
        <f>30000+47500+10000+12500</f>
        <v>100000</v>
      </c>
      <c r="N1479" s="26"/>
      <c r="O1479" s="26">
        <f t="shared" si="620"/>
        <v>100000</v>
      </c>
      <c r="P1479" s="26"/>
      <c r="Q1479" s="28">
        <f t="shared" si="629"/>
        <v>100000</v>
      </c>
      <c r="R1479" s="28">
        <f t="shared" si="630"/>
        <v>0</v>
      </c>
      <c r="S1479" s="28">
        <f t="shared" si="630"/>
        <v>100000</v>
      </c>
    </row>
    <row r="1480" spans="2:19" x14ac:dyDescent="0.2">
      <c r="B1480" s="7">
        <f t="shared" si="625"/>
        <v>91</v>
      </c>
      <c r="C1480" s="24"/>
      <c r="D1480" s="24"/>
      <c r="E1480" s="24"/>
      <c r="F1480" s="136"/>
      <c r="G1480" s="136"/>
      <c r="H1480" s="1" t="s">
        <v>419</v>
      </c>
      <c r="I1480" s="26"/>
      <c r="J1480" s="26"/>
      <c r="K1480" s="26">
        <f t="shared" si="618"/>
        <v>0</v>
      </c>
      <c r="L1480" s="26"/>
      <c r="M1480" s="26">
        <v>40000</v>
      </c>
      <c r="N1480" s="26"/>
      <c r="O1480" s="26">
        <f t="shared" si="620"/>
        <v>40000</v>
      </c>
      <c r="P1480" s="26"/>
      <c r="Q1480" s="28">
        <f t="shared" si="629"/>
        <v>40000</v>
      </c>
      <c r="R1480" s="28">
        <f t="shared" si="630"/>
        <v>0</v>
      </c>
      <c r="S1480" s="28">
        <f t="shared" si="630"/>
        <v>40000</v>
      </c>
    </row>
    <row r="1481" spans="2:19" x14ac:dyDescent="0.2">
      <c r="B1481" s="7">
        <f t="shared" si="625"/>
        <v>92</v>
      </c>
      <c r="C1481" s="24"/>
      <c r="D1481" s="24"/>
      <c r="E1481" s="24"/>
      <c r="F1481" s="136"/>
      <c r="G1481" s="136"/>
      <c r="H1481" s="1" t="s">
        <v>674</v>
      </c>
      <c r="I1481" s="26"/>
      <c r="J1481" s="26"/>
      <c r="K1481" s="26">
        <f t="shared" si="618"/>
        <v>0</v>
      </c>
      <c r="L1481" s="26"/>
      <c r="M1481" s="26">
        <f>12000+20000</f>
        <v>32000</v>
      </c>
      <c r="N1481" s="26"/>
      <c r="O1481" s="26">
        <f t="shared" si="620"/>
        <v>32000</v>
      </c>
      <c r="P1481" s="26"/>
      <c r="Q1481" s="28">
        <f t="shared" si="629"/>
        <v>32000</v>
      </c>
      <c r="R1481" s="28">
        <f t="shared" si="630"/>
        <v>0</v>
      </c>
      <c r="S1481" s="28">
        <f t="shared" si="630"/>
        <v>32000</v>
      </c>
    </row>
    <row r="1482" spans="2:19" x14ac:dyDescent="0.2">
      <c r="B1482" s="7">
        <f t="shared" si="625"/>
        <v>93</v>
      </c>
      <c r="C1482" s="24"/>
      <c r="D1482" s="24"/>
      <c r="E1482" s="24"/>
      <c r="F1482" s="136"/>
      <c r="G1482" s="136"/>
      <c r="H1482" s="1" t="s">
        <v>427</v>
      </c>
      <c r="I1482" s="26"/>
      <c r="J1482" s="26"/>
      <c r="K1482" s="26">
        <f t="shared" si="618"/>
        <v>0</v>
      </c>
      <c r="L1482" s="26"/>
      <c r="M1482" s="26">
        <v>23368</v>
      </c>
      <c r="N1482" s="26"/>
      <c r="O1482" s="26">
        <f t="shared" si="620"/>
        <v>23368</v>
      </c>
      <c r="P1482" s="26"/>
      <c r="Q1482" s="28">
        <f t="shared" si="629"/>
        <v>23368</v>
      </c>
      <c r="R1482" s="28">
        <f t="shared" si="630"/>
        <v>0</v>
      </c>
      <c r="S1482" s="28">
        <f t="shared" si="630"/>
        <v>23368</v>
      </c>
    </row>
    <row r="1483" spans="2:19" x14ac:dyDescent="0.2">
      <c r="B1483" s="7">
        <f t="shared" ref="B1483:B1489" si="635">B1482+1</f>
        <v>94</v>
      </c>
      <c r="C1483" s="24"/>
      <c r="D1483" s="24"/>
      <c r="E1483" s="24"/>
      <c r="F1483" s="136"/>
      <c r="G1483" s="136"/>
      <c r="H1483" s="1" t="s">
        <v>267</v>
      </c>
      <c r="I1483" s="26"/>
      <c r="J1483" s="26"/>
      <c r="K1483" s="26">
        <f t="shared" si="618"/>
        <v>0</v>
      </c>
      <c r="L1483" s="26"/>
      <c r="M1483" s="26">
        <v>18000</v>
      </c>
      <c r="N1483" s="26"/>
      <c r="O1483" s="26">
        <f t="shared" si="620"/>
        <v>18000</v>
      </c>
      <c r="P1483" s="26"/>
      <c r="Q1483" s="28">
        <f t="shared" si="629"/>
        <v>18000</v>
      </c>
      <c r="R1483" s="28">
        <f t="shared" si="630"/>
        <v>0</v>
      </c>
      <c r="S1483" s="28">
        <f t="shared" si="630"/>
        <v>18000</v>
      </c>
    </row>
    <row r="1484" spans="2:19" x14ac:dyDescent="0.2">
      <c r="B1484" s="7">
        <f t="shared" si="635"/>
        <v>95</v>
      </c>
      <c r="C1484" s="24"/>
      <c r="D1484" s="24"/>
      <c r="E1484" s="24"/>
      <c r="F1484" s="136"/>
      <c r="G1484" s="136"/>
      <c r="H1484" s="1" t="s">
        <v>428</v>
      </c>
      <c r="I1484" s="26"/>
      <c r="J1484" s="26"/>
      <c r="K1484" s="26">
        <f t="shared" si="618"/>
        <v>0</v>
      </c>
      <c r="L1484" s="26"/>
      <c r="M1484" s="26">
        <v>10000</v>
      </c>
      <c r="N1484" s="26"/>
      <c r="O1484" s="26">
        <f t="shared" si="620"/>
        <v>10000</v>
      </c>
      <c r="P1484" s="26"/>
      <c r="Q1484" s="28">
        <f t="shared" si="629"/>
        <v>10000</v>
      </c>
      <c r="R1484" s="28">
        <f t="shared" ref="R1484:S1499" si="636">N1484+J1484</f>
        <v>0</v>
      </c>
      <c r="S1484" s="28">
        <f t="shared" si="636"/>
        <v>10000</v>
      </c>
    </row>
    <row r="1485" spans="2:19" x14ac:dyDescent="0.2">
      <c r="B1485" s="7">
        <f t="shared" si="635"/>
        <v>96</v>
      </c>
      <c r="C1485" s="24"/>
      <c r="D1485" s="24"/>
      <c r="E1485" s="24"/>
      <c r="F1485" s="136"/>
      <c r="G1485" s="136"/>
      <c r="H1485" s="1" t="s">
        <v>649</v>
      </c>
      <c r="I1485" s="26"/>
      <c r="J1485" s="26"/>
      <c r="K1485" s="26">
        <f t="shared" si="618"/>
        <v>0</v>
      </c>
      <c r="L1485" s="26"/>
      <c r="M1485" s="26">
        <v>72000</v>
      </c>
      <c r="N1485" s="26"/>
      <c r="O1485" s="26">
        <f t="shared" si="620"/>
        <v>72000</v>
      </c>
      <c r="P1485" s="26"/>
      <c r="Q1485" s="28">
        <f t="shared" si="629"/>
        <v>72000</v>
      </c>
      <c r="R1485" s="28">
        <f t="shared" si="636"/>
        <v>0</v>
      </c>
      <c r="S1485" s="28">
        <f t="shared" si="636"/>
        <v>72000</v>
      </c>
    </row>
    <row r="1486" spans="2:19" s="66" customFormat="1" ht="12" x14ac:dyDescent="0.2">
      <c r="B1486" s="7">
        <f t="shared" si="635"/>
        <v>97</v>
      </c>
      <c r="C1486" s="114"/>
      <c r="D1486" s="114"/>
      <c r="E1486" s="114"/>
      <c r="F1486" s="115"/>
      <c r="G1486" s="116">
        <v>717</v>
      </c>
      <c r="H1486" s="114" t="s">
        <v>178</v>
      </c>
      <c r="I1486" s="117"/>
      <c r="J1486" s="117"/>
      <c r="K1486" s="117">
        <f t="shared" si="618"/>
        <v>0</v>
      </c>
      <c r="L1486" s="22"/>
      <c r="M1486" s="117">
        <f>SUM(M1487:M1505)</f>
        <v>21638709</v>
      </c>
      <c r="N1486" s="117">
        <f t="shared" ref="N1486" si="637">SUM(N1487:N1505)</f>
        <v>0</v>
      </c>
      <c r="O1486" s="117">
        <f t="shared" si="620"/>
        <v>21638709</v>
      </c>
      <c r="P1486" s="22"/>
      <c r="Q1486" s="118">
        <f t="shared" si="629"/>
        <v>21638709</v>
      </c>
      <c r="R1486" s="118">
        <f t="shared" si="636"/>
        <v>0</v>
      </c>
      <c r="S1486" s="118">
        <f t="shared" si="636"/>
        <v>21638709</v>
      </c>
    </row>
    <row r="1487" spans="2:19" s="66" customFormat="1" ht="12" x14ac:dyDescent="0.2">
      <c r="B1487" s="7">
        <f t="shared" si="635"/>
        <v>98</v>
      </c>
      <c r="C1487" s="24"/>
      <c r="D1487" s="24"/>
      <c r="E1487" s="24"/>
      <c r="F1487" s="136"/>
      <c r="G1487" s="136"/>
      <c r="H1487" s="1" t="s">
        <v>487</v>
      </c>
      <c r="I1487" s="26"/>
      <c r="J1487" s="26"/>
      <c r="K1487" s="26">
        <f t="shared" si="618"/>
        <v>0</v>
      </c>
      <c r="L1487" s="26"/>
      <c r="M1487" s="26">
        <v>9940</v>
      </c>
      <c r="N1487" s="26"/>
      <c r="O1487" s="26">
        <f t="shared" si="620"/>
        <v>9940</v>
      </c>
      <c r="P1487" s="26"/>
      <c r="Q1487" s="28">
        <f t="shared" si="629"/>
        <v>9940</v>
      </c>
      <c r="R1487" s="28">
        <f t="shared" si="636"/>
        <v>0</v>
      </c>
      <c r="S1487" s="28">
        <f t="shared" si="636"/>
        <v>9940</v>
      </c>
    </row>
    <row r="1488" spans="2:19" x14ac:dyDescent="0.2">
      <c r="B1488" s="7">
        <f t="shared" si="635"/>
        <v>99</v>
      </c>
      <c r="C1488" s="24"/>
      <c r="D1488" s="24"/>
      <c r="E1488" s="24"/>
      <c r="F1488" s="136"/>
      <c r="G1488" s="136"/>
      <c r="H1488" s="1" t="s">
        <v>488</v>
      </c>
      <c r="I1488" s="26"/>
      <c r="J1488" s="26"/>
      <c r="K1488" s="26">
        <f t="shared" si="618"/>
        <v>0</v>
      </c>
      <c r="L1488" s="26"/>
      <c r="M1488" s="26">
        <v>7300</v>
      </c>
      <c r="N1488" s="26"/>
      <c r="O1488" s="26">
        <f t="shared" si="620"/>
        <v>7300</v>
      </c>
      <c r="P1488" s="26"/>
      <c r="Q1488" s="28">
        <f t="shared" si="629"/>
        <v>7300</v>
      </c>
      <c r="R1488" s="28">
        <f t="shared" si="636"/>
        <v>0</v>
      </c>
      <c r="S1488" s="28">
        <f t="shared" si="636"/>
        <v>7300</v>
      </c>
    </row>
    <row r="1489" spans="2:19" x14ac:dyDescent="0.2">
      <c r="B1489" s="7">
        <f t="shared" si="635"/>
        <v>100</v>
      </c>
      <c r="C1489" s="24"/>
      <c r="D1489" s="24"/>
      <c r="E1489" s="24"/>
      <c r="F1489" s="136"/>
      <c r="G1489" s="136"/>
      <c r="H1489" s="1" t="s">
        <v>489</v>
      </c>
      <c r="I1489" s="26"/>
      <c r="J1489" s="26"/>
      <c r="K1489" s="26">
        <f t="shared" si="618"/>
        <v>0</v>
      </c>
      <c r="L1489" s="26"/>
      <c r="M1489" s="26">
        <v>10000</v>
      </c>
      <c r="N1489" s="26"/>
      <c r="O1489" s="26">
        <f t="shared" si="620"/>
        <v>10000</v>
      </c>
      <c r="P1489" s="26"/>
      <c r="Q1489" s="28">
        <f t="shared" si="629"/>
        <v>10000</v>
      </c>
      <c r="R1489" s="28">
        <f t="shared" si="636"/>
        <v>0</v>
      </c>
      <c r="S1489" s="28">
        <f t="shared" si="636"/>
        <v>10000</v>
      </c>
    </row>
    <row r="1490" spans="2:19" x14ac:dyDescent="0.2">
      <c r="B1490" s="7">
        <f t="shared" ref="B1490:B1504" si="638">B1489+1</f>
        <v>101</v>
      </c>
      <c r="C1490" s="24"/>
      <c r="D1490" s="24"/>
      <c r="E1490" s="24"/>
      <c r="F1490" s="136"/>
      <c r="G1490" s="136"/>
      <c r="H1490" s="1" t="s">
        <v>614</v>
      </c>
      <c r="I1490" s="26"/>
      <c r="J1490" s="26"/>
      <c r="K1490" s="26">
        <f t="shared" si="618"/>
        <v>0</v>
      </c>
      <c r="L1490" s="26"/>
      <c r="M1490" s="26">
        <f>20000+3000+1000</f>
        <v>24000</v>
      </c>
      <c r="N1490" s="26"/>
      <c r="O1490" s="26">
        <f t="shared" si="620"/>
        <v>24000</v>
      </c>
      <c r="P1490" s="26"/>
      <c r="Q1490" s="28">
        <f t="shared" si="629"/>
        <v>24000</v>
      </c>
      <c r="R1490" s="28">
        <f t="shared" si="636"/>
        <v>0</v>
      </c>
      <c r="S1490" s="28">
        <f t="shared" si="636"/>
        <v>24000</v>
      </c>
    </row>
    <row r="1491" spans="2:19" x14ac:dyDescent="0.2">
      <c r="B1491" s="7">
        <f t="shared" si="638"/>
        <v>102</v>
      </c>
      <c r="C1491" s="24"/>
      <c r="D1491" s="24"/>
      <c r="E1491" s="24"/>
      <c r="F1491" s="136"/>
      <c r="G1491" s="136"/>
      <c r="H1491" s="1" t="s">
        <v>613</v>
      </c>
      <c r="I1491" s="26"/>
      <c r="J1491" s="26"/>
      <c r="K1491" s="26">
        <f t="shared" si="618"/>
        <v>0</v>
      </c>
      <c r="L1491" s="26"/>
      <c r="M1491" s="26">
        <f>55000+12000+4000</f>
        <v>71000</v>
      </c>
      <c r="N1491" s="26"/>
      <c r="O1491" s="26">
        <f t="shared" si="620"/>
        <v>71000</v>
      </c>
      <c r="P1491" s="26"/>
      <c r="Q1491" s="28">
        <f t="shared" si="629"/>
        <v>71000</v>
      </c>
      <c r="R1491" s="28">
        <f t="shared" si="636"/>
        <v>0</v>
      </c>
      <c r="S1491" s="28">
        <f t="shared" si="636"/>
        <v>71000</v>
      </c>
    </row>
    <row r="1492" spans="2:19" x14ac:dyDescent="0.2">
      <c r="B1492" s="7">
        <f t="shared" si="638"/>
        <v>103</v>
      </c>
      <c r="C1492" s="24"/>
      <c r="D1492" s="24"/>
      <c r="E1492" s="24"/>
      <c r="F1492" s="136"/>
      <c r="G1492" s="136"/>
      <c r="H1492" s="1" t="s">
        <v>559</v>
      </c>
      <c r="I1492" s="26"/>
      <c r="J1492" s="26"/>
      <c r="K1492" s="26">
        <f t="shared" si="618"/>
        <v>0</v>
      </c>
      <c r="L1492" s="26"/>
      <c r="M1492" s="26">
        <v>600000</v>
      </c>
      <c r="N1492" s="26"/>
      <c r="O1492" s="26">
        <f t="shared" si="620"/>
        <v>600000</v>
      </c>
      <c r="P1492" s="26"/>
      <c r="Q1492" s="28">
        <f t="shared" si="629"/>
        <v>600000</v>
      </c>
      <c r="R1492" s="28">
        <f t="shared" si="636"/>
        <v>0</v>
      </c>
      <c r="S1492" s="28">
        <f t="shared" si="636"/>
        <v>600000</v>
      </c>
    </row>
    <row r="1493" spans="2:19" x14ac:dyDescent="0.2">
      <c r="B1493" s="7">
        <f t="shared" si="638"/>
        <v>104</v>
      </c>
      <c r="C1493" s="24"/>
      <c r="D1493" s="24"/>
      <c r="E1493" s="24"/>
      <c r="F1493" s="136"/>
      <c r="G1493" s="136"/>
      <c r="H1493" s="1" t="s">
        <v>633</v>
      </c>
      <c r="I1493" s="26"/>
      <c r="J1493" s="26"/>
      <c r="K1493" s="26">
        <f t="shared" si="618"/>
        <v>0</v>
      </c>
      <c r="L1493" s="26"/>
      <c r="M1493" s="26">
        <v>150000</v>
      </c>
      <c r="N1493" s="26"/>
      <c r="O1493" s="26">
        <f t="shared" si="620"/>
        <v>150000</v>
      </c>
      <c r="P1493" s="26"/>
      <c r="Q1493" s="28">
        <f t="shared" si="629"/>
        <v>150000</v>
      </c>
      <c r="R1493" s="28">
        <f t="shared" si="636"/>
        <v>0</v>
      </c>
      <c r="S1493" s="28">
        <f t="shared" si="636"/>
        <v>150000</v>
      </c>
    </row>
    <row r="1494" spans="2:19" x14ac:dyDescent="0.2">
      <c r="B1494" s="7">
        <f t="shared" si="638"/>
        <v>105</v>
      </c>
      <c r="C1494" s="24"/>
      <c r="D1494" s="24"/>
      <c r="E1494" s="24"/>
      <c r="F1494" s="136"/>
      <c r="G1494" s="136"/>
      <c r="H1494" s="1" t="s">
        <v>729</v>
      </c>
      <c r="I1494" s="26"/>
      <c r="J1494" s="26"/>
      <c r="K1494" s="26">
        <f t="shared" si="618"/>
        <v>0</v>
      </c>
      <c r="L1494" s="26"/>
      <c r="M1494" s="26">
        <v>1103</v>
      </c>
      <c r="N1494" s="26"/>
      <c r="O1494" s="26">
        <f t="shared" si="620"/>
        <v>1103</v>
      </c>
      <c r="P1494" s="26"/>
      <c r="Q1494" s="28">
        <f t="shared" si="629"/>
        <v>1103</v>
      </c>
      <c r="R1494" s="28">
        <f t="shared" si="636"/>
        <v>0</v>
      </c>
      <c r="S1494" s="28">
        <f t="shared" si="636"/>
        <v>1103</v>
      </c>
    </row>
    <row r="1495" spans="2:19" x14ac:dyDescent="0.2">
      <c r="B1495" s="7">
        <f t="shared" si="638"/>
        <v>106</v>
      </c>
      <c r="C1495" s="24"/>
      <c r="D1495" s="24"/>
      <c r="E1495" s="24"/>
      <c r="F1495" s="136"/>
      <c r="G1495" s="136"/>
      <c r="H1495" s="1" t="s">
        <v>467</v>
      </c>
      <c r="I1495" s="26"/>
      <c r="J1495" s="26"/>
      <c r="K1495" s="26">
        <f t="shared" si="618"/>
        <v>0</v>
      </c>
      <c r="L1495" s="26"/>
      <c r="M1495" s="26">
        <f>431446+36000+164980</f>
        <v>632426</v>
      </c>
      <c r="N1495" s="26"/>
      <c r="O1495" s="26">
        <f t="shared" si="620"/>
        <v>632426</v>
      </c>
      <c r="P1495" s="26"/>
      <c r="Q1495" s="28">
        <f t="shared" si="629"/>
        <v>632426</v>
      </c>
      <c r="R1495" s="28">
        <f t="shared" si="636"/>
        <v>0</v>
      </c>
      <c r="S1495" s="28">
        <f t="shared" si="636"/>
        <v>632426</v>
      </c>
    </row>
    <row r="1496" spans="2:19" x14ac:dyDescent="0.2">
      <c r="B1496" s="7">
        <f t="shared" si="638"/>
        <v>107</v>
      </c>
      <c r="C1496" s="24"/>
      <c r="D1496" s="24"/>
      <c r="E1496" s="24"/>
      <c r="F1496" s="136"/>
      <c r="G1496" s="136"/>
      <c r="H1496" s="1" t="s">
        <v>468</v>
      </c>
      <c r="I1496" s="26"/>
      <c r="J1496" s="26"/>
      <c r="K1496" s="26">
        <f t="shared" si="618"/>
        <v>0</v>
      </c>
      <c r="L1496" s="26"/>
      <c r="M1496" s="26">
        <v>738309</v>
      </c>
      <c r="N1496" s="26"/>
      <c r="O1496" s="26">
        <f t="shared" si="620"/>
        <v>738309</v>
      </c>
      <c r="P1496" s="26"/>
      <c r="Q1496" s="28">
        <f t="shared" si="629"/>
        <v>738309</v>
      </c>
      <c r="R1496" s="28">
        <f t="shared" si="636"/>
        <v>0</v>
      </c>
      <c r="S1496" s="28">
        <f t="shared" si="636"/>
        <v>738309</v>
      </c>
    </row>
    <row r="1497" spans="2:19" x14ac:dyDescent="0.2">
      <c r="B1497" s="7">
        <f t="shared" si="638"/>
        <v>108</v>
      </c>
      <c r="C1497" s="24"/>
      <c r="D1497" s="24"/>
      <c r="E1497" s="24"/>
      <c r="F1497" s="136"/>
      <c r="G1497" s="136"/>
      <c r="H1497" s="1" t="s">
        <v>419</v>
      </c>
      <c r="I1497" s="26"/>
      <c r="J1497" s="26"/>
      <c r="K1497" s="26">
        <f t="shared" si="618"/>
        <v>0</v>
      </c>
      <c r="L1497" s="26"/>
      <c r="M1497" s="26">
        <v>350000</v>
      </c>
      <c r="N1497" s="26"/>
      <c r="O1497" s="26">
        <f t="shared" si="620"/>
        <v>350000</v>
      </c>
      <c r="P1497" s="26"/>
      <c r="Q1497" s="28">
        <f t="shared" si="629"/>
        <v>350000</v>
      </c>
      <c r="R1497" s="28">
        <f t="shared" si="636"/>
        <v>0</v>
      </c>
      <c r="S1497" s="28">
        <f t="shared" si="636"/>
        <v>350000</v>
      </c>
    </row>
    <row r="1498" spans="2:19" x14ac:dyDescent="0.2">
      <c r="B1498" s="7">
        <f t="shared" si="638"/>
        <v>109</v>
      </c>
      <c r="C1498" s="24"/>
      <c r="D1498" s="24"/>
      <c r="E1498" s="24"/>
      <c r="F1498" s="136"/>
      <c r="G1498" s="136"/>
      <c r="H1498" s="1" t="s">
        <v>445</v>
      </c>
      <c r="I1498" s="26"/>
      <c r="J1498" s="26"/>
      <c r="K1498" s="26">
        <f t="shared" si="618"/>
        <v>0</v>
      </c>
      <c r="L1498" s="26"/>
      <c r="M1498" s="26">
        <v>720000</v>
      </c>
      <c r="N1498" s="26"/>
      <c r="O1498" s="26">
        <f t="shared" si="620"/>
        <v>720000</v>
      </c>
      <c r="P1498" s="26"/>
      <c r="Q1498" s="28">
        <f t="shared" si="629"/>
        <v>720000</v>
      </c>
      <c r="R1498" s="28">
        <f t="shared" si="636"/>
        <v>0</v>
      </c>
      <c r="S1498" s="28">
        <f t="shared" si="636"/>
        <v>720000</v>
      </c>
    </row>
    <row r="1499" spans="2:19" x14ac:dyDescent="0.2">
      <c r="B1499" s="7">
        <f t="shared" si="638"/>
        <v>110</v>
      </c>
      <c r="C1499" s="24"/>
      <c r="D1499" s="24"/>
      <c r="E1499" s="24"/>
      <c r="F1499" s="136"/>
      <c r="G1499" s="136"/>
      <c r="H1499" s="1" t="s">
        <v>421</v>
      </c>
      <c r="I1499" s="26"/>
      <c r="J1499" s="26"/>
      <c r="K1499" s="26">
        <f t="shared" si="618"/>
        <v>0</v>
      </c>
      <c r="L1499" s="26"/>
      <c r="M1499" s="26">
        <f>800000+640000</f>
        <v>1440000</v>
      </c>
      <c r="N1499" s="26"/>
      <c r="O1499" s="26">
        <f t="shared" si="620"/>
        <v>1440000</v>
      </c>
      <c r="P1499" s="26"/>
      <c r="Q1499" s="28">
        <f t="shared" si="629"/>
        <v>1440000</v>
      </c>
      <c r="R1499" s="28">
        <f t="shared" si="636"/>
        <v>0</v>
      </c>
      <c r="S1499" s="28">
        <f t="shared" si="636"/>
        <v>1440000</v>
      </c>
    </row>
    <row r="1500" spans="2:19" x14ac:dyDescent="0.2">
      <c r="B1500" s="7">
        <f t="shared" si="638"/>
        <v>111</v>
      </c>
      <c r="C1500" s="24"/>
      <c r="D1500" s="24"/>
      <c r="E1500" s="24"/>
      <c r="F1500" s="136"/>
      <c r="G1500" s="136"/>
      <c r="H1500" s="1" t="s">
        <v>429</v>
      </c>
      <c r="I1500" s="26"/>
      <c r="J1500" s="26"/>
      <c r="K1500" s="26">
        <f t="shared" si="618"/>
        <v>0</v>
      </c>
      <c r="L1500" s="26"/>
      <c r="M1500" s="26">
        <v>1849096</v>
      </c>
      <c r="N1500" s="26"/>
      <c r="O1500" s="26">
        <f t="shared" si="620"/>
        <v>1849096</v>
      </c>
      <c r="P1500" s="26"/>
      <c r="Q1500" s="28">
        <f t="shared" ref="Q1500:Q1518" si="639">M1500+I1500</f>
        <v>1849096</v>
      </c>
      <c r="R1500" s="28">
        <f t="shared" ref="R1500:S1515" si="640">N1500+J1500</f>
        <v>0</v>
      </c>
      <c r="S1500" s="28">
        <f t="shared" si="640"/>
        <v>1849096</v>
      </c>
    </row>
    <row r="1501" spans="2:19" x14ac:dyDescent="0.2">
      <c r="B1501" s="7">
        <f t="shared" si="638"/>
        <v>112</v>
      </c>
      <c r="C1501" s="24"/>
      <c r="D1501" s="24"/>
      <c r="E1501" s="24"/>
      <c r="F1501" s="136"/>
      <c r="G1501" s="136"/>
      <c r="H1501" s="1" t="s">
        <v>634</v>
      </c>
      <c r="I1501" s="26"/>
      <c r="J1501" s="26"/>
      <c r="K1501" s="26">
        <f t="shared" si="618"/>
        <v>0</v>
      </c>
      <c r="L1501" s="26"/>
      <c r="M1501" s="26">
        <f>650000+9020</f>
        <v>659020</v>
      </c>
      <c r="N1501" s="26"/>
      <c r="O1501" s="26">
        <f t="shared" si="620"/>
        <v>659020</v>
      </c>
      <c r="P1501" s="26"/>
      <c r="Q1501" s="28">
        <f t="shared" si="639"/>
        <v>659020</v>
      </c>
      <c r="R1501" s="28">
        <f t="shared" si="640"/>
        <v>0</v>
      </c>
      <c r="S1501" s="28">
        <f t="shared" si="640"/>
        <v>659020</v>
      </c>
    </row>
    <row r="1502" spans="2:19" x14ac:dyDescent="0.2">
      <c r="B1502" s="7">
        <f t="shared" si="638"/>
        <v>113</v>
      </c>
      <c r="C1502" s="24"/>
      <c r="D1502" s="24"/>
      <c r="E1502" s="24"/>
      <c r="F1502" s="136"/>
      <c r="G1502" s="136"/>
      <c r="H1502" s="1" t="s">
        <v>290</v>
      </c>
      <c r="I1502" s="26"/>
      <c r="J1502" s="26"/>
      <c r="K1502" s="26">
        <f t="shared" si="618"/>
        <v>0</v>
      </c>
      <c r="L1502" s="26"/>
      <c r="M1502" s="26">
        <f>1125000+1230000</f>
        <v>2355000</v>
      </c>
      <c r="N1502" s="26"/>
      <c r="O1502" s="26">
        <f t="shared" si="620"/>
        <v>2355000</v>
      </c>
      <c r="P1502" s="26"/>
      <c r="Q1502" s="28">
        <f t="shared" si="639"/>
        <v>2355000</v>
      </c>
      <c r="R1502" s="28">
        <f t="shared" si="640"/>
        <v>0</v>
      </c>
      <c r="S1502" s="28">
        <f t="shared" si="640"/>
        <v>2355000</v>
      </c>
    </row>
    <row r="1503" spans="2:19" x14ac:dyDescent="0.2">
      <c r="B1503" s="7">
        <f t="shared" si="638"/>
        <v>114</v>
      </c>
      <c r="C1503" s="24"/>
      <c r="D1503" s="24"/>
      <c r="E1503" s="24"/>
      <c r="F1503" s="136"/>
      <c r="G1503" s="136"/>
      <c r="H1503" s="1" t="s">
        <v>267</v>
      </c>
      <c r="I1503" s="26"/>
      <c r="J1503" s="26"/>
      <c r="K1503" s="26">
        <f t="shared" si="618"/>
        <v>0</v>
      </c>
      <c r="L1503" s="26"/>
      <c r="M1503" s="26">
        <f>750000+150000+175000</f>
        <v>1075000</v>
      </c>
      <c r="N1503" s="26"/>
      <c r="O1503" s="26">
        <f t="shared" si="620"/>
        <v>1075000</v>
      </c>
      <c r="P1503" s="26"/>
      <c r="Q1503" s="28">
        <f t="shared" si="639"/>
        <v>1075000</v>
      </c>
      <c r="R1503" s="28">
        <f t="shared" si="640"/>
        <v>0</v>
      </c>
      <c r="S1503" s="28">
        <f t="shared" si="640"/>
        <v>1075000</v>
      </c>
    </row>
    <row r="1504" spans="2:19" x14ac:dyDescent="0.2">
      <c r="B1504" s="7">
        <f t="shared" si="638"/>
        <v>115</v>
      </c>
      <c r="C1504" s="24"/>
      <c r="D1504" s="24"/>
      <c r="E1504" s="24"/>
      <c r="F1504" s="136"/>
      <c r="G1504" s="136"/>
      <c r="H1504" s="1" t="s">
        <v>403</v>
      </c>
      <c r="I1504" s="26"/>
      <c r="J1504" s="26"/>
      <c r="K1504" s="26">
        <f t="shared" si="618"/>
        <v>0</v>
      </c>
      <c r="L1504" s="26"/>
      <c r="M1504" s="26">
        <v>1000000</v>
      </c>
      <c r="N1504" s="26"/>
      <c r="O1504" s="26">
        <f t="shared" si="620"/>
        <v>1000000</v>
      </c>
      <c r="P1504" s="26"/>
      <c r="Q1504" s="28">
        <f t="shared" si="639"/>
        <v>1000000</v>
      </c>
      <c r="R1504" s="28">
        <f t="shared" si="640"/>
        <v>0</v>
      </c>
      <c r="S1504" s="28">
        <f t="shared" si="640"/>
        <v>1000000</v>
      </c>
    </row>
    <row r="1505" spans="2:19" s="42" customFormat="1" x14ac:dyDescent="0.2">
      <c r="B1505" s="7">
        <f t="shared" ref="B1505:B1523" si="641">B1504+1</f>
        <v>116</v>
      </c>
      <c r="C1505" s="24"/>
      <c r="D1505" s="24"/>
      <c r="E1505" s="24"/>
      <c r="F1505" s="136"/>
      <c r="G1505" s="136"/>
      <c r="H1505" s="1" t="s">
        <v>430</v>
      </c>
      <c r="I1505" s="26"/>
      <c r="J1505" s="26"/>
      <c r="K1505" s="26">
        <f t="shared" si="618"/>
        <v>0</v>
      </c>
      <c r="L1505" s="26"/>
      <c r="M1505" s="26">
        <f>5000000+4875300+12300+53615+5300</f>
        <v>9946515</v>
      </c>
      <c r="N1505" s="26"/>
      <c r="O1505" s="26">
        <f t="shared" si="620"/>
        <v>9946515</v>
      </c>
      <c r="P1505" s="26"/>
      <c r="Q1505" s="28">
        <f t="shared" si="639"/>
        <v>9946515</v>
      </c>
      <c r="R1505" s="28">
        <f t="shared" si="640"/>
        <v>0</v>
      </c>
      <c r="S1505" s="28">
        <f t="shared" si="640"/>
        <v>9946515</v>
      </c>
    </row>
    <row r="1506" spans="2:19" ht="15" x14ac:dyDescent="0.25">
      <c r="B1506" s="7">
        <f t="shared" si="641"/>
        <v>117</v>
      </c>
      <c r="C1506" s="108"/>
      <c r="D1506" s="108"/>
      <c r="E1506" s="108">
        <v>2</v>
      </c>
      <c r="F1506" s="109"/>
      <c r="G1506" s="109"/>
      <c r="H1506" s="108" t="s">
        <v>11</v>
      </c>
      <c r="I1506" s="110">
        <f>I1507+I1508+I1509+I1516</f>
        <v>287920</v>
      </c>
      <c r="J1506" s="110">
        <f t="shared" ref="J1506" si="642">J1507+J1508+J1509+J1516</f>
        <v>0</v>
      </c>
      <c r="K1506" s="110">
        <f t="shared" si="618"/>
        <v>287920</v>
      </c>
      <c r="L1506" s="321"/>
      <c r="M1506" s="110">
        <f>M1517</f>
        <v>30005</v>
      </c>
      <c r="N1506" s="110">
        <f t="shared" ref="N1506" si="643">N1517</f>
        <v>0</v>
      </c>
      <c r="O1506" s="110">
        <f t="shared" si="620"/>
        <v>30005</v>
      </c>
      <c r="P1506" s="321"/>
      <c r="Q1506" s="112">
        <f t="shared" si="639"/>
        <v>317925</v>
      </c>
      <c r="R1506" s="112">
        <f t="shared" si="640"/>
        <v>0</v>
      </c>
      <c r="S1506" s="112">
        <f t="shared" si="640"/>
        <v>317925</v>
      </c>
    </row>
    <row r="1507" spans="2:19" x14ac:dyDescent="0.2">
      <c r="B1507" s="7">
        <f t="shared" si="641"/>
        <v>118</v>
      </c>
      <c r="C1507" s="13"/>
      <c r="D1507" s="13"/>
      <c r="E1507" s="13"/>
      <c r="F1507" s="14" t="s">
        <v>188</v>
      </c>
      <c r="G1507" s="15">
        <v>610</v>
      </c>
      <c r="H1507" s="13" t="s">
        <v>511</v>
      </c>
      <c r="I1507" s="16">
        <v>65000</v>
      </c>
      <c r="J1507" s="16"/>
      <c r="K1507" s="16">
        <f t="shared" si="618"/>
        <v>65000</v>
      </c>
      <c r="L1507" s="16"/>
      <c r="M1507" s="16"/>
      <c r="N1507" s="16"/>
      <c r="O1507" s="16">
        <f t="shared" si="620"/>
        <v>0</v>
      </c>
      <c r="P1507" s="16"/>
      <c r="Q1507" s="18">
        <f t="shared" si="639"/>
        <v>65000</v>
      </c>
      <c r="R1507" s="18">
        <f t="shared" si="640"/>
        <v>0</v>
      </c>
      <c r="S1507" s="18">
        <f t="shared" si="640"/>
        <v>65000</v>
      </c>
    </row>
    <row r="1508" spans="2:19" x14ac:dyDescent="0.2">
      <c r="B1508" s="7">
        <f t="shared" si="641"/>
        <v>119</v>
      </c>
      <c r="C1508" s="13"/>
      <c r="D1508" s="13"/>
      <c r="E1508" s="13"/>
      <c r="F1508" s="14" t="s">
        <v>188</v>
      </c>
      <c r="G1508" s="15">
        <v>620</v>
      </c>
      <c r="H1508" s="13" t="s">
        <v>122</v>
      </c>
      <c r="I1508" s="16">
        <v>28465</v>
      </c>
      <c r="J1508" s="16"/>
      <c r="K1508" s="16">
        <f t="shared" si="618"/>
        <v>28465</v>
      </c>
      <c r="L1508" s="16"/>
      <c r="M1508" s="16"/>
      <c r="N1508" s="16"/>
      <c r="O1508" s="16">
        <f t="shared" si="620"/>
        <v>0</v>
      </c>
      <c r="P1508" s="16"/>
      <c r="Q1508" s="18">
        <f t="shared" si="639"/>
        <v>28465</v>
      </c>
      <c r="R1508" s="18">
        <f t="shared" si="640"/>
        <v>0</v>
      </c>
      <c r="S1508" s="18">
        <f t="shared" si="640"/>
        <v>28465</v>
      </c>
    </row>
    <row r="1509" spans="2:19" x14ac:dyDescent="0.2">
      <c r="B1509" s="7">
        <f t="shared" si="641"/>
        <v>120</v>
      </c>
      <c r="C1509" s="13"/>
      <c r="D1509" s="13"/>
      <c r="E1509" s="13"/>
      <c r="F1509" s="14" t="s">
        <v>188</v>
      </c>
      <c r="G1509" s="15">
        <v>630</v>
      </c>
      <c r="H1509" s="13" t="s">
        <v>119</v>
      </c>
      <c r="I1509" s="16">
        <f>SUM(I1510:I1515)</f>
        <v>189555</v>
      </c>
      <c r="J1509" s="16">
        <f t="shared" ref="J1509" si="644">SUM(J1510:J1515)</f>
        <v>0</v>
      </c>
      <c r="K1509" s="16">
        <f t="shared" si="618"/>
        <v>189555</v>
      </c>
      <c r="L1509" s="16"/>
      <c r="M1509" s="16"/>
      <c r="N1509" s="16"/>
      <c r="O1509" s="16">
        <f t="shared" si="620"/>
        <v>0</v>
      </c>
      <c r="P1509" s="16"/>
      <c r="Q1509" s="18">
        <f t="shared" si="639"/>
        <v>189555</v>
      </c>
      <c r="R1509" s="18">
        <f t="shared" si="640"/>
        <v>0</v>
      </c>
      <c r="S1509" s="18">
        <f t="shared" si="640"/>
        <v>189555</v>
      </c>
    </row>
    <row r="1510" spans="2:19" x14ac:dyDescent="0.2">
      <c r="B1510" s="7">
        <f t="shared" si="641"/>
        <v>121</v>
      </c>
      <c r="C1510" s="19"/>
      <c r="D1510" s="19"/>
      <c r="E1510" s="19"/>
      <c r="F1510" s="20"/>
      <c r="G1510" s="21">
        <v>632</v>
      </c>
      <c r="H1510" s="19" t="s">
        <v>131</v>
      </c>
      <c r="I1510" s="22">
        <v>14820</v>
      </c>
      <c r="J1510" s="22"/>
      <c r="K1510" s="22">
        <f t="shared" si="618"/>
        <v>14820</v>
      </c>
      <c r="L1510" s="22"/>
      <c r="M1510" s="22"/>
      <c r="N1510" s="22"/>
      <c r="O1510" s="22">
        <f t="shared" si="620"/>
        <v>0</v>
      </c>
      <c r="P1510" s="22"/>
      <c r="Q1510" s="23">
        <f t="shared" si="639"/>
        <v>14820</v>
      </c>
      <c r="R1510" s="23">
        <f t="shared" si="640"/>
        <v>0</v>
      </c>
      <c r="S1510" s="23">
        <f t="shared" si="640"/>
        <v>14820</v>
      </c>
    </row>
    <row r="1511" spans="2:19" x14ac:dyDescent="0.2">
      <c r="B1511" s="7">
        <f t="shared" si="641"/>
        <v>122</v>
      </c>
      <c r="C1511" s="19"/>
      <c r="D1511" s="19"/>
      <c r="E1511" s="19"/>
      <c r="F1511" s="20"/>
      <c r="G1511" s="21">
        <v>633</v>
      </c>
      <c r="H1511" s="19" t="s">
        <v>123</v>
      </c>
      <c r="I1511" s="22">
        <v>58500</v>
      </c>
      <c r="J1511" s="22"/>
      <c r="K1511" s="22">
        <f t="shared" si="618"/>
        <v>58500</v>
      </c>
      <c r="L1511" s="22"/>
      <c r="M1511" s="22"/>
      <c r="N1511" s="22"/>
      <c r="O1511" s="22">
        <f t="shared" si="620"/>
        <v>0</v>
      </c>
      <c r="P1511" s="22"/>
      <c r="Q1511" s="23">
        <f t="shared" si="639"/>
        <v>58500</v>
      </c>
      <c r="R1511" s="23">
        <f t="shared" si="640"/>
        <v>0</v>
      </c>
      <c r="S1511" s="23">
        <f t="shared" si="640"/>
        <v>58500</v>
      </c>
    </row>
    <row r="1512" spans="2:19" ht="13.5" customHeight="1" x14ac:dyDescent="0.2">
      <c r="B1512" s="7">
        <f t="shared" si="641"/>
        <v>123</v>
      </c>
      <c r="C1512" s="19"/>
      <c r="D1512" s="19"/>
      <c r="E1512" s="19"/>
      <c r="F1512" s="20"/>
      <c r="G1512" s="21">
        <v>634</v>
      </c>
      <c r="H1512" s="19" t="s">
        <v>129</v>
      </c>
      <c r="I1512" s="22">
        <v>3500</v>
      </c>
      <c r="J1512" s="22"/>
      <c r="K1512" s="22">
        <f t="shared" si="618"/>
        <v>3500</v>
      </c>
      <c r="L1512" s="22"/>
      <c r="M1512" s="22"/>
      <c r="N1512" s="22"/>
      <c r="O1512" s="22">
        <f t="shared" si="620"/>
        <v>0</v>
      </c>
      <c r="P1512" s="22"/>
      <c r="Q1512" s="23">
        <f t="shared" si="639"/>
        <v>3500</v>
      </c>
      <c r="R1512" s="23">
        <f t="shared" si="640"/>
        <v>0</v>
      </c>
      <c r="S1512" s="23">
        <f t="shared" si="640"/>
        <v>3500</v>
      </c>
    </row>
    <row r="1513" spans="2:19" ht="16.5" customHeight="1" x14ac:dyDescent="0.2">
      <c r="B1513" s="7">
        <f t="shared" si="641"/>
        <v>124</v>
      </c>
      <c r="C1513" s="19"/>
      <c r="D1513" s="19"/>
      <c r="E1513" s="19"/>
      <c r="F1513" s="20"/>
      <c r="G1513" s="21">
        <v>635</v>
      </c>
      <c r="H1513" s="19" t="s">
        <v>130</v>
      </c>
      <c r="I1513" s="22">
        <f>30500+15000</f>
        <v>45500</v>
      </c>
      <c r="J1513" s="22"/>
      <c r="K1513" s="22">
        <f t="shared" si="618"/>
        <v>45500</v>
      </c>
      <c r="L1513" s="22"/>
      <c r="M1513" s="22"/>
      <c r="N1513" s="22"/>
      <c r="O1513" s="22">
        <f t="shared" si="620"/>
        <v>0</v>
      </c>
      <c r="P1513" s="22"/>
      <c r="Q1513" s="23">
        <f t="shared" si="639"/>
        <v>45500</v>
      </c>
      <c r="R1513" s="23">
        <f t="shared" si="640"/>
        <v>0</v>
      </c>
      <c r="S1513" s="23">
        <f t="shared" si="640"/>
        <v>45500</v>
      </c>
    </row>
    <row r="1514" spans="2:19" x14ac:dyDescent="0.2">
      <c r="B1514" s="7">
        <f t="shared" si="641"/>
        <v>125</v>
      </c>
      <c r="C1514" s="19"/>
      <c r="D1514" s="19"/>
      <c r="E1514" s="19"/>
      <c r="F1514" s="20"/>
      <c r="G1514" s="21">
        <v>636</v>
      </c>
      <c r="H1514" s="19" t="s">
        <v>124</v>
      </c>
      <c r="I1514" s="22">
        <v>8500</v>
      </c>
      <c r="J1514" s="22"/>
      <c r="K1514" s="22">
        <f t="shared" ref="K1514:K1523" si="645">I1514+J1514</f>
        <v>8500</v>
      </c>
      <c r="L1514" s="22"/>
      <c r="M1514" s="22"/>
      <c r="N1514" s="22"/>
      <c r="O1514" s="22">
        <f t="shared" si="620"/>
        <v>0</v>
      </c>
      <c r="P1514" s="22"/>
      <c r="Q1514" s="23">
        <f t="shared" si="639"/>
        <v>8500</v>
      </c>
      <c r="R1514" s="23">
        <f t="shared" si="640"/>
        <v>0</v>
      </c>
      <c r="S1514" s="23">
        <f t="shared" si="640"/>
        <v>8500</v>
      </c>
    </row>
    <row r="1515" spans="2:19" x14ac:dyDescent="0.2">
      <c r="B1515" s="7">
        <f t="shared" si="641"/>
        <v>126</v>
      </c>
      <c r="C1515" s="19"/>
      <c r="D1515" s="19"/>
      <c r="E1515" s="19"/>
      <c r="F1515" s="20"/>
      <c r="G1515" s="21">
        <v>637</v>
      </c>
      <c r="H1515" s="19" t="s">
        <v>120</v>
      </c>
      <c r="I1515" s="22">
        <f>20735+38000</f>
        <v>58735</v>
      </c>
      <c r="J1515" s="22"/>
      <c r="K1515" s="22">
        <f t="shared" si="645"/>
        <v>58735</v>
      </c>
      <c r="L1515" s="22"/>
      <c r="M1515" s="22"/>
      <c r="N1515" s="22"/>
      <c r="O1515" s="22">
        <f t="shared" si="620"/>
        <v>0</v>
      </c>
      <c r="P1515" s="22"/>
      <c r="Q1515" s="23">
        <f t="shared" si="639"/>
        <v>58735</v>
      </c>
      <c r="R1515" s="23">
        <f t="shared" si="640"/>
        <v>0</v>
      </c>
      <c r="S1515" s="23">
        <f t="shared" si="640"/>
        <v>58735</v>
      </c>
    </row>
    <row r="1516" spans="2:19" x14ac:dyDescent="0.2">
      <c r="B1516" s="7">
        <f t="shared" si="641"/>
        <v>127</v>
      </c>
      <c r="C1516" s="19"/>
      <c r="D1516" s="19"/>
      <c r="E1516" s="19"/>
      <c r="F1516" s="20" t="s">
        <v>188</v>
      </c>
      <c r="G1516" s="21">
        <v>640</v>
      </c>
      <c r="H1516" s="19" t="s">
        <v>127</v>
      </c>
      <c r="I1516" s="22">
        <f>3900+1000</f>
        <v>4900</v>
      </c>
      <c r="J1516" s="22"/>
      <c r="K1516" s="22">
        <f t="shared" si="645"/>
        <v>4900</v>
      </c>
      <c r="L1516" s="22"/>
      <c r="M1516" s="22"/>
      <c r="N1516" s="22"/>
      <c r="O1516" s="22">
        <f t="shared" si="620"/>
        <v>0</v>
      </c>
      <c r="P1516" s="22"/>
      <c r="Q1516" s="23">
        <f t="shared" si="639"/>
        <v>4900</v>
      </c>
      <c r="R1516" s="23">
        <f t="shared" ref="R1516:S1518" si="646">N1516+J1516</f>
        <v>0</v>
      </c>
      <c r="S1516" s="23">
        <f t="shared" si="646"/>
        <v>4900</v>
      </c>
    </row>
    <row r="1517" spans="2:19" x14ac:dyDescent="0.2">
      <c r="B1517" s="7">
        <f t="shared" si="641"/>
        <v>128</v>
      </c>
      <c r="C1517" s="13"/>
      <c r="D1517" s="13"/>
      <c r="E1517" s="13"/>
      <c r="F1517" s="14" t="s">
        <v>188</v>
      </c>
      <c r="G1517" s="15">
        <v>710</v>
      </c>
      <c r="H1517" s="13" t="s">
        <v>171</v>
      </c>
      <c r="I1517" s="16"/>
      <c r="J1517" s="16"/>
      <c r="K1517" s="16">
        <f t="shared" si="645"/>
        <v>0</v>
      </c>
      <c r="L1517" s="16"/>
      <c r="M1517" s="16">
        <f>M1518+M1520+M1522</f>
        <v>30005</v>
      </c>
      <c r="N1517" s="16">
        <f t="shared" ref="N1517" si="647">N1518+N1520+N1522</f>
        <v>0</v>
      </c>
      <c r="O1517" s="16">
        <f t="shared" ref="O1517:O1523" si="648">M1517+N1517</f>
        <v>30005</v>
      </c>
      <c r="P1517" s="16"/>
      <c r="Q1517" s="18">
        <f t="shared" si="639"/>
        <v>30005</v>
      </c>
      <c r="R1517" s="18">
        <f t="shared" si="646"/>
        <v>0</v>
      </c>
      <c r="S1517" s="18">
        <f t="shared" si="646"/>
        <v>30005</v>
      </c>
    </row>
    <row r="1518" spans="2:19" x14ac:dyDescent="0.2">
      <c r="B1518" s="7">
        <f t="shared" si="641"/>
        <v>129</v>
      </c>
      <c r="C1518" s="13"/>
      <c r="D1518" s="13"/>
      <c r="E1518" s="13"/>
      <c r="F1518" s="14"/>
      <c r="G1518" s="21">
        <v>714</v>
      </c>
      <c r="H1518" s="19" t="s">
        <v>172</v>
      </c>
      <c r="I1518" s="22"/>
      <c r="J1518" s="22"/>
      <c r="K1518" s="22">
        <f t="shared" si="645"/>
        <v>0</v>
      </c>
      <c r="L1518" s="22"/>
      <c r="M1518" s="22">
        <f>M1519</f>
        <v>5</v>
      </c>
      <c r="N1518" s="22">
        <f t="shared" ref="N1518" si="649">N1519</f>
        <v>0</v>
      </c>
      <c r="O1518" s="22">
        <f t="shared" si="648"/>
        <v>5</v>
      </c>
      <c r="P1518" s="22"/>
      <c r="Q1518" s="23">
        <f t="shared" si="639"/>
        <v>5</v>
      </c>
      <c r="R1518" s="23">
        <f t="shared" si="646"/>
        <v>0</v>
      </c>
      <c r="S1518" s="23">
        <f t="shared" si="646"/>
        <v>5</v>
      </c>
    </row>
    <row r="1519" spans="2:19" x14ac:dyDescent="0.2">
      <c r="B1519" s="7">
        <f t="shared" si="641"/>
        <v>130</v>
      </c>
      <c r="C1519" s="19"/>
      <c r="D1519" s="19"/>
      <c r="E1519" s="19"/>
      <c r="F1519" s="20"/>
      <c r="G1519" s="21"/>
      <c r="H1519" s="19" t="s">
        <v>720</v>
      </c>
      <c r="I1519" s="22"/>
      <c r="J1519" s="22"/>
      <c r="K1519" s="22">
        <f t="shared" si="645"/>
        <v>0</v>
      </c>
      <c r="L1519" s="22"/>
      <c r="M1519" s="22">
        <v>5</v>
      </c>
      <c r="N1519" s="22"/>
      <c r="O1519" s="22">
        <f t="shared" si="648"/>
        <v>5</v>
      </c>
      <c r="P1519" s="22"/>
      <c r="Q1519" s="23">
        <f>M1519</f>
        <v>5</v>
      </c>
      <c r="R1519" s="23">
        <f t="shared" ref="R1519:S1519" si="650">N1519</f>
        <v>0</v>
      </c>
      <c r="S1519" s="23">
        <f t="shared" si="650"/>
        <v>5</v>
      </c>
    </row>
    <row r="1520" spans="2:19" x14ac:dyDescent="0.2">
      <c r="B1520" s="7">
        <f t="shared" si="641"/>
        <v>131</v>
      </c>
      <c r="C1520" s="19"/>
      <c r="D1520" s="19"/>
      <c r="E1520" s="19"/>
      <c r="F1520" s="20"/>
      <c r="G1520" s="21">
        <v>716</v>
      </c>
      <c r="H1520" s="19" t="s">
        <v>211</v>
      </c>
      <c r="I1520" s="22"/>
      <c r="J1520" s="22"/>
      <c r="K1520" s="22">
        <f t="shared" si="645"/>
        <v>0</v>
      </c>
      <c r="L1520" s="22"/>
      <c r="M1520" s="22">
        <f>M1521</f>
        <v>1600</v>
      </c>
      <c r="N1520" s="22">
        <f t="shared" ref="N1520" si="651">N1521</f>
        <v>0</v>
      </c>
      <c r="O1520" s="22">
        <f t="shared" si="648"/>
        <v>1600</v>
      </c>
      <c r="P1520" s="22"/>
      <c r="Q1520" s="23">
        <f>M1520+I1520</f>
        <v>1600</v>
      </c>
      <c r="R1520" s="23">
        <f t="shared" ref="R1520:S1523" si="652">N1520+J1520</f>
        <v>0</v>
      </c>
      <c r="S1520" s="23">
        <f t="shared" si="652"/>
        <v>1600</v>
      </c>
    </row>
    <row r="1521" spans="2:19" x14ac:dyDescent="0.2">
      <c r="B1521" s="7">
        <f t="shared" si="641"/>
        <v>132</v>
      </c>
      <c r="C1521" s="19"/>
      <c r="D1521" s="19"/>
      <c r="E1521" s="19"/>
      <c r="F1521" s="20"/>
      <c r="G1521" s="21"/>
      <c r="H1521" s="19" t="s">
        <v>726</v>
      </c>
      <c r="I1521" s="22"/>
      <c r="J1521" s="22"/>
      <c r="K1521" s="22">
        <f t="shared" si="645"/>
        <v>0</v>
      </c>
      <c r="L1521" s="22"/>
      <c r="M1521" s="22">
        <v>1600</v>
      </c>
      <c r="N1521" s="22"/>
      <c r="O1521" s="22">
        <f t="shared" si="648"/>
        <v>1600</v>
      </c>
      <c r="P1521" s="22"/>
      <c r="Q1521" s="23">
        <f>M1521+I1521</f>
        <v>1600</v>
      </c>
      <c r="R1521" s="23">
        <f t="shared" si="652"/>
        <v>0</v>
      </c>
      <c r="S1521" s="23">
        <f t="shared" si="652"/>
        <v>1600</v>
      </c>
    </row>
    <row r="1522" spans="2:19" x14ac:dyDescent="0.2">
      <c r="B1522" s="7">
        <f t="shared" si="641"/>
        <v>133</v>
      </c>
      <c r="C1522" s="19"/>
      <c r="D1522" s="19"/>
      <c r="E1522" s="19"/>
      <c r="F1522" s="20"/>
      <c r="G1522" s="21">
        <v>717</v>
      </c>
      <c r="H1522" s="19" t="s">
        <v>178</v>
      </c>
      <c r="I1522" s="22"/>
      <c r="J1522" s="22"/>
      <c r="K1522" s="22">
        <f t="shared" si="645"/>
        <v>0</v>
      </c>
      <c r="L1522" s="22"/>
      <c r="M1522" s="22">
        <f>M1523</f>
        <v>28400</v>
      </c>
      <c r="N1522" s="22">
        <f t="shared" ref="N1522" si="653">N1523</f>
        <v>0</v>
      </c>
      <c r="O1522" s="22">
        <f t="shared" si="648"/>
        <v>28400</v>
      </c>
      <c r="P1522" s="22"/>
      <c r="Q1522" s="23">
        <f>M1522+I1522</f>
        <v>28400</v>
      </c>
      <c r="R1522" s="23">
        <f t="shared" si="652"/>
        <v>0</v>
      </c>
      <c r="S1522" s="23">
        <f t="shared" si="652"/>
        <v>28400</v>
      </c>
    </row>
    <row r="1523" spans="2:19" x14ac:dyDescent="0.2">
      <c r="B1523" s="167">
        <f t="shared" si="641"/>
        <v>134</v>
      </c>
      <c r="C1523" s="161"/>
      <c r="D1523" s="162"/>
      <c r="E1523" s="162"/>
      <c r="F1523" s="163"/>
      <c r="G1523" s="164"/>
      <c r="H1523" s="165" t="s">
        <v>726</v>
      </c>
      <c r="I1523" s="295"/>
      <c r="J1523" s="295"/>
      <c r="K1523" s="295">
        <f t="shared" si="645"/>
        <v>0</v>
      </c>
      <c r="L1523" s="295"/>
      <c r="M1523" s="295">
        <v>28400</v>
      </c>
      <c r="N1523" s="295"/>
      <c r="O1523" s="295">
        <f t="shared" si="648"/>
        <v>28400</v>
      </c>
      <c r="P1523" s="295"/>
      <c r="Q1523" s="349">
        <f>M1523+I1523</f>
        <v>28400</v>
      </c>
      <c r="R1523" s="349">
        <f t="shared" si="652"/>
        <v>0</v>
      </c>
      <c r="S1523" s="349">
        <f t="shared" si="652"/>
        <v>28400</v>
      </c>
    </row>
    <row r="1524" spans="2:19" x14ac:dyDescent="0.2">
      <c r="B1524" s="3"/>
      <c r="F1524" s="3"/>
      <c r="G1524" s="3"/>
      <c r="I1524" s="3"/>
      <c r="J1524" s="3"/>
      <c r="K1524" s="3"/>
      <c r="L1524" s="3"/>
      <c r="M1524" s="3"/>
      <c r="N1524" s="3"/>
      <c r="O1524" s="3"/>
      <c r="P1524" s="3"/>
      <c r="Q1524" s="3"/>
    </row>
    <row r="1525" spans="2:19" x14ac:dyDescent="0.2">
      <c r="B1525" s="3"/>
      <c r="F1525" s="3"/>
      <c r="G1525" s="3"/>
      <c r="I1525" s="3"/>
      <c r="J1525" s="3"/>
      <c r="K1525" s="3"/>
      <c r="L1525" s="3"/>
      <c r="M1525" s="3"/>
      <c r="N1525" s="3"/>
      <c r="O1525" s="3"/>
      <c r="P1525" s="3"/>
      <c r="Q1525" s="3"/>
    </row>
    <row r="1526" spans="2:19" x14ac:dyDescent="0.2">
      <c r="B1526" s="3"/>
      <c r="F1526" s="3"/>
      <c r="G1526" s="3"/>
      <c r="I1526" s="3"/>
      <c r="J1526" s="3"/>
      <c r="K1526" s="3"/>
      <c r="L1526" s="3"/>
      <c r="M1526" s="3"/>
      <c r="N1526" s="3"/>
      <c r="O1526" s="3"/>
      <c r="P1526" s="3"/>
      <c r="Q1526" s="3"/>
    </row>
    <row r="1527" spans="2:19" ht="27.75" x14ac:dyDescent="0.4">
      <c r="B1527" s="429" t="s">
        <v>21</v>
      </c>
      <c r="C1527" s="430"/>
      <c r="D1527" s="430"/>
      <c r="E1527" s="430"/>
      <c r="F1527" s="430"/>
      <c r="G1527" s="430"/>
      <c r="H1527" s="430"/>
      <c r="I1527" s="430"/>
      <c r="J1527" s="430"/>
      <c r="K1527" s="430"/>
      <c r="L1527" s="430"/>
      <c r="M1527" s="430"/>
      <c r="N1527" s="430"/>
      <c r="O1527" s="430"/>
      <c r="P1527" s="430"/>
      <c r="Q1527" s="430"/>
    </row>
    <row r="1528" spans="2:19" ht="12.75" customHeight="1" x14ac:dyDescent="0.2">
      <c r="B1528" s="431" t="s">
        <v>464</v>
      </c>
      <c r="C1528" s="432"/>
      <c r="D1528" s="432"/>
      <c r="E1528" s="432"/>
      <c r="F1528" s="432"/>
      <c r="G1528" s="432"/>
      <c r="H1528" s="432"/>
      <c r="I1528" s="432"/>
      <c r="J1528" s="432"/>
      <c r="K1528" s="432"/>
      <c r="L1528" s="432"/>
      <c r="M1528" s="432"/>
      <c r="N1528" s="432"/>
      <c r="O1528" s="432"/>
      <c r="P1528" s="432"/>
      <c r="Q1528" s="433" t="s">
        <v>735</v>
      </c>
      <c r="R1528" s="433" t="s">
        <v>733</v>
      </c>
      <c r="S1528" s="433" t="s">
        <v>736</v>
      </c>
    </row>
    <row r="1529" spans="2:19" ht="12.75" customHeight="1" x14ac:dyDescent="0.2">
      <c r="B1529" s="436"/>
      <c r="C1529" s="422" t="s">
        <v>112</v>
      </c>
      <c r="D1529" s="422" t="s">
        <v>113</v>
      </c>
      <c r="E1529" s="422"/>
      <c r="F1529" s="422" t="s">
        <v>114</v>
      </c>
      <c r="G1529" s="423" t="s">
        <v>115</v>
      </c>
      <c r="H1529" s="424" t="s">
        <v>116</v>
      </c>
      <c r="I1529" s="435" t="s">
        <v>737</v>
      </c>
      <c r="J1529" s="455" t="s">
        <v>733</v>
      </c>
      <c r="K1529" s="435" t="s">
        <v>738</v>
      </c>
      <c r="L1529" s="318"/>
      <c r="M1529" s="435" t="s">
        <v>739</v>
      </c>
      <c r="N1529" s="455" t="s">
        <v>733</v>
      </c>
      <c r="O1529" s="435" t="s">
        <v>740</v>
      </c>
      <c r="P1529" s="318"/>
      <c r="Q1529" s="434"/>
      <c r="R1529" s="434"/>
      <c r="S1529" s="434"/>
    </row>
    <row r="1530" spans="2:19" x14ac:dyDescent="0.2">
      <c r="B1530" s="436"/>
      <c r="C1530" s="422"/>
      <c r="D1530" s="422"/>
      <c r="E1530" s="422"/>
      <c r="F1530" s="422"/>
      <c r="G1530" s="423"/>
      <c r="H1530" s="424"/>
      <c r="I1530" s="435"/>
      <c r="J1530" s="456"/>
      <c r="K1530" s="435"/>
      <c r="L1530" s="318"/>
      <c r="M1530" s="435"/>
      <c r="N1530" s="456"/>
      <c r="O1530" s="435"/>
      <c r="P1530" s="318"/>
      <c r="Q1530" s="434"/>
      <c r="R1530" s="434"/>
      <c r="S1530" s="434"/>
    </row>
    <row r="1531" spans="2:19" x14ac:dyDescent="0.2">
      <c r="B1531" s="436"/>
      <c r="C1531" s="422"/>
      <c r="D1531" s="422"/>
      <c r="E1531" s="422"/>
      <c r="F1531" s="422"/>
      <c r="G1531" s="423"/>
      <c r="H1531" s="424"/>
      <c r="I1531" s="435"/>
      <c r="J1531" s="456"/>
      <c r="K1531" s="435"/>
      <c r="L1531" s="318"/>
      <c r="M1531" s="435"/>
      <c r="N1531" s="456"/>
      <c r="O1531" s="435"/>
      <c r="P1531" s="318"/>
      <c r="Q1531" s="434"/>
      <c r="R1531" s="434"/>
      <c r="S1531" s="434"/>
    </row>
    <row r="1532" spans="2:19" x14ac:dyDescent="0.2">
      <c r="B1532" s="436"/>
      <c r="C1532" s="422"/>
      <c r="D1532" s="422"/>
      <c r="E1532" s="422"/>
      <c r="F1532" s="422"/>
      <c r="G1532" s="423"/>
      <c r="H1532" s="424"/>
      <c r="I1532" s="435"/>
      <c r="J1532" s="457"/>
      <c r="K1532" s="435"/>
      <c r="L1532" s="318"/>
      <c r="M1532" s="435"/>
      <c r="N1532" s="457"/>
      <c r="O1532" s="435"/>
      <c r="P1532" s="318"/>
      <c r="Q1532" s="434"/>
      <c r="R1532" s="434"/>
      <c r="S1532" s="434"/>
    </row>
    <row r="1533" spans="2:19" ht="15.75" x14ac:dyDescent="0.2">
      <c r="B1533" s="7">
        <v>1</v>
      </c>
      <c r="C1533" s="439" t="s">
        <v>21</v>
      </c>
      <c r="D1533" s="440"/>
      <c r="E1533" s="440"/>
      <c r="F1533" s="440"/>
      <c r="G1533" s="440"/>
      <c r="H1533" s="440"/>
      <c r="I1533" s="8">
        <f>I1589+I1568+I1558+I1534+I1606</f>
        <v>3038335</v>
      </c>
      <c r="J1533" s="8">
        <f t="shared" ref="J1533" si="654">J1589+J1568+J1558+J1534+J1606</f>
        <v>-7000</v>
      </c>
      <c r="K1533" s="8">
        <f>I1533+J1533</f>
        <v>3031335</v>
      </c>
      <c r="L1533" s="319"/>
      <c r="M1533" s="8">
        <f>M1589+M1568+M1558+M1534+M1606</f>
        <v>8588290</v>
      </c>
      <c r="N1533" s="8">
        <f t="shared" ref="N1533" si="655">N1589+N1568+N1558+N1534+N1606</f>
        <v>7000</v>
      </c>
      <c r="O1533" s="8">
        <f>M1533+N1533</f>
        <v>8595290</v>
      </c>
      <c r="P1533" s="319"/>
      <c r="Q1533" s="9">
        <f t="shared" ref="Q1533:Q1566" si="656">M1533+I1533</f>
        <v>11626625</v>
      </c>
      <c r="R1533" s="9">
        <f t="shared" ref="R1533:S1548" si="657">N1533+J1533</f>
        <v>0</v>
      </c>
      <c r="S1533" s="9">
        <f t="shared" si="657"/>
        <v>11626625</v>
      </c>
    </row>
    <row r="1534" spans="2:19" ht="15" x14ac:dyDescent="0.2">
      <c r="B1534" s="7">
        <f t="shared" ref="B1534:B1565" si="658">B1533+1</f>
        <v>2</v>
      </c>
      <c r="C1534" s="10">
        <v>1</v>
      </c>
      <c r="D1534" s="420" t="s">
        <v>225</v>
      </c>
      <c r="E1534" s="421"/>
      <c r="F1534" s="421"/>
      <c r="G1534" s="421"/>
      <c r="H1534" s="421"/>
      <c r="I1534" s="11">
        <f>I1535</f>
        <v>428000</v>
      </c>
      <c r="J1534" s="11">
        <f t="shared" ref="J1534" si="659">J1535</f>
        <v>0</v>
      </c>
      <c r="K1534" s="11">
        <f t="shared" ref="K1534:K1597" si="660">I1534+J1534</f>
        <v>428000</v>
      </c>
      <c r="L1534" s="320"/>
      <c r="M1534" s="11"/>
      <c r="N1534" s="11"/>
      <c r="O1534" s="11">
        <f t="shared" ref="O1534:O1597" si="661">M1534+N1534</f>
        <v>0</v>
      </c>
      <c r="P1534" s="320"/>
      <c r="Q1534" s="35">
        <f t="shared" si="656"/>
        <v>428000</v>
      </c>
      <c r="R1534" s="35">
        <f t="shared" si="657"/>
        <v>0</v>
      </c>
      <c r="S1534" s="35">
        <f t="shared" si="657"/>
        <v>428000</v>
      </c>
    </row>
    <row r="1535" spans="2:19" x14ac:dyDescent="0.2">
      <c r="B1535" s="7">
        <f t="shared" si="658"/>
        <v>3</v>
      </c>
      <c r="C1535" s="13"/>
      <c r="D1535" s="13"/>
      <c r="E1535" s="13"/>
      <c r="F1535" s="14" t="s">
        <v>75</v>
      </c>
      <c r="G1535" s="15">
        <v>640</v>
      </c>
      <c r="H1535" s="13" t="s">
        <v>127</v>
      </c>
      <c r="I1535" s="16">
        <f>SUM(I1536:I1557)</f>
        <v>428000</v>
      </c>
      <c r="J1535" s="16">
        <f t="shared" ref="J1535" si="662">SUM(J1536:J1557)</f>
        <v>0</v>
      </c>
      <c r="K1535" s="16">
        <f t="shared" si="660"/>
        <v>428000</v>
      </c>
      <c r="L1535" s="16"/>
      <c r="M1535" s="16"/>
      <c r="N1535" s="16"/>
      <c r="O1535" s="16">
        <f t="shared" si="661"/>
        <v>0</v>
      </c>
      <c r="P1535" s="16"/>
      <c r="Q1535" s="18">
        <f t="shared" si="656"/>
        <v>428000</v>
      </c>
      <c r="R1535" s="18">
        <f t="shared" si="657"/>
        <v>0</v>
      </c>
      <c r="S1535" s="18">
        <f t="shared" si="657"/>
        <v>428000</v>
      </c>
    </row>
    <row r="1536" spans="2:19" ht="24" x14ac:dyDescent="0.2">
      <c r="B1536" s="7">
        <f t="shared" si="658"/>
        <v>4</v>
      </c>
      <c r="C1536" s="13"/>
      <c r="D1536" s="13"/>
      <c r="E1536" s="13"/>
      <c r="F1536" s="14"/>
      <c r="G1536" s="15"/>
      <c r="H1536" s="43" t="s">
        <v>665</v>
      </c>
      <c r="I1536" s="22">
        <v>10000</v>
      </c>
      <c r="J1536" s="22"/>
      <c r="K1536" s="22">
        <f t="shared" si="660"/>
        <v>10000</v>
      </c>
      <c r="L1536" s="16"/>
      <c r="M1536" s="16"/>
      <c r="N1536" s="16"/>
      <c r="O1536" s="16">
        <f t="shared" si="661"/>
        <v>0</v>
      </c>
      <c r="P1536" s="16"/>
      <c r="Q1536" s="28">
        <f t="shared" si="656"/>
        <v>10000</v>
      </c>
      <c r="R1536" s="28">
        <f t="shared" si="657"/>
        <v>0</v>
      </c>
      <c r="S1536" s="28">
        <f t="shared" si="657"/>
        <v>10000</v>
      </c>
    </row>
    <row r="1537" spans="2:19" ht="24" x14ac:dyDescent="0.2">
      <c r="B1537" s="7">
        <f t="shared" si="658"/>
        <v>5</v>
      </c>
      <c r="C1537" s="13"/>
      <c r="D1537" s="13"/>
      <c r="E1537" s="13"/>
      <c r="F1537" s="14"/>
      <c r="G1537" s="15"/>
      <c r="H1537" s="43" t="s">
        <v>666</v>
      </c>
      <c r="I1537" s="22">
        <v>9000</v>
      </c>
      <c r="J1537" s="22"/>
      <c r="K1537" s="22">
        <f t="shared" si="660"/>
        <v>9000</v>
      </c>
      <c r="L1537" s="16"/>
      <c r="M1537" s="16"/>
      <c r="N1537" s="16"/>
      <c r="O1537" s="16">
        <f t="shared" si="661"/>
        <v>0</v>
      </c>
      <c r="P1537" s="16"/>
      <c r="Q1537" s="28">
        <f t="shared" si="656"/>
        <v>9000</v>
      </c>
      <c r="R1537" s="28">
        <f t="shared" si="657"/>
        <v>0</v>
      </c>
      <c r="S1537" s="28">
        <f t="shared" si="657"/>
        <v>9000</v>
      </c>
    </row>
    <row r="1538" spans="2:19" ht="24" x14ac:dyDescent="0.2">
      <c r="B1538" s="7">
        <f t="shared" si="658"/>
        <v>6</v>
      </c>
      <c r="C1538" s="13"/>
      <c r="D1538" s="13"/>
      <c r="E1538" s="13"/>
      <c r="F1538" s="14"/>
      <c r="G1538" s="15"/>
      <c r="H1538" s="43" t="s">
        <v>667</v>
      </c>
      <c r="I1538" s="22">
        <v>7000</v>
      </c>
      <c r="J1538" s="22"/>
      <c r="K1538" s="22">
        <f t="shared" si="660"/>
        <v>7000</v>
      </c>
      <c r="L1538" s="16"/>
      <c r="M1538" s="16"/>
      <c r="N1538" s="16"/>
      <c r="O1538" s="16">
        <f t="shared" si="661"/>
        <v>0</v>
      </c>
      <c r="P1538" s="16"/>
      <c r="Q1538" s="28">
        <f t="shared" si="656"/>
        <v>7000</v>
      </c>
      <c r="R1538" s="28">
        <f t="shared" si="657"/>
        <v>0</v>
      </c>
      <c r="S1538" s="28">
        <f t="shared" si="657"/>
        <v>7000</v>
      </c>
    </row>
    <row r="1539" spans="2:19" x14ac:dyDescent="0.2">
      <c r="B1539" s="7">
        <f t="shared" si="658"/>
        <v>7</v>
      </c>
      <c r="C1539" s="24"/>
      <c r="D1539" s="24"/>
      <c r="E1539" s="24"/>
      <c r="F1539" s="136"/>
      <c r="G1539" s="136"/>
      <c r="H1539" s="1" t="s">
        <v>490</v>
      </c>
      <c r="I1539" s="283">
        <v>2000</v>
      </c>
      <c r="J1539" s="283"/>
      <c r="K1539" s="283">
        <f t="shared" si="660"/>
        <v>2000</v>
      </c>
      <c r="L1539" s="26"/>
      <c r="M1539" s="26"/>
      <c r="N1539" s="26"/>
      <c r="O1539" s="26">
        <f t="shared" si="661"/>
        <v>0</v>
      </c>
      <c r="P1539" s="26"/>
      <c r="Q1539" s="28">
        <f t="shared" si="656"/>
        <v>2000</v>
      </c>
      <c r="R1539" s="28">
        <f t="shared" si="657"/>
        <v>0</v>
      </c>
      <c r="S1539" s="28">
        <f t="shared" si="657"/>
        <v>2000</v>
      </c>
    </row>
    <row r="1540" spans="2:19" x14ac:dyDescent="0.2">
      <c r="B1540" s="7">
        <f t="shared" si="658"/>
        <v>8</v>
      </c>
      <c r="C1540" s="24"/>
      <c r="D1540" s="24"/>
      <c r="E1540" s="24"/>
      <c r="F1540" s="136"/>
      <c r="G1540" s="136"/>
      <c r="H1540" s="1" t="s">
        <v>260</v>
      </c>
      <c r="I1540" s="26">
        <f>50000+160000-5400-82800-1000</f>
        <v>120800</v>
      </c>
      <c r="J1540" s="26"/>
      <c r="K1540" s="26">
        <f t="shared" si="660"/>
        <v>120800</v>
      </c>
      <c r="L1540" s="26"/>
      <c r="M1540" s="26"/>
      <c r="N1540" s="26"/>
      <c r="O1540" s="26">
        <f t="shared" si="661"/>
        <v>0</v>
      </c>
      <c r="P1540" s="26"/>
      <c r="Q1540" s="28">
        <f t="shared" si="656"/>
        <v>120800</v>
      </c>
      <c r="R1540" s="28">
        <f t="shared" si="657"/>
        <v>0</v>
      </c>
      <c r="S1540" s="28">
        <f t="shared" si="657"/>
        <v>120800</v>
      </c>
    </row>
    <row r="1541" spans="2:19" x14ac:dyDescent="0.2">
      <c r="B1541" s="7">
        <f t="shared" si="658"/>
        <v>9</v>
      </c>
      <c r="C1541" s="24"/>
      <c r="D1541" s="24"/>
      <c r="E1541" s="24"/>
      <c r="F1541" s="136"/>
      <c r="G1541" s="136"/>
      <c r="H1541" s="1" t="s">
        <v>491</v>
      </c>
      <c r="I1541" s="26">
        <v>10000</v>
      </c>
      <c r="J1541" s="26"/>
      <c r="K1541" s="26">
        <f t="shared" si="660"/>
        <v>10000</v>
      </c>
      <c r="L1541" s="26"/>
      <c r="M1541" s="26"/>
      <c r="N1541" s="26"/>
      <c r="O1541" s="26">
        <f t="shared" si="661"/>
        <v>0</v>
      </c>
      <c r="P1541" s="26"/>
      <c r="Q1541" s="28">
        <f t="shared" si="656"/>
        <v>10000</v>
      </c>
      <c r="R1541" s="28">
        <f t="shared" si="657"/>
        <v>0</v>
      </c>
      <c r="S1541" s="28">
        <f t="shared" si="657"/>
        <v>10000</v>
      </c>
    </row>
    <row r="1542" spans="2:19" x14ac:dyDescent="0.2">
      <c r="B1542" s="7">
        <f t="shared" si="658"/>
        <v>10</v>
      </c>
      <c r="C1542" s="24"/>
      <c r="D1542" s="24"/>
      <c r="E1542" s="24"/>
      <c r="F1542" s="136"/>
      <c r="G1542" s="136"/>
      <c r="H1542" s="1" t="s">
        <v>341</v>
      </c>
      <c r="I1542" s="26">
        <v>10000</v>
      </c>
      <c r="J1542" s="26"/>
      <c r="K1542" s="26">
        <f t="shared" si="660"/>
        <v>10000</v>
      </c>
      <c r="L1542" s="26"/>
      <c r="M1542" s="26"/>
      <c r="N1542" s="26"/>
      <c r="O1542" s="26">
        <f t="shared" si="661"/>
        <v>0</v>
      </c>
      <c r="P1542" s="26"/>
      <c r="Q1542" s="28">
        <f t="shared" si="656"/>
        <v>10000</v>
      </c>
      <c r="R1542" s="28">
        <f t="shared" si="657"/>
        <v>0</v>
      </c>
      <c r="S1542" s="28">
        <f t="shared" si="657"/>
        <v>10000</v>
      </c>
    </row>
    <row r="1543" spans="2:19" ht="24" x14ac:dyDescent="0.2">
      <c r="B1543" s="7">
        <f t="shared" si="658"/>
        <v>11</v>
      </c>
      <c r="C1543" s="36"/>
      <c r="D1543" s="36"/>
      <c r="E1543" s="36"/>
      <c r="F1543" s="168"/>
      <c r="G1543" s="168"/>
      <c r="H1543" s="38" t="s">
        <v>432</v>
      </c>
      <c r="I1543" s="39">
        <v>6000</v>
      </c>
      <c r="J1543" s="39"/>
      <c r="K1543" s="39">
        <f t="shared" si="660"/>
        <v>6000</v>
      </c>
      <c r="L1543" s="39"/>
      <c r="M1543" s="39"/>
      <c r="N1543" s="39"/>
      <c r="O1543" s="39">
        <f t="shared" si="661"/>
        <v>0</v>
      </c>
      <c r="P1543" s="39"/>
      <c r="Q1543" s="41">
        <f t="shared" si="656"/>
        <v>6000</v>
      </c>
      <c r="R1543" s="41">
        <f t="shared" si="657"/>
        <v>0</v>
      </c>
      <c r="S1543" s="41">
        <f t="shared" si="657"/>
        <v>6000</v>
      </c>
    </row>
    <row r="1544" spans="2:19" x14ac:dyDescent="0.2">
      <c r="B1544" s="7">
        <f t="shared" si="658"/>
        <v>12</v>
      </c>
      <c r="C1544" s="24"/>
      <c r="D1544" s="24"/>
      <c r="E1544" s="24"/>
      <c r="F1544" s="136"/>
      <c r="G1544" s="136"/>
      <c r="H1544" s="43" t="s">
        <v>431</v>
      </c>
      <c r="I1544" s="26">
        <f>15000+10000</f>
        <v>25000</v>
      </c>
      <c r="J1544" s="26"/>
      <c r="K1544" s="26">
        <f t="shared" si="660"/>
        <v>25000</v>
      </c>
      <c r="L1544" s="26"/>
      <c r="M1544" s="26"/>
      <c r="N1544" s="26"/>
      <c r="O1544" s="26">
        <f t="shared" si="661"/>
        <v>0</v>
      </c>
      <c r="P1544" s="26"/>
      <c r="Q1544" s="28">
        <f t="shared" si="656"/>
        <v>25000</v>
      </c>
      <c r="R1544" s="28">
        <f t="shared" si="657"/>
        <v>0</v>
      </c>
      <c r="S1544" s="28">
        <f t="shared" si="657"/>
        <v>25000</v>
      </c>
    </row>
    <row r="1545" spans="2:19" x14ac:dyDescent="0.2">
      <c r="B1545" s="7">
        <f t="shared" si="658"/>
        <v>13</v>
      </c>
      <c r="C1545" s="24"/>
      <c r="D1545" s="24"/>
      <c r="E1545" s="24"/>
      <c r="F1545" s="136"/>
      <c r="G1545" s="136"/>
      <c r="H1545" s="43" t="s">
        <v>326</v>
      </c>
      <c r="I1545" s="26">
        <f>3000+4000+15000</f>
        <v>22000</v>
      </c>
      <c r="J1545" s="26"/>
      <c r="K1545" s="26">
        <f t="shared" si="660"/>
        <v>22000</v>
      </c>
      <c r="L1545" s="26"/>
      <c r="M1545" s="26"/>
      <c r="N1545" s="26"/>
      <c r="O1545" s="26">
        <f t="shared" si="661"/>
        <v>0</v>
      </c>
      <c r="P1545" s="26"/>
      <c r="Q1545" s="28">
        <f t="shared" si="656"/>
        <v>22000</v>
      </c>
      <c r="R1545" s="28">
        <f t="shared" si="657"/>
        <v>0</v>
      </c>
      <c r="S1545" s="28">
        <f t="shared" si="657"/>
        <v>22000</v>
      </c>
    </row>
    <row r="1546" spans="2:19" ht="13.5" customHeight="1" x14ac:dyDescent="0.2">
      <c r="B1546" s="7">
        <f t="shared" si="658"/>
        <v>14</v>
      </c>
      <c r="C1546" s="24"/>
      <c r="D1546" s="24"/>
      <c r="E1546" s="24"/>
      <c r="F1546" s="136"/>
      <c r="G1546" s="136"/>
      <c r="H1546" s="43" t="s">
        <v>705</v>
      </c>
      <c r="I1546" s="26">
        <v>6000</v>
      </c>
      <c r="J1546" s="26"/>
      <c r="K1546" s="26">
        <f t="shared" si="660"/>
        <v>6000</v>
      </c>
      <c r="L1546" s="26"/>
      <c r="M1546" s="26"/>
      <c r="N1546" s="26"/>
      <c r="O1546" s="26">
        <f t="shared" si="661"/>
        <v>0</v>
      </c>
      <c r="P1546" s="26"/>
      <c r="Q1546" s="28">
        <f t="shared" si="656"/>
        <v>6000</v>
      </c>
      <c r="R1546" s="28">
        <f t="shared" si="657"/>
        <v>0</v>
      </c>
      <c r="S1546" s="28">
        <f t="shared" si="657"/>
        <v>6000</v>
      </c>
    </row>
    <row r="1547" spans="2:19" ht="19.5" customHeight="1" x14ac:dyDescent="0.2">
      <c r="B1547" s="7">
        <f t="shared" si="658"/>
        <v>15</v>
      </c>
      <c r="C1547" s="24"/>
      <c r="D1547" s="24"/>
      <c r="E1547" s="24"/>
      <c r="F1547" s="136"/>
      <c r="G1547" s="136"/>
      <c r="H1547" s="43" t="s">
        <v>342</v>
      </c>
      <c r="I1547" s="26">
        <f>5000+7000</f>
        <v>12000</v>
      </c>
      <c r="J1547" s="26"/>
      <c r="K1547" s="26">
        <f t="shared" si="660"/>
        <v>12000</v>
      </c>
      <c r="L1547" s="26"/>
      <c r="M1547" s="26"/>
      <c r="N1547" s="26"/>
      <c r="O1547" s="26">
        <f t="shared" si="661"/>
        <v>0</v>
      </c>
      <c r="P1547" s="26"/>
      <c r="Q1547" s="28">
        <f t="shared" si="656"/>
        <v>12000</v>
      </c>
      <c r="R1547" s="28">
        <f t="shared" si="657"/>
        <v>0</v>
      </c>
      <c r="S1547" s="28">
        <f t="shared" si="657"/>
        <v>12000</v>
      </c>
    </row>
    <row r="1548" spans="2:19" x14ac:dyDescent="0.2">
      <c r="B1548" s="7">
        <f t="shared" si="658"/>
        <v>16</v>
      </c>
      <c r="C1548" s="24"/>
      <c r="D1548" s="24"/>
      <c r="E1548" s="24"/>
      <c r="F1548" s="136"/>
      <c r="G1548" s="136"/>
      <c r="H1548" s="43" t="s">
        <v>492</v>
      </c>
      <c r="I1548" s="283">
        <v>10000</v>
      </c>
      <c r="J1548" s="283"/>
      <c r="K1548" s="283">
        <f t="shared" si="660"/>
        <v>10000</v>
      </c>
      <c r="L1548" s="26"/>
      <c r="M1548" s="26"/>
      <c r="N1548" s="26"/>
      <c r="O1548" s="26">
        <f t="shared" si="661"/>
        <v>0</v>
      </c>
      <c r="P1548" s="26"/>
      <c r="Q1548" s="28">
        <f t="shared" si="656"/>
        <v>10000</v>
      </c>
      <c r="R1548" s="28">
        <f t="shared" si="657"/>
        <v>0</v>
      </c>
      <c r="S1548" s="28">
        <f t="shared" si="657"/>
        <v>10000</v>
      </c>
    </row>
    <row r="1549" spans="2:19" ht="17.25" customHeight="1" x14ac:dyDescent="0.2">
      <c r="B1549" s="7">
        <f t="shared" si="658"/>
        <v>17</v>
      </c>
      <c r="C1549" s="24"/>
      <c r="D1549" s="24"/>
      <c r="E1549" s="24"/>
      <c r="F1549" s="136"/>
      <c r="G1549" s="136"/>
      <c r="H1549" s="43" t="s">
        <v>668</v>
      </c>
      <c r="I1549" s="283">
        <v>6000</v>
      </c>
      <c r="J1549" s="283"/>
      <c r="K1549" s="283">
        <f t="shared" si="660"/>
        <v>6000</v>
      </c>
      <c r="L1549" s="26"/>
      <c r="M1549" s="26"/>
      <c r="N1549" s="26"/>
      <c r="O1549" s="26">
        <f t="shared" si="661"/>
        <v>0</v>
      </c>
      <c r="P1549" s="26"/>
      <c r="Q1549" s="28">
        <f t="shared" si="656"/>
        <v>6000</v>
      </c>
      <c r="R1549" s="28">
        <f t="shared" ref="R1549:S1564" si="663">N1549+J1549</f>
        <v>0</v>
      </c>
      <c r="S1549" s="28">
        <f t="shared" si="663"/>
        <v>6000</v>
      </c>
    </row>
    <row r="1550" spans="2:19" x14ac:dyDescent="0.2">
      <c r="B1550" s="7">
        <f t="shared" si="658"/>
        <v>18</v>
      </c>
      <c r="C1550" s="24"/>
      <c r="D1550" s="24"/>
      <c r="E1550" s="24"/>
      <c r="F1550" s="136"/>
      <c r="G1550" s="136"/>
      <c r="H1550" s="43" t="s">
        <v>263</v>
      </c>
      <c r="I1550" s="26">
        <v>35000</v>
      </c>
      <c r="J1550" s="26"/>
      <c r="K1550" s="26">
        <f t="shared" si="660"/>
        <v>35000</v>
      </c>
      <c r="L1550" s="26"/>
      <c r="M1550" s="26"/>
      <c r="N1550" s="26"/>
      <c r="O1550" s="26">
        <f t="shared" si="661"/>
        <v>0</v>
      </c>
      <c r="P1550" s="26"/>
      <c r="Q1550" s="28">
        <f t="shared" si="656"/>
        <v>35000</v>
      </c>
      <c r="R1550" s="28">
        <f t="shared" si="663"/>
        <v>0</v>
      </c>
      <c r="S1550" s="28">
        <f t="shared" si="663"/>
        <v>35000</v>
      </c>
    </row>
    <row r="1551" spans="2:19" ht="36" x14ac:dyDescent="0.2">
      <c r="B1551" s="7">
        <f t="shared" si="658"/>
        <v>19</v>
      </c>
      <c r="C1551" s="24"/>
      <c r="D1551" s="24"/>
      <c r="E1551" s="24"/>
      <c r="F1551" s="136"/>
      <c r="G1551" s="136"/>
      <c r="H1551" s="43" t="s">
        <v>669</v>
      </c>
      <c r="I1551" s="26">
        <v>4800</v>
      </c>
      <c r="J1551" s="26"/>
      <c r="K1551" s="26">
        <f t="shared" si="660"/>
        <v>4800</v>
      </c>
      <c r="L1551" s="26"/>
      <c r="M1551" s="26"/>
      <c r="N1551" s="26"/>
      <c r="O1551" s="26">
        <f t="shared" si="661"/>
        <v>0</v>
      </c>
      <c r="P1551" s="26"/>
      <c r="Q1551" s="28">
        <f t="shared" si="656"/>
        <v>4800</v>
      </c>
      <c r="R1551" s="28">
        <f t="shared" si="663"/>
        <v>0</v>
      </c>
      <c r="S1551" s="28">
        <f t="shared" si="663"/>
        <v>4800</v>
      </c>
    </row>
    <row r="1552" spans="2:19" ht="24" x14ac:dyDescent="0.2">
      <c r="B1552" s="7">
        <f t="shared" si="658"/>
        <v>20</v>
      </c>
      <c r="C1552" s="24"/>
      <c r="D1552" s="24"/>
      <c r="E1552" s="24"/>
      <c r="F1552" s="136"/>
      <c r="G1552" s="136"/>
      <c r="H1552" s="43" t="s">
        <v>568</v>
      </c>
      <c r="I1552" s="26">
        <v>10000</v>
      </c>
      <c r="J1552" s="26"/>
      <c r="K1552" s="26">
        <f t="shared" si="660"/>
        <v>10000</v>
      </c>
      <c r="L1552" s="26"/>
      <c r="M1552" s="26"/>
      <c r="N1552" s="26"/>
      <c r="O1552" s="26">
        <f t="shared" si="661"/>
        <v>0</v>
      </c>
      <c r="P1552" s="26"/>
      <c r="Q1552" s="28">
        <f t="shared" si="656"/>
        <v>10000</v>
      </c>
      <c r="R1552" s="28">
        <f t="shared" si="663"/>
        <v>0</v>
      </c>
      <c r="S1552" s="28">
        <f t="shared" si="663"/>
        <v>10000</v>
      </c>
    </row>
    <row r="1553" spans="2:19" ht="24" x14ac:dyDescent="0.2">
      <c r="B1553" s="7">
        <f t="shared" si="658"/>
        <v>21</v>
      </c>
      <c r="C1553" s="24"/>
      <c r="D1553" s="24"/>
      <c r="E1553" s="24"/>
      <c r="F1553" s="136"/>
      <c r="G1553" s="136"/>
      <c r="H1553" s="43" t="s">
        <v>670</v>
      </c>
      <c r="I1553" s="26">
        <v>34000</v>
      </c>
      <c r="J1553" s="26"/>
      <c r="K1553" s="26">
        <f t="shared" si="660"/>
        <v>34000</v>
      </c>
      <c r="L1553" s="26"/>
      <c r="M1553" s="26"/>
      <c r="N1553" s="26"/>
      <c r="O1553" s="26">
        <f t="shared" si="661"/>
        <v>0</v>
      </c>
      <c r="P1553" s="26"/>
      <c r="Q1553" s="28">
        <f t="shared" si="656"/>
        <v>34000</v>
      </c>
      <c r="R1553" s="28">
        <f t="shared" si="663"/>
        <v>0</v>
      </c>
      <c r="S1553" s="28">
        <f t="shared" si="663"/>
        <v>34000</v>
      </c>
    </row>
    <row r="1554" spans="2:19" x14ac:dyDescent="0.2">
      <c r="B1554" s="7">
        <f t="shared" si="658"/>
        <v>22</v>
      </c>
      <c r="C1554" s="24"/>
      <c r="D1554" s="24"/>
      <c r="E1554" s="24"/>
      <c r="F1554" s="136"/>
      <c r="G1554" s="136"/>
      <c r="H1554" s="1" t="s">
        <v>327</v>
      </c>
      <c r="I1554" s="26">
        <f>20000+50000</f>
        <v>70000</v>
      </c>
      <c r="J1554" s="26"/>
      <c r="K1554" s="26">
        <f t="shared" si="660"/>
        <v>70000</v>
      </c>
      <c r="L1554" s="26"/>
      <c r="M1554" s="26"/>
      <c r="N1554" s="26"/>
      <c r="O1554" s="26">
        <f t="shared" si="661"/>
        <v>0</v>
      </c>
      <c r="P1554" s="26"/>
      <c r="Q1554" s="28">
        <f t="shared" si="656"/>
        <v>70000</v>
      </c>
      <c r="R1554" s="28">
        <f t="shared" si="663"/>
        <v>0</v>
      </c>
      <c r="S1554" s="28">
        <f t="shared" si="663"/>
        <v>70000</v>
      </c>
    </row>
    <row r="1555" spans="2:19" ht="36" x14ac:dyDescent="0.2">
      <c r="B1555" s="7">
        <f t="shared" si="658"/>
        <v>23</v>
      </c>
      <c r="C1555" s="24"/>
      <c r="D1555" s="24"/>
      <c r="E1555" s="24"/>
      <c r="F1555" s="136"/>
      <c r="G1555" s="136"/>
      <c r="H1555" s="43" t="s">
        <v>671</v>
      </c>
      <c r="I1555" s="26">
        <v>6000</v>
      </c>
      <c r="J1555" s="26"/>
      <c r="K1555" s="26">
        <f t="shared" si="660"/>
        <v>6000</v>
      </c>
      <c r="L1555" s="26"/>
      <c r="M1555" s="26"/>
      <c r="N1555" s="26"/>
      <c r="O1555" s="26">
        <f t="shared" si="661"/>
        <v>0</v>
      </c>
      <c r="P1555" s="26"/>
      <c r="Q1555" s="28">
        <f t="shared" si="656"/>
        <v>6000</v>
      </c>
      <c r="R1555" s="28">
        <f t="shared" si="663"/>
        <v>0</v>
      </c>
      <c r="S1555" s="28">
        <f t="shared" si="663"/>
        <v>6000</v>
      </c>
    </row>
    <row r="1556" spans="2:19" x14ac:dyDescent="0.2">
      <c r="B1556" s="7">
        <f t="shared" si="658"/>
        <v>24</v>
      </c>
      <c r="C1556" s="24"/>
      <c r="D1556" s="24"/>
      <c r="E1556" s="24"/>
      <c r="F1556" s="136"/>
      <c r="G1556" s="136"/>
      <c r="H1556" s="1" t="s">
        <v>493</v>
      </c>
      <c r="I1556" s="26">
        <f>3000+3400</f>
        <v>6400</v>
      </c>
      <c r="J1556" s="26"/>
      <c r="K1556" s="26">
        <f t="shared" si="660"/>
        <v>6400</v>
      </c>
      <c r="L1556" s="26"/>
      <c r="M1556" s="26"/>
      <c r="N1556" s="26"/>
      <c r="O1556" s="26">
        <f t="shared" si="661"/>
        <v>0</v>
      </c>
      <c r="P1556" s="26"/>
      <c r="Q1556" s="28">
        <f t="shared" si="656"/>
        <v>6400</v>
      </c>
      <c r="R1556" s="28">
        <f t="shared" si="663"/>
        <v>0</v>
      </c>
      <c r="S1556" s="28">
        <f t="shared" si="663"/>
        <v>6400</v>
      </c>
    </row>
    <row r="1557" spans="2:19" x14ac:dyDescent="0.2">
      <c r="B1557" s="7">
        <f t="shared" si="658"/>
        <v>25</v>
      </c>
      <c r="C1557" s="24"/>
      <c r="D1557" s="24"/>
      <c r="E1557" s="24"/>
      <c r="F1557" s="136"/>
      <c r="G1557" s="136"/>
      <c r="H1557" s="1" t="s">
        <v>672</v>
      </c>
      <c r="I1557" s="26">
        <v>6000</v>
      </c>
      <c r="J1557" s="26"/>
      <c r="K1557" s="26">
        <f t="shared" si="660"/>
        <v>6000</v>
      </c>
      <c r="L1557" s="26"/>
      <c r="M1557" s="26"/>
      <c r="N1557" s="26"/>
      <c r="O1557" s="26">
        <f t="shared" si="661"/>
        <v>0</v>
      </c>
      <c r="P1557" s="26"/>
      <c r="Q1557" s="28">
        <f t="shared" si="656"/>
        <v>6000</v>
      </c>
      <c r="R1557" s="28">
        <f t="shared" si="663"/>
        <v>0</v>
      </c>
      <c r="S1557" s="28">
        <f t="shared" si="663"/>
        <v>6000</v>
      </c>
    </row>
    <row r="1558" spans="2:19" ht="15" x14ac:dyDescent="0.2">
      <c r="B1558" s="7">
        <f t="shared" si="658"/>
        <v>26</v>
      </c>
      <c r="C1558" s="10">
        <v>2</v>
      </c>
      <c r="D1558" s="420" t="s">
        <v>167</v>
      </c>
      <c r="E1558" s="421"/>
      <c r="F1558" s="421"/>
      <c r="G1558" s="421"/>
      <c r="H1558" s="421"/>
      <c r="I1558" s="11">
        <f>I1559+I1563+I1564</f>
        <v>274000</v>
      </c>
      <c r="J1558" s="11">
        <f t="shared" ref="J1558" si="664">J1559+J1563+J1564</f>
        <v>0</v>
      </c>
      <c r="K1558" s="11">
        <f t="shared" si="660"/>
        <v>274000</v>
      </c>
      <c r="L1558" s="320"/>
      <c r="M1558" s="11">
        <f>M1565</f>
        <v>20050</v>
      </c>
      <c r="N1558" s="11">
        <f t="shared" ref="N1558" si="665">N1565</f>
        <v>0</v>
      </c>
      <c r="O1558" s="11">
        <f t="shared" si="661"/>
        <v>20050</v>
      </c>
      <c r="P1558" s="320"/>
      <c r="Q1558" s="35">
        <f t="shared" si="656"/>
        <v>294050</v>
      </c>
      <c r="R1558" s="35">
        <f t="shared" si="663"/>
        <v>0</v>
      </c>
      <c r="S1558" s="35">
        <f t="shared" si="663"/>
        <v>294050</v>
      </c>
    </row>
    <row r="1559" spans="2:19" x14ac:dyDescent="0.2">
      <c r="B1559" s="7">
        <f t="shared" si="658"/>
        <v>27</v>
      </c>
      <c r="C1559" s="13"/>
      <c r="D1559" s="13"/>
      <c r="E1559" s="13"/>
      <c r="F1559" s="14" t="s">
        <v>75</v>
      </c>
      <c r="G1559" s="15">
        <v>630</v>
      </c>
      <c r="H1559" s="13" t="s">
        <v>119</v>
      </c>
      <c r="I1559" s="16">
        <f>SUM(I1560:I1562)</f>
        <v>209000</v>
      </c>
      <c r="J1559" s="16">
        <f t="shared" ref="J1559" si="666">SUM(J1560:J1562)</f>
        <v>0</v>
      </c>
      <c r="K1559" s="16">
        <f t="shared" si="660"/>
        <v>209000</v>
      </c>
      <c r="L1559" s="16"/>
      <c r="M1559" s="16"/>
      <c r="N1559" s="16"/>
      <c r="O1559" s="16">
        <f t="shared" si="661"/>
        <v>0</v>
      </c>
      <c r="P1559" s="16"/>
      <c r="Q1559" s="18">
        <f t="shared" si="656"/>
        <v>209000</v>
      </c>
      <c r="R1559" s="18">
        <f t="shared" si="663"/>
        <v>0</v>
      </c>
      <c r="S1559" s="18">
        <f t="shared" si="663"/>
        <v>209000</v>
      </c>
    </row>
    <row r="1560" spans="2:19" x14ac:dyDescent="0.2">
      <c r="B1560" s="7">
        <f t="shared" si="658"/>
        <v>28</v>
      </c>
      <c r="C1560" s="19"/>
      <c r="D1560" s="19"/>
      <c r="E1560" s="19"/>
      <c r="F1560" s="20"/>
      <c r="G1560" s="21">
        <v>633</v>
      </c>
      <c r="H1560" s="19" t="s">
        <v>123</v>
      </c>
      <c r="I1560" s="22">
        <v>11000</v>
      </c>
      <c r="J1560" s="22"/>
      <c r="K1560" s="22">
        <f t="shared" si="660"/>
        <v>11000</v>
      </c>
      <c r="L1560" s="22"/>
      <c r="M1560" s="22"/>
      <c r="N1560" s="22"/>
      <c r="O1560" s="22">
        <f t="shared" si="661"/>
        <v>0</v>
      </c>
      <c r="P1560" s="22"/>
      <c r="Q1560" s="23">
        <f t="shared" si="656"/>
        <v>11000</v>
      </c>
      <c r="R1560" s="23">
        <f t="shared" si="663"/>
        <v>0</v>
      </c>
      <c r="S1560" s="23">
        <f t="shared" si="663"/>
        <v>11000</v>
      </c>
    </row>
    <row r="1561" spans="2:19" x14ac:dyDescent="0.2">
      <c r="B1561" s="7">
        <f t="shared" si="658"/>
        <v>29</v>
      </c>
      <c r="C1561" s="19"/>
      <c r="D1561" s="19"/>
      <c r="E1561" s="19"/>
      <c r="F1561" s="20"/>
      <c r="G1561" s="21">
        <v>636</v>
      </c>
      <c r="H1561" s="19" t="s">
        <v>541</v>
      </c>
      <c r="I1561" s="22">
        <v>20000</v>
      </c>
      <c r="J1561" s="22"/>
      <c r="K1561" s="22">
        <f t="shared" si="660"/>
        <v>20000</v>
      </c>
      <c r="L1561" s="22"/>
      <c r="M1561" s="22"/>
      <c r="N1561" s="22"/>
      <c r="O1561" s="22">
        <f t="shared" si="661"/>
        <v>0</v>
      </c>
      <c r="P1561" s="22"/>
      <c r="Q1561" s="23">
        <f t="shared" si="656"/>
        <v>20000</v>
      </c>
      <c r="R1561" s="23">
        <f t="shared" si="663"/>
        <v>0</v>
      </c>
      <c r="S1561" s="23">
        <f t="shared" si="663"/>
        <v>20000</v>
      </c>
    </row>
    <row r="1562" spans="2:19" x14ac:dyDescent="0.2">
      <c r="B1562" s="7">
        <f t="shared" si="658"/>
        <v>30</v>
      </c>
      <c r="C1562" s="19"/>
      <c r="D1562" s="19"/>
      <c r="E1562" s="19"/>
      <c r="F1562" s="20"/>
      <c r="G1562" s="21">
        <v>637</v>
      </c>
      <c r="H1562" s="19" t="s">
        <v>120</v>
      </c>
      <c r="I1562" s="22">
        <f>222700-22700+30000-14000-38000</f>
        <v>178000</v>
      </c>
      <c r="J1562" s="22"/>
      <c r="K1562" s="22">
        <f t="shared" si="660"/>
        <v>178000</v>
      </c>
      <c r="L1562" s="22"/>
      <c r="M1562" s="22"/>
      <c r="N1562" s="22"/>
      <c r="O1562" s="22">
        <f t="shared" si="661"/>
        <v>0</v>
      </c>
      <c r="P1562" s="22"/>
      <c r="Q1562" s="23">
        <f t="shared" si="656"/>
        <v>178000</v>
      </c>
      <c r="R1562" s="23">
        <f t="shared" si="663"/>
        <v>0</v>
      </c>
      <c r="S1562" s="23">
        <f t="shared" si="663"/>
        <v>178000</v>
      </c>
    </row>
    <row r="1563" spans="2:19" x14ac:dyDescent="0.2">
      <c r="B1563" s="7">
        <f t="shared" si="658"/>
        <v>31</v>
      </c>
      <c r="C1563" s="19"/>
      <c r="D1563" s="19"/>
      <c r="E1563" s="19"/>
      <c r="F1563" s="20"/>
      <c r="G1563" s="15">
        <v>600</v>
      </c>
      <c r="H1563" s="13" t="s">
        <v>715</v>
      </c>
      <c r="I1563" s="16">
        <v>30000</v>
      </c>
      <c r="J1563" s="16"/>
      <c r="K1563" s="16">
        <f t="shared" si="660"/>
        <v>30000</v>
      </c>
      <c r="L1563" s="16"/>
      <c r="M1563" s="16"/>
      <c r="N1563" s="16"/>
      <c r="O1563" s="16">
        <f t="shared" si="661"/>
        <v>0</v>
      </c>
      <c r="P1563" s="16"/>
      <c r="Q1563" s="18">
        <f t="shared" si="656"/>
        <v>30000</v>
      </c>
      <c r="R1563" s="18">
        <f t="shared" si="663"/>
        <v>0</v>
      </c>
      <c r="S1563" s="18">
        <f t="shared" si="663"/>
        <v>30000</v>
      </c>
    </row>
    <row r="1564" spans="2:19" x14ac:dyDescent="0.2">
      <c r="B1564" s="7">
        <f t="shared" si="658"/>
        <v>32</v>
      </c>
      <c r="C1564" s="19"/>
      <c r="D1564" s="19"/>
      <c r="E1564" s="19"/>
      <c r="F1564" s="20"/>
      <c r="G1564" s="15">
        <v>600</v>
      </c>
      <c r="H1564" s="13" t="s">
        <v>717</v>
      </c>
      <c r="I1564" s="16">
        <v>35000</v>
      </c>
      <c r="J1564" s="16"/>
      <c r="K1564" s="16">
        <f t="shared" si="660"/>
        <v>35000</v>
      </c>
      <c r="L1564" s="16"/>
      <c r="M1564" s="16"/>
      <c r="N1564" s="16"/>
      <c r="O1564" s="16">
        <f t="shared" si="661"/>
        <v>0</v>
      </c>
      <c r="P1564" s="16"/>
      <c r="Q1564" s="18">
        <f t="shared" si="656"/>
        <v>35000</v>
      </c>
      <c r="R1564" s="18">
        <f t="shared" si="663"/>
        <v>0</v>
      </c>
      <c r="S1564" s="18">
        <f t="shared" si="663"/>
        <v>35000</v>
      </c>
    </row>
    <row r="1565" spans="2:19" x14ac:dyDescent="0.2">
      <c r="B1565" s="7">
        <f t="shared" si="658"/>
        <v>33</v>
      </c>
      <c r="C1565" s="19"/>
      <c r="D1565" s="19"/>
      <c r="E1565" s="19"/>
      <c r="F1565" s="14" t="s">
        <v>75</v>
      </c>
      <c r="G1565" s="15">
        <v>710</v>
      </c>
      <c r="H1565" s="13" t="s">
        <v>171</v>
      </c>
      <c r="I1565" s="16"/>
      <c r="J1565" s="16"/>
      <c r="K1565" s="16">
        <f t="shared" si="660"/>
        <v>0</v>
      </c>
      <c r="L1565" s="16"/>
      <c r="M1565" s="16">
        <f>M1566</f>
        <v>20050</v>
      </c>
      <c r="N1565" s="16">
        <f t="shared" ref="N1565:N1566" si="667">N1566</f>
        <v>0</v>
      </c>
      <c r="O1565" s="16">
        <f t="shared" si="661"/>
        <v>20050</v>
      </c>
      <c r="P1565" s="16"/>
      <c r="Q1565" s="18">
        <f t="shared" si="656"/>
        <v>20050</v>
      </c>
      <c r="R1565" s="18">
        <f t="shared" ref="R1565:S1566" si="668">N1565+J1565</f>
        <v>0</v>
      </c>
      <c r="S1565" s="18">
        <f t="shared" si="668"/>
        <v>20050</v>
      </c>
    </row>
    <row r="1566" spans="2:19" x14ac:dyDescent="0.2">
      <c r="B1566" s="7">
        <f t="shared" ref="B1566:B1597" si="669">B1565+1</f>
        <v>34</v>
      </c>
      <c r="C1566" s="19"/>
      <c r="D1566" s="19"/>
      <c r="E1566" s="19"/>
      <c r="F1566" s="20"/>
      <c r="G1566" s="21">
        <v>717</v>
      </c>
      <c r="H1566" s="19" t="s">
        <v>178</v>
      </c>
      <c r="I1566" s="22"/>
      <c r="J1566" s="22"/>
      <c r="K1566" s="22">
        <f t="shared" si="660"/>
        <v>0</v>
      </c>
      <c r="L1566" s="22"/>
      <c r="M1566" s="22">
        <f>M1567</f>
        <v>20050</v>
      </c>
      <c r="N1566" s="22">
        <f t="shared" si="667"/>
        <v>0</v>
      </c>
      <c r="O1566" s="22">
        <f t="shared" si="661"/>
        <v>20050</v>
      </c>
      <c r="P1566" s="22"/>
      <c r="Q1566" s="23">
        <f t="shared" si="656"/>
        <v>20050</v>
      </c>
      <c r="R1566" s="23">
        <f t="shared" si="668"/>
        <v>0</v>
      </c>
      <c r="S1566" s="23">
        <f t="shared" si="668"/>
        <v>20050</v>
      </c>
    </row>
    <row r="1567" spans="2:19" x14ac:dyDescent="0.2">
      <c r="B1567" s="7">
        <f t="shared" si="669"/>
        <v>35</v>
      </c>
      <c r="C1567" s="19"/>
      <c r="D1567" s="19"/>
      <c r="E1567" s="19"/>
      <c r="F1567" s="20"/>
      <c r="G1567" s="21"/>
      <c r="H1567" s="1" t="s">
        <v>701</v>
      </c>
      <c r="I1567" s="26"/>
      <c r="J1567" s="26"/>
      <c r="K1567" s="26">
        <f t="shared" si="660"/>
        <v>0</v>
      </c>
      <c r="L1567" s="26"/>
      <c r="M1567" s="26">
        <v>20050</v>
      </c>
      <c r="N1567" s="26"/>
      <c r="O1567" s="26">
        <f t="shared" si="661"/>
        <v>20050</v>
      </c>
      <c r="P1567" s="26"/>
      <c r="Q1567" s="28">
        <f>M1567</f>
        <v>20050</v>
      </c>
      <c r="R1567" s="28">
        <f t="shared" ref="R1567:S1567" si="670">N1567</f>
        <v>0</v>
      </c>
      <c r="S1567" s="28">
        <f t="shared" si="670"/>
        <v>20050</v>
      </c>
    </row>
    <row r="1568" spans="2:19" s="42" customFormat="1" ht="15" x14ac:dyDescent="0.2">
      <c r="B1568" s="7">
        <f t="shared" si="669"/>
        <v>36</v>
      </c>
      <c r="C1568" s="10">
        <v>3</v>
      </c>
      <c r="D1568" s="420" t="s">
        <v>134</v>
      </c>
      <c r="E1568" s="421"/>
      <c r="F1568" s="421"/>
      <c r="G1568" s="421"/>
      <c r="H1568" s="421"/>
      <c r="I1568" s="11">
        <f>I1569+I1570+I1571</f>
        <v>304143</v>
      </c>
      <c r="J1568" s="11">
        <f t="shared" ref="J1568" si="671">J1569+J1570+J1571</f>
        <v>0</v>
      </c>
      <c r="K1568" s="11">
        <f t="shared" si="660"/>
        <v>304143</v>
      </c>
      <c r="L1568" s="320"/>
      <c r="M1568" s="11">
        <f>M1579</f>
        <v>8055740</v>
      </c>
      <c r="N1568" s="11">
        <f t="shared" ref="N1568" si="672">N1579</f>
        <v>0</v>
      </c>
      <c r="O1568" s="11">
        <f t="shared" si="661"/>
        <v>8055740</v>
      </c>
      <c r="P1568" s="272"/>
      <c r="Q1568" s="35">
        <f t="shared" ref="Q1568:Q1608" si="673">M1568+I1568</f>
        <v>8359883</v>
      </c>
      <c r="R1568" s="35">
        <f t="shared" ref="R1568:S1583" si="674">N1568+J1568</f>
        <v>0</v>
      </c>
      <c r="S1568" s="35">
        <f t="shared" si="674"/>
        <v>8359883</v>
      </c>
    </row>
    <row r="1569" spans="2:19" s="42" customFormat="1" x14ac:dyDescent="0.2">
      <c r="B1569" s="7">
        <f t="shared" si="669"/>
        <v>37</v>
      </c>
      <c r="C1569" s="13"/>
      <c r="D1569" s="13"/>
      <c r="E1569" s="13"/>
      <c r="F1569" s="14" t="s">
        <v>75</v>
      </c>
      <c r="G1569" s="15">
        <v>610</v>
      </c>
      <c r="H1569" s="13" t="s">
        <v>511</v>
      </c>
      <c r="I1569" s="16">
        <v>1000</v>
      </c>
      <c r="J1569" s="16"/>
      <c r="K1569" s="16">
        <f t="shared" si="660"/>
        <v>1000</v>
      </c>
      <c r="L1569" s="16"/>
      <c r="M1569" s="16"/>
      <c r="N1569" s="16"/>
      <c r="O1569" s="16">
        <f t="shared" si="661"/>
        <v>0</v>
      </c>
      <c r="P1569" s="16"/>
      <c r="Q1569" s="18">
        <f t="shared" si="673"/>
        <v>1000</v>
      </c>
      <c r="R1569" s="18">
        <f t="shared" si="674"/>
        <v>0</v>
      </c>
      <c r="S1569" s="18">
        <f t="shared" si="674"/>
        <v>1000</v>
      </c>
    </row>
    <row r="1570" spans="2:19" s="42" customFormat="1" x14ac:dyDescent="0.2">
      <c r="B1570" s="7">
        <f t="shared" si="669"/>
        <v>38</v>
      </c>
      <c r="C1570" s="13"/>
      <c r="D1570" s="13"/>
      <c r="E1570" s="13"/>
      <c r="F1570" s="14" t="s">
        <v>75</v>
      </c>
      <c r="G1570" s="15">
        <v>620</v>
      </c>
      <c r="H1570" s="13" t="s">
        <v>122</v>
      </c>
      <c r="I1570" s="16">
        <v>7200</v>
      </c>
      <c r="J1570" s="16"/>
      <c r="K1570" s="16">
        <f t="shared" si="660"/>
        <v>7200</v>
      </c>
      <c r="L1570" s="16"/>
      <c r="M1570" s="16"/>
      <c r="N1570" s="16"/>
      <c r="O1570" s="16">
        <f t="shared" si="661"/>
        <v>0</v>
      </c>
      <c r="P1570" s="16"/>
      <c r="Q1570" s="18">
        <f t="shared" si="673"/>
        <v>7200</v>
      </c>
      <c r="R1570" s="18">
        <f t="shared" si="674"/>
        <v>0</v>
      </c>
      <c r="S1570" s="18">
        <f t="shared" si="674"/>
        <v>7200</v>
      </c>
    </row>
    <row r="1571" spans="2:19" s="42" customFormat="1" ht="23.25" customHeight="1" x14ac:dyDescent="0.2">
      <c r="B1571" s="7">
        <f t="shared" si="669"/>
        <v>39</v>
      </c>
      <c r="C1571" s="13"/>
      <c r="D1571" s="13"/>
      <c r="E1571" s="13"/>
      <c r="F1571" s="14" t="s">
        <v>75</v>
      </c>
      <c r="G1571" s="15">
        <v>630</v>
      </c>
      <c r="H1571" s="13" t="s">
        <v>119</v>
      </c>
      <c r="I1571" s="16">
        <f>SUM(I1572:I1578)</f>
        <v>295943</v>
      </c>
      <c r="J1571" s="16">
        <f t="shared" ref="J1571" si="675">SUM(J1572:J1578)</f>
        <v>0</v>
      </c>
      <c r="K1571" s="16">
        <f t="shared" si="660"/>
        <v>295943</v>
      </c>
      <c r="L1571" s="16"/>
      <c r="M1571" s="16"/>
      <c r="N1571" s="16"/>
      <c r="O1571" s="16">
        <f t="shared" si="661"/>
        <v>0</v>
      </c>
      <c r="P1571" s="16"/>
      <c r="Q1571" s="18">
        <f t="shared" si="673"/>
        <v>295943</v>
      </c>
      <c r="R1571" s="18">
        <f t="shared" si="674"/>
        <v>0</v>
      </c>
      <c r="S1571" s="18">
        <f t="shared" si="674"/>
        <v>295943</v>
      </c>
    </row>
    <row r="1572" spans="2:19" x14ac:dyDescent="0.2">
      <c r="B1572" s="7">
        <f t="shared" si="669"/>
        <v>40</v>
      </c>
      <c r="C1572" s="19"/>
      <c r="D1572" s="19"/>
      <c r="E1572" s="19"/>
      <c r="F1572" s="20"/>
      <c r="G1572" s="21">
        <v>632</v>
      </c>
      <c r="H1572" s="19" t="s">
        <v>131</v>
      </c>
      <c r="I1572" s="22">
        <v>131200</v>
      </c>
      <c r="J1572" s="22"/>
      <c r="K1572" s="22">
        <f t="shared" si="660"/>
        <v>131200</v>
      </c>
      <c r="L1572" s="22"/>
      <c r="M1572" s="22"/>
      <c r="N1572" s="22"/>
      <c r="O1572" s="22">
        <f t="shared" si="661"/>
        <v>0</v>
      </c>
      <c r="P1572" s="22"/>
      <c r="Q1572" s="23">
        <f t="shared" si="673"/>
        <v>131200</v>
      </c>
      <c r="R1572" s="23">
        <f t="shared" si="674"/>
        <v>0</v>
      </c>
      <c r="S1572" s="23">
        <f t="shared" si="674"/>
        <v>131200</v>
      </c>
    </row>
    <row r="1573" spans="2:19" x14ac:dyDescent="0.2">
      <c r="B1573" s="7">
        <f t="shared" si="669"/>
        <v>41</v>
      </c>
      <c r="C1573" s="19"/>
      <c r="D1573" s="19"/>
      <c r="E1573" s="19"/>
      <c r="F1573" s="20"/>
      <c r="G1573" s="21">
        <v>633</v>
      </c>
      <c r="H1573" s="19" t="s">
        <v>123</v>
      </c>
      <c r="I1573" s="22">
        <f>16500</f>
        <v>16500</v>
      </c>
      <c r="J1573" s="22"/>
      <c r="K1573" s="22">
        <f t="shared" si="660"/>
        <v>16500</v>
      </c>
      <c r="L1573" s="22"/>
      <c r="M1573" s="22"/>
      <c r="N1573" s="22"/>
      <c r="O1573" s="22">
        <f t="shared" si="661"/>
        <v>0</v>
      </c>
      <c r="P1573" s="22"/>
      <c r="Q1573" s="23">
        <f t="shared" si="673"/>
        <v>16500</v>
      </c>
      <c r="R1573" s="23">
        <f t="shared" si="674"/>
        <v>0</v>
      </c>
      <c r="S1573" s="23">
        <f t="shared" si="674"/>
        <v>16500</v>
      </c>
    </row>
    <row r="1574" spans="2:19" x14ac:dyDescent="0.2">
      <c r="B1574" s="7">
        <f t="shared" si="669"/>
        <v>42</v>
      </c>
      <c r="C1574" s="19"/>
      <c r="D1574" s="19"/>
      <c r="E1574" s="19"/>
      <c r="F1574" s="20"/>
      <c r="G1574" s="21">
        <v>633</v>
      </c>
      <c r="H1574" s="19" t="s">
        <v>616</v>
      </c>
      <c r="I1574" s="22">
        <f>4200+7777</f>
        <v>11977</v>
      </c>
      <c r="J1574" s="22"/>
      <c r="K1574" s="22">
        <f t="shared" si="660"/>
        <v>11977</v>
      </c>
      <c r="L1574" s="22"/>
      <c r="M1574" s="22"/>
      <c r="N1574" s="22"/>
      <c r="O1574" s="22">
        <f t="shared" si="661"/>
        <v>0</v>
      </c>
      <c r="P1574" s="22"/>
      <c r="Q1574" s="23">
        <f t="shared" si="673"/>
        <v>11977</v>
      </c>
      <c r="R1574" s="23">
        <f t="shared" si="674"/>
        <v>0</v>
      </c>
      <c r="S1574" s="23">
        <f t="shared" si="674"/>
        <v>11977</v>
      </c>
    </row>
    <row r="1575" spans="2:19" x14ac:dyDescent="0.2">
      <c r="B1575" s="7">
        <f t="shared" si="669"/>
        <v>43</v>
      </c>
      <c r="C1575" s="19"/>
      <c r="D1575" s="19"/>
      <c r="E1575" s="19"/>
      <c r="F1575" s="20"/>
      <c r="G1575" s="21">
        <v>633</v>
      </c>
      <c r="H1575" s="19" t="s">
        <v>696</v>
      </c>
      <c r="I1575" s="22">
        <f>2158+5100</f>
        <v>7258</v>
      </c>
      <c r="J1575" s="22"/>
      <c r="K1575" s="22">
        <f t="shared" si="660"/>
        <v>7258</v>
      </c>
      <c r="L1575" s="22"/>
      <c r="M1575" s="22"/>
      <c r="N1575" s="22"/>
      <c r="O1575" s="22">
        <f t="shared" si="661"/>
        <v>0</v>
      </c>
      <c r="P1575" s="22"/>
      <c r="Q1575" s="23">
        <f t="shared" si="673"/>
        <v>7258</v>
      </c>
      <c r="R1575" s="23">
        <f t="shared" si="674"/>
        <v>0</v>
      </c>
      <c r="S1575" s="23">
        <f t="shared" si="674"/>
        <v>7258</v>
      </c>
    </row>
    <row r="1576" spans="2:19" x14ac:dyDescent="0.2">
      <c r="B1576" s="7">
        <f t="shared" si="669"/>
        <v>44</v>
      </c>
      <c r="C1576" s="19"/>
      <c r="D1576" s="19"/>
      <c r="E1576" s="19"/>
      <c r="F1576" s="20"/>
      <c r="G1576" s="21">
        <v>635</v>
      </c>
      <c r="H1576" s="19" t="s">
        <v>130</v>
      </c>
      <c r="I1576" s="22">
        <f>45000+41308+8000</f>
        <v>94308</v>
      </c>
      <c r="J1576" s="22"/>
      <c r="K1576" s="22">
        <f t="shared" si="660"/>
        <v>94308</v>
      </c>
      <c r="L1576" s="22"/>
      <c r="M1576" s="22"/>
      <c r="N1576" s="22"/>
      <c r="O1576" s="22">
        <f t="shared" si="661"/>
        <v>0</v>
      </c>
      <c r="P1576" s="22"/>
      <c r="Q1576" s="23">
        <f t="shared" si="673"/>
        <v>94308</v>
      </c>
      <c r="R1576" s="23">
        <f t="shared" si="674"/>
        <v>0</v>
      </c>
      <c r="S1576" s="23">
        <f t="shared" si="674"/>
        <v>94308</v>
      </c>
    </row>
    <row r="1577" spans="2:19" x14ac:dyDescent="0.2">
      <c r="B1577" s="7">
        <f t="shared" si="669"/>
        <v>45</v>
      </c>
      <c r="C1577" s="19"/>
      <c r="D1577" s="19"/>
      <c r="E1577" s="19"/>
      <c r="F1577" s="20"/>
      <c r="G1577" s="21">
        <v>637</v>
      </c>
      <c r="H1577" s="19" t="s">
        <v>120</v>
      </c>
      <c r="I1577" s="22">
        <v>29700</v>
      </c>
      <c r="J1577" s="22"/>
      <c r="K1577" s="22">
        <f t="shared" si="660"/>
        <v>29700</v>
      </c>
      <c r="L1577" s="22"/>
      <c r="M1577" s="22"/>
      <c r="N1577" s="22"/>
      <c r="O1577" s="22">
        <f t="shared" si="661"/>
        <v>0</v>
      </c>
      <c r="P1577" s="22"/>
      <c r="Q1577" s="23">
        <f t="shared" si="673"/>
        <v>29700</v>
      </c>
      <c r="R1577" s="23">
        <f t="shared" si="674"/>
        <v>0</v>
      </c>
      <c r="S1577" s="23">
        <f t="shared" si="674"/>
        <v>29700</v>
      </c>
    </row>
    <row r="1578" spans="2:19" x14ac:dyDescent="0.2">
      <c r="B1578" s="7">
        <f t="shared" si="669"/>
        <v>46</v>
      </c>
      <c r="C1578" s="19"/>
      <c r="D1578" s="19"/>
      <c r="E1578" s="19"/>
      <c r="F1578" s="20"/>
      <c r="G1578" s="21">
        <v>637</v>
      </c>
      <c r="H1578" s="19" t="s">
        <v>697</v>
      </c>
      <c r="I1578" s="22">
        <v>5000</v>
      </c>
      <c r="J1578" s="22"/>
      <c r="K1578" s="22">
        <f t="shared" si="660"/>
        <v>5000</v>
      </c>
      <c r="L1578" s="22"/>
      <c r="M1578" s="22"/>
      <c r="N1578" s="22"/>
      <c r="O1578" s="22">
        <f t="shared" si="661"/>
        <v>0</v>
      </c>
      <c r="P1578" s="22"/>
      <c r="Q1578" s="23">
        <f t="shared" si="673"/>
        <v>5000</v>
      </c>
      <c r="R1578" s="23">
        <f t="shared" si="674"/>
        <v>0</v>
      </c>
      <c r="S1578" s="23">
        <f t="shared" si="674"/>
        <v>5000</v>
      </c>
    </row>
    <row r="1579" spans="2:19" x14ac:dyDescent="0.2">
      <c r="B1579" s="7">
        <f t="shared" si="669"/>
        <v>47</v>
      </c>
      <c r="C1579" s="13"/>
      <c r="D1579" s="13"/>
      <c r="E1579" s="13"/>
      <c r="F1579" s="14" t="s">
        <v>75</v>
      </c>
      <c r="G1579" s="15">
        <v>710</v>
      </c>
      <c r="H1579" s="13" t="s">
        <v>171</v>
      </c>
      <c r="I1579" s="16"/>
      <c r="J1579" s="16"/>
      <c r="K1579" s="16">
        <f t="shared" si="660"/>
        <v>0</v>
      </c>
      <c r="L1579" s="16"/>
      <c r="M1579" s="16">
        <f>M1582+M1584+M1580</f>
        <v>8055740</v>
      </c>
      <c r="N1579" s="16">
        <f t="shared" ref="N1579" si="676">N1582+N1584+N1580</f>
        <v>0</v>
      </c>
      <c r="O1579" s="16">
        <f t="shared" si="661"/>
        <v>8055740</v>
      </c>
      <c r="P1579" s="16"/>
      <c r="Q1579" s="18">
        <f t="shared" si="673"/>
        <v>8055740</v>
      </c>
      <c r="R1579" s="18">
        <f t="shared" si="674"/>
        <v>0</v>
      </c>
      <c r="S1579" s="18">
        <f t="shared" si="674"/>
        <v>8055740</v>
      </c>
    </row>
    <row r="1580" spans="2:19" x14ac:dyDescent="0.2">
      <c r="B1580" s="7">
        <f t="shared" si="669"/>
        <v>48</v>
      </c>
      <c r="C1580" s="13"/>
      <c r="D1580" s="13"/>
      <c r="E1580" s="13"/>
      <c r="F1580" s="14"/>
      <c r="G1580" s="21">
        <v>713</v>
      </c>
      <c r="H1580" s="19" t="s">
        <v>215</v>
      </c>
      <c r="I1580" s="22"/>
      <c r="J1580" s="22"/>
      <c r="K1580" s="22">
        <f t="shared" si="660"/>
        <v>0</v>
      </c>
      <c r="L1580" s="22"/>
      <c r="M1580" s="22">
        <f>SUM(M1581:M1581)</f>
        <v>16546</v>
      </c>
      <c r="N1580" s="22">
        <f t="shared" ref="N1580" si="677">SUM(N1581:N1581)</f>
        <v>0</v>
      </c>
      <c r="O1580" s="22">
        <f t="shared" si="661"/>
        <v>16546</v>
      </c>
      <c r="P1580" s="22"/>
      <c r="Q1580" s="23">
        <f t="shared" si="673"/>
        <v>16546</v>
      </c>
      <c r="R1580" s="23">
        <f t="shared" si="674"/>
        <v>0</v>
      </c>
      <c r="S1580" s="23">
        <f t="shared" si="674"/>
        <v>16546</v>
      </c>
    </row>
    <row r="1581" spans="2:19" x14ac:dyDescent="0.2">
      <c r="B1581" s="7">
        <f t="shared" si="669"/>
        <v>49</v>
      </c>
      <c r="C1581" s="13"/>
      <c r="D1581" s="13"/>
      <c r="E1581" s="13"/>
      <c r="F1581" s="14"/>
      <c r="G1581" s="136"/>
      <c r="H1581" s="166" t="s">
        <v>619</v>
      </c>
      <c r="I1581" s="140"/>
      <c r="J1581" s="140"/>
      <c r="K1581" s="140">
        <f t="shared" si="660"/>
        <v>0</v>
      </c>
      <c r="L1581" s="140"/>
      <c r="M1581" s="140">
        <f>15000+1546</f>
        <v>16546</v>
      </c>
      <c r="N1581" s="140"/>
      <c r="O1581" s="140">
        <f t="shared" si="661"/>
        <v>16546</v>
      </c>
      <c r="P1581" s="140"/>
      <c r="Q1581" s="28">
        <f t="shared" si="673"/>
        <v>16546</v>
      </c>
      <c r="R1581" s="28">
        <f t="shared" si="674"/>
        <v>0</v>
      </c>
      <c r="S1581" s="28">
        <f t="shared" si="674"/>
        <v>16546</v>
      </c>
    </row>
    <row r="1582" spans="2:19" x14ac:dyDescent="0.2">
      <c r="B1582" s="7">
        <f t="shared" si="669"/>
        <v>50</v>
      </c>
      <c r="C1582" s="19"/>
      <c r="D1582" s="19"/>
      <c r="E1582" s="19"/>
      <c r="F1582" s="20"/>
      <c r="G1582" s="21">
        <v>716</v>
      </c>
      <c r="H1582" s="19" t="s">
        <v>211</v>
      </c>
      <c r="I1582" s="22"/>
      <c r="J1582" s="22"/>
      <c r="K1582" s="22">
        <f t="shared" si="660"/>
        <v>0</v>
      </c>
      <c r="L1582" s="22"/>
      <c r="M1582" s="22">
        <f>M1583</f>
        <v>25000</v>
      </c>
      <c r="N1582" s="22">
        <f t="shared" ref="N1582" si="678">N1583</f>
        <v>0</v>
      </c>
      <c r="O1582" s="22">
        <f t="shared" si="661"/>
        <v>25000</v>
      </c>
      <c r="P1582" s="22"/>
      <c r="Q1582" s="23">
        <f t="shared" si="673"/>
        <v>25000</v>
      </c>
      <c r="R1582" s="23">
        <f t="shared" si="674"/>
        <v>0</v>
      </c>
      <c r="S1582" s="23">
        <f t="shared" si="674"/>
        <v>25000</v>
      </c>
    </row>
    <row r="1583" spans="2:19" x14ac:dyDescent="0.2">
      <c r="B1583" s="7">
        <f t="shared" si="669"/>
        <v>51</v>
      </c>
      <c r="C1583" s="24"/>
      <c r="D1583" s="24"/>
      <c r="E1583" s="24"/>
      <c r="F1583" s="136"/>
      <c r="G1583" s="136"/>
      <c r="H1583" s="1" t="s">
        <v>434</v>
      </c>
      <c r="I1583" s="26"/>
      <c r="J1583" s="26"/>
      <c r="K1583" s="26">
        <f t="shared" si="660"/>
        <v>0</v>
      </c>
      <c r="L1583" s="26"/>
      <c r="M1583" s="26">
        <f>20000+5000</f>
        <v>25000</v>
      </c>
      <c r="N1583" s="26"/>
      <c r="O1583" s="26">
        <f t="shared" si="661"/>
        <v>25000</v>
      </c>
      <c r="P1583" s="26"/>
      <c r="Q1583" s="28">
        <f t="shared" si="673"/>
        <v>25000</v>
      </c>
      <c r="R1583" s="28">
        <f t="shared" si="674"/>
        <v>0</v>
      </c>
      <c r="S1583" s="28">
        <f t="shared" si="674"/>
        <v>25000</v>
      </c>
    </row>
    <row r="1584" spans="2:19" x14ac:dyDescent="0.2">
      <c r="B1584" s="7">
        <f t="shared" si="669"/>
        <v>52</v>
      </c>
      <c r="C1584" s="19"/>
      <c r="D1584" s="19"/>
      <c r="E1584" s="19"/>
      <c r="F1584" s="20"/>
      <c r="G1584" s="21">
        <v>717</v>
      </c>
      <c r="H1584" s="19" t="s">
        <v>178</v>
      </c>
      <c r="I1584" s="22"/>
      <c r="J1584" s="22"/>
      <c r="K1584" s="22">
        <f t="shared" si="660"/>
        <v>0</v>
      </c>
      <c r="L1584" s="22"/>
      <c r="M1584" s="22">
        <f>SUM(M1585:M1588)</f>
        <v>8014194</v>
      </c>
      <c r="N1584" s="22">
        <f t="shared" ref="N1584" si="679">SUM(N1585:N1588)</f>
        <v>0</v>
      </c>
      <c r="O1584" s="22">
        <f t="shared" si="661"/>
        <v>8014194</v>
      </c>
      <c r="P1584" s="22"/>
      <c r="Q1584" s="23">
        <f t="shared" si="673"/>
        <v>8014194</v>
      </c>
      <c r="R1584" s="23">
        <f t="shared" ref="R1584:S1599" si="680">N1584+J1584</f>
        <v>0</v>
      </c>
      <c r="S1584" s="23">
        <f t="shared" si="680"/>
        <v>8014194</v>
      </c>
    </row>
    <row r="1585" spans="2:19" x14ac:dyDescent="0.2">
      <c r="B1585" s="7">
        <f t="shared" si="669"/>
        <v>53</v>
      </c>
      <c r="C1585" s="24"/>
      <c r="D1585" s="24"/>
      <c r="E1585" s="24"/>
      <c r="F1585" s="136"/>
      <c r="G1585" s="136"/>
      <c r="H1585" s="1" t="s">
        <v>433</v>
      </c>
      <c r="I1585" s="26"/>
      <c r="J1585" s="26"/>
      <c r="K1585" s="26">
        <f t="shared" si="660"/>
        <v>0</v>
      </c>
      <c r="L1585" s="26"/>
      <c r="M1585" s="26">
        <f>6764960-541197+1229224</f>
        <v>7452987</v>
      </c>
      <c r="N1585" s="26"/>
      <c r="O1585" s="26">
        <f t="shared" si="661"/>
        <v>7452987</v>
      </c>
      <c r="P1585" s="26"/>
      <c r="Q1585" s="28">
        <f t="shared" si="673"/>
        <v>7452987</v>
      </c>
      <c r="R1585" s="28">
        <f t="shared" si="680"/>
        <v>0</v>
      </c>
      <c r="S1585" s="28">
        <f t="shared" si="680"/>
        <v>7452987</v>
      </c>
    </row>
    <row r="1586" spans="2:19" x14ac:dyDescent="0.2">
      <c r="B1586" s="7">
        <f t="shared" si="669"/>
        <v>54</v>
      </c>
      <c r="C1586" s="24"/>
      <c r="D1586" s="24"/>
      <c r="E1586" s="24"/>
      <c r="F1586" s="136"/>
      <c r="G1586" s="136"/>
      <c r="H1586" s="1" t="s">
        <v>418</v>
      </c>
      <c r="I1586" s="26"/>
      <c r="J1586" s="26"/>
      <c r="K1586" s="26">
        <f t="shared" si="660"/>
        <v>0</v>
      </c>
      <c r="L1586" s="26"/>
      <c r="M1586" s="26">
        <f>419670-33574+68977</f>
        <v>455073</v>
      </c>
      <c r="N1586" s="26"/>
      <c r="O1586" s="26">
        <f t="shared" si="661"/>
        <v>455073</v>
      </c>
      <c r="P1586" s="26"/>
      <c r="Q1586" s="28">
        <f t="shared" si="673"/>
        <v>455073</v>
      </c>
      <c r="R1586" s="28">
        <f t="shared" si="680"/>
        <v>0</v>
      </c>
      <c r="S1586" s="28">
        <f t="shared" si="680"/>
        <v>455073</v>
      </c>
    </row>
    <row r="1587" spans="2:19" x14ac:dyDescent="0.2">
      <c r="B1587" s="7">
        <f t="shared" si="669"/>
        <v>55</v>
      </c>
      <c r="C1587" s="24"/>
      <c r="D1587" s="24"/>
      <c r="E1587" s="24"/>
      <c r="F1587" s="136"/>
      <c r="G1587" s="136"/>
      <c r="H1587" s="1" t="s">
        <v>494</v>
      </c>
      <c r="I1587" s="26"/>
      <c r="J1587" s="26"/>
      <c r="K1587" s="26">
        <f t="shared" si="660"/>
        <v>0</v>
      </c>
      <c r="L1587" s="26"/>
      <c r="M1587" s="26">
        <f>23600+14000+10000</f>
        <v>47600</v>
      </c>
      <c r="N1587" s="26"/>
      <c r="O1587" s="26">
        <f t="shared" si="661"/>
        <v>47600</v>
      </c>
      <c r="P1587" s="26"/>
      <c r="Q1587" s="28">
        <f t="shared" si="673"/>
        <v>47600</v>
      </c>
      <c r="R1587" s="28">
        <f t="shared" si="680"/>
        <v>0</v>
      </c>
      <c r="S1587" s="28">
        <f t="shared" si="680"/>
        <v>47600</v>
      </c>
    </row>
    <row r="1588" spans="2:19" x14ac:dyDescent="0.2">
      <c r="B1588" s="7">
        <f t="shared" si="669"/>
        <v>56</v>
      </c>
      <c r="C1588" s="24"/>
      <c r="D1588" s="24"/>
      <c r="E1588" s="24"/>
      <c r="F1588" s="136"/>
      <c r="G1588" s="136"/>
      <c r="H1588" s="1" t="s">
        <v>615</v>
      </c>
      <c r="I1588" s="26"/>
      <c r="J1588" s="26"/>
      <c r="K1588" s="26">
        <f t="shared" si="660"/>
        <v>0</v>
      </c>
      <c r="L1588" s="26"/>
      <c r="M1588" s="26">
        <f>110000-43466-8000</f>
        <v>58534</v>
      </c>
      <c r="N1588" s="26"/>
      <c r="O1588" s="26">
        <f t="shared" si="661"/>
        <v>58534</v>
      </c>
      <c r="P1588" s="26"/>
      <c r="Q1588" s="28">
        <f t="shared" si="673"/>
        <v>58534</v>
      </c>
      <c r="R1588" s="28">
        <f t="shared" si="680"/>
        <v>0</v>
      </c>
      <c r="S1588" s="28">
        <f t="shared" si="680"/>
        <v>58534</v>
      </c>
    </row>
    <row r="1589" spans="2:19" ht="15" x14ac:dyDescent="0.2">
      <c r="B1589" s="7">
        <f t="shared" si="669"/>
        <v>57</v>
      </c>
      <c r="C1589" s="359">
        <v>4</v>
      </c>
      <c r="D1589" s="451" t="s">
        <v>456</v>
      </c>
      <c r="E1589" s="452"/>
      <c r="F1589" s="452"/>
      <c r="G1589" s="452"/>
      <c r="H1589" s="452"/>
      <c r="I1589" s="11">
        <f>I1590+I1591+I1592+I1600+I1599</f>
        <v>853000</v>
      </c>
      <c r="J1589" s="11">
        <f t="shared" ref="J1589" si="681">J1590+J1591+J1592+J1600+J1599</f>
        <v>0</v>
      </c>
      <c r="K1589" s="11">
        <f t="shared" si="660"/>
        <v>853000</v>
      </c>
      <c r="L1589" s="320"/>
      <c r="M1589" s="11">
        <f>M1601</f>
        <v>12500</v>
      </c>
      <c r="N1589" s="11">
        <f t="shared" ref="N1589" si="682">N1601</f>
        <v>0</v>
      </c>
      <c r="O1589" s="11">
        <f t="shared" si="661"/>
        <v>12500</v>
      </c>
      <c r="P1589" s="272"/>
      <c r="Q1589" s="35">
        <f t="shared" si="673"/>
        <v>865500</v>
      </c>
      <c r="R1589" s="35">
        <f t="shared" si="680"/>
        <v>0</v>
      </c>
      <c r="S1589" s="35">
        <f t="shared" si="680"/>
        <v>865500</v>
      </c>
    </row>
    <row r="1590" spans="2:19" x14ac:dyDescent="0.2">
      <c r="B1590" s="7">
        <f t="shared" si="669"/>
        <v>58</v>
      </c>
      <c r="C1590" s="13"/>
      <c r="D1590" s="13"/>
      <c r="E1590" s="13"/>
      <c r="F1590" s="14" t="s">
        <v>75</v>
      </c>
      <c r="G1590" s="15">
        <v>610</v>
      </c>
      <c r="H1590" s="13" t="s">
        <v>511</v>
      </c>
      <c r="I1590" s="16">
        <v>300000</v>
      </c>
      <c r="J1590" s="16"/>
      <c r="K1590" s="16">
        <f t="shared" si="660"/>
        <v>300000</v>
      </c>
      <c r="L1590" s="16"/>
      <c r="M1590" s="16"/>
      <c r="N1590" s="16"/>
      <c r="O1590" s="16">
        <f t="shared" si="661"/>
        <v>0</v>
      </c>
      <c r="P1590" s="16"/>
      <c r="Q1590" s="18">
        <f t="shared" si="673"/>
        <v>300000</v>
      </c>
      <c r="R1590" s="18">
        <f t="shared" si="680"/>
        <v>0</v>
      </c>
      <c r="S1590" s="18">
        <f t="shared" si="680"/>
        <v>300000</v>
      </c>
    </row>
    <row r="1591" spans="2:19" x14ac:dyDescent="0.2">
      <c r="B1591" s="7">
        <f t="shared" si="669"/>
        <v>59</v>
      </c>
      <c r="C1591" s="19"/>
      <c r="D1591" s="19"/>
      <c r="E1591" s="19"/>
      <c r="F1591" s="14" t="s">
        <v>75</v>
      </c>
      <c r="G1591" s="15">
        <v>620</v>
      </c>
      <c r="H1591" s="13" t="s">
        <v>122</v>
      </c>
      <c r="I1591" s="16">
        <v>114000</v>
      </c>
      <c r="J1591" s="16"/>
      <c r="K1591" s="16">
        <f t="shared" si="660"/>
        <v>114000</v>
      </c>
      <c r="L1591" s="16"/>
      <c r="M1591" s="22"/>
      <c r="N1591" s="22"/>
      <c r="O1591" s="22">
        <f t="shared" si="661"/>
        <v>0</v>
      </c>
      <c r="P1591" s="22"/>
      <c r="Q1591" s="18">
        <f t="shared" si="673"/>
        <v>114000</v>
      </c>
      <c r="R1591" s="18">
        <f t="shared" si="680"/>
        <v>0</v>
      </c>
      <c r="S1591" s="18">
        <f t="shared" si="680"/>
        <v>114000</v>
      </c>
    </row>
    <row r="1592" spans="2:19" x14ac:dyDescent="0.2">
      <c r="B1592" s="7">
        <f t="shared" si="669"/>
        <v>60</v>
      </c>
      <c r="C1592" s="13"/>
      <c r="D1592" s="13"/>
      <c r="E1592" s="13"/>
      <c r="F1592" s="14" t="s">
        <v>75</v>
      </c>
      <c r="G1592" s="15">
        <v>630</v>
      </c>
      <c r="H1592" s="13" t="s">
        <v>119</v>
      </c>
      <c r="I1592" s="16">
        <f>SUM(I1593:I1598)</f>
        <v>396000</v>
      </c>
      <c r="J1592" s="16">
        <f t="shared" ref="J1592" si="683">SUM(J1593:J1598)</f>
        <v>0</v>
      </c>
      <c r="K1592" s="16">
        <f t="shared" si="660"/>
        <v>396000</v>
      </c>
      <c r="L1592" s="16"/>
      <c r="M1592" s="16"/>
      <c r="N1592" s="16"/>
      <c r="O1592" s="16">
        <f t="shared" si="661"/>
        <v>0</v>
      </c>
      <c r="P1592" s="16"/>
      <c r="Q1592" s="18">
        <f t="shared" si="673"/>
        <v>396000</v>
      </c>
      <c r="R1592" s="18">
        <f t="shared" si="680"/>
        <v>0</v>
      </c>
      <c r="S1592" s="18">
        <f t="shared" si="680"/>
        <v>396000</v>
      </c>
    </row>
    <row r="1593" spans="2:19" x14ac:dyDescent="0.2">
      <c r="B1593" s="7">
        <f t="shared" si="669"/>
        <v>61</v>
      </c>
      <c r="C1593" s="13"/>
      <c r="D1593" s="13"/>
      <c r="E1593" s="13"/>
      <c r="F1593" s="14"/>
      <c r="G1593" s="137">
        <v>631</v>
      </c>
      <c r="H1593" s="138" t="s">
        <v>125</v>
      </c>
      <c r="I1593" s="33">
        <f>500+3180</f>
        <v>3680</v>
      </c>
      <c r="J1593" s="33"/>
      <c r="K1593" s="33">
        <f t="shared" si="660"/>
        <v>3680</v>
      </c>
      <c r="L1593" s="22"/>
      <c r="M1593" s="33"/>
      <c r="N1593" s="33"/>
      <c r="O1593" s="33">
        <f t="shared" si="661"/>
        <v>0</v>
      </c>
      <c r="P1593" s="22"/>
      <c r="Q1593" s="139">
        <f t="shared" si="673"/>
        <v>3680</v>
      </c>
      <c r="R1593" s="139">
        <f t="shared" si="680"/>
        <v>0</v>
      </c>
      <c r="S1593" s="139">
        <f t="shared" si="680"/>
        <v>3680</v>
      </c>
    </row>
    <row r="1594" spans="2:19" x14ac:dyDescent="0.2">
      <c r="B1594" s="7">
        <f t="shared" si="669"/>
        <v>62</v>
      </c>
      <c r="C1594" s="19"/>
      <c r="D1594" s="19"/>
      <c r="E1594" s="19"/>
      <c r="F1594" s="20"/>
      <c r="G1594" s="137">
        <v>632</v>
      </c>
      <c r="H1594" s="138" t="s">
        <v>131</v>
      </c>
      <c r="I1594" s="33">
        <v>60000</v>
      </c>
      <c r="J1594" s="33"/>
      <c r="K1594" s="33">
        <f t="shared" si="660"/>
        <v>60000</v>
      </c>
      <c r="L1594" s="22"/>
      <c r="M1594" s="33"/>
      <c r="N1594" s="33"/>
      <c r="O1594" s="33">
        <f t="shared" si="661"/>
        <v>0</v>
      </c>
      <c r="P1594" s="22"/>
      <c r="Q1594" s="139">
        <f t="shared" si="673"/>
        <v>60000</v>
      </c>
      <c r="R1594" s="139">
        <f t="shared" si="680"/>
        <v>0</v>
      </c>
      <c r="S1594" s="139">
        <f t="shared" si="680"/>
        <v>60000</v>
      </c>
    </row>
    <row r="1595" spans="2:19" x14ac:dyDescent="0.2">
      <c r="B1595" s="7">
        <f t="shared" si="669"/>
        <v>63</v>
      </c>
      <c r="C1595" s="19"/>
      <c r="D1595" s="19"/>
      <c r="E1595" s="19"/>
      <c r="F1595" s="20"/>
      <c r="G1595" s="21">
        <v>633</v>
      </c>
      <c r="H1595" s="19" t="s">
        <v>123</v>
      </c>
      <c r="I1595" s="22">
        <f>23500+10200+1015+8300</f>
        <v>43015</v>
      </c>
      <c r="J1595" s="22"/>
      <c r="K1595" s="22">
        <f t="shared" si="660"/>
        <v>43015</v>
      </c>
      <c r="L1595" s="22"/>
      <c r="M1595" s="22"/>
      <c r="N1595" s="22"/>
      <c r="O1595" s="22">
        <f t="shared" si="661"/>
        <v>0</v>
      </c>
      <c r="P1595" s="22"/>
      <c r="Q1595" s="23">
        <f t="shared" si="673"/>
        <v>43015</v>
      </c>
      <c r="R1595" s="23">
        <f t="shared" si="680"/>
        <v>0</v>
      </c>
      <c r="S1595" s="23">
        <f t="shared" si="680"/>
        <v>43015</v>
      </c>
    </row>
    <row r="1596" spans="2:19" x14ac:dyDescent="0.2">
      <c r="B1596" s="7">
        <f t="shared" si="669"/>
        <v>64</v>
      </c>
      <c r="C1596" s="19"/>
      <c r="D1596" s="19"/>
      <c r="E1596" s="19"/>
      <c r="F1596" s="20"/>
      <c r="G1596" s="21">
        <v>635</v>
      </c>
      <c r="H1596" s="19" t="s">
        <v>130</v>
      </c>
      <c r="I1596" s="22">
        <v>29200</v>
      </c>
      <c r="J1596" s="22"/>
      <c r="K1596" s="22">
        <f t="shared" si="660"/>
        <v>29200</v>
      </c>
      <c r="L1596" s="22"/>
      <c r="M1596" s="22"/>
      <c r="N1596" s="22"/>
      <c r="O1596" s="22">
        <f t="shared" si="661"/>
        <v>0</v>
      </c>
      <c r="P1596" s="22"/>
      <c r="Q1596" s="23">
        <f t="shared" si="673"/>
        <v>29200</v>
      </c>
      <c r="R1596" s="23">
        <f t="shared" si="680"/>
        <v>0</v>
      </c>
      <c r="S1596" s="23">
        <f t="shared" si="680"/>
        <v>29200</v>
      </c>
    </row>
    <row r="1597" spans="2:19" x14ac:dyDescent="0.2">
      <c r="B1597" s="7">
        <f t="shared" si="669"/>
        <v>65</v>
      </c>
      <c r="C1597" s="19"/>
      <c r="D1597" s="19"/>
      <c r="E1597" s="19"/>
      <c r="F1597" s="20"/>
      <c r="G1597" s="21">
        <v>636</v>
      </c>
      <c r="H1597" s="19" t="s">
        <v>124</v>
      </c>
      <c r="I1597" s="22">
        <v>4800</v>
      </c>
      <c r="J1597" s="22"/>
      <c r="K1597" s="22">
        <f t="shared" si="660"/>
        <v>4800</v>
      </c>
      <c r="L1597" s="22"/>
      <c r="M1597" s="22"/>
      <c r="N1597" s="22"/>
      <c r="O1597" s="22">
        <f t="shared" si="661"/>
        <v>0</v>
      </c>
      <c r="P1597" s="22"/>
      <c r="Q1597" s="23">
        <f t="shared" si="673"/>
        <v>4800</v>
      </c>
      <c r="R1597" s="23">
        <f t="shared" si="680"/>
        <v>0</v>
      </c>
      <c r="S1597" s="23">
        <f t="shared" si="680"/>
        <v>4800</v>
      </c>
    </row>
    <row r="1598" spans="2:19" x14ac:dyDescent="0.2">
      <c r="B1598" s="7">
        <f t="shared" ref="B1598:B1620" si="684">B1597+1</f>
        <v>66</v>
      </c>
      <c r="C1598" s="19"/>
      <c r="D1598" s="19"/>
      <c r="E1598" s="19"/>
      <c r="F1598" s="20"/>
      <c r="G1598" s="21">
        <v>637</v>
      </c>
      <c r="H1598" s="19" t="s">
        <v>120</v>
      </c>
      <c r="I1598" s="22">
        <f>259200-10200-500-3180-3820-5180+18985</f>
        <v>255305</v>
      </c>
      <c r="J1598" s="22"/>
      <c r="K1598" s="22">
        <f t="shared" ref="K1598:K1620" si="685">I1598+J1598</f>
        <v>255305</v>
      </c>
      <c r="L1598" s="22"/>
      <c r="M1598" s="22"/>
      <c r="N1598" s="22"/>
      <c r="O1598" s="22">
        <f t="shared" ref="O1598:O1620" si="686">M1598+N1598</f>
        <v>0</v>
      </c>
      <c r="P1598" s="22"/>
      <c r="Q1598" s="23">
        <f t="shared" si="673"/>
        <v>255305</v>
      </c>
      <c r="R1598" s="23">
        <f t="shared" si="680"/>
        <v>0</v>
      </c>
      <c r="S1598" s="23">
        <f t="shared" si="680"/>
        <v>255305</v>
      </c>
    </row>
    <row r="1599" spans="2:19" x14ac:dyDescent="0.2">
      <c r="B1599" s="7">
        <f t="shared" si="684"/>
        <v>67</v>
      </c>
      <c r="C1599" s="19"/>
      <c r="D1599" s="19"/>
      <c r="E1599" s="19"/>
      <c r="F1599" s="20"/>
      <c r="G1599" s="15">
        <v>600</v>
      </c>
      <c r="H1599" s="13" t="s">
        <v>711</v>
      </c>
      <c r="I1599" s="16">
        <v>25000</v>
      </c>
      <c r="J1599" s="16"/>
      <c r="K1599" s="16">
        <f t="shared" si="685"/>
        <v>25000</v>
      </c>
      <c r="L1599" s="22"/>
      <c r="M1599" s="22"/>
      <c r="N1599" s="22"/>
      <c r="O1599" s="22">
        <f t="shared" si="686"/>
        <v>0</v>
      </c>
      <c r="P1599" s="22"/>
      <c r="Q1599" s="23">
        <f t="shared" si="673"/>
        <v>25000</v>
      </c>
      <c r="R1599" s="23">
        <f t="shared" si="680"/>
        <v>0</v>
      </c>
      <c r="S1599" s="23">
        <f t="shared" si="680"/>
        <v>25000</v>
      </c>
    </row>
    <row r="1600" spans="2:19" x14ac:dyDescent="0.2">
      <c r="B1600" s="7">
        <f t="shared" si="684"/>
        <v>68</v>
      </c>
      <c r="C1600" s="13"/>
      <c r="D1600" s="13"/>
      <c r="E1600" s="13"/>
      <c r="F1600" s="14" t="s">
        <v>75</v>
      </c>
      <c r="G1600" s="15">
        <v>640</v>
      </c>
      <c r="H1600" s="13" t="s">
        <v>127</v>
      </c>
      <c r="I1600" s="16">
        <v>18000</v>
      </c>
      <c r="J1600" s="16"/>
      <c r="K1600" s="16">
        <f t="shared" si="685"/>
        <v>18000</v>
      </c>
      <c r="L1600" s="16"/>
      <c r="M1600" s="16"/>
      <c r="N1600" s="16"/>
      <c r="O1600" s="16">
        <f t="shared" si="686"/>
        <v>0</v>
      </c>
      <c r="P1600" s="16"/>
      <c r="Q1600" s="18">
        <f t="shared" si="673"/>
        <v>18000</v>
      </c>
      <c r="R1600" s="18">
        <f t="shared" ref="R1600:S1608" si="687">N1600+J1600</f>
        <v>0</v>
      </c>
      <c r="S1600" s="18">
        <f t="shared" si="687"/>
        <v>18000</v>
      </c>
    </row>
    <row r="1601" spans="2:19" x14ac:dyDescent="0.2">
      <c r="B1601" s="7">
        <f t="shared" si="684"/>
        <v>69</v>
      </c>
      <c r="C1601" s="13"/>
      <c r="D1601" s="13"/>
      <c r="E1601" s="13"/>
      <c r="F1601" s="14" t="s">
        <v>75</v>
      </c>
      <c r="G1601" s="15">
        <v>710</v>
      </c>
      <c r="H1601" s="13" t="s">
        <v>171</v>
      </c>
      <c r="I1601" s="16"/>
      <c r="J1601" s="16"/>
      <c r="K1601" s="16">
        <f t="shared" si="685"/>
        <v>0</v>
      </c>
      <c r="L1601" s="16"/>
      <c r="M1601" s="16">
        <f>M1602+M1604</f>
        <v>12500</v>
      </c>
      <c r="N1601" s="16">
        <f t="shared" ref="N1601" si="688">N1602+N1604</f>
        <v>0</v>
      </c>
      <c r="O1601" s="16">
        <f t="shared" si="686"/>
        <v>12500</v>
      </c>
      <c r="P1601" s="16"/>
      <c r="Q1601" s="18">
        <f t="shared" si="673"/>
        <v>12500</v>
      </c>
      <c r="R1601" s="18">
        <f t="shared" si="687"/>
        <v>0</v>
      </c>
      <c r="S1601" s="18">
        <f t="shared" si="687"/>
        <v>12500</v>
      </c>
    </row>
    <row r="1602" spans="2:19" x14ac:dyDescent="0.2">
      <c r="B1602" s="7">
        <f t="shared" si="684"/>
        <v>70</v>
      </c>
      <c r="C1602" s="19"/>
      <c r="D1602" s="19"/>
      <c r="E1602" s="19"/>
      <c r="F1602" s="20"/>
      <c r="G1602" s="21">
        <v>712</v>
      </c>
      <c r="H1602" s="19" t="s">
        <v>58</v>
      </c>
      <c r="I1602" s="22"/>
      <c r="J1602" s="22"/>
      <c r="K1602" s="22">
        <f t="shared" si="685"/>
        <v>0</v>
      </c>
      <c r="L1602" s="22"/>
      <c r="M1602" s="22">
        <f>M1603</f>
        <v>7000</v>
      </c>
      <c r="N1602" s="22">
        <f t="shared" ref="N1602" si="689">N1603</f>
        <v>0</v>
      </c>
      <c r="O1602" s="22">
        <f t="shared" si="686"/>
        <v>7000</v>
      </c>
      <c r="P1602" s="22"/>
      <c r="Q1602" s="23">
        <f t="shared" si="673"/>
        <v>7000</v>
      </c>
      <c r="R1602" s="23">
        <f t="shared" si="687"/>
        <v>0</v>
      </c>
      <c r="S1602" s="23">
        <f t="shared" si="687"/>
        <v>7000</v>
      </c>
    </row>
    <row r="1603" spans="2:19" x14ac:dyDescent="0.2">
      <c r="B1603" s="7">
        <f t="shared" si="684"/>
        <v>71</v>
      </c>
      <c r="C1603" s="19"/>
      <c r="D1603" s="19"/>
      <c r="E1603" s="19"/>
      <c r="F1603" s="20"/>
      <c r="G1603" s="21"/>
      <c r="H1603" s="1" t="s">
        <v>562</v>
      </c>
      <c r="I1603" s="22"/>
      <c r="J1603" s="22"/>
      <c r="K1603" s="22">
        <f t="shared" si="685"/>
        <v>0</v>
      </c>
      <c r="L1603" s="22"/>
      <c r="M1603" s="26">
        <v>7000</v>
      </c>
      <c r="N1603" s="26"/>
      <c r="O1603" s="26">
        <f t="shared" si="686"/>
        <v>7000</v>
      </c>
      <c r="P1603" s="26"/>
      <c r="Q1603" s="28">
        <f t="shared" si="673"/>
        <v>7000</v>
      </c>
      <c r="R1603" s="28">
        <f t="shared" si="687"/>
        <v>0</v>
      </c>
      <c r="S1603" s="28">
        <f t="shared" si="687"/>
        <v>7000</v>
      </c>
    </row>
    <row r="1604" spans="2:19" x14ac:dyDescent="0.2">
      <c r="B1604" s="7">
        <f t="shared" si="684"/>
        <v>72</v>
      </c>
      <c r="C1604" s="13"/>
      <c r="D1604" s="13"/>
      <c r="E1604" s="13"/>
      <c r="F1604" s="14"/>
      <c r="G1604" s="21">
        <v>713</v>
      </c>
      <c r="H1604" s="19" t="s">
        <v>215</v>
      </c>
      <c r="I1604" s="22"/>
      <c r="J1604" s="22"/>
      <c r="K1604" s="22">
        <f t="shared" si="685"/>
        <v>0</v>
      </c>
      <c r="L1604" s="22"/>
      <c r="M1604" s="22">
        <f>SUM(M1605:M1605)</f>
        <v>5500</v>
      </c>
      <c r="N1604" s="22">
        <f t="shared" ref="N1604" si="690">SUM(N1605:N1605)</f>
        <v>0</v>
      </c>
      <c r="O1604" s="22">
        <f t="shared" si="686"/>
        <v>5500</v>
      </c>
      <c r="P1604" s="22"/>
      <c r="Q1604" s="23">
        <f t="shared" si="673"/>
        <v>5500</v>
      </c>
      <c r="R1604" s="23">
        <f t="shared" si="687"/>
        <v>0</v>
      </c>
      <c r="S1604" s="23">
        <f t="shared" si="687"/>
        <v>5500</v>
      </c>
    </row>
    <row r="1605" spans="2:19" x14ac:dyDescent="0.2">
      <c r="B1605" s="7">
        <f t="shared" si="684"/>
        <v>73</v>
      </c>
      <c r="C1605" s="13"/>
      <c r="D1605" s="13"/>
      <c r="E1605" s="13"/>
      <c r="F1605" s="14"/>
      <c r="G1605" s="136"/>
      <c r="H1605" s="166" t="s">
        <v>563</v>
      </c>
      <c r="I1605" s="140"/>
      <c r="J1605" s="140"/>
      <c r="K1605" s="140">
        <f t="shared" si="685"/>
        <v>0</v>
      </c>
      <c r="L1605" s="140"/>
      <c r="M1605" s="140">
        <v>5500</v>
      </c>
      <c r="N1605" s="140"/>
      <c r="O1605" s="140">
        <f t="shared" si="686"/>
        <v>5500</v>
      </c>
      <c r="P1605" s="140"/>
      <c r="Q1605" s="28">
        <f t="shared" si="673"/>
        <v>5500</v>
      </c>
      <c r="R1605" s="28">
        <f t="shared" si="687"/>
        <v>0</v>
      </c>
      <c r="S1605" s="28">
        <f t="shared" si="687"/>
        <v>5500</v>
      </c>
    </row>
    <row r="1606" spans="2:19" ht="15" x14ac:dyDescent="0.2">
      <c r="B1606" s="7">
        <f t="shared" si="684"/>
        <v>74</v>
      </c>
      <c r="C1606" s="358">
        <v>5</v>
      </c>
      <c r="D1606" s="453" t="s">
        <v>372</v>
      </c>
      <c r="E1606" s="454"/>
      <c r="F1606" s="454"/>
      <c r="G1606" s="454"/>
      <c r="H1606" s="454"/>
      <c r="I1606" s="141">
        <f>I1607+I1610</f>
        <v>1179192</v>
      </c>
      <c r="J1606" s="141">
        <f t="shared" ref="J1606" si="691">J1607+J1610</f>
        <v>-7000</v>
      </c>
      <c r="K1606" s="141">
        <f t="shared" si="685"/>
        <v>1172192</v>
      </c>
      <c r="L1606" s="330"/>
      <c r="M1606" s="141">
        <f>M1619</f>
        <v>500000</v>
      </c>
      <c r="N1606" s="141">
        <f>N1615</f>
        <v>7000</v>
      </c>
      <c r="O1606" s="141">
        <f t="shared" si="686"/>
        <v>507000</v>
      </c>
      <c r="P1606" s="330"/>
      <c r="Q1606" s="143">
        <f t="shared" si="673"/>
        <v>1679192</v>
      </c>
      <c r="R1606" s="143">
        <f t="shared" si="687"/>
        <v>0</v>
      </c>
      <c r="S1606" s="143">
        <f t="shared" si="687"/>
        <v>1679192</v>
      </c>
    </row>
    <row r="1607" spans="2:19" x14ac:dyDescent="0.2">
      <c r="B1607" s="7">
        <f t="shared" si="684"/>
        <v>75</v>
      </c>
      <c r="C1607" s="144"/>
      <c r="D1607" s="145"/>
      <c r="E1607" s="145"/>
      <c r="F1607" s="146" t="s">
        <v>75</v>
      </c>
      <c r="G1607" s="147">
        <v>640</v>
      </c>
      <c r="H1607" s="145" t="s">
        <v>127</v>
      </c>
      <c r="I1607" s="294">
        <f>I1608</f>
        <v>1000000</v>
      </c>
      <c r="J1607" s="294">
        <f t="shared" ref="J1607" si="692">J1608</f>
        <v>0</v>
      </c>
      <c r="K1607" s="294">
        <f t="shared" si="685"/>
        <v>1000000</v>
      </c>
      <c r="L1607" s="294"/>
      <c r="M1607" s="151"/>
      <c r="N1607" s="151"/>
      <c r="O1607" s="151">
        <f t="shared" si="686"/>
        <v>0</v>
      </c>
      <c r="P1607" s="151"/>
      <c r="Q1607" s="348">
        <f t="shared" si="673"/>
        <v>1000000</v>
      </c>
      <c r="R1607" s="348">
        <f t="shared" si="687"/>
        <v>0</v>
      </c>
      <c r="S1607" s="348">
        <f t="shared" si="687"/>
        <v>1000000</v>
      </c>
    </row>
    <row r="1608" spans="2:19" ht="24" x14ac:dyDescent="0.2">
      <c r="B1608" s="7">
        <f t="shared" si="684"/>
        <v>76</v>
      </c>
      <c r="C1608" s="350"/>
      <c r="D1608" s="351"/>
      <c r="E1608" s="351"/>
      <c r="F1608" s="352"/>
      <c r="G1608" s="353"/>
      <c r="H1608" s="354" t="s">
        <v>435</v>
      </c>
      <c r="I1608" s="355">
        <v>1000000</v>
      </c>
      <c r="J1608" s="355"/>
      <c r="K1608" s="355">
        <f t="shared" si="685"/>
        <v>1000000</v>
      </c>
      <c r="L1608" s="355"/>
      <c r="M1608" s="355"/>
      <c r="N1608" s="355"/>
      <c r="O1608" s="355">
        <f t="shared" si="686"/>
        <v>0</v>
      </c>
      <c r="P1608" s="355"/>
      <c r="Q1608" s="356">
        <f t="shared" si="673"/>
        <v>1000000</v>
      </c>
      <c r="R1608" s="356">
        <f t="shared" si="687"/>
        <v>0</v>
      </c>
      <c r="S1608" s="356">
        <f t="shared" si="687"/>
        <v>1000000</v>
      </c>
    </row>
    <row r="1609" spans="2:19" x14ac:dyDescent="0.2">
      <c r="B1609" s="7">
        <f t="shared" si="684"/>
        <v>77</v>
      </c>
      <c r="C1609" s="153"/>
      <c r="D1609" s="154"/>
      <c r="E1609" s="154"/>
      <c r="F1609" s="155"/>
      <c r="G1609" s="156"/>
      <c r="H1609" s="157"/>
      <c r="I1609" s="158"/>
      <c r="J1609" s="158"/>
      <c r="K1609" s="158">
        <f t="shared" si="685"/>
        <v>0</v>
      </c>
      <c r="L1609" s="158"/>
      <c r="M1609" s="158"/>
      <c r="N1609" s="158"/>
      <c r="O1609" s="158">
        <f t="shared" si="686"/>
        <v>0</v>
      </c>
      <c r="P1609" s="158"/>
      <c r="Q1609" s="347"/>
      <c r="R1609" s="347"/>
      <c r="S1609" s="347"/>
    </row>
    <row r="1610" spans="2:19" x14ac:dyDescent="0.2">
      <c r="B1610" s="7">
        <f t="shared" si="684"/>
        <v>78</v>
      </c>
      <c r="C1610" s="159"/>
      <c r="D1610" s="160"/>
      <c r="E1610" s="160"/>
      <c r="F1610" s="146" t="s">
        <v>75</v>
      </c>
      <c r="G1610" s="147">
        <v>600</v>
      </c>
      <c r="H1610" s="145" t="s">
        <v>412</v>
      </c>
      <c r="I1610" s="284">
        <f>SUM(I1611:I1614)</f>
        <v>179192</v>
      </c>
      <c r="J1610" s="284">
        <f t="shared" ref="J1610" si="693">SUM(J1611:J1614)</f>
        <v>-7000</v>
      </c>
      <c r="K1610" s="284">
        <f t="shared" si="685"/>
        <v>172192</v>
      </c>
      <c r="L1610" s="151"/>
      <c r="M1610" s="151"/>
      <c r="N1610" s="151"/>
      <c r="O1610" s="151">
        <f t="shared" si="686"/>
        <v>0</v>
      </c>
      <c r="P1610" s="151"/>
      <c r="Q1610" s="348">
        <f>M1610+I1610</f>
        <v>179192</v>
      </c>
      <c r="R1610" s="348">
        <f t="shared" ref="R1610:S1617" si="694">N1610+J1610</f>
        <v>-7000</v>
      </c>
      <c r="S1610" s="348">
        <f t="shared" si="694"/>
        <v>172192</v>
      </c>
    </row>
    <row r="1611" spans="2:19" x14ac:dyDescent="0.2">
      <c r="B1611" s="7">
        <f t="shared" si="684"/>
        <v>79</v>
      </c>
      <c r="C1611" s="159"/>
      <c r="D1611" s="160"/>
      <c r="E1611" s="160"/>
      <c r="F1611" s="146"/>
      <c r="G1611" s="150">
        <v>610</v>
      </c>
      <c r="H1611" s="19" t="s">
        <v>511</v>
      </c>
      <c r="I1611" s="151">
        <f>75000+27592</f>
        <v>102592</v>
      </c>
      <c r="J1611" s="151">
        <v>-27000</v>
      </c>
      <c r="K1611" s="151">
        <f t="shared" si="685"/>
        <v>75592</v>
      </c>
      <c r="L1611" s="151"/>
      <c r="M1611" s="151"/>
      <c r="N1611" s="151"/>
      <c r="O1611" s="151">
        <f t="shared" si="686"/>
        <v>0</v>
      </c>
      <c r="P1611" s="151"/>
      <c r="Q1611" s="346">
        <f>M1611+I1611</f>
        <v>102592</v>
      </c>
      <c r="R1611" s="346">
        <f t="shared" si="694"/>
        <v>-27000</v>
      </c>
      <c r="S1611" s="346">
        <f t="shared" si="694"/>
        <v>75592</v>
      </c>
    </row>
    <row r="1612" spans="2:19" x14ac:dyDescent="0.2">
      <c r="B1612" s="7">
        <f t="shared" si="684"/>
        <v>80</v>
      </c>
      <c r="C1612" s="159"/>
      <c r="D1612" s="160"/>
      <c r="E1612" s="160"/>
      <c r="F1612" s="146"/>
      <c r="G1612" s="150">
        <v>620</v>
      </c>
      <c r="H1612" s="149" t="s">
        <v>122</v>
      </c>
      <c r="I1612" s="151">
        <v>28500</v>
      </c>
      <c r="J1612" s="151"/>
      <c r="K1612" s="151">
        <f t="shared" si="685"/>
        <v>28500</v>
      </c>
      <c r="L1612" s="151"/>
      <c r="M1612" s="151"/>
      <c r="N1612" s="151"/>
      <c r="O1612" s="151">
        <f t="shared" si="686"/>
        <v>0</v>
      </c>
      <c r="P1612" s="151"/>
      <c r="Q1612" s="346">
        <f>M1612+I1612</f>
        <v>28500</v>
      </c>
      <c r="R1612" s="346">
        <f t="shared" si="694"/>
        <v>0</v>
      </c>
      <c r="S1612" s="346">
        <f t="shared" si="694"/>
        <v>28500</v>
      </c>
    </row>
    <row r="1613" spans="2:19" x14ac:dyDescent="0.2">
      <c r="B1613" s="7">
        <f t="shared" si="684"/>
        <v>81</v>
      </c>
      <c r="C1613" s="159"/>
      <c r="D1613" s="160"/>
      <c r="E1613" s="160"/>
      <c r="F1613" s="146"/>
      <c r="G1613" s="150">
        <v>630</v>
      </c>
      <c r="H1613" s="149" t="s">
        <v>119</v>
      </c>
      <c r="I1613" s="151">
        <v>44100</v>
      </c>
      <c r="J1613" s="151">
        <f>27000-7000</f>
        <v>20000</v>
      </c>
      <c r="K1613" s="151">
        <f t="shared" si="685"/>
        <v>64100</v>
      </c>
      <c r="L1613" s="151"/>
      <c r="M1613" s="151"/>
      <c r="N1613" s="151"/>
      <c r="O1613" s="151">
        <f t="shared" si="686"/>
        <v>0</v>
      </c>
      <c r="P1613" s="151"/>
      <c r="Q1613" s="346">
        <f>M1613+I1613</f>
        <v>44100</v>
      </c>
      <c r="R1613" s="346">
        <f t="shared" si="694"/>
        <v>20000</v>
      </c>
      <c r="S1613" s="346">
        <f t="shared" si="694"/>
        <v>64100</v>
      </c>
    </row>
    <row r="1614" spans="2:19" x14ac:dyDescent="0.2">
      <c r="B1614" s="7">
        <f t="shared" si="684"/>
        <v>82</v>
      </c>
      <c r="C1614" s="159"/>
      <c r="D1614" s="160"/>
      <c r="E1614" s="160"/>
      <c r="F1614" s="146"/>
      <c r="G1614" s="150">
        <v>640</v>
      </c>
      <c r="H1614" s="149" t="s">
        <v>127</v>
      </c>
      <c r="I1614" s="151">
        <v>4000</v>
      </c>
      <c r="J1614" s="151"/>
      <c r="K1614" s="151">
        <f t="shared" si="685"/>
        <v>4000</v>
      </c>
      <c r="L1614" s="151"/>
      <c r="M1614" s="151"/>
      <c r="N1614" s="151"/>
      <c r="O1614" s="151">
        <f t="shared" si="686"/>
        <v>0</v>
      </c>
      <c r="P1614" s="151"/>
      <c r="Q1614" s="346">
        <f>M1614+I1614</f>
        <v>4000</v>
      </c>
      <c r="R1614" s="346">
        <f t="shared" si="694"/>
        <v>0</v>
      </c>
      <c r="S1614" s="346">
        <f t="shared" si="694"/>
        <v>4000</v>
      </c>
    </row>
    <row r="1615" spans="2:19" x14ac:dyDescent="0.2">
      <c r="B1615" s="7">
        <f t="shared" si="684"/>
        <v>83</v>
      </c>
      <c r="C1615" s="159"/>
      <c r="D1615" s="160"/>
      <c r="E1615" s="160"/>
      <c r="F1615" s="14" t="s">
        <v>75</v>
      </c>
      <c r="G1615" s="15">
        <v>710</v>
      </c>
      <c r="H1615" s="13" t="s">
        <v>171</v>
      </c>
      <c r="I1615" s="16"/>
      <c r="J1615" s="16"/>
      <c r="K1615" s="16">
        <f t="shared" ref="K1615:K1617" si="695">I1615+J1615</f>
        <v>0</v>
      </c>
      <c r="L1615" s="16"/>
      <c r="M1615" s="16">
        <f>M1616</f>
        <v>0</v>
      </c>
      <c r="N1615" s="16">
        <f>N1616</f>
        <v>7000</v>
      </c>
      <c r="O1615" s="16">
        <f t="shared" ref="O1615:O1617" si="696">M1615+N1615</f>
        <v>7000</v>
      </c>
      <c r="P1615" s="16"/>
      <c r="Q1615" s="18">
        <f t="shared" ref="Q1615:Q1617" si="697">M1615+I1615</f>
        <v>0</v>
      </c>
      <c r="R1615" s="18">
        <f t="shared" si="694"/>
        <v>7000</v>
      </c>
      <c r="S1615" s="18">
        <f t="shared" si="694"/>
        <v>7000</v>
      </c>
    </row>
    <row r="1616" spans="2:19" x14ac:dyDescent="0.2">
      <c r="B1616" s="7">
        <f t="shared" si="684"/>
        <v>84</v>
      </c>
      <c r="C1616" s="159"/>
      <c r="D1616" s="160"/>
      <c r="E1616" s="160"/>
      <c r="F1616" s="20"/>
      <c r="G1616" s="21">
        <v>712</v>
      </c>
      <c r="H1616" s="19" t="s">
        <v>58</v>
      </c>
      <c r="I1616" s="22"/>
      <c r="J1616" s="22"/>
      <c r="K1616" s="22">
        <f t="shared" si="695"/>
        <v>0</v>
      </c>
      <c r="L1616" s="22"/>
      <c r="M1616" s="22">
        <f>M1617</f>
        <v>0</v>
      </c>
      <c r="N1616" s="22">
        <f t="shared" ref="N1616" si="698">N1617</f>
        <v>7000</v>
      </c>
      <c r="O1616" s="22">
        <f t="shared" si="696"/>
        <v>7000</v>
      </c>
      <c r="P1616" s="22"/>
      <c r="Q1616" s="23">
        <f t="shared" si="697"/>
        <v>0</v>
      </c>
      <c r="R1616" s="23">
        <f t="shared" si="694"/>
        <v>7000</v>
      </c>
      <c r="S1616" s="23">
        <f t="shared" si="694"/>
        <v>7000</v>
      </c>
    </row>
    <row r="1617" spans="2:19" x14ac:dyDescent="0.2">
      <c r="B1617" s="7">
        <f t="shared" si="684"/>
        <v>85</v>
      </c>
      <c r="C1617" s="159"/>
      <c r="D1617" s="160"/>
      <c r="E1617" s="160"/>
      <c r="F1617" s="20"/>
      <c r="G1617" s="21"/>
      <c r="H1617" s="1" t="s">
        <v>744</v>
      </c>
      <c r="I1617" s="22"/>
      <c r="J1617" s="22"/>
      <c r="K1617" s="22">
        <f t="shared" si="695"/>
        <v>0</v>
      </c>
      <c r="L1617" s="22"/>
      <c r="M1617" s="26">
        <v>0</v>
      </c>
      <c r="N1617" s="26">
        <v>7000</v>
      </c>
      <c r="O1617" s="26">
        <f t="shared" si="696"/>
        <v>7000</v>
      </c>
      <c r="P1617" s="26"/>
      <c r="Q1617" s="28">
        <f t="shared" si="697"/>
        <v>0</v>
      </c>
      <c r="R1617" s="28">
        <f t="shared" si="694"/>
        <v>7000</v>
      </c>
      <c r="S1617" s="28">
        <f t="shared" si="694"/>
        <v>7000</v>
      </c>
    </row>
    <row r="1618" spans="2:19" x14ac:dyDescent="0.2">
      <c r="B1618" s="7">
        <f t="shared" si="684"/>
        <v>86</v>
      </c>
      <c r="C1618" s="159"/>
      <c r="D1618" s="160"/>
      <c r="E1618" s="160"/>
      <c r="F1618" s="146"/>
      <c r="G1618" s="147"/>
      <c r="H1618" s="145"/>
      <c r="I1618" s="151"/>
      <c r="J1618" s="151"/>
      <c r="K1618" s="151">
        <f t="shared" si="685"/>
        <v>0</v>
      </c>
      <c r="L1618" s="151"/>
      <c r="M1618" s="151"/>
      <c r="N1618" s="151"/>
      <c r="O1618" s="151">
        <f t="shared" si="686"/>
        <v>0</v>
      </c>
      <c r="P1618" s="151"/>
      <c r="Q1618" s="346"/>
      <c r="R1618" s="346"/>
      <c r="S1618" s="346"/>
    </row>
    <row r="1619" spans="2:19" x14ac:dyDescent="0.2">
      <c r="B1619" s="7">
        <f t="shared" si="684"/>
        <v>87</v>
      </c>
      <c r="C1619" s="144"/>
      <c r="D1619" s="145"/>
      <c r="E1619" s="145"/>
      <c r="F1619" s="146" t="s">
        <v>75</v>
      </c>
      <c r="G1619" s="147">
        <v>720</v>
      </c>
      <c r="H1619" s="145" t="s">
        <v>3</v>
      </c>
      <c r="I1619" s="294"/>
      <c r="J1619" s="294"/>
      <c r="K1619" s="294">
        <f t="shared" si="685"/>
        <v>0</v>
      </c>
      <c r="L1619" s="294"/>
      <c r="M1619" s="294">
        <f>M1620</f>
        <v>500000</v>
      </c>
      <c r="N1619" s="294">
        <f t="shared" ref="N1619" si="699">N1620</f>
        <v>0</v>
      </c>
      <c r="O1619" s="294">
        <f t="shared" si="686"/>
        <v>500000</v>
      </c>
      <c r="P1619" s="151"/>
      <c r="Q1619" s="348">
        <f>M1619+I1619</f>
        <v>500000</v>
      </c>
      <c r="R1619" s="348">
        <f t="shared" ref="R1619:S1620" si="700">N1619+J1619</f>
        <v>0</v>
      </c>
      <c r="S1619" s="348">
        <f t="shared" si="700"/>
        <v>500000</v>
      </c>
    </row>
    <row r="1620" spans="2:19" x14ac:dyDescent="0.2">
      <c r="B1620" s="167">
        <f t="shared" si="684"/>
        <v>88</v>
      </c>
      <c r="C1620" s="161"/>
      <c r="D1620" s="162"/>
      <c r="E1620" s="162"/>
      <c r="F1620" s="163"/>
      <c r="G1620" s="164"/>
      <c r="H1620" s="165" t="s">
        <v>395</v>
      </c>
      <c r="I1620" s="295"/>
      <c r="J1620" s="295"/>
      <c r="K1620" s="295">
        <f t="shared" si="685"/>
        <v>0</v>
      </c>
      <c r="L1620" s="295"/>
      <c r="M1620" s="295">
        <v>500000</v>
      </c>
      <c r="N1620" s="295"/>
      <c r="O1620" s="295">
        <f t="shared" si="686"/>
        <v>500000</v>
      </c>
      <c r="P1620" s="295"/>
      <c r="Q1620" s="349">
        <f>M1620+I1620</f>
        <v>500000</v>
      </c>
      <c r="R1620" s="349">
        <f t="shared" si="700"/>
        <v>0</v>
      </c>
      <c r="S1620" s="349">
        <f t="shared" si="700"/>
        <v>500000</v>
      </c>
    </row>
    <row r="1621" spans="2:19" x14ac:dyDescent="0.2">
      <c r="B1621" s="3"/>
      <c r="F1621" s="3"/>
      <c r="G1621" s="3"/>
      <c r="I1621" s="3"/>
      <c r="J1621" s="3"/>
      <c r="K1621" s="3"/>
      <c r="L1621" s="3"/>
      <c r="M1621" s="3"/>
      <c r="N1621" s="3"/>
      <c r="O1621" s="3"/>
      <c r="P1621" s="3"/>
      <c r="Q1621" s="3"/>
    </row>
    <row r="1622" spans="2:19" x14ac:dyDescent="0.2">
      <c r="B1622" s="3"/>
      <c r="F1622" s="3"/>
      <c r="G1622" s="3"/>
      <c r="I1622" s="3"/>
      <c r="J1622" s="3"/>
      <c r="K1622" s="3"/>
      <c r="L1622" s="3"/>
      <c r="M1622" s="3"/>
      <c r="N1622" s="3"/>
      <c r="O1622" s="3"/>
      <c r="P1622" s="3"/>
      <c r="Q1622" s="3"/>
    </row>
    <row r="1623" spans="2:19" x14ac:dyDescent="0.2">
      <c r="B1623" s="3"/>
      <c r="F1623" s="3"/>
      <c r="G1623" s="3"/>
      <c r="I1623" s="3"/>
      <c r="J1623" s="3"/>
      <c r="K1623" s="3"/>
      <c r="L1623" s="3"/>
      <c r="M1623" s="3"/>
      <c r="N1623" s="3"/>
      <c r="O1623" s="3"/>
      <c r="P1623" s="3"/>
      <c r="Q1623" s="3"/>
    </row>
    <row r="1624" spans="2:19" ht="27.75" x14ac:dyDescent="0.4">
      <c r="B1624" s="429" t="s">
        <v>22</v>
      </c>
      <c r="C1624" s="430"/>
      <c r="D1624" s="430"/>
      <c r="E1624" s="430"/>
      <c r="F1624" s="430"/>
      <c r="G1624" s="430"/>
      <c r="H1624" s="430"/>
      <c r="I1624" s="430"/>
      <c r="J1624" s="430"/>
      <c r="K1624" s="430"/>
      <c r="L1624" s="430"/>
      <c r="M1624" s="430"/>
      <c r="N1624" s="430"/>
      <c r="O1624" s="430"/>
      <c r="P1624" s="430"/>
      <c r="Q1624" s="430"/>
    </row>
    <row r="1625" spans="2:19" ht="12.75" customHeight="1" x14ac:dyDescent="0.2">
      <c r="B1625" s="431" t="s">
        <v>464</v>
      </c>
      <c r="C1625" s="432"/>
      <c r="D1625" s="432"/>
      <c r="E1625" s="432"/>
      <c r="F1625" s="432"/>
      <c r="G1625" s="432"/>
      <c r="H1625" s="432"/>
      <c r="I1625" s="432"/>
      <c r="J1625" s="432"/>
      <c r="K1625" s="432"/>
      <c r="L1625" s="432"/>
      <c r="M1625" s="432"/>
      <c r="N1625" s="432"/>
      <c r="O1625" s="432"/>
      <c r="P1625" s="432"/>
      <c r="Q1625" s="433" t="s">
        <v>735</v>
      </c>
      <c r="R1625" s="433" t="s">
        <v>733</v>
      </c>
      <c r="S1625" s="433" t="s">
        <v>736</v>
      </c>
    </row>
    <row r="1626" spans="2:19" ht="12.75" customHeight="1" x14ac:dyDescent="0.2">
      <c r="B1626" s="436"/>
      <c r="C1626" s="422" t="s">
        <v>112</v>
      </c>
      <c r="D1626" s="422" t="s">
        <v>113</v>
      </c>
      <c r="E1626" s="422"/>
      <c r="F1626" s="422" t="s">
        <v>114</v>
      </c>
      <c r="G1626" s="423" t="s">
        <v>115</v>
      </c>
      <c r="H1626" s="424" t="s">
        <v>116</v>
      </c>
      <c r="I1626" s="435" t="s">
        <v>737</v>
      </c>
      <c r="J1626" s="455" t="s">
        <v>733</v>
      </c>
      <c r="K1626" s="435" t="s">
        <v>738</v>
      </c>
      <c r="L1626" s="318"/>
      <c r="M1626" s="435" t="s">
        <v>739</v>
      </c>
      <c r="N1626" s="455" t="s">
        <v>733</v>
      </c>
      <c r="O1626" s="435" t="s">
        <v>740</v>
      </c>
      <c r="P1626" s="318"/>
      <c r="Q1626" s="434"/>
      <c r="R1626" s="434"/>
      <c r="S1626" s="434"/>
    </row>
    <row r="1627" spans="2:19" x14ac:dyDescent="0.2">
      <c r="B1627" s="436"/>
      <c r="C1627" s="422"/>
      <c r="D1627" s="422"/>
      <c r="E1627" s="422"/>
      <c r="F1627" s="422"/>
      <c r="G1627" s="423"/>
      <c r="H1627" s="424"/>
      <c r="I1627" s="435"/>
      <c r="J1627" s="456"/>
      <c r="K1627" s="435"/>
      <c r="L1627" s="318"/>
      <c r="M1627" s="435"/>
      <c r="N1627" s="456"/>
      <c r="O1627" s="435"/>
      <c r="P1627" s="318"/>
      <c r="Q1627" s="434"/>
      <c r="R1627" s="434"/>
      <c r="S1627" s="434"/>
    </row>
    <row r="1628" spans="2:19" x14ac:dyDescent="0.2">
      <c r="B1628" s="436"/>
      <c r="C1628" s="422"/>
      <c r="D1628" s="422"/>
      <c r="E1628" s="422"/>
      <c r="F1628" s="422"/>
      <c r="G1628" s="423"/>
      <c r="H1628" s="424"/>
      <c r="I1628" s="435"/>
      <c r="J1628" s="456"/>
      <c r="K1628" s="435"/>
      <c r="L1628" s="318"/>
      <c r="M1628" s="435"/>
      <c r="N1628" s="456"/>
      <c r="O1628" s="435"/>
      <c r="P1628" s="318"/>
      <c r="Q1628" s="434"/>
      <c r="R1628" s="434"/>
      <c r="S1628" s="434"/>
    </row>
    <row r="1629" spans="2:19" x14ac:dyDescent="0.2">
      <c r="B1629" s="436"/>
      <c r="C1629" s="422"/>
      <c r="D1629" s="422"/>
      <c r="E1629" s="422"/>
      <c r="F1629" s="422"/>
      <c r="G1629" s="423"/>
      <c r="H1629" s="424"/>
      <c r="I1629" s="435"/>
      <c r="J1629" s="457"/>
      <c r="K1629" s="435"/>
      <c r="L1629" s="318"/>
      <c r="M1629" s="435"/>
      <c r="N1629" s="457"/>
      <c r="O1629" s="435"/>
      <c r="P1629" s="318"/>
      <c r="Q1629" s="434"/>
      <c r="R1629" s="434"/>
      <c r="S1629" s="434"/>
    </row>
    <row r="1630" spans="2:19" ht="15.75" x14ac:dyDescent="0.2">
      <c r="B1630" s="7">
        <v>1</v>
      </c>
      <c r="C1630" s="439" t="s">
        <v>22</v>
      </c>
      <c r="D1630" s="440"/>
      <c r="E1630" s="440"/>
      <c r="F1630" s="440"/>
      <c r="G1630" s="440"/>
      <c r="H1630" s="440"/>
      <c r="I1630" s="8">
        <f>I1713+I1706+I1703+I1688+I1674+I1631</f>
        <v>6497537</v>
      </c>
      <c r="J1630" s="8">
        <f>J1713+J1706+J1703+J1688+J1674+J1631</f>
        <v>0</v>
      </c>
      <c r="K1630" s="8">
        <f>I1630+J1630</f>
        <v>6497537</v>
      </c>
      <c r="L1630" s="319"/>
      <c r="M1630" s="8">
        <f>M1713+M1706+M1703+M1688+M1674+M1631</f>
        <v>1866566</v>
      </c>
      <c r="N1630" s="8">
        <f>N1713+N1706+N1703+N1688+N1674+N1631</f>
        <v>0</v>
      </c>
      <c r="O1630" s="8">
        <f>M1630+N1630</f>
        <v>1866566</v>
      </c>
      <c r="P1630" s="319"/>
      <c r="Q1630" s="9">
        <f t="shared" ref="Q1630:Q1661" si="701">M1630+I1630</f>
        <v>8364103</v>
      </c>
      <c r="R1630" s="9">
        <f t="shared" ref="R1630:S1645" si="702">N1630+J1630</f>
        <v>0</v>
      </c>
      <c r="S1630" s="9">
        <f t="shared" si="702"/>
        <v>8364103</v>
      </c>
    </row>
    <row r="1631" spans="2:19" ht="15" x14ac:dyDescent="0.2">
      <c r="B1631" s="7">
        <f t="shared" ref="B1631:B1670" si="703">B1630+1</f>
        <v>2</v>
      </c>
      <c r="C1631" s="10">
        <v>1</v>
      </c>
      <c r="D1631" s="420" t="s">
        <v>189</v>
      </c>
      <c r="E1631" s="421"/>
      <c r="F1631" s="421"/>
      <c r="G1631" s="421"/>
      <c r="H1631" s="421"/>
      <c r="I1631" s="11">
        <f>I1643+I1632</f>
        <v>1939863</v>
      </c>
      <c r="J1631" s="11">
        <f t="shared" ref="J1631" si="704">J1643+J1632</f>
        <v>0</v>
      </c>
      <c r="K1631" s="11">
        <f t="shared" ref="K1631:K1693" si="705">I1631+J1631</f>
        <v>1939863</v>
      </c>
      <c r="L1631" s="320"/>
      <c r="M1631" s="11">
        <f>M1635+M1643</f>
        <v>416880</v>
      </c>
      <c r="N1631" s="11">
        <f t="shared" ref="N1631" si="706">N1635+N1643</f>
        <v>0</v>
      </c>
      <c r="O1631" s="11">
        <f t="shared" ref="O1631:O1694" si="707">M1631+N1631</f>
        <v>416880</v>
      </c>
      <c r="P1631" s="320"/>
      <c r="Q1631" s="35">
        <f t="shared" si="701"/>
        <v>2356743</v>
      </c>
      <c r="R1631" s="35">
        <f t="shared" si="702"/>
        <v>0</v>
      </c>
      <c r="S1631" s="35">
        <f t="shared" si="702"/>
        <v>2356743</v>
      </c>
    </row>
    <row r="1632" spans="2:19" x14ac:dyDescent="0.2">
      <c r="B1632" s="7">
        <f t="shared" si="703"/>
        <v>3</v>
      </c>
      <c r="C1632" s="13"/>
      <c r="D1632" s="13"/>
      <c r="E1632" s="13"/>
      <c r="F1632" s="14" t="s">
        <v>188</v>
      </c>
      <c r="G1632" s="15">
        <v>630</v>
      </c>
      <c r="H1632" s="13" t="s">
        <v>119</v>
      </c>
      <c r="I1632" s="16">
        <f>I1633+I1634</f>
        <v>500</v>
      </c>
      <c r="J1632" s="16">
        <f t="shared" ref="J1632" si="708">J1633+J1634</f>
        <v>0</v>
      </c>
      <c r="K1632" s="16">
        <f t="shared" si="705"/>
        <v>500</v>
      </c>
      <c r="L1632" s="16"/>
      <c r="M1632" s="16"/>
      <c r="N1632" s="16"/>
      <c r="O1632" s="16">
        <f t="shared" si="707"/>
        <v>0</v>
      </c>
      <c r="P1632" s="16"/>
      <c r="Q1632" s="18">
        <f t="shared" si="701"/>
        <v>500</v>
      </c>
      <c r="R1632" s="18">
        <f t="shared" si="702"/>
        <v>0</v>
      </c>
      <c r="S1632" s="18">
        <f t="shared" si="702"/>
        <v>500</v>
      </c>
    </row>
    <row r="1633" spans="2:19" s="170" customFormat="1" ht="12" x14ac:dyDescent="0.2">
      <c r="B1633" s="7">
        <f t="shared" si="703"/>
        <v>4</v>
      </c>
      <c r="C1633" s="19"/>
      <c r="D1633" s="19"/>
      <c r="E1633" s="19"/>
      <c r="F1633" s="20"/>
      <c r="G1633" s="21">
        <v>637</v>
      </c>
      <c r="H1633" s="19" t="s">
        <v>120</v>
      </c>
      <c r="I1633" s="22">
        <v>500</v>
      </c>
      <c r="J1633" s="22"/>
      <c r="K1633" s="22">
        <f t="shared" si="705"/>
        <v>500</v>
      </c>
      <c r="L1633" s="22"/>
      <c r="M1633" s="22"/>
      <c r="N1633" s="22"/>
      <c r="O1633" s="22">
        <f t="shared" si="707"/>
        <v>0</v>
      </c>
      <c r="P1633" s="22"/>
      <c r="Q1633" s="23">
        <f t="shared" si="701"/>
        <v>500</v>
      </c>
      <c r="R1633" s="23">
        <f t="shared" si="702"/>
        <v>0</v>
      </c>
      <c r="S1633" s="23">
        <f t="shared" si="702"/>
        <v>500</v>
      </c>
    </row>
    <row r="1634" spans="2:19" x14ac:dyDescent="0.2">
      <c r="B1634" s="7">
        <f t="shared" si="703"/>
        <v>5</v>
      </c>
      <c r="C1634" s="19"/>
      <c r="D1634" s="19"/>
      <c r="E1634" s="19"/>
      <c r="F1634" s="20"/>
      <c r="G1634" s="21">
        <v>637</v>
      </c>
      <c r="H1634" s="19" t="s">
        <v>698</v>
      </c>
      <c r="I1634" s="22">
        <f>618-618</f>
        <v>0</v>
      </c>
      <c r="J1634" s="22"/>
      <c r="K1634" s="22">
        <f t="shared" si="705"/>
        <v>0</v>
      </c>
      <c r="L1634" s="22"/>
      <c r="M1634" s="22"/>
      <c r="N1634" s="22"/>
      <c r="O1634" s="22">
        <f t="shared" si="707"/>
        <v>0</v>
      </c>
      <c r="P1634" s="22"/>
      <c r="Q1634" s="23">
        <f t="shared" si="701"/>
        <v>0</v>
      </c>
      <c r="R1634" s="23">
        <f t="shared" si="702"/>
        <v>0</v>
      </c>
      <c r="S1634" s="23">
        <f t="shared" si="702"/>
        <v>0</v>
      </c>
    </row>
    <row r="1635" spans="2:19" s="170" customFormat="1" ht="12" x14ac:dyDescent="0.2">
      <c r="B1635" s="7">
        <f t="shared" si="703"/>
        <v>6</v>
      </c>
      <c r="C1635" s="13"/>
      <c r="D1635" s="13"/>
      <c r="E1635" s="13"/>
      <c r="F1635" s="14" t="s">
        <v>188</v>
      </c>
      <c r="G1635" s="15">
        <v>710</v>
      </c>
      <c r="H1635" s="13" t="s">
        <v>171</v>
      </c>
      <c r="I1635" s="16"/>
      <c r="J1635" s="16"/>
      <c r="K1635" s="16">
        <f t="shared" si="705"/>
        <v>0</v>
      </c>
      <c r="L1635" s="16"/>
      <c r="M1635" s="16">
        <f>M1636+M1639</f>
        <v>351885</v>
      </c>
      <c r="N1635" s="16">
        <f t="shared" ref="N1635" si="709">N1636+N1639</f>
        <v>0</v>
      </c>
      <c r="O1635" s="16">
        <f t="shared" si="707"/>
        <v>351885</v>
      </c>
      <c r="P1635" s="16"/>
      <c r="Q1635" s="18">
        <f t="shared" si="701"/>
        <v>351885</v>
      </c>
      <c r="R1635" s="18">
        <f t="shared" si="702"/>
        <v>0</v>
      </c>
      <c r="S1635" s="18">
        <f t="shared" si="702"/>
        <v>351885</v>
      </c>
    </row>
    <row r="1636" spans="2:19" s="170" customFormat="1" ht="12" x14ac:dyDescent="0.2">
      <c r="B1636" s="7">
        <f t="shared" si="703"/>
        <v>7</v>
      </c>
      <c r="C1636" s="19"/>
      <c r="D1636" s="19"/>
      <c r="E1636" s="19"/>
      <c r="F1636" s="20"/>
      <c r="G1636" s="21">
        <v>716</v>
      </c>
      <c r="H1636" s="19" t="s">
        <v>211</v>
      </c>
      <c r="I1636" s="22"/>
      <c r="J1636" s="22"/>
      <c r="K1636" s="22">
        <f t="shared" si="705"/>
        <v>0</v>
      </c>
      <c r="L1636" s="22"/>
      <c r="M1636" s="22">
        <f>M1637+M1638</f>
        <v>52200</v>
      </c>
      <c r="N1636" s="22">
        <f t="shared" ref="N1636" si="710">N1637+N1638</f>
        <v>0</v>
      </c>
      <c r="O1636" s="22">
        <f t="shared" si="707"/>
        <v>52200</v>
      </c>
      <c r="P1636" s="22"/>
      <c r="Q1636" s="23">
        <f t="shared" si="701"/>
        <v>52200</v>
      </c>
      <c r="R1636" s="23">
        <f t="shared" si="702"/>
        <v>0</v>
      </c>
      <c r="S1636" s="23">
        <f t="shared" si="702"/>
        <v>52200</v>
      </c>
    </row>
    <row r="1637" spans="2:19" x14ac:dyDescent="0.2">
      <c r="B1637" s="7">
        <f t="shared" si="703"/>
        <v>8</v>
      </c>
      <c r="C1637" s="24"/>
      <c r="D1637" s="24"/>
      <c r="E1637" s="24"/>
      <c r="F1637" s="136"/>
      <c r="G1637" s="136"/>
      <c r="H1637" s="1" t="s">
        <v>404</v>
      </c>
      <c r="I1637" s="26"/>
      <c r="J1637" s="26"/>
      <c r="K1637" s="26">
        <f t="shared" si="705"/>
        <v>0</v>
      </c>
      <c r="L1637" s="26"/>
      <c r="M1637" s="26">
        <v>46200</v>
      </c>
      <c r="N1637" s="26"/>
      <c r="O1637" s="26">
        <f t="shared" si="707"/>
        <v>46200</v>
      </c>
      <c r="P1637" s="26"/>
      <c r="Q1637" s="28">
        <f t="shared" si="701"/>
        <v>46200</v>
      </c>
      <c r="R1637" s="28">
        <f t="shared" si="702"/>
        <v>0</v>
      </c>
      <c r="S1637" s="28">
        <f t="shared" si="702"/>
        <v>46200</v>
      </c>
    </row>
    <row r="1638" spans="2:19" x14ac:dyDescent="0.2">
      <c r="B1638" s="7">
        <f t="shared" si="703"/>
        <v>9</v>
      </c>
      <c r="C1638" s="24"/>
      <c r="D1638" s="24"/>
      <c r="E1638" s="24"/>
      <c r="F1638" s="136"/>
      <c r="G1638" s="136"/>
      <c r="H1638" s="1" t="s">
        <v>579</v>
      </c>
      <c r="I1638" s="26"/>
      <c r="J1638" s="26"/>
      <c r="K1638" s="26">
        <f t="shared" si="705"/>
        <v>0</v>
      </c>
      <c r="L1638" s="26"/>
      <c r="M1638" s="26">
        <v>6000</v>
      </c>
      <c r="N1638" s="26"/>
      <c r="O1638" s="26">
        <f t="shared" si="707"/>
        <v>6000</v>
      </c>
      <c r="P1638" s="26"/>
      <c r="Q1638" s="28">
        <f t="shared" si="701"/>
        <v>6000</v>
      </c>
      <c r="R1638" s="28">
        <f t="shared" si="702"/>
        <v>0</v>
      </c>
      <c r="S1638" s="28">
        <f t="shared" si="702"/>
        <v>6000</v>
      </c>
    </row>
    <row r="1639" spans="2:19" x14ac:dyDescent="0.2">
      <c r="B1639" s="7">
        <f t="shared" si="703"/>
        <v>10</v>
      </c>
      <c r="C1639" s="19"/>
      <c r="D1639" s="19"/>
      <c r="E1639" s="19"/>
      <c r="F1639" s="20"/>
      <c r="G1639" s="21">
        <v>717</v>
      </c>
      <c r="H1639" s="19" t="s">
        <v>178</v>
      </c>
      <c r="I1639" s="22"/>
      <c r="J1639" s="22"/>
      <c r="K1639" s="22">
        <f t="shared" si="705"/>
        <v>0</v>
      </c>
      <c r="L1639" s="22"/>
      <c r="M1639" s="22">
        <f>SUM(M1640:M1642)</f>
        <v>299685</v>
      </c>
      <c r="N1639" s="22">
        <f t="shared" ref="N1639" si="711">SUM(N1640:N1642)</f>
        <v>0</v>
      </c>
      <c r="O1639" s="22">
        <f t="shared" si="707"/>
        <v>299685</v>
      </c>
      <c r="P1639" s="22"/>
      <c r="Q1639" s="23">
        <f t="shared" si="701"/>
        <v>299685</v>
      </c>
      <c r="R1639" s="23">
        <f t="shared" si="702"/>
        <v>0</v>
      </c>
      <c r="S1639" s="23">
        <f t="shared" si="702"/>
        <v>299685</v>
      </c>
    </row>
    <row r="1640" spans="2:19" x14ac:dyDescent="0.2">
      <c r="B1640" s="7">
        <f t="shared" si="703"/>
        <v>11</v>
      </c>
      <c r="C1640" s="19"/>
      <c r="D1640" s="19"/>
      <c r="E1640" s="19"/>
      <c r="F1640" s="20"/>
      <c r="G1640" s="21"/>
      <c r="H1640" s="1" t="s">
        <v>640</v>
      </c>
      <c r="I1640" s="26"/>
      <c r="J1640" s="26"/>
      <c r="K1640" s="26">
        <f t="shared" si="705"/>
        <v>0</v>
      </c>
      <c r="L1640" s="26"/>
      <c r="M1640" s="26">
        <v>95685</v>
      </c>
      <c r="N1640" s="26"/>
      <c r="O1640" s="26">
        <f t="shared" si="707"/>
        <v>95685</v>
      </c>
      <c r="P1640" s="26"/>
      <c r="Q1640" s="28">
        <f t="shared" si="701"/>
        <v>95685</v>
      </c>
      <c r="R1640" s="28">
        <f t="shared" si="702"/>
        <v>0</v>
      </c>
      <c r="S1640" s="28">
        <f t="shared" si="702"/>
        <v>95685</v>
      </c>
    </row>
    <row r="1641" spans="2:19" x14ac:dyDescent="0.2">
      <c r="B1641" s="7">
        <f t="shared" si="703"/>
        <v>12</v>
      </c>
      <c r="C1641" s="24"/>
      <c r="D1641" s="24"/>
      <c r="E1641" s="24"/>
      <c r="F1641" s="136"/>
      <c r="G1641" s="136"/>
      <c r="H1641" s="1" t="s">
        <v>593</v>
      </c>
      <c r="I1641" s="26"/>
      <c r="J1641" s="26"/>
      <c r="K1641" s="26">
        <f t="shared" si="705"/>
        <v>0</v>
      </c>
      <c r="L1641" s="26"/>
      <c r="M1641" s="26">
        <v>180000</v>
      </c>
      <c r="N1641" s="26"/>
      <c r="O1641" s="26">
        <f t="shared" si="707"/>
        <v>180000</v>
      </c>
      <c r="P1641" s="26"/>
      <c r="Q1641" s="28">
        <f t="shared" si="701"/>
        <v>180000</v>
      </c>
      <c r="R1641" s="28">
        <f t="shared" si="702"/>
        <v>0</v>
      </c>
      <c r="S1641" s="28">
        <f t="shared" si="702"/>
        <v>180000</v>
      </c>
    </row>
    <row r="1642" spans="2:19" x14ac:dyDescent="0.2">
      <c r="B1642" s="7">
        <f t="shared" si="703"/>
        <v>13</v>
      </c>
      <c r="C1642" s="24"/>
      <c r="D1642" s="24"/>
      <c r="E1642" s="24"/>
      <c r="F1642" s="136"/>
      <c r="G1642" s="136"/>
      <c r="H1642" s="1" t="s">
        <v>579</v>
      </c>
      <c r="I1642" s="26"/>
      <c r="J1642" s="26"/>
      <c r="K1642" s="26">
        <f t="shared" si="705"/>
        <v>0</v>
      </c>
      <c r="L1642" s="26"/>
      <c r="M1642" s="26">
        <v>24000</v>
      </c>
      <c r="N1642" s="26"/>
      <c r="O1642" s="26">
        <f t="shared" si="707"/>
        <v>24000</v>
      </c>
      <c r="P1642" s="26"/>
      <c r="Q1642" s="28">
        <f t="shared" si="701"/>
        <v>24000</v>
      </c>
      <c r="R1642" s="28">
        <f t="shared" si="702"/>
        <v>0</v>
      </c>
      <c r="S1642" s="28">
        <f t="shared" si="702"/>
        <v>24000</v>
      </c>
    </row>
    <row r="1643" spans="2:19" ht="15" x14ac:dyDescent="0.25">
      <c r="B1643" s="7">
        <f t="shared" si="703"/>
        <v>14</v>
      </c>
      <c r="C1643" s="108"/>
      <c r="D1643" s="108"/>
      <c r="E1643" s="108">
        <v>2</v>
      </c>
      <c r="F1643" s="109"/>
      <c r="G1643" s="109"/>
      <c r="H1643" s="108" t="s">
        <v>11</v>
      </c>
      <c r="I1643" s="110">
        <f>I1644+I1658</f>
        <v>1939363</v>
      </c>
      <c r="J1643" s="110">
        <f t="shared" ref="J1643" si="712">J1644+J1658</f>
        <v>0</v>
      </c>
      <c r="K1643" s="110">
        <f t="shared" si="705"/>
        <v>1939363</v>
      </c>
      <c r="L1643" s="321"/>
      <c r="M1643" s="110">
        <f>M1644+M1658</f>
        <v>64995</v>
      </c>
      <c r="N1643" s="110">
        <f t="shared" ref="N1643" si="713">N1644+N1658</f>
        <v>0</v>
      </c>
      <c r="O1643" s="110">
        <f t="shared" si="707"/>
        <v>64995</v>
      </c>
      <c r="P1643" s="321"/>
      <c r="Q1643" s="112">
        <f t="shared" si="701"/>
        <v>2004358</v>
      </c>
      <c r="R1643" s="112">
        <f t="shared" si="702"/>
        <v>0</v>
      </c>
      <c r="S1643" s="112">
        <f t="shared" si="702"/>
        <v>2004358</v>
      </c>
    </row>
    <row r="1644" spans="2:19" x14ac:dyDescent="0.2">
      <c r="B1644" s="7">
        <f t="shared" si="703"/>
        <v>15</v>
      </c>
      <c r="C1644" s="119"/>
      <c r="D1644" s="119"/>
      <c r="E1644" s="119"/>
      <c r="F1644" s="120"/>
      <c r="G1644" s="120"/>
      <c r="H1644" s="119" t="s">
        <v>328</v>
      </c>
      <c r="I1644" s="121">
        <f>I1645+I1646+I1647+I1654</f>
        <v>349570</v>
      </c>
      <c r="J1644" s="121">
        <f t="shared" ref="J1644" si="714">J1645+J1646+J1647+J1654</f>
        <v>0</v>
      </c>
      <c r="K1644" s="121">
        <f t="shared" si="705"/>
        <v>349570</v>
      </c>
      <c r="L1644" s="16"/>
      <c r="M1644" s="121">
        <f>M1655</f>
        <v>3000</v>
      </c>
      <c r="N1644" s="121">
        <f t="shared" ref="N1644" si="715">N1655</f>
        <v>0</v>
      </c>
      <c r="O1644" s="121">
        <f t="shared" si="707"/>
        <v>3000</v>
      </c>
      <c r="P1644" s="16"/>
      <c r="Q1644" s="123">
        <f t="shared" si="701"/>
        <v>352570</v>
      </c>
      <c r="R1644" s="123">
        <f t="shared" si="702"/>
        <v>0</v>
      </c>
      <c r="S1644" s="123">
        <f t="shared" si="702"/>
        <v>352570</v>
      </c>
    </row>
    <row r="1645" spans="2:19" x14ac:dyDescent="0.2">
      <c r="B1645" s="7">
        <f t="shared" si="703"/>
        <v>16</v>
      </c>
      <c r="C1645" s="13"/>
      <c r="D1645" s="13"/>
      <c r="E1645" s="13"/>
      <c r="F1645" s="14" t="s">
        <v>228</v>
      </c>
      <c r="G1645" s="15">
        <v>610</v>
      </c>
      <c r="H1645" s="13" t="s">
        <v>511</v>
      </c>
      <c r="I1645" s="16">
        <v>118935</v>
      </c>
      <c r="J1645" s="16"/>
      <c r="K1645" s="16">
        <f t="shared" si="705"/>
        <v>118935</v>
      </c>
      <c r="L1645" s="16"/>
      <c r="M1645" s="16"/>
      <c r="N1645" s="16"/>
      <c r="O1645" s="16">
        <f t="shared" si="707"/>
        <v>0</v>
      </c>
      <c r="P1645" s="16"/>
      <c r="Q1645" s="18">
        <f t="shared" si="701"/>
        <v>118935</v>
      </c>
      <c r="R1645" s="18">
        <f t="shared" si="702"/>
        <v>0</v>
      </c>
      <c r="S1645" s="18">
        <f t="shared" si="702"/>
        <v>118935</v>
      </c>
    </row>
    <row r="1646" spans="2:19" x14ac:dyDescent="0.2">
      <c r="B1646" s="7">
        <f t="shared" si="703"/>
        <v>17</v>
      </c>
      <c r="C1646" s="13"/>
      <c r="D1646" s="13"/>
      <c r="E1646" s="13"/>
      <c r="F1646" s="14" t="s">
        <v>228</v>
      </c>
      <c r="G1646" s="15">
        <v>620</v>
      </c>
      <c r="H1646" s="13" t="s">
        <v>122</v>
      </c>
      <c r="I1646" s="16">
        <v>49105</v>
      </c>
      <c r="J1646" s="16"/>
      <c r="K1646" s="16">
        <f t="shared" si="705"/>
        <v>49105</v>
      </c>
      <c r="L1646" s="16"/>
      <c r="M1646" s="16"/>
      <c r="N1646" s="16"/>
      <c r="O1646" s="16">
        <f t="shared" si="707"/>
        <v>0</v>
      </c>
      <c r="P1646" s="16"/>
      <c r="Q1646" s="18">
        <f t="shared" si="701"/>
        <v>49105</v>
      </c>
      <c r="R1646" s="18">
        <f t="shared" ref="R1646:S1661" si="716">N1646+J1646</f>
        <v>0</v>
      </c>
      <c r="S1646" s="18">
        <f t="shared" si="716"/>
        <v>49105</v>
      </c>
    </row>
    <row r="1647" spans="2:19" x14ac:dyDescent="0.2">
      <c r="B1647" s="7">
        <f t="shared" si="703"/>
        <v>18</v>
      </c>
      <c r="C1647" s="13"/>
      <c r="D1647" s="13"/>
      <c r="E1647" s="13"/>
      <c r="F1647" s="14" t="s">
        <v>228</v>
      </c>
      <c r="G1647" s="15">
        <v>630</v>
      </c>
      <c r="H1647" s="13" t="s">
        <v>119</v>
      </c>
      <c r="I1647" s="16">
        <f>SUM(I1648:I1653)</f>
        <v>167990</v>
      </c>
      <c r="J1647" s="16">
        <f t="shared" ref="J1647" si="717">SUM(J1648:J1653)</f>
        <v>0</v>
      </c>
      <c r="K1647" s="16">
        <f t="shared" si="705"/>
        <v>167990</v>
      </c>
      <c r="L1647" s="16"/>
      <c r="M1647" s="16"/>
      <c r="N1647" s="16"/>
      <c r="O1647" s="16">
        <f t="shared" si="707"/>
        <v>0</v>
      </c>
      <c r="P1647" s="16"/>
      <c r="Q1647" s="18">
        <f t="shared" si="701"/>
        <v>167990</v>
      </c>
      <c r="R1647" s="18">
        <f t="shared" si="716"/>
        <v>0</v>
      </c>
      <c r="S1647" s="18">
        <f t="shared" si="716"/>
        <v>167990</v>
      </c>
    </row>
    <row r="1648" spans="2:19" x14ac:dyDescent="0.2">
      <c r="B1648" s="7">
        <f t="shared" si="703"/>
        <v>19</v>
      </c>
      <c r="C1648" s="19"/>
      <c r="D1648" s="19"/>
      <c r="E1648" s="19"/>
      <c r="F1648" s="20"/>
      <c r="G1648" s="21">
        <v>632</v>
      </c>
      <c r="H1648" s="19" t="s">
        <v>131</v>
      </c>
      <c r="I1648" s="22">
        <v>3650</v>
      </c>
      <c r="J1648" s="22"/>
      <c r="K1648" s="22">
        <f t="shared" si="705"/>
        <v>3650</v>
      </c>
      <c r="L1648" s="22"/>
      <c r="M1648" s="22"/>
      <c r="N1648" s="22"/>
      <c r="O1648" s="22">
        <f t="shared" si="707"/>
        <v>0</v>
      </c>
      <c r="P1648" s="22"/>
      <c r="Q1648" s="23">
        <f t="shared" si="701"/>
        <v>3650</v>
      </c>
      <c r="R1648" s="23">
        <f t="shared" si="716"/>
        <v>0</v>
      </c>
      <c r="S1648" s="23">
        <f t="shared" si="716"/>
        <v>3650</v>
      </c>
    </row>
    <row r="1649" spans="2:19" x14ac:dyDescent="0.2">
      <c r="B1649" s="7">
        <f t="shared" si="703"/>
        <v>20</v>
      </c>
      <c r="C1649" s="19"/>
      <c r="D1649" s="19"/>
      <c r="E1649" s="19"/>
      <c r="F1649" s="20"/>
      <c r="G1649" s="21">
        <v>633</v>
      </c>
      <c r="H1649" s="19" t="s">
        <v>123</v>
      </c>
      <c r="I1649" s="22">
        <v>19210</v>
      </c>
      <c r="J1649" s="22"/>
      <c r="K1649" s="22">
        <f t="shared" si="705"/>
        <v>19210</v>
      </c>
      <c r="L1649" s="22"/>
      <c r="M1649" s="22"/>
      <c r="N1649" s="22"/>
      <c r="O1649" s="22">
        <f t="shared" si="707"/>
        <v>0</v>
      </c>
      <c r="P1649" s="22"/>
      <c r="Q1649" s="23">
        <f t="shared" si="701"/>
        <v>19210</v>
      </c>
      <c r="R1649" s="23">
        <f t="shared" si="716"/>
        <v>0</v>
      </c>
      <c r="S1649" s="23">
        <f t="shared" si="716"/>
        <v>19210</v>
      </c>
    </row>
    <row r="1650" spans="2:19" x14ac:dyDescent="0.2">
      <c r="B1650" s="7">
        <f t="shared" si="703"/>
        <v>21</v>
      </c>
      <c r="C1650" s="19"/>
      <c r="D1650" s="19"/>
      <c r="E1650" s="19"/>
      <c r="F1650" s="20"/>
      <c r="G1650" s="21">
        <v>634</v>
      </c>
      <c r="H1650" s="19" t="s">
        <v>129</v>
      </c>
      <c r="I1650" s="22">
        <v>9700</v>
      </c>
      <c r="J1650" s="22"/>
      <c r="K1650" s="22">
        <f t="shared" si="705"/>
        <v>9700</v>
      </c>
      <c r="L1650" s="22"/>
      <c r="M1650" s="22"/>
      <c r="N1650" s="22"/>
      <c r="O1650" s="22">
        <f t="shared" si="707"/>
        <v>0</v>
      </c>
      <c r="P1650" s="22"/>
      <c r="Q1650" s="23">
        <f t="shared" si="701"/>
        <v>9700</v>
      </c>
      <c r="R1650" s="23">
        <f t="shared" si="716"/>
        <v>0</v>
      </c>
      <c r="S1650" s="23">
        <f t="shared" si="716"/>
        <v>9700</v>
      </c>
    </row>
    <row r="1651" spans="2:19" x14ac:dyDescent="0.2">
      <c r="B1651" s="7">
        <f t="shared" si="703"/>
        <v>22</v>
      </c>
      <c r="C1651" s="19"/>
      <c r="D1651" s="19"/>
      <c r="E1651" s="19"/>
      <c r="F1651" s="20"/>
      <c r="G1651" s="21">
        <v>635</v>
      </c>
      <c r="H1651" s="19" t="s">
        <v>130</v>
      </c>
      <c r="I1651" s="22">
        <v>43810</v>
      </c>
      <c r="J1651" s="22"/>
      <c r="K1651" s="22">
        <f t="shared" si="705"/>
        <v>43810</v>
      </c>
      <c r="L1651" s="22"/>
      <c r="M1651" s="22"/>
      <c r="N1651" s="22"/>
      <c r="O1651" s="22">
        <f t="shared" si="707"/>
        <v>0</v>
      </c>
      <c r="P1651" s="22"/>
      <c r="Q1651" s="23">
        <f t="shared" si="701"/>
        <v>43810</v>
      </c>
      <c r="R1651" s="23">
        <f t="shared" si="716"/>
        <v>0</v>
      </c>
      <c r="S1651" s="23">
        <f t="shared" si="716"/>
        <v>43810</v>
      </c>
    </row>
    <row r="1652" spans="2:19" x14ac:dyDescent="0.2">
      <c r="B1652" s="7">
        <f t="shared" si="703"/>
        <v>23</v>
      </c>
      <c r="C1652" s="19"/>
      <c r="D1652" s="19"/>
      <c r="E1652" s="19"/>
      <c r="F1652" s="20"/>
      <c r="G1652" s="21">
        <v>636</v>
      </c>
      <c r="H1652" s="19" t="s">
        <v>124</v>
      </c>
      <c r="I1652" s="22">
        <v>3700</v>
      </c>
      <c r="J1652" s="22"/>
      <c r="K1652" s="22">
        <f t="shared" si="705"/>
        <v>3700</v>
      </c>
      <c r="L1652" s="22"/>
      <c r="M1652" s="22"/>
      <c r="N1652" s="22"/>
      <c r="O1652" s="22">
        <f t="shared" si="707"/>
        <v>0</v>
      </c>
      <c r="P1652" s="22"/>
      <c r="Q1652" s="23">
        <f t="shared" si="701"/>
        <v>3700</v>
      </c>
      <c r="R1652" s="23">
        <f t="shared" si="716"/>
        <v>0</v>
      </c>
      <c r="S1652" s="23">
        <f t="shared" si="716"/>
        <v>3700</v>
      </c>
    </row>
    <row r="1653" spans="2:19" x14ac:dyDescent="0.2">
      <c r="B1653" s="7">
        <f t="shared" si="703"/>
        <v>24</v>
      </c>
      <c r="C1653" s="19"/>
      <c r="D1653" s="19"/>
      <c r="E1653" s="19"/>
      <c r="F1653" s="20"/>
      <c r="G1653" s="21">
        <v>637</v>
      </c>
      <c r="H1653" s="19" t="s">
        <v>120</v>
      </c>
      <c r="I1653" s="22">
        <f>89920-2000</f>
        <v>87920</v>
      </c>
      <c r="J1653" s="22"/>
      <c r="K1653" s="22">
        <f t="shared" si="705"/>
        <v>87920</v>
      </c>
      <c r="L1653" s="22"/>
      <c r="M1653" s="22"/>
      <c r="N1653" s="22"/>
      <c r="O1653" s="22">
        <f t="shared" si="707"/>
        <v>0</v>
      </c>
      <c r="P1653" s="22"/>
      <c r="Q1653" s="23">
        <f t="shared" si="701"/>
        <v>87920</v>
      </c>
      <c r="R1653" s="23">
        <f t="shared" si="716"/>
        <v>0</v>
      </c>
      <c r="S1653" s="23">
        <f t="shared" si="716"/>
        <v>87920</v>
      </c>
    </row>
    <row r="1654" spans="2:19" x14ac:dyDescent="0.2">
      <c r="B1654" s="7">
        <f t="shared" si="703"/>
        <v>25</v>
      </c>
      <c r="C1654" s="13"/>
      <c r="D1654" s="13"/>
      <c r="E1654" s="13"/>
      <c r="F1654" s="14" t="s">
        <v>228</v>
      </c>
      <c r="G1654" s="15">
        <v>640</v>
      </c>
      <c r="H1654" s="13" t="s">
        <v>127</v>
      </c>
      <c r="I1654" s="16">
        <f>12540+1000</f>
        <v>13540</v>
      </c>
      <c r="J1654" s="16"/>
      <c r="K1654" s="16">
        <f t="shared" si="705"/>
        <v>13540</v>
      </c>
      <c r="L1654" s="16"/>
      <c r="M1654" s="16"/>
      <c r="N1654" s="16"/>
      <c r="O1654" s="16">
        <f t="shared" si="707"/>
        <v>0</v>
      </c>
      <c r="P1654" s="16"/>
      <c r="Q1654" s="18">
        <f t="shared" si="701"/>
        <v>13540</v>
      </c>
      <c r="R1654" s="18">
        <f t="shared" si="716"/>
        <v>0</v>
      </c>
      <c r="S1654" s="18">
        <f t="shared" si="716"/>
        <v>13540</v>
      </c>
    </row>
    <row r="1655" spans="2:19" x14ac:dyDescent="0.2">
      <c r="B1655" s="7">
        <f t="shared" si="703"/>
        <v>26</v>
      </c>
      <c r="C1655" s="13"/>
      <c r="D1655" s="13"/>
      <c r="E1655" s="13"/>
      <c r="F1655" s="14" t="s">
        <v>228</v>
      </c>
      <c r="G1655" s="15">
        <v>710</v>
      </c>
      <c r="H1655" s="13" t="s">
        <v>171</v>
      </c>
      <c r="I1655" s="16"/>
      <c r="J1655" s="16"/>
      <c r="K1655" s="16">
        <f t="shared" si="705"/>
        <v>0</v>
      </c>
      <c r="L1655" s="16"/>
      <c r="M1655" s="16">
        <f>M1656</f>
        <v>3000</v>
      </c>
      <c r="N1655" s="16">
        <f t="shared" ref="N1655:N1656" si="718">N1656</f>
        <v>0</v>
      </c>
      <c r="O1655" s="16">
        <f t="shared" si="707"/>
        <v>3000</v>
      </c>
      <c r="P1655" s="16"/>
      <c r="Q1655" s="18">
        <f t="shared" si="701"/>
        <v>3000</v>
      </c>
      <c r="R1655" s="18">
        <f t="shared" si="716"/>
        <v>0</v>
      </c>
      <c r="S1655" s="18">
        <f t="shared" si="716"/>
        <v>3000</v>
      </c>
    </row>
    <row r="1656" spans="2:19" x14ac:dyDescent="0.2">
      <c r="B1656" s="7">
        <f t="shared" si="703"/>
        <v>27</v>
      </c>
      <c r="C1656" s="13"/>
      <c r="D1656" s="13"/>
      <c r="E1656" s="13"/>
      <c r="F1656" s="14"/>
      <c r="G1656" s="21">
        <v>713</v>
      </c>
      <c r="H1656" s="19" t="s">
        <v>215</v>
      </c>
      <c r="I1656" s="22"/>
      <c r="J1656" s="22"/>
      <c r="K1656" s="22">
        <f t="shared" si="705"/>
        <v>0</v>
      </c>
      <c r="L1656" s="22"/>
      <c r="M1656" s="22">
        <f>M1657</f>
        <v>3000</v>
      </c>
      <c r="N1656" s="22">
        <f t="shared" si="718"/>
        <v>0</v>
      </c>
      <c r="O1656" s="22">
        <f t="shared" si="707"/>
        <v>3000</v>
      </c>
      <c r="P1656" s="22"/>
      <c r="Q1656" s="23">
        <f t="shared" si="701"/>
        <v>3000</v>
      </c>
      <c r="R1656" s="23">
        <f t="shared" si="716"/>
        <v>0</v>
      </c>
      <c r="S1656" s="23">
        <f t="shared" si="716"/>
        <v>3000</v>
      </c>
    </row>
    <row r="1657" spans="2:19" x14ac:dyDescent="0.2">
      <c r="B1657" s="7">
        <f t="shared" si="703"/>
        <v>28</v>
      </c>
      <c r="C1657" s="13"/>
      <c r="D1657" s="13"/>
      <c r="E1657" s="13"/>
      <c r="F1657" s="14"/>
      <c r="G1657" s="1"/>
      <c r="H1657" s="1" t="s">
        <v>533</v>
      </c>
      <c r="I1657" s="26"/>
      <c r="J1657" s="26"/>
      <c r="K1657" s="26">
        <f t="shared" si="705"/>
        <v>0</v>
      </c>
      <c r="L1657" s="26"/>
      <c r="M1657" s="26">
        <f>3000</f>
        <v>3000</v>
      </c>
      <c r="N1657" s="26"/>
      <c r="O1657" s="26">
        <f t="shared" si="707"/>
        <v>3000</v>
      </c>
      <c r="P1657" s="26"/>
      <c r="Q1657" s="28">
        <f t="shared" si="701"/>
        <v>3000</v>
      </c>
      <c r="R1657" s="28">
        <f t="shared" si="716"/>
        <v>0</v>
      </c>
      <c r="S1657" s="28">
        <f t="shared" si="716"/>
        <v>3000</v>
      </c>
    </row>
    <row r="1658" spans="2:19" s="34" customFormat="1" x14ac:dyDescent="0.2">
      <c r="B1658" s="7">
        <f t="shared" si="703"/>
        <v>29</v>
      </c>
      <c r="C1658" s="119"/>
      <c r="D1658" s="119"/>
      <c r="E1658" s="119"/>
      <c r="F1658" s="120"/>
      <c r="G1658" s="120"/>
      <c r="H1658" s="119" t="s">
        <v>189</v>
      </c>
      <c r="I1658" s="121">
        <f>I1659+I1660+I1661+I1667</f>
        <v>1589793</v>
      </c>
      <c r="J1658" s="121">
        <f t="shared" ref="J1658" si="719">J1659+J1660+J1661+J1667</f>
        <v>0</v>
      </c>
      <c r="K1658" s="121">
        <f t="shared" si="705"/>
        <v>1589793</v>
      </c>
      <c r="L1658" s="326"/>
      <c r="M1658" s="121">
        <f>M1668</f>
        <v>61995</v>
      </c>
      <c r="N1658" s="121">
        <f t="shared" ref="N1658" si="720">N1668</f>
        <v>0</v>
      </c>
      <c r="O1658" s="121">
        <f t="shared" si="707"/>
        <v>61995</v>
      </c>
      <c r="P1658" s="16"/>
      <c r="Q1658" s="123">
        <f t="shared" si="701"/>
        <v>1651788</v>
      </c>
      <c r="R1658" s="123">
        <f t="shared" si="716"/>
        <v>0</v>
      </c>
      <c r="S1658" s="123">
        <f t="shared" si="716"/>
        <v>1651788</v>
      </c>
    </row>
    <row r="1659" spans="2:19" s="34" customFormat="1" x14ac:dyDescent="0.2">
      <c r="B1659" s="7">
        <f t="shared" si="703"/>
        <v>30</v>
      </c>
      <c r="C1659" s="13"/>
      <c r="D1659" s="13"/>
      <c r="E1659" s="13"/>
      <c r="F1659" s="14" t="s">
        <v>188</v>
      </c>
      <c r="G1659" s="15">
        <v>610</v>
      </c>
      <c r="H1659" s="13" t="s">
        <v>511</v>
      </c>
      <c r="I1659" s="16">
        <v>278295</v>
      </c>
      <c r="J1659" s="16"/>
      <c r="K1659" s="16">
        <f t="shared" si="705"/>
        <v>278295</v>
      </c>
      <c r="L1659" s="326"/>
      <c r="M1659" s="16"/>
      <c r="N1659" s="16"/>
      <c r="O1659" s="16">
        <f t="shared" si="707"/>
        <v>0</v>
      </c>
      <c r="P1659" s="16"/>
      <c r="Q1659" s="18">
        <f t="shared" si="701"/>
        <v>278295</v>
      </c>
      <c r="R1659" s="18">
        <f t="shared" si="716"/>
        <v>0</v>
      </c>
      <c r="S1659" s="18">
        <f t="shared" si="716"/>
        <v>278295</v>
      </c>
    </row>
    <row r="1660" spans="2:19" s="34" customFormat="1" x14ac:dyDescent="0.2">
      <c r="B1660" s="7">
        <f t="shared" si="703"/>
        <v>31</v>
      </c>
      <c r="C1660" s="13"/>
      <c r="D1660" s="13"/>
      <c r="E1660" s="13"/>
      <c r="F1660" s="14" t="s">
        <v>188</v>
      </c>
      <c r="G1660" s="15">
        <v>620</v>
      </c>
      <c r="H1660" s="13" t="s">
        <v>122</v>
      </c>
      <c r="I1660" s="16">
        <v>112465</v>
      </c>
      <c r="J1660" s="16"/>
      <c r="K1660" s="16">
        <f t="shared" si="705"/>
        <v>112465</v>
      </c>
      <c r="L1660" s="326"/>
      <c r="M1660" s="16"/>
      <c r="N1660" s="16"/>
      <c r="O1660" s="16">
        <f t="shared" si="707"/>
        <v>0</v>
      </c>
      <c r="P1660" s="16"/>
      <c r="Q1660" s="18">
        <f t="shared" si="701"/>
        <v>112465</v>
      </c>
      <c r="R1660" s="18">
        <f t="shared" si="716"/>
        <v>0</v>
      </c>
      <c r="S1660" s="18">
        <f t="shared" si="716"/>
        <v>112465</v>
      </c>
    </row>
    <row r="1661" spans="2:19" x14ac:dyDescent="0.2">
      <c r="B1661" s="7">
        <f t="shared" si="703"/>
        <v>32</v>
      </c>
      <c r="C1661" s="13"/>
      <c r="D1661" s="13"/>
      <c r="E1661" s="13"/>
      <c r="F1661" s="14"/>
      <c r="G1661" s="15">
        <v>630</v>
      </c>
      <c r="H1661" s="13" t="s">
        <v>119</v>
      </c>
      <c r="I1661" s="16">
        <f>SUM(I1662:I1666)</f>
        <v>1167163</v>
      </c>
      <c r="J1661" s="16">
        <f t="shared" ref="J1661" si="721">SUM(J1662:J1666)</f>
        <v>0</v>
      </c>
      <c r="K1661" s="16">
        <f t="shared" si="705"/>
        <v>1167163</v>
      </c>
      <c r="L1661" s="326"/>
      <c r="M1661" s="16"/>
      <c r="N1661" s="16"/>
      <c r="O1661" s="16">
        <f t="shared" si="707"/>
        <v>0</v>
      </c>
      <c r="P1661" s="16"/>
      <c r="Q1661" s="18">
        <f t="shared" si="701"/>
        <v>1167163</v>
      </c>
      <c r="R1661" s="18">
        <f t="shared" si="716"/>
        <v>0</v>
      </c>
      <c r="S1661" s="18">
        <f t="shared" si="716"/>
        <v>1167163</v>
      </c>
    </row>
    <row r="1662" spans="2:19" x14ac:dyDescent="0.2">
      <c r="B1662" s="7">
        <f t="shared" si="703"/>
        <v>33</v>
      </c>
      <c r="C1662" s="19"/>
      <c r="D1662" s="19"/>
      <c r="E1662" s="19"/>
      <c r="F1662" s="20"/>
      <c r="G1662" s="21">
        <v>633</v>
      </c>
      <c r="H1662" s="19" t="s">
        <v>123</v>
      </c>
      <c r="I1662" s="22">
        <f>167335+7580+1632+618</f>
        <v>177165</v>
      </c>
      <c r="J1662" s="22"/>
      <c r="K1662" s="22">
        <f t="shared" si="705"/>
        <v>177165</v>
      </c>
      <c r="L1662" s="331"/>
      <c r="M1662" s="22"/>
      <c r="N1662" s="22"/>
      <c r="O1662" s="22">
        <f t="shared" si="707"/>
        <v>0</v>
      </c>
      <c r="P1662" s="22"/>
      <c r="Q1662" s="23">
        <f t="shared" ref="Q1662:Q1696" si="722">M1662+I1662</f>
        <v>177165</v>
      </c>
      <c r="R1662" s="23">
        <f t="shared" ref="R1662:S1677" si="723">N1662+J1662</f>
        <v>0</v>
      </c>
      <c r="S1662" s="23">
        <f t="shared" si="723"/>
        <v>177165</v>
      </c>
    </row>
    <row r="1663" spans="2:19" x14ac:dyDescent="0.2">
      <c r="B1663" s="7">
        <f t="shared" si="703"/>
        <v>34</v>
      </c>
      <c r="C1663" s="19"/>
      <c r="D1663" s="19"/>
      <c r="E1663" s="19"/>
      <c r="F1663" s="20"/>
      <c r="G1663" s="21">
        <v>634</v>
      </c>
      <c r="H1663" s="19" t="s">
        <v>129</v>
      </c>
      <c r="I1663" s="22">
        <v>38200</v>
      </c>
      <c r="J1663" s="22"/>
      <c r="K1663" s="22">
        <f t="shared" si="705"/>
        <v>38200</v>
      </c>
      <c r="L1663" s="331"/>
      <c r="M1663" s="22"/>
      <c r="N1663" s="22"/>
      <c r="O1663" s="22">
        <f t="shared" si="707"/>
        <v>0</v>
      </c>
      <c r="P1663" s="22"/>
      <c r="Q1663" s="23">
        <f t="shared" si="722"/>
        <v>38200</v>
      </c>
      <c r="R1663" s="23">
        <f t="shared" si="723"/>
        <v>0</v>
      </c>
      <c r="S1663" s="23">
        <f t="shared" si="723"/>
        <v>38200</v>
      </c>
    </row>
    <row r="1664" spans="2:19" x14ac:dyDescent="0.2">
      <c r="B1664" s="7">
        <f t="shared" si="703"/>
        <v>35</v>
      </c>
      <c r="C1664" s="19"/>
      <c r="D1664" s="19"/>
      <c r="E1664" s="19"/>
      <c r="F1664" s="20"/>
      <c r="G1664" s="21">
        <v>635</v>
      </c>
      <c r="H1664" s="19" t="s">
        <v>130</v>
      </c>
      <c r="I1664" s="22">
        <f>880200+4533+70000-20000+17000-22500-26000</f>
        <v>903233</v>
      </c>
      <c r="J1664" s="22"/>
      <c r="K1664" s="22">
        <f t="shared" si="705"/>
        <v>903233</v>
      </c>
      <c r="L1664" s="331"/>
      <c r="M1664" s="22"/>
      <c r="N1664" s="22"/>
      <c r="O1664" s="22">
        <f t="shared" si="707"/>
        <v>0</v>
      </c>
      <c r="P1664" s="22"/>
      <c r="Q1664" s="23">
        <f t="shared" si="722"/>
        <v>903233</v>
      </c>
      <c r="R1664" s="23">
        <f t="shared" si="723"/>
        <v>0</v>
      </c>
      <c r="S1664" s="23">
        <f t="shared" si="723"/>
        <v>903233</v>
      </c>
    </row>
    <row r="1665" spans="2:19" x14ac:dyDescent="0.2">
      <c r="B1665" s="7">
        <f t="shared" si="703"/>
        <v>36</v>
      </c>
      <c r="C1665" s="19"/>
      <c r="D1665" s="19"/>
      <c r="E1665" s="19"/>
      <c r="F1665" s="20"/>
      <c r="G1665" s="21">
        <v>636</v>
      </c>
      <c r="H1665" s="19" t="s">
        <v>124</v>
      </c>
      <c r="I1665" s="22">
        <v>500</v>
      </c>
      <c r="J1665" s="22"/>
      <c r="K1665" s="22">
        <f t="shared" si="705"/>
        <v>500</v>
      </c>
      <c r="L1665" s="331"/>
      <c r="M1665" s="22"/>
      <c r="N1665" s="22"/>
      <c r="O1665" s="22">
        <f t="shared" si="707"/>
        <v>0</v>
      </c>
      <c r="P1665" s="22"/>
      <c r="Q1665" s="23">
        <f t="shared" si="722"/>
        <v>500</v>
      </c>
      <c r="R1665" s="23">
        <f t="shared" si="723"/>
        <v>0</v>
      </c>
      <c r="S1665" s="23">
        <f t="shared" si="723"/>
        <v>500</v>
      </c>
    </row>
    <row r="1666" spans="2:19" x14ac:dyDescent="0.2">
      <c r="B1666" s="7">
        <f t="shared" si="703"/>
        <v>37</v>
      </c>
      <c r="C1666" s="19"/>
      <c r="D1666" s="19"/>
      <c r="E1666" s="19"/>
      <c r="F1666" s="20"/>
      <c r="G1666" s="21">
        <v>637</v>
      </c>
      <c r="H1666" s="19" t="s">
        <v>120</v>
      </c>
      <c r="I1666" s="22">
        <f>38925+9140</f>
        <v>48065</v>
      </c>
      <c r="J1666" s="22"/>
      <c r="K1666" s="22">
        <f t="shared" si="705"/>
        <v>48065</v>
      </c>
      <c r="L1666" s="331"/>
      <c r="M1666" s="22"/>
      <c r="N1666" s="22"/>
      <c r="O1666" s="22">
        <f t="shared" si="707"/>
        <v>0</v>
      </c>
      <c r="P1666" s="22"/>
      <c r="Q1666" s="23">
        <f t="shared" si="722"/>
        <v>48065</v>
      </c>
      <c r="R1666" s="23">
        <f t="shared" si="723"/>
        <v>0</v>
      </c>
      <c r="S1666" s="23">
        <f t="shared" si="723"/>
        <v>48065</v>
      </c>
    </row>
    <row r="1667" spans="2:19" x14ac:dyDescent="0.2">
      <c r="B1667" s="7">
        <f t="shared" si="703"/>
        <v>38</v>
      </c>
      <c r="C1667" s="13"/>
      <c r="D1667" s="13"/>
      <c r="E1667" s="13"/>
      <c r="F1667" s="14" t="s">
        <v>188</v>
      </c>
      <c r="G1667" s="15">
        <v>640</v>
      </c>
      <c r="H1667" s="13" t="s">
        <v>127</v>
      </c>
      <c r="I1667" s="16">
        <f>34080-2210</f>
        <v>31870</v>
      </c>
      <c r="J1667" s="16"/>
      <c r="K1667" s="16">
        <f t="shared" si="705"/>
        <v>31870</v>
      </c>
      <c r="L1667" s="326"/>
      <c r="M1667" s="16"/>
      <c r="N1667" s="16"/>
      <c r="O1667" s="16">
        <f t="shared" si="707"/>
        <v>0</v>
      </c>
      <c r="P1667" s="16"/>
      <c r="Q1667" s="18">
        <f t="shared" si="722"/>
        <v>31870</v>
      </c>
      <c r="R1667" s="18">
        <f t="shared" si="723"/>
        <v>0</v>
      </c>
      <c r="S1667" s="18">
        <f t="shared" si="723"/>
        <v>31870</v>
      </c>
    </row>
    <row r="1668" spans="2:19" x14ac:dyDescent="0.2">
      <c r="B1668" s="7">
        <f t="shared" si="703"/>
        <v>39</v>
      </c>
      <c r="C1668" s="13"/>
      <c r="D1668" s="13"/>
      <c r="E1668" s="13"/>
      <c r="F1668" s="14" t="s">
        <v>188</v>
      </c>
      <c r="G1668" s="15">
        <v>710</v>
      </c>
      <c r="H1668" s="13" t="s">
        <v>171</v>
      </c>
      <c r="I1668" s="16"/>
      <c r="J1668" s="16"/>
      <c r="K1668" s="16">
        <f t="shared" si="705"/>
        <v>0</v>
      </c>
      <c r="L1668" s="16"/>
      <c r="M1668" s="16">
        <f>M1671+M1669</f>
        <v>61995</v>
      </c>
      <c r="N1668" s="16">
        <f t="shared" ref="N1668" si="724">N1671+N1669</f>
        <v>0</v>
      </c>
      <c r="O1668" s="16">
        <f t="shared" si="707"/>
        <v>61995</v>
      </c>
      <c r="P1668" s="16"/>
      <c r="Q1668" s="18">
        <f t="shared" si="722"/>
        <v>61995</v>
      </c>
      <c r="R1668" s="18">
        <f t="shared" si="723"/>
        <v>0</v>
      </c>
      <c r="S1668" s="18">
        <f t="shared" si="723"/>
        <v>61995</v>
      </c>
    </row>
    <row r="1669" spans="2:19" x14ac:dyDescent="0.2">
      <c r="B1669" s="7">
        <f t="shared" si="703"/>
        <v>40</v>
      </c>
      <c r="C1669" s="13"/>
      <c r="D1669" s="13"/>
      <c r="E1669" s="13"/>
      <c r="F1669" s="14"/>
      <c r="G1669" s="21">
        <v>713</v>
      </c>
      <c r="H1669" s="19" t="s">
        <v>215</v>
      </c>
      <c r="I1669" s="16"/>
      <c r="J1669" s="16"/>
      <c r="K1669" s="16">
        <f t="shared" si="705"/>
        <v>0</v>
      </c>
      <c r="L1669" s="16"/>
      <c r="M1669" s="22">
        <f>M1670</f>
        <v>20000</v>
      </c>
      <c r="N1669" s="22">
        <f t="shared" ref="N1669" si="725">N1670</f>
        <v>0</v>
      </c>
      <c r="O1669" s="22">
        <f t="shared" si="707"/>
        <v>20000</v>
      </c>
      <c r="P1669" s="16"/>
      <c r="Q1669" s="23">
        <f t="shared" si="722"/>
        <v>20000</v>
      </c>
      <c r="R1669" s="23">
        <f t="shared" si="723"/>
        <v>0</v>
      </c>
      <c r="S1669" s="23">
        <f t="shared" si="723"/>
        <v>20000</v>
      </c>
    </row>
    <row r="1670" spans="2:19" x14ac:dyDescent="0.2">
      <c r="B1670" s="7">
        <f t="shared" si="703"/>
        <v>41</v>
      </c>
      <c r="C1670" s="13"/>
      <c r="D1670" s="13"/>
      <c r="E1670" s="13"/>
      <c r="F1670" s="14"/>
      <c r="G1670" s="25"/>
      <c r="H1670" s="1" t="s">
        <v>659</v>
      </c>
      <c r="I1670" s="16"/>
      <c r="J1670" s="16"/>
      <c r="K1670" s="16">
        <f t="shared" si="705"/>
        <v>0</v>
      </c>
      <c r="L1670" s="16"/>
      <c r="M1670" s="26">
        <v>20000</v>
      </c>
      <c r="N1670" s="26"/>
      <c r="O1670" s="26">
        <f t="shared" si="707"/>
        <v>20000</v>
      </c>
      <c r="P1670" s="16"/>
      <c r="Q1670" s="28">
        <f t="shared" si="722"/>
        <v>20000</v>
      </c>
      <c r="R1670" s="28">
        <f t="shared" si="723"/>
        <v>0</v>
      </c>
      <c r="S1670" s="28">
        <f t="shared" si="723"/>
        <v>20000</v>
      </c>
    </row>
    <row r="1671" spans="2:19" x14ac:dyDescent="0.2">
      <c r="B1671" s="7">
        <f t="shared" ref="B1671:B1681" si="726">B1670+1</f>
        <v>42</v>
      </c>
      <c r="C1671" s="19"/>
      <c r="D1671" s="19"/>
      <c r="E1671" s="19"/>
      <c r="F1671" s="20"/>
      <c r="G1671" s="21">
        <v>714</v>
      </c>
      <c r="H1671" s="19" t="s">
        <v>172</v>
      </c>
      <c r="I1671" s="22"/>
      <c r="J1671" s="22"/>
      <c r="K1671" s="22">
        <f t="shared" si="705"/>
        <v>0</v>
      </c>
      <c r="L1671" s="22"/>
      <c r="M1671" s="22">
        <f>SUM(M1672:M1673)</f>
        <v>41995</v>
      </c>
      <c r="N1671" s="22">
        <f>SUM(N1672:N1673)</f>
        <v>0</v>
      </c>
      <c r="O1671" s="22">
        <f t="shared" si="707"/>
        <v>41995</v>
      </c>
      <c r="P1671" s="22"/>
      <c r="Q1671" s="23">
        <f t="shared" si="722"/>
        <v>41995</v>
      </c>
      <c r="R1671" s="23">
        <f t="shared" si="723"/>
        <v>0</v>
      </c>
      <c r="S1671" s="23">
        <f t="shared" si="723"/>
        <v>41995</v>
      </c>
    </row>
    <row r="1672" spans="2:19" x14ac:dyDescent="0.2">
      <c r="B1672" s="7">
        <f t="shared" si="726"/>
        <v>43</v>
      </c>
      <c r="C1672" s="1"/>
      <c r="D1672" s="1"/>
      <c r="E1672" s="1"/>
      <c r="F1672" s="113"/>
      <c r="G1672" s="25"/>
      <c r="H1672" s="1" t="s">
        <v>409</v>
      </c>
      <c r="I1672" s="26"/>
      <c r="J1672" s="26"/>
      <c r="K1672" s="26">
        <f t="shared" si="705"/>
        <v>0</v>
      </c>
      <c r="L1672" s="26"/>
      <c r="M1672" s="26">
        <f>30000-8000</f>
        <v>22000</v>
      </c>
      <c r="N1672" s="26"/>
      <c r="O1672" s="26">
        <f t="shared" si="707"/>
        <v>22000</v>
      </c>
      <c r="P1672" s="26"/>
      <c r="Q1672" s="28">
        <f t="shared" si="722"/>
        <v>22000</v>
      </c>
      <c r="R1672" s="28">
        <f t="shared" si="723"/>
        <v>0</v>
      </c>
      <c r="S1672" s="28">
        <f t="shared" si="723"/>
        <v>22000</v>
      </c>
    </row>
    <row r="1673" spans="2:19" x14ac:dyDescent="0.2">
      <c r="B1673" s="7">
        <f t="shared" si="726"/>
        <v>44</v>
      </c>
      <c r="C1673" s="1"/>
      <c r="D1673" s="1"/>
      <c r="E1673" s="1"/>
      <c r="F1673" s="113"/>
      <c r="G1673" s="25"/>
      <c r="H1673" s="1" t="s">
        <v>709</v>
      </c>
      <c r="I1673" s="26"/>
      <c r="J1673" s="26"/>
      <c r="K1673" s="26">
        <f t="shared" si="705"/>
        <v>0</v>
      </c>
      <c r="L1673" s="26"/>
      <c r="M1673" s="26">
        <f>20000-5</f>
        <v>19995</v>
      </c>
      <c r="N1673" s="26"/>
      <c r="O1673" s="26">
        <f t="shared" si="707"/>
        <v>19995</v>
      </c>
      <c r="P1673" s="26"/>
      <c r="Q1673" s="28">
        <f t="shared" si="722"/>
        <v>19995</v>
      </c>
      <c r="R1673" s="28">
        <f t="shared" si="723"/>
        <v>0</v>
      </c>
      <c r="S1673" s="28">
        <f t="shared" si="723"/>
        <v>19995</v>
      </c>
    </row>
    <row r="1674" spans="2:19" ht="15" x14ac:dyDescent="0.2">
      <c r="B1674" s="7">
        <f t="shared" si="726"/>
        <v>45</v>
      </c>
      <c r="C1674" s="10">
        <v>2</v>
      </c>
      <c r="D1674" s="420" t="s">
        <v>137</v>
      </c>
      <c r="E1674" s="421"/>
      <c r="F1674" s="421"/>
      <c r="G1674" s="421"/>
      <c r="H1674" s="421"/>
      <c r="I1674" s="11">
        <f>I1685+I1675</f>
        <v>3797369</v>
      </c>
      <c r="J1674" s="11">
        <f t="shared" ref="J1674" si="727">J1685+J1675</f>
        <v>0</v>
      </c>
      <c r="K1674" s="11">
        <f t="shared" si="705"/>
        <v>3797369</v>
      </c>
      <c r="L1674" s="320"/>
      <c r="M1674" s="11">
        <f>M1675+M1685</f>
        <v>1324686</v>
      </c>
      <c r="N1674" s="11">
        <f t="shared" ref="N1674" si="728">N1675+N1685</f>
        <v>0</v>
      </c>
      <c r="O1674" s="11">
        <f t="shared" si="707"/>
        <v>1324686</v>
      </c>
      <c r="P1674" s="320"/>
      <c r="Q1674" s="35">
        <f t="shared" si="722"/>
        <v>5122055</v>
      </c>
      <c r="R1674" s="35">
        <f t="shared" si="723"/>
        <v>0</v>
      </c>
      <c r="S1674" s="35">
        <f t="shared" si="723"/>
        <v>5122055</v>
      </c>
    </row>
    <row r="1675" spans="2:19" ht="15" x14ac:dyDescent="0.25">
      <c r="B1675" s="7">
        <f t="shared" si="726"/>
        <v>46</v>
      </c>
      <c r="C1675" s="29"/>
      <c r="D1675" s="29">
        <v>1</v>
      </c>
      <c r="E1675" s="441" t="s">
        <v>136</v>
      </c>
      <c r="F1675" s="442"/>
      <c r="G1675" s="442"/>
      <c r="H1675" s="442"/>
      <c r="I1675" s="30">
        <f>I1676</f>
        <v>3795009</v>
      </c>
      <c r="J1675" s="30">
        <f t="shared" ref="J1675" si="729">J1676</f>
        <v>0</v>
      </c>
      <c r="K1675" s="30">
        <f t="shared" si="705"/>
        <v>3795009</v>
      </c>
      <c r="L1675" s="321"/>
      <c r="M1675" s="30">
        <f>M1680</f>
        <v>1324686</v>
      </c>
      <c r="N1675" s="30">
        <f t="shared" ref="N1675" si="730">N1680</f>
        <v>0</v>
      </c>
      <c r="O1675" s="30">
        <f t="shared" si="707"/>
        <v>1324686</v>
      </c>
      <c r="P1675" s="321"/>
      <c r="Q1675" s="32">
        <f t="shared" si="722"/>
        <v>5119695</v>
      </c>
      <c r="R1675" s="32">
        <f t="shared" si="723"/>
        <v>0</v>
      </c>
      <c r="S1675" s="32">
        <f t="shared" si="723"/>
        <v>5119695</v>
      </c>
    </row>
    <row r="1676" spans="2:19" x14ac:dyDescent="0.2">
      <c r="B1676" s="7">
        <f t="shared" si="726"/>
        <v>47</v>
      </c>
      <c r="C1676" s="13"/>
      <c r="D1676" s="13"/>
      <c r="E1676" s="13"/>
      <c r="F1676" s="14" t="s">
        <v>135</v>
      </c>
      <c r="G1676" s="15">
        <v>630</v>
      </c>
      <c r="H1676" s="13" t="s">
        <v>119</v>
      </c>
      <c r="I1676" s="16">
        <f>SUM(I1677:I1679)</f>
        <v>3795009</v>
      </c>
      <c r="J1676" s="16">
        <f t="shared" ref="J1676" si="731">SUM(J1677:J1679)</f>
        <v>0</v>
      </c>
      <c r="K1676" s="16">
        <f t="shared" si="705"/>
        <v>3795009</v>
      </c>
      <c r="L1676" s="16"/>
      <c r="M1676" s="16"/>
      <c r="N1676" s="16"/>
      <c r="O1676" s="16">
        <f t="shared" si="707"/>
        <v>0</v>
      </c>
      <c r="P1676" s="16"/>
      <c r="Q1676" s="18">
        <f t="shared" si="722"/>
        <v>3795009</v>
      </c>
      <c r="R1676" s="18">
        <f t="shared" si="723"/>
        <v>0</v>
      </c>
      <c r="S1676" s="18">
        <f t="shared" si="723"/>
        <v>3795009</v>
      </c>
    </row>
    <row r="1677" spans="2:19" x14ac:dyDescent="0.2">
      <c r="B1677" s="7">
        <f t="shared" si="726"/>
        <v>48</v>
      </c>
      <c r="C1677" s="19"/>
      <c r="D1677" s="19"/>
      <c r="E1677" s="19"/>
      <c r="F1677" s="20"/>
      <c r="G1677" s="21">
        <v>635</v>
      </c>
      <c r="H1677" s="19" t="s">
        <v>130</v>
      </c>
      <c r="I1677" s="22">
        <v>4000</v>
      </c>
      <c r="J1677" s="22"/>
      <c r="K1677" s="22">
        <f t="shared" si="705"/>
        <v>4000</v>
      </c>
      <c r="L1677" s="22"/>
      <c r="M1677" s="22"/>
      <c r="N1677" s="22"/>
      <c r="O1677" s="22">
        <f t="shared" si="707"/>
        <v>0</v>
      </c>
      <c r="P1677" s="22"/>
      <c r="Q1677" s="23">
        <f t="shared" si="722"/>
        <v>4000</v>
      </c>
      <c r="R1677" s="23">
        <f t="shared" si="723"/>
        <v>0</v>
      </c>
      <c r="S1677" s="23">
        <f t="shared" si="723"/>
        <v>4000</v>
      </c>
    </row>
    <row r="1678" spans="2:19" x14ac:dyDescent="0.2">
      <c r="B1678" s="7">
        <f t="shared" si="726"/>
        <v>49</v>
      </c>
      <c r="C1678" s="19"/>
      <c r="D1678" s="19"/>
      <c r="E1678" s="19"/>
      <c r="F1678" s="20"/>
      <c r="G1678" s="21">
        <v>637</v>
      </c>
      <c r="H1678" s="19" t="s">
        <v>120</v>
      </c>
      <c r="I1678" s="33">
        <f>3350000+241009</f>
        <v>3591009</v>
      </c>
      <c r="J1678" s="33"/>
      <c r="K1678" s="33">
        <f t="shared" si="705"/>
        <v>3591009</v>
      </c>
      <c r="L1678" s="22"/>
      <c r="M1678" s="22"/>
      <c r="N1678" s="22"/>
      <c r="O1678" s="22">
        <f t="shared" si="707"/>
        <v>0</v>
      </c>
      <c r="P1678" s="22"/>
      <c r="Q1678" s="23">
        <f t="shared" si="722"/>
        <v>3591009</v>
      </c>
      <c r="R1678" s="23">
        <f t="shared" ref="R1678:S1693" si="732">N1678+J1678</f>
        <v>0</v>
      </c>
      <c r="S1678" s="23">
        <f t="shared" si="732"/>
        <v>3591009</v>
      </c>
    </row>
    <row r="1679" spans="2:19" x14ac:dyDescent="0.2">
      <c r="B1679" s="7">
        <f t="shared" si="726"/>
        <v>50</v>
      </c>
      <c r="C1679" s="19"/>
      <c r="D1679" s="19"/>
      <c r="E1679" s="19"/>
      <c r="F1679" s="20"/>
      <c r="G1679" s="21">
        <v>637</v>
      </c>
      <c r="H1679" s="19" t="s">
        <v>461</v>
      </c>
      <c r="I1679" s="33">
        <f>60000+140000</f>
        <v>200000</v>
      </c>
      <c r="J1679" s="33"/>
      <c r="K1679" s="33">
        <f t="shared" si="705"/>
        <v>200000</v>
      </c>
      <c r="L1679" s="22"/>
      <c r="M1679" s="22"/>
      <c r="N1679" s="22"/>
      <c r="O1679" s="22">
        <f t="shared" si="707"/>
        <v>0</v>
      </c>
      <c r="P1679" s="22"/>
      <c r="Q1679" s="23">
        <f t="shared" si="722"/>
        <v>200000</v>
      </c>
      <c r="R1679" s="23">
        <f t="shared" si="732"/>
        <v>0</v>
      </c>
      <c r="S1679" s="23">
        <f t="shared" si="732"/>
        <v>200000</v>
      </c>
    </row>
    <row r="1680" spans="2:19" x14ac:dyDescent="0.2">
      <c r="B1680" s="7">
        <f t="shared" si="726"/>
        <v>51</v>
      </c>
      <c r="C1680" s="13"/>
      <c r="D1680" s="13"/>
      <c r="E1680" s="13"/>
      <c r="F1680" s="14" t="s">
        <v>135</v>
      </c>
      <c r="G1680" s="15">
        <v>710</v>
      </c>
      <c r="H1680" s="13" t="s">
        <v>171</v>
      </c>
      <c r="I1680" s="16"/>
      <c r="J1680" s="16"/>
      <c r="K1680" s="16">
        <f t="shared" si="705"/>
        <v>0</v>
      </c>
      <c r="L1680" s="16"/>
      <c r="M1680" s="16">
        <f>M1681+M1683</f>
        <v>1324686</v>
      </c>
      <c r="N1680" s="16">
        <f t="shared" ref="N1680" si="733">N1681+N1683</f>
        <v>0</v>
      </c>
      <c r="O1680" s="16">
        <f t="shared" si="707"/>
        <v>1324686</v>
      </c>
      <c r="P1680" s="16"/>
      <c r="Q1680" s="18">
        <f t="shared" si="722"/>
        <v>1324686</v>
      </c>
      <c r="R1680" s="18">
        <f t="shared" si="732"/>
        <v>0</v>
      </c>
      <c r="S1680" s="18">
        <f t="shared" si="732"/>
        <v>1324686</v>
      </c>
    </row>
    <row r="1681" spans="2:19" x14ac:dyDescent="0.2">
      <c r="B1681" s="7">
        <f t="shared" si="726"/>
        <v>52</v>
      </c>
      <c r="C1681" s="19"/>
      <c r="D1681" s="19"/>
      <c r="E1681" s="19"/>
      <c r="F1681" s="20"/>
      <c r="G1681" s="21">
        <v>716</v>
      </c>
      <c r="H1681" s="19" t="s">
        <v>211</v>
      </c>
      <c r="I1681" s="22"/>
      <c r="J1681" s="22"/>
      <c r="K1681" s="22">
        <f t="shared" si="705"/>
        <v>0</v>
      </c>
      <c r="L1681" s="22"/>
      <c r="M1681" s="22">
        <f>M1682</f>
        <v>15000</v>
      </c>
      <c r="N1681" s="22">
        <f t="shared" ref="N1681" si="734">N1682</f>
        <v>0</v>
      </c>
      <c r="O1681" s="22">
        <f t="shared" si="707"/>
        <v>15000</v>
      </c>
      <c r="P1681" s="22"/>
      <c r="Q1681" s="23">
        <f t="shared" si="722"/>
        <v>15000</v>
      </c>
      <c r="R1681" s="23">
        <f t="shared" si="732"/>
        <v>0</v>
      </c>
      <c r="S1681" s="23">
        <f t="shared" si="732"/>
        <v>15000</v>
      </c>
    </row>
    <row r="1682" spans="2:19" x14ac:dyDescent="0.2">
      <c r="B1682" s="7">
        <f t="shared" ref="B1682:B1724" si="735">B1681+1</f>
        <v>53</v>
      </c>
      <c r="C1682" s="24"/>
      <c r="D1682" s="24"/>
      <c r="E1682" s="24"/>
      <c r="F1682" s="136"/>
      <c r="G1682" s="136"/>
      <c r="H1682" s="1" t="s">
        <v>269</v>
      </c>
      <c r="I1682" s="26"/>
      <c r="J1682" s="26"/>
      <c r="K1682" s="26">
        <f t="shared" si="705"/>
        <v>0</v>
      </c>
      <c r="L1682" s="26"/>
      <c r="M1682" s="26">
        <v>15000</v>
      </c>
      <c r="N1682" s="26"/>
      <c r="O1682" s="26">
        <f t="shared" si="707"/>
        <v>15000</v>
      </c>
      <c r="P1682" s="26"/>
      <c r="Q1682" s="28">
        <f t="shared" si="722"/>
        <v>15000</v>
      </c>
      <c r="R1682" s="28">
        <f t="shared" si="732"/>
        <v>0</v>
      </c>
      <c r="S1682" s="28">
        <f t="shared" si="732"/>
        <v>15000</v>
      </c>
    </row>
    <row r="1683" spans="2:19" x14ac:dyDescent="0.2">
      <c r="B1683" s="7">
        <f t="shared" si="735"/>
        <v>54</v>
      </c>
      <c r="C1683" s="19"/>
      <c r="D1683" s="19"/>
      <c r="E1683" s="19"/>
      <c r="F1683" s="20"/>
      <c r="G1683" s="21">
        <v>717</v>
      </c>
      <c r="H1683" s="19" t="s">
        <v>178</v>
      </c>
      <c r="I1683" s="22"/>
      <c r="J1683" s="22"/>
      <c r="K1683" s="22">
        <f t="shared" si="705"/>
        <v>0</v>
      </c>
      <c r="L1683" s="22"/>
      <c r="M1683" s="22">
        <f>M1684</f>
        <v>1309686</v>
      </c>
      <c r="N1683" s="22">
        <f t="shared" ref="N1683" si="736">N1684</f>
        <v>0</v>
      </c>
      <c r="O1683" s="22">
        <f t="shared" si="707"/>
        <v>1309686</v>
      </c>
      <c r="P1683" s="22"/>
      <c r="Q1683" s="23">
        <f t="shared" si="722"/>
        <v>1309686</v>
      </c>
      <c r="R1683" s="23">
        <f t="shared" si="732"/>
        <v>0</v>
      </c>
      <c r="S1683" s="23">
        <f t="shared" si="732"/>
        <v>1309686</v>
      </c>
    </row>
    <row r="1684" spans="2:19" x14ac:dyDescent="0.2">
      <c r="B1684" s="7">
        <f t="shared" si="735"/>
        <v>55</v>
      </c>
      <c r="C1684" s="24"/>
      <c r="D1684" s="24"/>
      <c r="E1684" s="24"/>
      <c r="F1684" s="136"/>
      <c r="G1684" s="136"/>
      <c r="H1684" s="1" t="s">
        <v>269</v>
      </c>
      <c r="I1684" s="26"/>
      <c r="J1684" s="26"/>
      <c r="K1684" s="26">
        <f t="shared" si="705"/>
        <v>0</v>
      </c>
      <c r="L1684" s="26"/>
      <c r="M1684" s="26">
        <f>475000+834686</f>
        <v>1309686</v>
      </c>
      <c r="N1684" s="26"/>
      <c r="O1684" s="26">
        <f t="shared" si="707"/>
        <v>1309686</v>
      </c>
      <c r="P1684" s="26"/>
      <c r="Q1684" s="28">
        <f t="shared" si="722"/>
        <v>1309686</v>
      </c>
      <c r="R1684" s="28">
        <f t="shared" si="732"/>
        <v>0</v>
      </c>
      <c r="S1684" s="28">
        <f t="shared" si="732"/>
        <v>1309686</v>
      </c>
    </row>
    <row r="1685" spans="2:19" ht="15" x14ac:dyDescent="0.25">
      <c r="B1685" s="7">
        <f t="shared" si="735"/>
        <v>56</v>
      </c>
      <c r="C1685" s="29"/>
      <c r="D1685" s="29">
        <v>2</v>
      </c>
      <c r="E1685" s="441" t="s">
        <v>236</v>
      </c>
      <c r="F1685" s="442"/>
      <c r="G1685" s="442"/>
      <c r="H1685" s="442"/>
      <c r="I1685" s="30">
        <f>I1686</f>
        <v>2360</v>
      </c>
      <c r="J1685" s="30">
        <f t="shared" ref="J1685:J1686" si="737">J1686</f>
        <v>0</v>
      </c>
      <c r="K1685" s="30">
        <f t="shared" si="705"/>
        <v>2360</v>
      </c>
      <c r="L1685" s="321"/>
      <c r="M1685" s="30"/>
      <c r="N1685" s="30"/>
      <c r="O1685" s="30">
        <f t="shared" si="707"/>
        <v>0</v>
      </c>
      <c r="P1685" s="321"/>
      <c r="Q1685" s="32">
        <f t="shared" si="722"/>
        <v>2360</v>
      </c>
      <c r="R1685" s="32">
        <f t="shared" si="732"/>
        <v>0</v>
      </c>
      <c r="S1685" s="32">
        <f t="shared" si="732"/>
        <v>2360</v>
      </c>
    </row>
    <row r="1686" spans="2:19" x14ac:dyDescent="0.2">
      <c r="B1686" s="7">
        <f t="shared" si="735"/>
        <v>57</v>
      </c>
      <c r="C1686" s="13"/>
      <c r="D1686" s="13"/>
      <c r="E1686" s="13"/>
      <c r="F1686" s="14" t="s">
        <v>135</v>
      </c>
      <c r="G1686" s="15">
        <v>630</v>
      </c>
      <c r="H1686" s="13" t="s">
        <v>119</v>
      </c>
      <c r="I1686" s="16">
        <f>I1687</f>
        <v>2360</v>
      </c>
      <c r="J1686" s="16">
        <f t="shared" si="737"/>
        <v>0</v>
      </c>
      <c r="K1686" s="16">
        <f t="shared" si="705"/>
        <v>2360</v>
      </c>
      <c r="L1686" s="16"/>
      <c r="M1686" s="16"/>
      <c r="N1686" s="16"/>
      <c r="O1686" s="16">
        <f t="shared" si="707"/>
        <v>0</v>
      </c>
      <c r="P1686" s="16"/>
      <c r="Q1686" s="18">
        <f t="shared" si="722"/>
        <v>2360</v>
      </c>
      <c r="R1686" s="18">
        <f t="shared" si="732"/>
        <v>0</v>
      </c>
      <c r="S1686" s="18">
        <f t="shared" si="732"/>
        <v>2360</v>
      </c>
    </row>
    <row r="1687" spans="2:19" x14ac:dyDescent="0.2">
      <c r="B1687" s="7">
        <f t="shared" si="735"/>
        <v>58</v>
      </c>
      <c r="C1687" s="19"/>
      <c r="D1687" s="19"/>
      <c r="E1687" s="19"/>
      <c r="F1687" s="20"/>
      <c r="G1687" s="21">
        <v>637</v>
      </c>
      <c r="H1687" s="19" t="s">
        <v>120</v>
      </c>
      <c r="I1687" s="22">
        <f>2180+180</f>
        <v>2360</v>
      </c>
      <c r="J1687" s="22"/>
      <c r="K1687" s="22">
        <f t="shared" si="705"/>
        <v>2360</v>
      </c>
      <c r="L1687" s="22"/>
      <c r="M1687" s="22"/>
      <c r="N1687" s="22"/>
      <c r="O1687" s="22">
        <f t="shared" si="707"/>
        <v>0</v>
      </c>
      <c r="P1687" s="22"/>
      <c r="Q1687" s="23">
        <f t="shared" si="722"/>
        <v>2360</v>
      </c>
      <c r="R1687" s="23">
        <f t="shared" si="732"/>
        <v>0</v>
      </c>
      <c r="S1687" s="23">
        <f t="shared" si="732"/>
        <v>2360</v>
      </c>
    </row>
    <row r="1688" spans="2:19" ht="15" x14ac:dyDescent="0.2">
      <c r="B1688" s="7">
        <f t="shared" si="735"/>
        <v>59</v>
      </c>
      <c r="C1688" s="10">
        <v>3</v>
      </c>
      <c r="D1688" s="420" t="s">
        <v>238</v>
      </c>
      <c r="E1688" s="421"/>
      <c r="F1688" s="421"/>
      <c r="G1688" s="421"/>
      <c r="H1688" s="421"/>
      <c r="I1688" s="11">
        <f>I1689+I1693+I1700</f>
        <v>133860</v>
      </c>
      <c r="J1688" s="11">
        <f t="shared" ref="J1688" si="738">J1689+J1693+J1700</f>
        <v>0</v>
      </c>
      <c r="K1688" s="11">
        <f t="shared" si="705"/>
        <v>133860</v>
      </c>
      <c r="L1688" s="320"/>
      <c r="M1688" s="11">
        <f>M1695</f>
        <v>125000</v>
      </c>
      <c r="N1688" s="11">
        <f t="shared" ref="N1688" si="739">N1695</f>
        <v>0</v>
      </c>
      <c r="O1688" s="11">
        <f t="shared" si="707"/>
        <v>125000</v>
      </c>
      <c r="P1688" s="320"/>
      <c r="Q1688" s="35">
        <f t="shared" si="722"/>
        <v>258860</v>
      </c>
      <c r="R1688" s="35">
        <f t="shared" si="732"/>
        <v>0</v>
      </c>
      <c r="S1688" s="35">
        <f t="shared" si="732"/>
        <v>258860</v>
      </c>
    </row>
    <row r="1689" spans="2:19" x14ac:dyDescent="0.2">
      <c r="B1689" s="7">
        <f t="shared" si="735"/>
        <v>60</v>
      </c>
      <c r="C1689" s="13"/>
      <c r="D1689" s="13"/>
      <c r="E1689" s="13"/>
      <c r="F1689" s="14" t="s">
        <v>237</v>
      </c>
      <c r="G1689" s="15">
        <v>630</v>
      </c>
      <c r="H1689" s="13" t="s">
        <v>119</v>
      </c>
      <c r="I1689" s="16">
        <f>SUM(I1690:I1692)</f>
        <v>104830</v>
      </c>
      <c r="J1689" s="16">
        <f t="shared" ref="J1689" si="740">SUM(J1690:J1692)</f>
        <v>0</v>
      </c>
      <c r="K1689" s="16">
        <f t="shared" si="705"/>
        <v>104830</v>
      </c>
      <c r="L1689" s="16"/>
      <c r="M1689" s="16"/>
      <c r="N1689" s="16"/>
      <c r="O1689" s="16">
        <f t="shared" si="707"/>
        <v>0</v>
      </c>
      <c r="P1689" s="16"/>
      <c r="Q1689" s="18">
        <f t="shared" si="722"/>
        <v>104830</v>
      </c>
      <c r="R1689" s="18">
        <f t="shared" si="732"/>
        <v>0</v>
      </c>
      <c r="S1689" s="18">
        <f t="shared" si="732"/>
        <v>104830</v>
      </c>
    </row>
    <row r="1690" spans="2:19" x14ac:dyDescent="0.2">
      <c r="B1690" s="7">
        <f t="shared" si="735"/>
        <v>61</v>
      </c>
      <c r="C1690" s="19"/>
      <c r="D1690" s="19"/>
      <c r="E1690" s="19"/>
      <c r="F1690" s="20"/>
      <c r="G1690" s="21">
        <v>633</v>
      </c>
      <c r="H1690" s="19" t="s">
        <v>123</v>
      </c>
      <c r="I1690" s="22">
        <v>100</v>
      </c>
      <c r="J1690" s="22"/>
      <c r="K1690" s="22">
        <f t="shared" si="705"/>
        <v>100</v>
      </c>
      <c r="L1690" s="22"/>
      <c r="M1690" s="22"/>
      <c r="N1690" s="22"/>
      <c r="O1690" s="22">
        <f t="shared" si="707"/>
        <v>0</v>
      </c>
      <c r="P1690" s="22"/>
      <c r="Q1690" s="23">
        <f t="shared" si="722"/>
        <v>100</v>
      </c>
      <c r="R1690" s="23">
        <f t="shared" si="732"/>
        <v>0</v>
      </c>
      <c r="S1690" s="23">
        <f t="shared" si="732"/>
        <v>100</v>
      </c>
    </row>
    <row r="1691" spans="2:19" x14ac:dyDescent="0.2">
      <c r="B1691" s="7">
        <f t="shared" si="735"/>
        <v>62</v>
      </c>
      <c r="C1691" s="19"/>
      <c r="D1691" s="19"/>
      <c r="E1691" s="19"/>
      <c r="F1691" s="20"/>
      <c r="G1691" s="21">
        <v>637</v>
      </c>
      <c r="H1691" s="19" t="s">
        <v>120</v>
      </c>
      <c r="I1691" s="22">
        <v>29230</v>
      </c>
      <c r="J1691" s="22"/>
      <c r="K1691" s="22">
        <f t="shared" si="705"/>
        <v>29230</v>
      </c>
      <c r="L1691" s="22"/>
      <c r="M1691" s="22"/>
      <c r="N1691" s="22"/>
      <c r="O1691" s="22">
        <f t="shared" si="707"/>
        <v>0</v>
      </c>
      <c r="P1691" s="22"/>
      <c r="Q1691" s="23">
        <f t="shared" si="722"/>
        <v>29230</v>
      </c>
      <c r="R1691" s="23">
        <f t="shared" si="732"/>
        <v>0</v>
      </c>
      <c r="S1691" s="23">
        <f t="shared" si="732"/>
        <v>29230</v>
      </c>
    </row>
    <row r="1692" spans="2:19" ht="24" x14ac:dyDescent="0.2">
      <c r="B1692" s="7">
        <f t="shared" si="735"/>
        <v>63</v>
      </c>
      <c r="C1692" s="57"/>
      <c r="D1692" s="57"/>
      <c r="E1692" s="57"/>
      <c r="F1692" s="58"/>
      <c r="G1692" s="59">
        <v>635</v>
      </c>
      <c r="H1692" s="60" t="s">
        <v>495</v>
      </c>
      <c r="I1692" s="61">
        <v>75500</v>
      </c>
      <c r="J1692" s="61"/>
      <c r="K1692" s="61">
        <f t="shared" si="705"/>
        <v>75500</v>
      </c>
      <c r="L1692" s="61"/>
      <c r="M1692" s="61"/>
      <c r="N1692" s="61"/>
      <c r="O1692" s="61">
        <f t="shared" si="707"/>
        <v>0</v>
      </c>
      <c r="P1692" s="61"/>
      <c r="Q1692" s="62">
        <f t="shared" si="722"/>
        <v>75500</v>
      </c>
      <c r="R1692" s="62">
        <f t="shared" si="732"/>
        <v>0</v>
      </c>
      <c r="S1692" s="62">
        <f t="shared" si="732"/>
        <v>75500</v>
      </c>
    </row>
    <row r="1693" spans="2:19" x14ac:dyDescent="0.2">
      <c r="B1693" s="7">
        <f t="shared" si="735"/>
        <v>64</v>
      </c>
      <c r="C1693" s="13"/>
      <c r="D1693" s="13"/>
      <c r="E1693" s="13"/>
      <c r="F1693" s="14" t="s">
        <v>237</v>
      </c>
      <c r="G1693" s="15">
        <v>640</v>
      </c>
      <c r="H1693" s="13" t="s">
        <v>127</v>
      </c>
      <c r="I1693" s="16">
        <f>I1694</f>
        <v>20000</v>
      </c>
      <c r="J1693" s="16">
        <f t="shared" ref="J1693" si="741">J1694</f>
        <v>0</v>
      </c>
      <c r="K1693" s="16">
        <f t="shared" si="705"/>
        <v>20000</v>
      </c>
      <c r="L1693" s="16"/>
      <c r="M1693" s="16"/>
      <c r="N1693" s="16"/>
      <c r="O1693" s="16">
        <f t="shared" si="707"/>
        <v>0</v>
      </c>
      <c r="P1693" s="16"/>
      <c r="Q1693" s="18">
        <f t="shared" si="722"/>
        <v>20000</v>
      </c>
      <c r="R1693" s="18">
        <f t="shared" si="732"/>
        <v>0</v>
      </c>
      <c r="S1693" s="18">
        <f t="shared" si="732"/>
        <v>20000</v>
      </c>
    </row>
    <row r="1694" spans="2:19" x14ac:dyDescent="0.2">
      <c r="B1694" s="7">
        <f t="shared" si="735"/>
        <v>65</v>
      </c>
      <c r="C1694" s="24"/>
      <c r="D1694" s="24"/>
      <c r="E1694" s="24"/>
      <c r="F1694" s="136"/>
      <c r="G1694" s="136"/>
      <c r="H1694" s="1" t="s">
        <v>332</v>
      </c>
      <c r="I1694" s="26">
        <f>10000+10000</f>
        <v>20000</v>
      </c>
      <c r="J1694" s="26"/>
      <c r="K1694" s="26">
        <f t="shared" ref="K1694:K1724" si="742">I1694+J1694</f>
        <v>20000</v>
      </c>
      <c r="L1694" s="26"/>
      <c r="M1694" s="26"/>
      <c r="N1694" s="26"/>
      <c r="O1694" s="26">
        <f t="shared" si="707"/>
        <v>0</v>
      </c>
      <c r="P1694" s="26"/>
      <c r="Q1694" s="28">
        <f t="shared" si="722"/>
        <v>20000</v>
      </c>
      <c r="R1694" s="28">
        <f t="shared" ref="R1694:S1696" si="743">N1694+J1694</f>
        <v>0</v>
      </c>
      <c r="S1694" s="28">
        <f t="shared" si="743"/>
        <v>20000</v>
      </c>
    </row>
    <row r="1695" spans="2:19" x14ac:dyDescent="0.2">
      <c r="B1695" s="7">
        <f t="shared" si="735"/>
        <v>66</v>
      </c>
      <c r="C1695" s="13"/>
      <c r="D1695" s="13"/>
      <c r="E1695" s="13"/>
      <c r="F1695" s="14" t="s">
        <v>150</v>
      </c>
      <c r="G1695" s="15">
        <v>710</v>
      </c>
      <c r="H1695" s="13" t="s">
        <v>171</v>
      </c>
      <c r="I1695" s="16"/>
      <c r="J1695" s="16"/>
      <c r="K1695" s="16">
        <f t="shared" si="742"/>
        <v>0</v>
      </c>
      <c r="L1695" s="16"/>
      <c r="M1695" s="16">
        <f>M1696+M1698</f>
        <v>125000</v>
      </c>
      <c r="N1695" s="16">
        <f t="shared" ref="N1695" si="744">N1696+N1698</f>
        <v>0</v>
      </c>
      <c r="O1695" s="16">
        <f t="shared" ref="O1695:O1724" si="745">M1695+N1695</f>
        <v>125000</v>
      </c>
      <c r="P1695" s="16"/>
      <c r="Q1695" s="18">
        <f t="shared" si="722"/>
        <v>125000</v>
      </c>
      <c r="R1695" s="18">
        <f t="shared" si="743"/>
        <v>0</v>
      </c>
      <c r="S1695" s="18">
        <f t="shared" si="743"/>
        <v>125000</v>
      </c>
    </row>
    <row r="1696" spans="2:19" x14ac:dyDescent="0.2">
      <c r="B1696" s="7">
        <f t="shared" si="735"/>
        <v>67</v>
      </c>
      <c r="C1696" s="19"/>
      <c r="D1696" s="19"/>
      <c r="E1696" s="19"/>
      <c r="F1696" s="20"/>
      <c r="G1696" s="21">
        <v>716</v>
      </c>
      <c r="H1696" s="19" t="s">
        <v>211</v>
      </c>
      <c r="I1696" s="22"/>
      <c r="J1696" s="22"/>
      <c r="K1696" s="22">
        <f t="shared" si="742"/>
        <v>0</v>
      </c>
      <c r="L1696" s="22"/>
      <c r="M1696" s="22">
        <f>M1697</f>
        <v>10000</v>
      </c>
      <c r="N1696" s="22">
        <f t="shared" ref="N1696" si="746">N1697</f>
        <v>0</v>
      </c>
      <c r="O1696" s="22">
        <f t="shared" si="745"/>
        <v>10000</v>
      </c>
      <c r="P1696" s="22"/>
      <c r="Q1696" s="23">
        <f t="shared" si="722"/>
        <v>10000</v>
      </c>
      <c r="R1696" s="23">
        <f t="shared" si="743"/>
        <v>0</v>
      </c>
      <c r="S1696" s="23">
        <f t="shared" si="743"/>
        <v>10000</v>
      </c>
    </row>
    <row r="1697" spans="2:19" x14ac:dyDescent="0.2">
      <c r="B1697" s="7">
        <f t="shared" si="735"/>
        <v>68</v>
      </c>
      <c r="C1697" s="24"/>
      <c r="D1697" s="24"/>
      <c r="E1697" s="24"/>
      <c r="F1697" s="136"/>
      <c r="G1697" s="136"/>
      <c r="H1697" s="1" t="s">
        <v>523</v>
      </c>
      <c r="I1697" s="26"/>
      <c r="J1697" s="26"/>
      <c r="K1697" s="26">
        <f t="shared" si="742"/>
        <v>0</v>
      </c>
      <c r="L1697" s="26"/>
      <c r="M1697" s="26">
        <v>10000</v>
      </c>
      <c r="N1697" s="26"/>
      <c r="O1697" s="26">
        <f t="shared" si="745"/>
        <v>10000</v>
      </c>
      <c r="P1697" s="26"/>
      <c r="Q1697" s="28">
        <f>M1697</f>
        <v>10000</v>
      </c>
      <c r="R1697" s="28">
        <f t="shared" ref="R1697:S1697" si="747">N1697</f>
        <v>0</v>
      </c>
      <c r="S1697" s="28">
        <f t="shared" si="747"/>
        <v>10000</v>
      </c>
    </row>
    <row r="1698" spans="2:19" x14ac:dyDescent="0.2">
      <c r="B1698" s="7">
        <f t="shared" si="735"/>
        <v>69</v>
      </c>
      <c r="C1698" s="19"/>
      <c r="D1698" s="19"/>
      <c r="E1698" s="19"/>
      <c r="F1698" s="20"/>
      <c r="G1698" s="21">
        <v>717</v>
      </c>
      <c r="H1698" s="19" t="s">
        <v>178</v>
      </c>
      <c r="I1698" s="22"/>
      <c r="J1698" s="22"/>
      <c r="K1698" s="22">
        <f t="shared" si="742"/>
        <v>0</v>
      </c>
      <c r="L1698" s="22"/>
      <c r="M1698" s="22">
        <f>SUM(M1699:M1699)</f>
        <v>115000</v>
      </c>
      <c r="N1698" s="22">
        <f t="shared" ref="N1698" si="748">SUM(N1699:N1699)</f>
        <v>0</v>
      </c>
      <c r="O1698" s="22">
        <f t="shared" si="745"/>
        <v>115000</v>
      </c>
      <c r="P1698" s="22"/>
      <c r="Q1698" s="23">
        <f>M1698+I1698</f>
        <v>115000</v>
      </c>
      <c r="R1698" s="23">
        <f t="shared" ref="R1698:S1698" si="749">N1698+J1698</f>
        <v>0</v>
      </c>
      <c r="S1698" s="23">
        <f t="shared" si="749"/>
        <v>115000</v>
      </c>
    </row>
    <row r="1699" spans="2:19" x14ac:dyDescent="0.2">
      <c r="B1699" s="7">
        <f t="shared" si="735"/>
        <v>70</v>
      </c>
      <c r="C1699" s="24"/>
      <c r="D1699" s="24"/>
      <c r="E1699" s="24"/>
      <c r="F1699" s="136"/>
      <c r="G1699" s="136"/>
      <c r="H1699" s="1" t="s">
        <v>523</v>
      </c>
      <c r="I1699" s="26"/>
      <c r="J1699" s="26"/>
      <c r="K1699" s="26">
        <f t="shared" si="742"/>
        <v>0</v>
      </c>
      <c r="L1699" s="26"/>
      <c r="M1699" s="26">
        <v>115000</v>
      </c>
      <c r="N1699" s="26"/>
      <c r="O1699" s="26">
        <f t="shared" si="745"/>
        <v>115000</v>
      </c>
      <c r="P1699" s="26"/>
      <c r="Q1699" s="28">
        <f>M1699</f>
        <v>115000</v>
      </c>
      <c r="R1699" s="28">
        <f t="shared" ref="R1699:S1699" si="750">N1699</f>
        <v>0</v>
      </c>
      <c r="S1699" s="28">
        <f t="shared" si="750"/>
        <v>115000</v>
      </c>
    </row>
    <row r="1700" spans="2:19" ht="15" x14ac:dyDescent="0.25">
      <c r="B1700" s="7">
        <f t="shared" si="735"/>
        <v>71</v>
      </c>
      <c r="C1700" s="108"/>
      <c r="D1700" s="108"/>
      <c r="E1700" s="108">
        <v>2</v>
      </c>
      <c r="F1700" s="109"/>
      <c r="G1700" s="109"/>
      <c r="H1700" s="108" t="s">
        <v>11</v>
      </c>
      <c r="I1700" s="110">
        <f>I1701</f>
        <v>9030</v>
      </c>
      <c r="J1700" s="110">
        <f t="shared" ref="J1700:J1701" si="751">J1701</f>
        <v>0</v>
      </c>
      <c r="K1700" s="110">
        <f t="shared" si="742"/>
        <v>9030</v>
      </c>
      <c r="L1700" s="321"/>
      <c r="M1700" s="110"/>
      <c r="N1700" s="110"/>
      <c r="O1700" s="110">
        <f t="shared" si="745"/>
        <v>0</v>
      </c>
      <c r="P1700" s="321"/>
      <c r="Q1700" s="112">
        <f t="shared" ref="Q1700:Q1724" si="752">M1700+I1700</f>
        <v>9030</v>
      </c>
      <c r="R1700" s="112">
        <f t="shared" ref="R1700:S1715" si="753">N1700+J1700</f>
        <v>0</v>
      </c>
      <c r="S1700" s="112">
        <f t="shared" si="753"/>
        <v>9030</v>
      </c>
    </row>
    <row r="1701" spans="2:19" x14ac:dyDescent="0.2">
      <c r="B1701" s="7">
        <f t="shared" si="735"/>
        <v>72</v>
      </c>
      <c r="C1701" s="13"/>
      <c r="D1701" s="13"/>
      <c r="E1701" s="13"/>
      <c r="F1701" s="14" t="s">
        <v>188</v>
      </c>
      <c r="G1701" s="15">
        <v>630</v>
      </c>
      <c r="H1701" s="13" t="s">
        <v>119</v>
      </c>
      <c r="I1701" s="16">
        <f>I1702</f>
        <v>9030</v>
      </c>
      <c r="J1701" s="16">
        <f t="shared" si="751"/>
        <v>0</v>
      </c>
      <c r="K1701" s="16">
        <f t="shared" si="742"/>
        <v>9030</v>
      </c>
      <c r="L1701" s="16"/>
      <c r="M1701" s="16"/>
      <c r="N1701" s="16"/>
      <c r="O1701" s="16">
        <f t="shared" si="745"/>
        <v>0</v>
      </c>
      <c r="P1701" s="16"/>
      <c r="Q1701" s="18">
        <f t="shared" si="752"/>
        <v>9030</v>
      </c>
      <c r="R1701" s="18">
        <f t="shared" si="753"/>
        <v>0</v>
      </c>
      <c r="S1701" s="18">
        <f t="shared" si="753"/>
        <v>9030</v>
      </c>
    </row>
    <row r="1702" spans="2:19" x14ac:dyDescent="0.2">
      <c r="B1702" s="7">
        <f t="shared" si="735"/>
        <v>73</v>
      </c>
      <c r="C1702" s="19"/>
      <c r="D1702" s="19"/>
      <c r="E1702" s="19"/>
      <c r="F1702" s="20"/>
      <c r="G1702" s="21">
        <v>635</v>
      </c>
      <c r="H1702" s="19" t="s">
        <v>130</v>
      </c>
      <c r="I1702" s="22">
        <v>9030</v>
      </c>
      <c r="J1702" s="22"/>
      <c r="K1702" s="22">
        <f t="shared" si="742"/>
        <v>9030</v>
      </c>
      <c r="L1702" s="22"/>
      <c r="M1702" s="22"/>
      <c r="N1702" s="22"/>
      <c r="O1702" s="22">
        <f t="shared" si="745"/>
        <v>0</v>
      </c>
      <c r="P1702" s="22"/>
      <c r="Q1702" s="23">
        <f t="shared" si="752"/>
        <v>9030</v>
      </c>
      <c r="R1702" s="23">
        <f t="shared" si="753"/>
        <v>0</v>
      </c>
      <c r="S1702" s="23">
        <f t="shared" si="753"/>
        <v>9030</v>
      </c>
    </row>
    <row r="1703" spans="2:19" ht="15" x14ac:dyDescent="0.2">
      <c r="B1703" s="7">
        <f t="shared" si="735"/>
        <v>74</v>
      </c>
      <c r="C1703" s="10">
        <v>4</v>
      </c>
      <c r="D1703" s="420" t="s">
        <v>64</v>
      </c>
      <c r="E1703" s="421"/>
      <c r="F1703" s="421"/>
      <c r="G1703" s="421"/>
      <c r="H1703" s="421"/>
      <c r="I1703" s="11">
        <f>I1704</f>
        <v>25000</v>
      </c>
      <c r="J1703" s="11">
        <f t="shared" ref="J1703:J1704" si="754">J1704</f>
        <v>0</v>
      </c>
      <c r="K1703" s="11">
        <f t="shared" si="742"/>
        <v>25000</v>
      </c>
      <c r="L1703" s="320"/>
      <c r="M1703" s="11"/>
      <c r="N1703" s="11"/>
      <c r="O1703" s="11">
        <f t="shared" si="745"/>
        <v>0</v>
      </c>
      <c r="P1703" s="320"/>
      <c r="Q1703" s="35">
        <f t="shared" si="752"/>
        <v>25000</v>
      </c>
      <c r="R1703" s="35">
        <f t="shared" si="753"/>
        <v>0</v>
      </c>
      <c r="S1703" s="35">
        <f t="shared" si="753"/>
        <v>25000</v>
      </c>
    </row>
    <row r="1704" spans="2:19" x14ac:dyDescent="0.2">
      <c r="B1704" s="7">
        <f t="shared" si="735"/>
        <v>75</v>
      </c>
      <c r="C1704" s="13"/>
      <c r="D1704" s="13"/>
      <c r="E1704" s="13"/>
      <c r="F1704" s="14" t="s">
        <v>188</v>
      </c>
      <c r="G1704" s="15">
        <v>640</v>
      </c>
      <c r="H1704" s="13" t="s">
        <v>127</v>
      </c>
      <c r="I1704" s="16">
        <f>I1705</f>
        <v>25000</v>
      </c>
      <c r="J1704" s="16">
        <f t="shared" si="754"/>
        <v>0</v>
      </c>
      <c r="K1704" s="16">
        <f t="shared" si="742"/>
        <v>25000</v>
      </c>
      <c r="L1704" s="16"/>
      <c r="M1704" s="16"/>
      <c r="N1704" s="16"/>
      <c r="O1704" s="16">
        <f t="shared" si="745"/>
        <v>0</v>
      </c>
      <c r="P1704" s="16"/>
      <c r="Q1704" s="18">
        <f t="shared" si="752"/>
        <v>25000</v>
      </c>
      <c r="R1704" s="18">
        <f t="shared" si="753"/>
        <v>0</v>
      </c>
      <c r="S1704" s="18">
        <f t="shared" si="753"/>
        <v>25000</v>
      </c>
    </row>
    <row r="1705" spans="2:19" x14ac:dyDescent="0.2">
      <c r="B1705" s="7">
        <f t="shared" si="735"/>
        <v>76</v>
      </c>
      <c r="C1705" s="24"/>
      <c r="D1705" s="24"/>
      <c r="E1705" s="24"/>
      <c r="F1705" s="136"/>
      <c r="G1705" s="136"/>
      <c r="H1705" s="1" t="s">
        <v>343</v>
      </c>
      <c r="I1705" s="26">
        <v>25000</v>
      </c>
      <c r="J1705" s="26"/>
      <c r="K1705" s="26">
        <f t="shared" si="742"/>
        <v>25000</v>
      </c>
      <c r="L1705" s="26"/>
      <c r="M1705" s="26"/>
      <c r="N1705" s="26"/>
      <c r="O1705" s="26">
        <f t="shared" si="745"/>
        <v>0</v>
      </c>
      <c r="P1705" s="26"/>
      <c r="Q1705" s="28">
        <f t="shared" si="752"/>
        <v>25000</v>
      </c>
      <c r="R1705" s="28">
        <f t="shared" si="753"/>
        <v>0</v>
      </c>
      <c r="S1705" s="28">
        <f t="shared" si="753"/>
        <v>25000</v>
      </c>
    </row>
    <row r="1706" spans="2:19" ht="13.5" customHeight="1" x14ac:dyDescent="0.2">
      <c r="B1706" s="7">
        <f t="shared" si="735"/>
        <v>77</v>
      </c>
      <c r="C1706" s="10">
        <v>5</v>
      </c>
      <c r="D1706" s="420" t="s">
        <v>43</v>
      </c>
      <c r="E1706" s="421"/>
      <c r="F1706" s="421"/>
      <c r="G1706" s="421"/>
      <c r="H1706" s="421"/>
      <c r="I1706" s="11">
        <f>I1707</f>
        <v>47540</v>
      </c>
      <c r="J1706" s="11">
        <f t="shared" ref="J1706:J1707" si="755">J1707</f>
        <v>0</v>
      </c>
      <c r="K1706" s="11">
        <f t="shared" si="742"/>
        <v>47540</v>
      </c>
      <c r="L1706" s="320"/>
      <c r="M1706" s="11"/>
      <c r="N1706" s="11"/>
      <c r="O1706" s="11">
        <f t="shared" si="745"/>
        <v>0</v>
      </c>
      <c r="P1706" s="320"/>
      <c r="Q1706" s="35">
        <f t="shared" si="752"/>
        <v>47540</v>
      </c>
      <c r="R1706" s="35">
        <f t="shared" si="753"/>
        <v>0</v>
      </c>
      <c r="S1706" s="35">
        <f t="shared" si="753"/>
        <v>47540</v>
      </c>
    </row>
    <row r="1707" spans="2:19" ht="12.75" customHeight="1" x14ac:dyDescent="0.25">
      <c r="B1707" s="7">
        <f t="shared" si="735"/>
        <v>78</v>
      </c>
      <c r="C1707" s="108"/>
      <c r="D1707" s="108"/>
      <c r="E1707" s="108">
        <v>2</v>
      </c>
      <c r="F1707" s="109"/>
      <c r="G1707" s="109"/>
      <c r="H1707" s="108" t="s">
        <v>11</v>
      </c>
      <c r="I1707" s="110">
        <f>I1708</f>
        <v>47540</v>
      </c>
      <c r="J1707" s="110">
        <f t="shared" si="755"/>
        <v>0</v>
      </c>
      <c r="K1707" s="110">
        <f t="shared" si="742"/>
        <v>47540</v>
      </c>
      <c r="L1707" s="321"/>
      <c r="M1707" s="110"/>
      <c r="N1707" s="110"/>
      <c r="O1707" s="110">
        <f t="shared" si="745"/>
        <v>0</v>
      </c>
      <c r="P1707" s="321"/>
      <c r="Q1707" s="112">
        <f t="shared" si="752"/>
        <v>47540</v>
      </c>
      <c r="R1707" s="112">
        <f t="shared" si="753"/>
        <v>0</v>
      </c>
      <c r="S1707" s="112">
        <f t="shared" si="753"/>
        <v>47540</v>
      </c>
    </row>
    <row r="1708" spans="2:19" x14ac:dyDescent="0.2">
      <c r="B1708" s="7">
        <f t="shared" si="735"/>
        <v>79</v>
      </c>
      <c r="C1708" s="13"/>
      <c r="D1708" s="13"/>
      <c r="E1708" s="13"/>
      <c r="F1708" s="14" t="s">
        <v>188</v>
      </c>
      <c r="G1708" s="15">
        <v>630</v>
      </c>
      <c r="H1708" s="13" t="s">
        <v>119</v>
      </c>
      <c r="I1708" s="16">
        <f>SUM(I1709:I1712)</f>
        <v>47540</v>
      </c>
      <c r="J1708" s="16">
        <f t="shared" ref="J1708" si="756">SUM(J1709:J1712)</f>
        <v>0</v>
      </c>
      <c r="K1708" s="16">
        <f t="shared" si="742"/>
        <v>47540</v>
      </c>
      <c r="L1708" s="16"/>
      <c r="M1708" s="16"/>
      <c r="N1708" s="16"/>
      <c r="O1708" s="16">
        <f t="shared" si="745"/>
        <v>0</v>
      </c>
      <c r="P1708" s="16"/>
      <c r="Q1708" s="18">
        <f t="shared" si="752"/>
        <v>47540</v>
      </c>
      <c r="R1708" s="18">
        <f t="shared" si="753"/>
        <v>0</v>
      </c>
      <c r="S1708" s="18">
        <f t="shared" si="753"/>
        <v>47540</v>
      </c>
    </row>
    <row r="1709" spans="2:19" x14ac:dyDescent="0.2">
      <c r="B1709" s="7">
        <f t="shared" si="735"/>
        <v>80</v>
      </c>
      <c r="C1709" s="19"/>
      <c r="D1709" s="19"/>
      <c r="E1709" s="19"/>
      <c r="F1709" s="20"/>
      <c r="G1709" s="21">
        <v>632</v>
      </c>
      <c r="H1709" s="19" t="s">
        <v>131</v>
      </c>
      <c r="I1709" s="22">
        <v>24500</v>
      </c>
      <c r="J1709" s="22"/>
      <c r="K1709" s="22">
        <f t="shared" si="742"/>
        <v>24500</v>
      </c>
      <c r="L1709" s="22"/>
      <c r="M1709" s="22"/>
      <c r="N1709" s="22"/>
      <c r="O1709" s="22">
        <f t="shared" si="745"/>
        <v>0</v>
      </c>
      <c r="P1709" s="22"/>
      <c r="Q1709" s="23">
        <f t="shared" si="752"/>
        <v>24500</v>
      </c>
      <c r="R1709" s="23">
        <f t="shared" si="753"/>
        <v>0</v>
      </c>
      <c r="S1709" s="23">
        <f t="shared" si="753"/>
        <v>24500</v>
      </c>
    </row>
    <row r="1710" spans="2:19" x14ac:dyDescent="0.2">
      <c r="B1710" s="7">
        <f t="shared" si="735"/>
        <v>81</v>
      </c>
      <c r="C1710" s="19"/>
      <c r="D1710" s="19"/>
      <c r="E1710" s="19"/>
      <c r="F1710" s="20"/>
      <c r="G1710" s="21">
        <v>633</v>
      </c>
      <c r="H1710" s="19" t="s">
        <v>123</v>
      </c>
      <c r="I1710" s="22">
        <v>7500</v>
      </c>
      <c r="J1710" s="22"/>
      <c r="K1710" s="22">
        <f t="shared" si="742"/>
        <v>7500</v>
      </c>
      <c r="L1710" s="22"/>
      <c r="M1710" s="22"/>
      <c r="N1710" s="22"/>
      <c r="O1710" s="22">
        <f t="shared" si="745"/>
        <v>0</v>
      </c>
      <c r="P1710" s="22"/>
      <c r="Q1710" s="23">
        <f t="shared" si="752"/>
        <v>7500</v>
      </c>
      <c r="R1710" s="23">
        <f t="shared" si="753"/>
        <v>0</v>
      </c>
      <c r="S1710" s="23">
        <f t="shared" si="753"/>
        <v>7500</v>
      </c>
    </row>
    <row r="1711" spans="2:19" x14ac:dyDescent="0.2">
      <c r="B1711" s="7">
        <f t="shared" si="735"/>
        <v>82</v>
      </c>
      <c r="C1711" s="19"/>
      <c r="D1711" s="19"/>
      <c r="E1711" s="19"/>
      <c r="F1711" s="20"/>
      <c r="G1711" s="21">
        <v>635</v>
      </c>
      <c r="H1711" s="19" t="s">
        <v>130</v>
      </c>
      <c r="I1711" s="22">
        <v>11000</v>
      </c>
      <c r="J1711" s="22"/>
      <c r="K1711" s="22">
        <f t="shared" si="742"/>
        <v>11000</v>
      </c>
      <c r="L1711" s="22"/>
      <c r="M1711" s="22"/>
      <c r="N1711" s="22"/>
      <c r="O1711" s="22">
        <f t="shared" si="745"/>
        <v>0</v>
      </c>
      <c r="P1711" s="22"/>
      <c r="Q1711" s="23">
        <f t="shared" si="752"/>
        <v>11000</v>
      </c>
      <c r="R1711" s="23">
        <f t="shared" si="753"/>
        <v>0</v>
      </c>
      <c r="S1711" s="23">
        <f t="shared" si="753"/>
        <v>11000</v>
      </c>
    </row>
    <row r="1712" spans="2:19" x14ac:dyDescent="0.2">
      <c r="B1712" s="7">
        <f t="shared" si="735"/>
        <v>83</v>
      </c>
      <c r="C1712" s="19"/>
      <c r="D1712" s="19"/>
      <c r="E1712" s="19"/>
      <c r="F1712" s="20"/>
      <c r="G1712" s="21">
        <v>637</v>
      </c>
      <c r="H1712" s="19" t="s">
        <v>120</v>
      </c>
      <c r="I1712" s="22">
        <v>4540</v>
      </c>
      <c r="J1712" s="22"/>
      <c r="K1712" s="22">
        <f t="shared" si="742"/>
        <v>4540</v>
      </c>
      <c r="L1712" s="22"/>
      <c r="M1712" s="22"/>
      <c r="N1712" s="22"/>
      <c r="O1712" s="22">
        <f t="shared" si="745"/>
        <v>0</v>
      </c>
      <c r="P1712" s="22"/>
      <c r="Q1712" s="23">
        <f t="shared" si="752"/>
        <v>4540</v>
      </c>
      <c r="R1712" s="23">
        <f t="shared" si="753"/>
        <v>0</v>
      </c>
      <c r="S1712" s="23">
        <f t="shared" si="753"/>
        <v>4540</v>
      </c>
    </row>
    <row r="1713" spans="2:19" ht="15" x14ac:dyDescent="0.2">
      <c r="B1713" s="7">
        <f t="shared" si="735"/>
        <v>84</v>
      </c>
      <c r="C1713" s="10">
        <v>6</v>
      </c>
      <c r="D1713" s="420" t="s">
        <v>57</v>
      </c>
      <c r="E1713" s="421"/>
      <c r="F1713" s="421"/>
      <c r="G1713" s="421"/>
      <c r="H1713" s="421"/>
      <c r="I1713" s="11">
        <f>I1714</f>
        <v>553905</v>
      </c>
      <c r="J1713" s="11">
        <f t="shared" ref="J1713" si="757">J1714</f>
        <v>0</v>
      </c>
      <c r="K1713" s="11">
        <f t="shared" si="742"/>
        <v>553905</v>
      </c>
      <c r="L1713" s="320"/>
      <c r="M1713" s="11"/>
      <c r="N1713" s="11"/>
      <c r="O1713" s="11">
        <f t="shared" si="745"/>
        <v>0</v>
      </c>
      <c r="P1713" s="320"/>
      <c r="Q1713" s="35">
        <f t="shared" si="752"/>
        <v>553905</v>
      </c>
      <c r="R1713" s="35">
        <f t="shared" si="753"/>
        <v>0</v>
      </c>
      <c r="S1713" s="35">
        <f t="shared" si="753"/>
        <v>553905</v>
      </c>
    </row>
    <row r="1714" spans="2:19" ht="15" x14ac:dyDescent="0.25">
      <c r="B1714" s="7">
        <f t="shared" si="735"/>
        <v>85</v>
      </c>
      <c r="C1714" s="108"/>
      <c r="D1714" s="108"/>
      <c r="E1714" s="108">
        <v>2</v>
      </c>
      <c r="F1714" s="109"/>
      <c r="G1714" s="109"/>
      <c r="H1714" s="108" t="s">
        <v>11</v>
      </c>
      <c r="I1714" s="110">
        <f>I1715+I1716+I1717+I1724</f>
        <v>553905</v>
      </c>
      <c r="J1714" s="110">
        <f t="shared" ref="J1714" si="758">J1715+J1716+J1717+J1724</f>
        <v>0</v>
      </c>
      <c r="K1714" s="110">
        <f t="shared" si="742"/>
        <v>553905</v>
      </c>
      <c r="L1714" s="321"/>
      <c r="M1714" s="110"/>
      <c r="N1714" s="110"/>
      <c r="O1714" s="110">
        <f t="shared" si="745"/>
        <v>0</v>
      </c>
      <c r="P1714" s="321"/>
      <c r="Q1714" s="112">
        <f t="shared" si="752"/>
        <v>553905</v>
      </c>
      <c r="R1714" s="112">
        <f t="shared" si="753"/>
        <v>0</v>
      </c>
      <c r="S1714" s="112">
        <f t="shared" si="753"/>
        <v>553905</v>
      </c>
    </row>
    <row r="1715" spans="2:19" x14ac:dyDescent="0.2">
      <c r="B1715" s="7">
        <f t="shared" si="735"/>
        <v>86</v>
      </c>
      <c r="C1715" s="13"/>
      <c r="D1715" s="13"/>
      <c r="E1715" s="13"/>
      <c r="F1715" s="14" t="s">
        <v>188</v>
      </c>
      <c r="G1715" s="15">
        <v>610</v>
      </c>
      <c r="H1715" s="13" t="s">
        <v>511</v>
      </c>
      <c r="I1715" s="16">
        <v>299175</v>
      </c>
      <c r="J1715" s="16"/>
      <c r="K1715" s="16">
        <f t="shared" si="742"/>
        <v>299175</v>
      </c>
      <c r="L1715" s="16"/>
      <c r="M1715" s="16"/>
      <c r="N1715" s="16"/>
      <c r="O1715" s="16">
        <f t="shared" si="745"/>
        <v>0</v>
      </c>
      <c r="P1715" s="16"/>
      <c r="Q1715" s="18">
        <f t="shared" si="752"/>
        <v>299175</v>
      </c>
      <c r="R1715" s="18">
        <f t="shared" si="753"/>
        <v>0</v>
      </c>
      <c r="S1715" s="18">
        <f t="shared" si="753"/>
        <v>299175</v>
      </c>
    </row>
    <row r="1716" spans="2:19" x14ac:dyDescent="0.2">
      <c r="B1716" s="7">
        <f t="shared" si="735"/>
        <v>87</v>
      </c>
      <c r="C1716" s="13"/>
      <c r="D1716" s="13"/>
      <c r="E1716" s="13"/>
      <c r="F1716" s="14" t="s">
        <v>188</v>
      </c>
      <c r="G1716" s="15">
        <v>620</v>
      </c>
      <c r="H1716" s="13" t="s">
        <v>122</v>
      </c>
      <c r="I1716" s="16">
        <v>115670</v>
      </c>
      <c r="J1716" s="16"/>
      <c r="K1716" s="16">
        <f t="shared" si="742"/>
        <v>115670</v>
      </c>
      <c r="L1716" s="16"/>
      <c r="M1716" s="16"/>
      <c r="N1716" s="16"/>
      <c r="O1716" s="16">
        <f t="shared" si="745"/>
        <v>0</v>
      </c>
      <c r="P1716" s="16"/>
      <c r="Q1716" s="18">
        <f t="shared" si="752"/>
        <v>115670</v>
      </c>
      <c r="R1716" s="18">
        <f t="shared" ref="R1716:S1724" si="759">N1716+J1716</f>
        <v>0</v>
      </c>
      <c r="S1716" s="18">
        <f t="shared" si="759"/>
        <v>115670</v>
      </c>
    </row>
    <row r="1717" spans="2:19" x14ac:dyDescent="0.2">
      <c r="B1717" s="7">
        <f t="shared" si="735"/>
        <v>88</v>
      </c>
      <c r="C1717" s="13"/>
      <c r="D1717" s="13"/>
      <c r="E1717" s="13"/>
      <c r="F1717" s="14" t="s">
        <v>188</v>
      </c>
      <c r="G1717" s="15">
        <v>630</v>
      </c>
      <c r="H1717" s="13" t="s">
        <v>119</v>
      </c>
      <c r="I1717" s="16">
        <f>SUM(I1718:I1723)</f>
        <v>121850</v>
      </c>
      <c r="J1717" s="16">
        <f t="shared" ref="J1717" si="760">SUM(J1718:J1723)</f>
        <v>0</v>
      </c>
      <c r="K1717" s="16">
        <f t="shared" si="742"/>
        <v>121850</v>
      </c>
      <c r="L1717" s="16"/>
      <c r="M1717" s="16"/>
      <c r="N1717" s="16"/>
      <c r="O1717" s="16">
        <f t="shared" si="745"/>
        <v>0</v>
      </c>
      <c r="P1717" s="16"/>
      <c r="Q1717" s="18">
        <f t="shared" si="752"/>
        <v>121850</v>
      </c>
      <c r="R1717" s="18">
        <f t="shared" si="759"/>
        <v>0</v>
      </c>
      <c r="S1717" s="18">
        <f t="shared" si="759"/>
        <v>121850</v>
      </c>
    </row>
    <row r="1718" spans="2:19" x14ac:dyDescent="0.2">
      <c r="B1718" s="7">
        <f t="shared" si="735"/>
        <v>89</v>
      </c>
      <c r="C1718" s="19"/>
      <c r="D1718" s="19"/>
      <c r="E1718" s="19"/>
      <c r="F1718" s="20"/>
      <c r="G1718" s="21">
        <v>631</v>
      </c>
      <c r="H1718" s="19" t="s">
        <v>125</v>
      </c>
      <c r="I1718" s="22">
        <v>500</v>
      </c>
      <c r="J1718" s="22"/>
      <c r="K1718" s="22">
        <f t="shared" si="742"/>
        <v>500</v>
      </c>
      <c r="L1718" s="22"/>
      <c r="M1718" s="22"/>
      <c r="N1718" s="22"/>
      <c r="O1718" s="22">
        <f t="shared" si="745"/>
        <v>0</v>
      </c>
      <c r="P1718" s="22"/>
      <c r="Q1718" s="23">
        <f t="shared" si="752"/>
        <v>500</v>
      </c>
      <c r="R1718" s="23">
        <f t="shared" si="759"/>
        <v>0</v>
      </c>
      <c r="S1718" s="23">
        <f t="shared" si="759"/>
        <v>500</v>
      </c>
    </row>
    <row r="1719" spans="2:19" x14ac:dyDescent="0.2">
      <c r="B1719" s="7">
        <f t="shared" si="735"/>
        <v>90</v>
      </c>
      <c r="C1719" s="19"/>
      <c r="D1719" s="19"/>
      <c r="E1719" s="19"/>
      <c r="F1719" s="20"/>
      <c r="G1719" s="21">
        <v>632</v>
      </c>
      <c r="H1719" s="19" t="s">
        <v>131</v>
      </c>
      <c r="I1719" s="22">
        <v>8700</v>
      </c>
      <c r="J1719" s="22"/>
      <c r="K1719" s="22">
        <f t="shared" si="742"/>
        <v>8700</v>
      </c>
      <c r="L1719" s="22"/>
      <c r="M1719" s="22"/>
      <c r="N1719" s="22"/>
      <c r="O1719" s="22">
        <f t="shared" si="745"/>
        <v>0</v>
      </c>
      <c r="P1719" s="22"/>
      <c r="Q1719" s="23">
        <f t="shared" si="752"/>
        <v>8700</v>
      </c>
      <c r="R1719" s="23">
        <f t="shared" si="759"/>
        <v>0</v>
      </c>
      <c r="S1719" s="23">
        <f t="shared" si="759"/>
        <v>8700</v>
      </c>
    </row>
    <row r="1720" spans="2:19" x14ac:dyDescent="0.2">
      <c r="B1720" s="7">
        <f t="shared" si="735"/>
        <v>91</v>
      </c>
      <c r="C1720" s="19"/>
      <c r="D1720" s="19"/>
      <c r="E1720" s="19"/>
      <c r="F1720" s="20"/>
      <c r="G1720" s="21">
        <v>633</v>
      </c>
      <c r="H1720" s="19" t="s">
        <v>123</v>
      </c>
      <c r="I1720" s="22">
        <v>20000</v>
      </c>
      <c r="J1720" s="22"/>
      <c r="K1720" s="22">
        <f t="shared" si="742"/>
        <v>20000</v>
      </c>
      <c r="L1720" s="22"/>
      <c r="M1720" s="22"/>
      <c r="N1720" s="22"/>
      <c r="O1720" s="22">
        <f t="shared" si="745"/>
        <v>0</v>
      </c>
      <c r="P1720" s="22"/>
      <c r="Q1720" s="23">
        <f t="shared" si="752"/>
        <v>20000</v>
      </c>
      <c r="R1720" s="23">
        <f t="shared" si="759"/>
        <v>0</v>
      </c>
      <c r="S1720" s="23">
        <f t="shared" si="759"/>
        <v>20000</v>
      </c>
    </row>
    <row r="1721" spans="2:19" x14ac:dyDescent="0.2">
      <c r="B1721" s="7">
        <f t="shared" si="735"/>
        <v>92</v>
      </c>
      <c r="C1721" s="19"/>
      <c r="D1721" s="19"/>
      <c r="E1721" s="19"/>
      <c r="F1721" s="20"/>
      <c r="G1721" s="21">
        <v>634</v>
      </c>
      <c r="H1721" s="19" t="s">
        <v>129</v>
      </c>
      <c r="I1721" s="22">
        <v>20400</v>
      </c>
      <c r="J1721" s="22"/>
      <c r="K1721" s="22">
        <f t="shared" si="742"/>
        <v>20400</v>
      </c>
      <c r="L1721" s="22"/>
      <c r="M1721" s="22"/>
      <c r="N1721" s="22"/>
      <c r="O1721" s="22">
        <f t="shared" si="745"/>
        <v>0</v>
      </c>
      <c r="P1721" s="22"/>
      <c r="Q1721" s="23">
        <f t="shared" si="752"/>
        <v>20400</v>
      </c>
      <c r="R1721" s="23">
        <f t="shared" si="759"/>
        <v>0</v>
      </c>
      <c r="S1721" s="23">
        <f t="shared" si="759"/>
        <v>20400</v>
      </c>
    </row>
    <row r="1722" spans="2:19" x14ac:dyDescent="0.2">
      <c r="B1722" s="7">
        <f t="shared" si="735"/>
        <v>93</v>
      </c>
      <c r="C1722" s="19"/>
      <c r="D1722" s="19"/>
      <c r="E1722" s="19"/>
      <c r="F1722" s="20"/>
      <c r="G1722" s="21">
        <v>635</v>
      </c>
      <c r="H1722" s="19" t="s">
        <v>130</v>
      </c>
      <c r="I1722" s="22">
        <v>5250</v>
      </c>
      <c r="J1722" s="22"/>
      <c r="K1722" s="22">
        <f t="shared" si="742"/>
        <v>5250</v>
      </c>
      <c r="L1722" s="22"/>
      <c r="M1722" s="22"/>
      <c r="N1722" s="22"/>
      <c r="O1722" s="22">
        <f t="shared" si="745"/>
        <v>0</v>
      </c>
      <c r="P1722" s="22"/>
      <c r="Q1722" s="23">
        <f t="shared" si="752"/>
        <v>5250</v>
      </c>
      <c r="R1722" s="23">
        <f t="shared" si="759"/>
        <v>0</v>
      </c>
      <c r="S1722" s="23">
        <f t="shared" si="759"/>
        <v>5250</v>
      </c>
    </row>
    <row r="1723" spans="2:19" x14ac:dyDescent="0.2">
      <c r="B1723" s="7">
        <f t="shared" si="735"/>
        <v>94</v>
      </c>
      <c r="C1723" s="19"/>
      <c r="D1723" s="19"/>
      <c r="E1723" s="19"/>
      <c r="F1723" s="20"/>
      <c r="G1723" s="21">
        <v>637</v>
      </c>
      <c r="H1723" s="19" t="s">
        <v>120</v>
      </c>
      <c r="I1723" s="22">
        <v>67000</v>
      </c>
      <c r="J1723" s="22"/>
      <c r="K1723" s="22">
        <f t="shared" si="742"/>
        <v>67000</v>
      </c>
      <c r="L1723" s="22"/>
      <c r="M1723" s="22"/>
      <c r="N1723" s="22"/>
      <c r="O1723" s="22">
        <f t="shared" si="745"/>
        <v>0</v>
      </c>
      <c r="P1723" s="22"/>
      <c r="Q1723" s="23">
        <f t="shared" si="752"/>
        <v>67000</v>
      </c>
      <c r="R1723" s="23">
        <f t="shared" si="759"/>
        <v>0</v>
      </c>
      <c r="S1723" s="23">
        <f t="shared" si="759"/>
        <v>67000</v>
      </c>
    </row>
    <row r="1724" spans="2:19" x14ac:dyDescent="0.2">
      <c r="B1724" s="174">
        <f t="shared" si="735"/>
        <v>95</v>
      </c>
      <c r="C1724" s="175"/>
      <c r="D1724" s="175"/>
      <c r="E1724" s="175"/>
      <c r="F1724" s="176" t="s">
        <v>188</v>
      </c>
      <c r="G1724" s="177">
        <v>640</v>
      </c>
      <c r="H1724" s="175" t="s">
        <v>127</v>
      </c>
      <c r="I1724" s="178">
        <f>15000+2210</f>
        <v>17210</v>
      </c>
      <c r="J1724" s="178"/>
      <c r="K1724" s="178">
        <f t="shared" si="742"/>
        <v>17210</v>
      </c>
      <c r="L1724" s="178"/>
      <c r="M1724" s="178"/>
      <c r="N1724" s="178"/>
      <c r="O1724" s="178">
        <f t="shared" si="745"/>
        <v>0</v>
      </c>
      <c r="P1724" s="178"/>
      <c r="Q1724" s="179">
        <f t="shared" si="752"/>
        <v>17210</v>
      </c>
      <c r="R1724" s="179">
        <f t="shared" si="759"/>
        <v>0</v>
      </c>
      <c r="S1724" s="179">
        <f t="shared" si="759"/>
        <v>17210</v>
      </c>
    </row>
    <row r="1725" spans="2:19" x14ac:dyDescent="0.2">
      <c r="B1725" s="3"/>
      <c r="F1725" s="3"/>
      <c r="G1725" s="3"/>
      <c r="I1725" s="3"/>
      <c r="J1725" s="3"/>
      <c r="K1725" s="3"/>
      <c r="L1725" s="3"/>
      <c r="M1725" s="3"/>
      <c r="N1725" s="3"/>
      <c r="O1725" s="3"/>
      <c r="P1725" s="3"/>
      <c r="Q1725" s="3"/>
    </row>
    <row r="1726" spans="2:19" x14ac:dyDescent="0.2">
      <c r="B1726" s="3"/>
      <c r="F1726" s="3"/>
      <c r="G1726" s="3"/>
      <c r="I1726" s="3"/>
      <c r="J1726" s="3"/>
      <c r="K1726" s="3"/>
      <c r="L1726" s="3"/>
      <c r="M1726" s="3"/>
      <c r="N1726" s="3"/>
      <c r="O1726" s="3"/>
      <c r="P1726" s="3"/>
      <c r="Q1726" s="3"/>
    </row>
    <row r="1727" spans="2:19" x14ac:dyDescent="0.2">
      <c r="B1727" s="3"/>
      <c r="F1727" s="3"/>
      <c r="G1727" s="3"/>
      <c r="I1727" s="3"/>
      <c r="J1727" s="3"/>
      <c r="K1727" s="3"/>
      <c r="L1727" s="3"/>
      <c r="M1727" s="3"/>
      <c r="N1727" s="3"/>
      <c r="O1727" s="3"/>
      <c r="P1727" s="3"/>
      <c r="Q1727" s="3"/>
    </row>
    <row r="1728" spans="2:19" x14ac:dyDescent="0.2">
      <c r="B1728" s="3"/>
      <c r="F1728" s="3"/>
      <c r="G1728" s="3"/>
      <c r="I1728" s="3"/>
      <c r="J1728" s="3"/>
      <c r="K1728" s="3"/>
      <c r="L1728" s="3"/>
      <c r="M1728" s="3"/>
      <c r="N1728" s="3"/>
      <c r="O1728" s="3"/>
      <c r="P1728" s="3"/>
      <c r="Q1728" s="3"/>
    </row>
    <row r="1729" spans="2:19" x14ac:dyDescent="0.2">
      <c r="B1729" s="3"/>
      <c r="F1729" s="3"/>
      <c r="G1729" s="3"/>
      <c r="I1729" s="3"/>
      <c r="J1729" s="3"/>
      <c r="K1729" s="3"/>
      <c r="L1729" s="3"/>
      <c r="M1729" s="3"/>
      <c r="N1729" s="3"/>
      <c r="O1729" s="3"/>
      <c r="P1729" s="3"/>
      <c r="Q1729" s="3"/>
    </row>
    <row r="1730" spans="2:19" x14ac:dyDescent="0.2">
      <c r="B1730" s="3"/>
      <c r="F1730" s="3"/>
      <c r="G1730" s="3"/>
      <c r="I1730" s="3"/>
      <c r="J1730" s="3"/>
      <c r="K1730" s="3"/>
      <c r="L1730" s="3"/>
      <c r="M1730" s="3"/>
      <c r="N1730" s="3"/>
      <c r="O1730" s="3"/>
      <c r="P1730" s="3"/>
      <c r="Q1730" s="3"/>
    </row>
    <row r="1731" spans="2:19" ht="27.75" x14ac:dyDescent="0.4">
      <c r="B1731" s="429" t="s">
        <v>23</v>
      </c>
      <c r="C1731" s="430"/>
      <c r="D1731" s="430"/>
      <c r="E1731" s="430"/>
      <c r="F1731" s="430"/>
      <c r="G1731" s="430"/>
      <c r="H1731" s="430"/>
      <c r="I1731" s="430"/>
      <c r="J1731" s="430"/>
      <c r="K1731" s="430"/>
      <c r="L1731" s="430"/>
      <c r="M1731" s="430"/>
      <c r="N1731" s="430"/>
      <c r="O1731" s="430"/>
      <c r="P1731" s="430"/>
      <c r="Q1731" s="430"/>
    </row>
    <row r="1732" spans="2:19" ht="12.75" customHeight="1" x14ac:dyDescent="0.2">
      <c r="B1732" s="431" t="s">
        <v>464</v>
      </c>
      <c r="C1732" s="432"/>
      <c r="D1732" s="432"/>
      <c r="E1732" s="432"/>
      <c r="F1732" s="432"/>
      <c r="G1732" s="432"/>
      <c r="H1732" s="432"/>
      <c r="I1732" s="432"/>
      <c r="J1732" s="432"/>
      <c r="K1732" s="432"/>
      <c r="L1732" s="432"/>
      <c r="M1732" s="432"/>
      <c r="N1732" s="432"/>
      <c r="O1732" s="432"/>
      <c r="P1732" s="432"/>
      <c r="Q1732" s="433" t="s">
        <v>735</v>
      </c>
      <c r="R1732" s="433" t="s">
        <v>733</v>
      </c>
      <c r="S1732" s="433" t="s">
        <v>736</v>
      </c>
    </row>
    <row r="1733" spans="2:19" ht="12.75" customHeight="1" x14ac:dyDescent="0.2">
      <c r="B1733" s="436"/>
      <c r="C1733" s="422" t="s">
        <v>112</v>
      </c>
      <c r="D1733" s="422" t="s">
        <v>113</v>
      </c>
      <c r="E1733" s="422"/>
      <c r="F1733" s="422" t="s">
        <v>114</v>
      </c>
      <c r="G1733" s="423" t="s">
        <v>115</v>
      </c>
      <c r="H1733" s="424" t="s">
        <v>116</v>
      </c>
      <c r="I1733" s="435" t="s">
        <v>737</v>
      </c>
      <c r="J1733" s="455" t="s">
        <v>733</v>
      </c>
      <c r="K1733" s="435" t="s">
        <v>738</v>
      </c>
      <c r="L1733" s="318"/>
      <c r="M1733" s="435" t="s">
        <v>739</v>
      </c>
      <c r="N1733" s="455" t="s">
        <v>733</v>
      </c>
      <c r="O1733" s="435" t="s">
        <v>740</v>
      </c>
      <c r="P1733" s="318"/>
      <c r="Q1733" s="434"/>
      <c r="R1733" s="434"/>
      <c r="S1733" s="434"/>
    </row>
    <row r="1734" spans="2:19" x14ac:dyDescent="0.2">
      <c r="B1734" s="436"/>
      <c r="C1734" s="422"/>
      <c r="D1734" s="422"/>
      <c r="E1734" s="422"/>
      <c r="F1734" s="422"/>
      <c r="G1734" s="423"/>
      <c r="H1734" s="424"/>
      <c r="I1734" s="435"/>
      <c r="J1734" s="456"/>
      <c r="K1734" s="435"/>
      <c r="L1734" s="318"/>
      <c r="M1734" s="435"/>
      <c r="N1734" s="456"/>
      <c r="O1734" s="435"/>
      <c r="P1734" s="318"/>
      <c r="Q1734" s="434"/>
      <c r="R1734" s="434"/>
      <c r="S1734" s="434"/>
    </row>
    <row r="1735" spans="2:19" x14ac:dyDescent="0.2">
      <c r="B1735" s="436"/>
      <c r="C1735" s="422"/>
      <c r="D1735" s="422"/>
      <c r="E1735" s="422"/>
      <c r="F1735" s="422"/>
      <c r="G1735" s="423"/>
      <c r="H1735" s="424"/>
      <c r="I1735" s="435"/>
      <c r="J1735" s="456"/>
      <c r="K1735" s="435"/>
      <c r="L1735" s="318"/>
      <c r="M1735" s="435"/>
      <c r="N1735" s="456"/>
      <c r="O1735" s="435"/>
      <c r="P1735" s="318"/>
      <c r="Q1735" s="434"/>
      <c r="R1735" s="434"/>
      <c r="S1735" s="434"/>
    </row>
    <row r="1736" spans="2:19" x14ac:dyDescent="0.2">
      <c r="B1736" s="436"/>
      <c r="C1736" s="422"/>
      <c r="D1736" s="422"/>
      <c r="E1736" s="422"/>
      <c r="F1736" s="422"/>
      <c r="G1736" s="423"/>
      <c r="H1736" s="424"/>
      <c r="I1736" s="435"/>
      <c r="J1736" s="457"/>
      <c r="K1736" s="435"/>
      <c r="L1736" s="318"/>
      <c r="M1736" s="435"/>
      <c r="N1736" s="457"/>
      <c r="O1736" s="435"/>
      <c r="P1736" s="318"/>
      <c r="Q1736" s="434"/>
      <c r="R1736" s="434"/>
      <c r="S1736" s="434"/>
    </row>
    <row r="1737" spans="2:19" ht="15.75" x14ac:dyDescent="0.2">
      <c r="B1737" s="7">
        <v>1</v>
      </c>
      <c r="C1737" s="439" t="s">
        <v>23</v>
      </c>
      <c r="D1737" s="440"/>
      <c r="E1737" s="440"/>
      <c r="F1737" s="440"/>
      <c r="G1737" s="440"/>
      <c r="H1737" s="440"/>
      <c r="I1737" s="8">
        <f>I1738+I1752+I1756+I1772+I1803+I1837+I1860+I1874+I1877+I1882+I1892+I1904</f>
        <v>6294807</v>
      </c>
      <c r="J1737" s="8">
        <f t="shared" ref="J1737" si="761">J1738+J1752+J1756+J1772+J1803+J1837+J1860+J1874+J1877+J1882+J1892+J1904</f>
        <v>-16500</v>
      </c>
      <c r="K1737" s="8">
        <f>I1737+J1737</f>
        <v>6278307</v>
      </c>
      <c r="L1737" s="319"/>
      <c r="M1737" s="8">
        <f>M1738+M1752+M1756+M1772+M1803+M1837+M1860+M1874+M1877+M1882+M1892+M1904</f>
        <v>450200</v>
      </c>
      <c r="N1737" s="8">
        <f t="shared" ref="N1737" si="762">N1738+N1752+N1756+N1772+N1803+N1837+N1860+N1874+N1877+N1882+N1892+N1904</f>
        <v>16500</v>
      </c>
      <c r="O1737" s="8">
        <f>M1737+N1737</f>
        <v>466700</v>
      </c>
      <c r="P1737" s="319"/>
      <c r="Q1737" s="9">
        <f t="shared" ref="Q1737:Q1768" si="763">M1737+I1737</f>
        <v>6745007</v>
      </c>
      <c r="R1737" s="9">
        <f t="shared" ref="R1737:S1752" si="764">N1737+J1737</f>
        <v>0</v>
      </c>
      <c r="S1737" s="9">
        <f t="shared" si="764"/>
        <v>6745007</v>
      </c>
    </row>
    <row r="1738" spans="2:19" ht="15" x14ac:dyDescent="0.2">
      <c r="B1738" s="7">
        <f t="shared" ref="B1738:B1777" si="765">B1737+1</f>
        <v>2</v>
      </c>
      <c r="C1738" s="10">
        <v>1</v>
      </c>
      <c r="D1738" s="420" t="s">
        <v>344</v>
      </c>
      <c r="E1738" s="421"/>
      <c r="F1738" s="421"/>
      <c r="G1738" s="421"/>
      <c r="H1738" s="421"/>
      <c r="I1738" s="11">
        <f>I1739</f>
        <v>236425</v>
      </c>
      <c r="J1738" s="11">
        <f t="shared" ref="J1738:J1739" si="766">J1739</f>
        <v>-2370</v>
      </c>
      <c r="K1738" s="11">
        <f t="shared" ref="K1738:K1801" si="767">I1738+J1738</f>
        <v>234055</v>
      </c>
      <c r="L1738" s="320"/>
      <c r="M1738" s="11">
        <f>M1739</f>
        <v>4700</v>
      </c>
      <c r="N1738" s="11">
        <f t="shared" ref="N1738:N1739" si="768">N1739</f>
        <v>0</v>
      </c>
      <c r="O1738" s="11">
        <f t="shared" ref="O1738:O1801" si="769">M1738+N1738</f>
        <v>4700</v>
      </c>
      <c r="P1738" s="320"/>
      <c r="Q1738" s="35">
        <f t="shared" si="763"/>
        <v>241125</v>
      </c>
      <c r="R1738" s="35">
        <f t="shared" si="764"/>
        <v>-2370</v>
      </c>
      <c r="S1738" s="35">
        <f t="shared" si="764"/>
        <v>238755</v>
      </c>
    </row>
    <row r="1739" spans="2:19" ht="15" x14ac:dyDescent="0.25">
      <c r="B1739" s="7">
        <f t="shared" si="765"/>
        <v>3</v>
      </c>
      <c r="C1739" s="29"/>
      <c r="D1739" s="29">
        <v>1</v>
      </c>
      <c r="E1739" s="441" t="s">
        <v>72</v>
      </c>
      <c r="F1739" s="442"/>
      <c r="G1739" s="442"/>
      <c r="H1739" s="442"/>
      <c r="I1739" s="30">
        <f>I1740</f>
        <v>236425</v>
      </c>
      <c r="J1739" s="30">
        <f t="shared" si="766"/>
        <v>-2370</v>
      </c>
      <c r="K1739" s="30">
        <f t="shared" si="767"/>
        <v>234055</v>
      </c>
      <c r="L1739" s="321"/>
      <c r="M1739" s="30">
        <f>M1740</f>
        <v>4700</v>
      </c>
      <c r="N1739" s="30">
        <f t="shared" si="768"/>
        <v>0</v>
      </c>
      <c r="O1739" s="30">
        <f t="shared" si="769"/>
        <v>4700</v>
      </c>
      <c r="P1739" s="321"/>
      <c r="Q1739" s="32">
        <f t="shared" si="763"/>
        <v>241125</v>
      </c>
      <c r="R1739" s="32">
        <f t="shared" si="764"/>
        <v>-2370</v>
      </c>
      <c r="S1739" s="32">
        <f t="shared" si="764"/>
        <v>238755</v>
      </c>
    </row>
    <row r="1740" spans="2:19" ht="15" x14ac:dyDescent="0.25">
      <c r="B1740" s="7">
        <f t="shared" si="765"/>
        <v>4</v>
      </c>
      <c r="C1740" s="108"/>
      <c r="D1740" s="108"/>
      <c r="E1740" s="108">
        <v>5</v>
      </c>
      <c r="F1740" s="109"/>
      <c r="G1740" s="109"/>
      <c r="H1740" s="108" t="s">
        <v>104</v>
      </c>
      <c r="I1740" s="110">
        <f>I1741+I1742+I1743+I1748</f>
        <v>236425</v>
      </c>
      <c r="J1740" s="110">
        <f t="shared" ref="J1740" si="770">J1741+J1742+J1743+J1748</f>
        <v>-2370</v>
      </c>
      <c r="K1740" s="110">
        <f t="shared" si="767"/>
        <v>234055</v>
      </c>
      <c r="L1740" s="321"/>
      <c r="M1740" s="110">
        <f>M1749</f>
        <v>4700</v>
      </c>
      <c r="N1740" s="110">
        <f t="shared" ref="N1740" si="771">N1749</f>
        <v>0</v>
      </c>
      <c r="O1740" s="110">
        <f t="shared" si="769"/>
        <v>4700</v>
      </c>
      <c r="P1740" s="321"/>
      <c r="Q1740" s="112">
        <f t="shared" si="763"/>
        <v>241125</v>
      </c>
      <c r="R1740" s="112">
        <f t="shared" si="764"/>
        <v>-2370</v>
      </c>
      <c r="S1740" s="112">
        <f t="shared" si="764"/>
        <v>238755</v>
      </c>
    </row>
    <row r="1741" spans="2:19" x14ac:dyDescent="0.2">
      <c r="B1741" s="7">
        <f t="shared" si="765"/>
        <v>5</v>
      </c>
      <c r="C1741" s="13"/>
      <c r="D1741" s="13"/>
      <c r="E1741" s="13"/>
      <c r="F1741" s="14" t="s">
        <v>76</v>
      </c>
      <c r="G1741" s="15">
        <v>610</v>
      </c>
      <c r="H1741" s="13" t="s">
        <v>511</v>
      </c>
      <c r="I1741" s="16">
        <v>111706</v>
      </c>
      <c r="J1741" s="16"/>
      <c r="K1741" s="16">
        <f t="shared" si="767"/>
        <v>111706</v>
      </c>
      <c r="L1741" s="16"/>
      <c r="M1741" s="16"/>
      <c r="N1741" s="16"/>
      <c r="O1741" s="16">
        <f t="shared" si="769"/>
        <v>0</v>
      </c>
      <c r="P1741" s="16"/>
      <c r="Q1741" s="18">
        <f t="shared" si="763"/>
        <v>111706</v>
      </c>
      <c r="R1741" s="18">
        <f t="shared" si="764"/>
        <v>0</v>
      </c>
      <c r="S1741" s="18">
        <f t="shared" si="764"/>
        <v>111706</v>
      </c>
    </row>
    <row r="1742" spans="2:19" x14ac:dyDescent="0.2">
      <c r="B1742" s="7">
        <f t="shared" si="765"/>
        <v>6</v>
      </c>
      <c r="C1742" s="13"/>
      <c r="D1742" s="13"/>
      <c r="E1742" s="13"/>
      <c r="F1742" s="14" t="s">
        <v>76</v>
      </c>
      <c r="G1742" s="15">
        <v>620</v>
      </c>
      <c r="H1742" s="13" t="s">
        <v>122</v>
      </c>
      <c r="I1742" s="16">
        <v>41499</v>
      </c>
      <c r="J1742" s="16"/>
      <c r="K1742" s="16">
        <f t="shared" si="767"/>
        <v>41499</v>
      </c>
      <c r="L1742" s="16"/>
      <c r="M1742" s="16"/>
      <c r="N1742" s="16"/>
      <c r="O1742" s="16">
        <f t="shared" si="769"/>
        <v>0</v>
      </c>
      <c r="P1742" s="16"/>
      <c r="Q1742" s="18">
        <f t="shared" si="763"/>
        <v>41499</v>
      </c>
      <c r="R1742" s="18">
        <f t="shared" si="764"/>
        <v>0</v>
      </c>
      <c r="S1742" s="18">
        <f t="shared" si="764"/>
        <v>41499</v>
      </c>
    </row>
    <row r="1743" spans="2:19" x14ac:dyDescent="0.2">
      <c r="B1743" s="7">
        <f t="shared" si="765"/>
        <v>7</v>
      </c>
      <c r="C1743" s="13"/>
      <c r="D1743" s="13"/>
      <c r="E1743" s="13"/>
      <c r="F1743" s="14" t="s">
        <v>76</v>
      </c>
      <c r="G1743" s="15">
        <v>630</v>
      </c>
      <c r="H1743" s="13" t="s">
        <v>119</v>
      </c>
      <c r="I1743" s="16">
        <f>SUM(I1744:I1747)</f>
        <v>81300</v>
      </c>
      <c r="J1743" s="16">
        <f t="shared" ref="J1743" si="772">SUM(J1744:J1747)</f>
        <v>-1870</v>
      </c>
      <c r="K1743" s="16">
        <f t="shared" si="767"/>
        <v>79430</v>
      </c>
      <c r="L1743" s="16"/>
      <c r="M1743" s="16"/>
      <c r="N1743" s="16"/>
      <c r="O1743" s="16">
        <f t="shared" si="769"/>
        <v>0</v>
      </c>
      <c r="P1743" s="16"/>
      <c r="Q1743" s="18">
        <f t="shared" si="763"/>
        <v>81300</v>
      </c>
      <c r="R1743" s="18">
        <f t="shared" si="764"/>
        <v>-1870</v>
      </c>
      <c r="S1743" s="18">
        <f t="shared" si="764"/>
        <v>79430</v>
      </c>
    </row>
    <row r="1744" spans="2:19" x14ac:dyDescent="0.2">
      <c r="B1744" s="7">
        <f t="shared" si="765"/>
        <v>8</v>
      </c>
      <c r="C1744" s="19"/>
      <c r="D1744" s="19"/>
      <c r="E1744" s="19"/>
      <c r="F1744" s="20"/>
      <c r="G1744" s="21">
        <v>632</v>
      </c>
      <c r="H1744" s="19" t="s">
        <v>131</v>
      </c>
      <c r="I1744" s="22">
        <v>33584</v>
      </c>
      <c r="J1744" s="22">
        <v>-6370</v>
      </c>
      <c r="K1744" s="22">
        <f t="shared" si="767"/>
        <v>27214</v>
      </c>
      <c r="L1744" s="22"/>
      <c r="M1744" s="22"/>
      <c r="N1744" s="22"/>
      <c r="O1744" s="22">
        <f t="shared" si="769"/>
        <v>0</v>
      </c>
      <c r="P1744" s="22"/>
      <c r="Q1744" s="23">
        <f t="shared" si="763"/>
        <v>33584</v>
      </c>
      <c r="R1744" s="23">
        <f t="shared" si="764"/>
        <v>-6370</v>
      </c>
      <c r="S1744" s="23">
        <f t="shared" si="764"/>
        <v>27214</v>
      </c>
    </row>
    <row r="1745" spans="2:19" x14ac:dyDescent="0.2">
      <c r="B1745" s="7">
        <f t="shared" si="765"/>
        <v>9</v>
      </c>
      <c r="C1745" s="19"/>
      <c r="D1745" s="19"/>
      <c r="E1745" s="19"/>
      <c r="F1745" s="20"/>
      <c r="G1745" s="21">
        <v>633</v>
      </c>
      <c r="H1745" s="19" t="s">
        <v>123</v>
      </c>
      <c r="I1745" s="22">
        <v>35650</v>
      </c>
      <c r="J1745" s="22">
        <v>2000</v>
      </c>
      <c r="K1745" s="22">
        <f t="shared" si="767"/>
        <v>37650</v>
      </c>
      <c r="L1745" s="22"/>
      <c r="M1745" s="22"/>
      <c r="N1745" s="22"/>
      <c r="O1745" s="22">
        <f t="shared" si="769"/>
        <v>0</v>
      </c>
      <c r="P1745" s="22"/>
      <c r="Q1745" s="23">
        <f t="shared" si="763"/>
        <v>35650</v>
      </c>
      <c r="R1745" s="23">
        <f t="shared" si="764"/>
        <v>2000</v>
      </c>
      <c r="S1745" s="23">
        <f t="shared" si="764"/>
        <v>37650</v>
      </c>
    </row>
    <row r="1746" spans="2:19" x14ac:dyDescent="0.2">
      <c r="B1746" s="7">
        <f t="shared" si="765"/>
        <v>10</v>
      </c>
      <c r="C1746" s="19"/>
      <c r="D1746" s="19"/>
      <c r="E1746" s="19"/>
      <c r="F1746" s="20"/>
      <c r="G1746" s="21">
        <v>635</v>
      </c>
      <c r="H1746" s="19" t="s">
        <v>130</v>
      </c>
      <c r="I1746" s="22">
        <v>3500</v>
      </c>
      <c r="J1746" s="22">
        <v>1000</v>
      </c>
      <c r="K1746" s="22">
        <f t="shared" si="767"/>
        <v>4500</v>
      </c>
      <c r="L1746" s="22"/>
      <c r="M1746" s="22"/>
      <c r="N1746" s="22"/>
      <c r="O1746" s="22">
        <f t="shared" si="769"/>
        <v>0</v>
      </c>
      <c r="P1746" s="22"/>
      <c r="Q1746" s="23">
        <f t="shared" si="763"/>
        <v>3500</v>
      </c>
      <c r="R1746" s="23">
        <f t="shared" si="764"/>
        <v>1000</v>
      </c>
      <c r="S1746" s="23">
        <f t="shared" si="764"/>
        <v>4500</v>
      </c>
    </row>
    <row r="1747" spans="2:19" x14ac:dyDescent="0.2">
      <c r="B1747" s="7">
        <f t="shared" si="765"/>
        <v>11</v>
      </c>
      <c r="C1747" s="19"/>
      <c r="D1747" s="19"/>
      <c r="E1747" s="19"/>
      <c r="F1747" s="20"/>
      <c r="G1747" s="21">
        <v>637</v>
      </c>
      <c r="H1747" s="19" t="s">
        <v>120</v>
      </c>
      <c r="I1747" s="22">
        <v>8566</v>
      </c>
      <c r="J1747" s="22">
        <v>1500</v>
      </c>
      <c r="K1747" s="22">
        <f t="shared" si="767"/>
        <v>10066</v>
      </c>
      <c r="L1747" s="22"/>
      <c r="M1747" s="22"/>
      <c r="N1747" s="22"/>
      <c r="O1747" s="22">
        <f t="shared" si="769"/>
        <v>0</v>
      </c>
      <c r="P1747" s="22"/>
      <c r="Q1747" s="23">
        <f t="shared" si="763"/>
        <v>8566</v>
      </c>
      <c r="R1747" s="23">
        <f t="shared" si="764"/>
        <v>1500</v>
      </c>
      <c r="S1747" s="23">
        <f t="shared" si="764"/>
        <v>10066</v>
      </c>
    </row>
    <row r="1748" spans="2:19" x14ac:dyDescent="0.2">
      <c r="B1748" s="7">
        <f t="shared" si="765"/>
        <v>12</v>
      </c>
      <c r="C1748" s="13"/>
      <c r="D1748" s="13"/>
      <c r="E1748" s="13"/>
      <c r="F1748" s="14" t="s">
        <v>76</v>
      </c>
      <c r="G1748" s="15">
        <v>640</v>
      </c>
      <c r="H1748" s="13" t="s">
        <v>127</v>
      </c>
      <c r="I1748" s="16">
        <v>1920</v>
      </c>
      <c r="J1748" s="16">
        <v>-500</v>
      </c>
      <c r="K1748" s="16">
        <f t="shared" si="767"/>
        <v>1420</v>
      </c>
      <c r="L1748" s="16"/>
      <c r="M1748" s="16"/>
      <c r="N1748" s="16"/>
      <c r="O1748" s="16">
        <f t="shared" si="769"/>
        <v>0</v>
      </c>
      <c r="P1748" s="16"/>
      <c r="Q1748" s="18">
        <f t="shared" si="763"/>
        <v>1920</v>
      </c>
      <c r="R1748" s="18">
        <f t="shared" si="764"/>
        <v>-500</v>
      </c>
      <c r="S1748" s="18">
        <f t="shared" si="764"/>
        <v>1420</v>
      </c>
    </row>
    <row r="1749" spans="2:19" x14ac:dyDescent="0.2">
      <c r="B1749" s="7">
        <f t="shared" si="765"/>
        <v>13</v>
      </c>
      <c r="C1749" s="13"/>
      <c r="D1749" s="13"/>
      <c r="E1749" s="13"/>
      <c r="F1749" s="14" t="s">
        <v>76</v>
      </c>
      <c r="G1749" s="15">
        <v>710</v>
      </c>
      <c r="H1749" s="13" t="s">
        <v>171</v>
      </c>
      <c r="I1749" s="16"/>
      <c r="J1749" s="16"/>
      <c r="K1749" s="16">
        <f t="shared" si="767"/>
        <v>0</v>
      </c>
      <c r="L1749" s="16"/>
      <c r="M1749" s="16">
        <f>M1750</f>
        <v>4700</v>
      </c>
      <c r="N1749" s="16">
        <f t="shared" ref="N1749" si="773">N1750</f>
        <v>0</v>
      </c>
      <c r="O1749" s="16">
        <f t="shared" si="769"/>
        <v>4700</v>
      </c>
      <c r="P1749" s="16"/>
      <c r="Q1749" s="18">
        <f t="shared" si="763"/>
        <v>4700</v>
      </c>
      <c r="R1749" s="18">
        <f t="shared" si="764"/>
        <v>0</v>
      </c>
      <c r="S1749" s="18">
        <f t="shared" si="764"/>
        <v>4700</v>
      </c>
    </row>
    <row r="1750" spans="2:19" x14ac:dyDescent="0.2">
      <c r="B1750" s="7">
        <f t="shared" si="765"/>
        <v>14</v>
      </c>
      <c r="C1750" s="13"/>
      <c r="D1750" s="13"/>
      <c r="E1750" s="13"/>
      <c r="F1750" s="20"/>
      <c r="G1750" s="21">
        <v>717</v>
      </c>
      <c r="H1750" s="19" t="s">
        <v>178</v>
      </c>
      <c r="I1750" s="16"/>
      <c r="J1750" s="16"/>
      <c r="K1750" s="16">
        <f t="shared" si="767"/>
        <v>0</v>
      </c>
      <c r="L1750" s="16"/>
      <c r="M1750" s="22">
        <f>SUM(M1751:M1753)</f>
        <v>4700</v>
      </c>
      <c r="N1750" s="22">
        <f t="shared" ref="N1750" si="774">SUM(N1751:N1753)</f>
        <v>0</v>
      </c>
      <c r="O1750" s="22">
        <f t="shared" si="769"/>
        <v>4700</v>
      </c>
      <c r="P1750" s="16"/>
      <c r="Q1750" s="23">
        <f t="shared" si="763"/>
        <v>4700</v>
      </c>
      <c r="R1750" s="23">
        <f t="shared" si="764"/>
        <v>0</v>
      </c>
      <c r="S1750" s="23">
        <f t="shared" si="764"/>
        <v>4700</v>
      </c>
    </row>
    <row r="1751" spans="2:19" x14ac:dyDescent="0.2">
      <c r="B1751" s="7">
        <f t="shared" si="765"/>
        <v>15</v>
      </c>
      <c r="C1751" s="13"/>
      <c r="D1751" s="13"/>
      <c r="E1751" s="13"/>
      <c r="F1751" s="113"/>
      <c r="G1751" s="25"/>
      <c r="H1751" s="1" t="s">
        <v>699</v>
      </c>
      <c r="I1751" s="16"/>
      <c r="J1751" s="16"/>
      <c r="K1751" s="16">
        <f t="shared" si="767"/>
        <v>0</v>
      </c>
      <c r="L1751" s="16"/>
      <c r="M1751" s="26">
        <v>4700</v>
      </c>
      <c r="N1751" s="26"/>
      <c r="O1751" s="26">
        <f t="shared" si="769"/>
        <v>4700</v>
      </c>
      <c r="P1751" s="16"/>
      <c r="Q1751" s="23">
        <f t="shared" si="763"/>
        <v>4700</v>
      </c>
      <c r="R1751" s="23">
        <f t="shared" si="764"/>
        <v>0</v>
      </c>
      <c r="S1751" s="23">
        <f t="shared" si="764"/>
        <v>4700</v>
      </c>
    </row>
    <row r="1752" spans="2:19" ht="15" x14ac:dyDescent="0.2">
      <c r="B1752" s="7">
        <f t="shared" si="765"/>
        <v>16</v>
      </c>
      <c r="C1752" s="10">
        <v>2</v>
      </c>
      <c r="D1752" s="420" t="s">
        <v>54</v>
      </c>
      <c r="E1752" s="421"/>
      <c r="F1752" s="421"/>
      <c r="G1752" s="421"/>
      <c r="H1752" s="421"/>
      <c r="I1752" s="11">
        <f>I1753</f>
        <v>181900</v>
      </c>
      <c r="J1752" s="11">
        <f t="shared" ref="J1752" si="775">J1753</f>
        <v>0</v>
      </c>
      <c r="K1752" s="11">
        <f t="shared" si="767"/>
        <v>181900</v>
      </c>
      <c r="L1752" s="320"/>
      <c r="M1752" s="11"/>
      <c r="N1752" s="11"/>
      <c r="O1752" s="11">
        <f t="shared" si="769"/>
        <v>0</v>
      </c>
      <c r="P1752" s="320"/>
      <c r="Q1752" s="35">
        <f t="shared" si="763"/>
        <v>181900</v>
      </c>
      <c r="R1752" s="35">
        <f t="shared" si="764"/>
        <v>0</v>
      </c>
      <c r="S1752" s="35">
        <f t="shared" si="764"/>
        <v>181900</v>
      </c>
    </row>
    <row r="1753" spans="2:19" x14ac:dyDescent="0.2">
      <c r="B1753" s="7">
        <f t="shared" si="765"/>
        <v>17</v>
      </c>
      <c r="C1753" s="13"/>
      <c r="D1753" s="13"/>
      <c r="E1753" s="13"/>
      <c r="F1753" s="14" t="s">
        <v>53</v>
      </c>
      <c r="G1753" s="15">
        <v>640</v>
      </c>
      <c r="H1753" s="13" t="s">
        <v>127</v>
      </c>
      <c r="I1753" s="16">
        <f>I1754+I1755</f>
        <v>181900</v>
      </c>
      <c r="J1753" s="16">
        <f t="shared" ref="J1753" si="776">J1754+J1755</f>
        <v>0</v>
      </c>
      <c r="K1753" s="16">
        <f t="shared" si="767"/>
        <v>181900</v>
      </c>
      <c r="L1753" s="16"/>
      <c r="M1753" s="16"/>
      <c r="N1753" s="16"/>
      <c r="O1753" s="16">
        <f t="shared" si="769"/>
        <v>0</v>
      </c>
      <c r="P1753" s="16"/>
      <c r="Q1753" s="18">
        <f t="shared" si="763"/>
        <v>181900</v>
      </c>
      <c r="R1753" s="18">
        <f t="shared" ref="R1753:S1768" si="777">N1753+J1753</f>
        <v>0</v>
      </c>
      <c r="S1753" s="18">
        <f t="shared" si="777"/>
        <v>181900</v>
      </c>
    </row>
    <row r="1754" spans="2:19" x14ac:dyDescent="0.2">
      <c r="B1754" s="7">
        <f t="shared" si="765"/>
        <v>18</v>
      </c>
      <c r="C1754" s="24"/>
      <c r="D1754" s="24"/>
      <c r="E1754" s="24"/>
      <c r="F1754" s="20"/>
      <c r="G1754" s="21">
        <v>642</v>
      </c>
      <c r="H1754" s="19" t="s">
        <v>128</v>
      </c>
      <c r="I1754" s="26">
        <v>1900</v>
      </c>
      <c r="J1754" s="26"/>
      <c r="K1754" s="26">
        <f t="shared" si="767"/>
        <v>1900</v>
      </c>
      <c r="L1754" s="26"/>
      <c r="M1754" s="26"/>
      <c r="N1754" s="26"/>
      <c r="O1754" s="26">
        <f t="shared" si="769"/>
        <v>0</v>
      </c>
      <c r="P1754" s="26"/>
      <c r="Q1754" s="28">
        <f t="shared" si="763"/>
        <v>1900</v>
      </c>
      <c r="R1754" s="28">
        <f t="shared" si="777"/>
        <v>0</v>
      </c>
      <c r="S1754" s="28">
        <f t="shared" si="777"/>
        <v>1900</v>
      </c>
    </row>
    <row r="1755" spans="2:19" x14ac:dyDescent="0.2">
      <c r="B1755" s="7">
        <f t="shared" si="765"/>
        <v>19</v>
      </c>
      <c r="C1755" s="24"/>
      <c r="D1755" s="24"/>
      <c r="E1755" s="24"/>
      <c r="F1755" s="20"/>
      <c r="G1755" s="21">
        <v>642</v>
      </c>
      <c r="H1755" s="19" t="s">
        <v>624</v>
      </c>
      <c r="I1755" s="26">
        <f>100000+80000</f>
        <v>180000</v>
      </c>
      <c r="J1755" s="26"/>
      <c r="K1755" s="26">
        <f t="shared" si="767"/>
        <v>180000</v>
      </c>
      <c r="L1755" s="26"/>
      <c r="M1755" s="26"/>
      <c r="N1755" s="26"/>
      <c r="O1755" s="26">
        <f t="shared" si="769"/>
        <v>0</v>
      </c>
      <c r="P1755" s="26"/>
      <c r="Q1755" s="28">
        <f t="shared" si="763"/>
        <v>180000</v>
      </c>
      <c r="R1755" s="28">
        <f t="shared" si="777"/>
        <v>0</v>
      </c>
      <c r="S1755" s="28">
        <f t="shared" si="777"/>
        <v>180000</v>
      </c>
    </row>
    <row r="1756" spans="2:19" ht="15" x14ac:dyDescent="0.2">
      <c r="B1756" s="7">
        <f t="shared" si="765"/>
        <v>20</v>
      </c>
      <c r="C1756" s="10">
        <v>3</v>
      </c>
      <c r="D1756" s="420" t="s">
        <v>63</v>
      </c>
      <c r="E1756" s="421"/>
      <c r="F1756" s="421"/>
      <c r="G1756" s="421"/>
      <c r="H1756" s="421"/>
      <c r="I1756" s="11">
        <f>I1757+I1765</f>
        <v>200680</v>
      </c>
      <c r="J1756" s="11">
        <f t="shared" ref="J1756" si="778">J1757+J1765</f>
        <v>0</v>
      </c>
      <c r="K1756" s="11">
        <f t="shared" si="767"/>
        <v>200680</v>
      </c>
      <c r="L1756" s="320"/>
      <c r="M1756" s="11">
        <f>M1769</f>
        <v>130000</v>
      </c>
      <c r="N1756" s="11">
        <f t="shared" ref="N1756" si="779">N1769</f>
        <v>0</v>
      </c>
      <c r="O1756" s="11">
        <f t="shared" si="769"/>
        <v>130000</v>
      </c>
      <c r="P1756" s="320"/>
      <c r="Q1756" s="35">
        <f t="shared" si="763"/>
        <v>330680</v>
      </c>
      <c r="R1756" s="35">
        <f t="shared" si="777"/>
        <v>0</v>
      </c>
      <c r="S1756" s="35">
        <f t="shared" si="777"/>
        <v>330680</v>
      </c>
    </row>
    <row r="1757" spans="2:19" x14ac:dyDescent="0.2">
      <c r="B1757" s="7">
        <f t="shared" si="765"/>
        <v>21</v>
      </c>
      <c r="C1757" s="13"/>
      <c r="D1757" s="13"/>
      <c r="E1757" s="13"/>
      <c r="F1757" s="14" t="s">
        <v>62</v>
      </c>
      <c r="G1757" s="15">
        <v>640</v>
      </c>
      <c r="H1757" s="13" t="s">
        <v>127</v>
      </c>
      <c r="I1757" s="16">
        <f>SUM(I1758:I1764)</f>
        <v>136500</v>
      </c>
      <c r="J1757" s="16">
        <f t="shared" ref="J1757" si="780">SUM(J1758:J1764)</f>
        <v>0</v>
      </c>
      <c r="K1757" s="16">
        <f t="shared" si="767"/>
        <v>136500</v>
      </c>
      <c r="L1757" s="16"/>
      <c r="M1757" s="16"/>
      <c r="N1757" s="16"/>
      <c r="O1757" s="16">
        <f t="shared" si="769"/>
        <v>0</v>
      </c>
      <c r="P1757" s="16"/>
      <c r="Q1757" s="18">
        <f t="shared" si="763"/>
        <v>136500</v>
      </c>
      <c r="R1757" s="18">
        <f t="shared" si="777"/>
        <v>0</v>
      </c>
      <c r="S1757" s="18">
        <f t="shared" si="777"/>
        <v>136500</v>
      </c>
    </row>
    <row r="1758" spans="2:19" x14ac:dyDescent="0.2">
      <c r="B1758" s="7">
        <f t="shared" si="765"/>
        <v>22</v>
      </c>
      <c r="C1758" s="36"/>
      <c r="D1758" s="36"/>
      <c r="E1758" s="36"/>
      <c r="F1758" s="168"/>
      <c r="G1758" s="168"/>
      <c r="H1758" s="38" t="s">
        <v>361</v>
      </c>
      <c r="I1758" s="39">
        <v>30000</v>
      </c>
      <c r="J1758" s="39"/>
      <c r="K1758" s="39">
        <f t="shared" si="767"/>
        <v>30000</v>
      </c>
      <c r="L1758" s="39"/>
      <c r="M1758" s="40"/>
      <c r="N1758" s="40"/>
      <c r="O1758" s="40">
        <f t="shared" si="769"/>
        <v>0</v>
      </c>
      <c r="P1758" s="40"/>
      <c r="Q1758" s="41">
        <f t="shared" si="763"/>
        <v>30000</v>
      </c>
      <c r="R1758" s="41">
        <f t="shared" si="777"/>
        <v>0</v>
      </c>
      <c r="S1758" s="41">
        <f t="shared" si="777"/>
        <v>30000</v>
      </c>
    </row>
    <row r="1759" spans="2:19" x14ac:dyDescent="0.2">
      <c r="B1759" s="7">
        <f t="shared" si="765"/>
        <v>23</v>
      </c>
      <c r="C1759" s="36"/>
      <c r="D1759" s="36"/>
      <c r="E1759" s="36"/>
      <c r="F1759" s="168"/>
      <c r="G1759" s="168"/>
      <c r="H1759" s="38" t="s">
        <v>260</v>
      </c>
      <c r="I1759" s="39">
        <v>35000</v>
      </c>
      <c r="J1759" s="39"/>
      <c r="K1759" s="39">
        <f t="shared" si="767"/>
        <v>35000</v>
      </c>
      <c r="L1759" s="39"/>
      <c r="M1759" s="40"/>
      <c r="N1759" s="40"/>
      <c r="O1759" s="40">
        <f t="shared" si="769"/>
        <v>0</v>
      </c>
      <c r="P1759" s="40"/>
      <c r="Q1759" s="41">
        <f t="shared" si="763"/>
        <v>35000</v>
      </c>
      <c r="R1759" s="41">
        <f t="shared" si="777"/>
        <v>0</v>
      </c>
      <c r="S1759" s="41">
        <f t="shared" si="777"/>
        <v>35000</v>
      </c>
    </row>
    <row r="1760" spans="2:19" ht="24" x14ac:dyDescent="0.2">
      <c r="B1760" s="7">
        <f t="shared" si="765"/>
        <v>24</v>
      </c>
      <c r="C1760" s="36"/>
      <c r="D1760" s="36"/>
      <c r="E1760" s="36"/>
      <c r="F1760" s="168"/>
      <c r="G1760" s="168"/>
      <c r="H1760" s="38" t="s">
        <v>360</v>
      </c>
      <c r="I1760" s="39">
        <v>25000</v>
      </c>
      <c r="J1760" s="39"/>
      <c r="K1760" s="39">
        <f t="shared" si="767"/>
        <v>25000</v>
      </c>
      <c r="L1760" s="39"/>
      <c r="M1760" s="40"/>
      <c r="N1760" s="40"/>
      <c r="O1760" s="40">
        <f t="shared" si="769"/>
        <v>0</v>
      </c>
      <c r="P1760" s="40"/>
      <c r="Q1760" s="41">
        <f t="shared" si="763"/>
        <v>25000</v>
      </c>
      <c r="R1760" s="41">
        <f t="shared" si="777"/>
        <v>0</v>
      </c>
      <c r="S1760" s="41">
        <f t="shared" si="777"/>
        <v>25000</v>
      </c>
    </row>
    <row r="1761" spans="2:19" ht="24" x14ac:dyDescent="0.2">
      <c r="B1761" s="7">
        <f t="shared" si="765"/>
        <v>25</v>
      </c>
      <c r="C1761" s="36"/>
      <c r="D1761" s="36"/>
      <c r="E1761" s="36"/>
      <c r="F1761" s="168"/>
      <c r="G1761" s="168"/>
      <c r="H1761" s="38" t="s">
        <v>496</v>
      </c>
      <c r="I1761" s="39">
        <v>30000</v>
      </c>
      <c r="J1761" s="39"/>
      <c r="K1761" s="39">
        <f t="shared" si="767"/>
        <v>30000</v>
      </c>
      <c r="L1761" s="39"/>
      <c r="M1761" s="40"/>
      <c r="N1761" s="40"/>
      <c r="O1761" s="40">
        <f t="shared" si="769"/>
        <v>0</v>
      </c>
      <c r="P1761" s="40"/>
      <c r="Q1761" s="41">
        <f t="shared" si="763"/>
        <v>30000</v>
      </c>
      <c r="R1761" s="41">
        <f t="shared" si="777"/>
        <v>0</v>
      </c>
      <c r="S1761" s="41">
        <f t="shared" si="777"/>
        <v>30000</v>
      </c>
    </row>
    <row r="1762" spans="2:19" ht="24" x14ac:dyDescent="0.2">
      <c r="B1762" s="7">
        <f t="shared" si="765"/>
        <v>26</v>
      </c>
      <c r="C1762" s="24"/>
      <c r="D1762" s="24"/>
      <c r="E1762" s="24"/>
      <c r="F1762" s="136"/>
      <c r="G1762" s="136"/>
      <c r="H1762" s="38" t="s">
        <v>283</v>
      </c>
      <c r="I1762" s="39">
        <v>4000</v>
      </c>
      <c r="J1762" s="39"/>
      <c r="K1762" s="39">
        <f t="shared" si="767"/>
        <v>4000</v>
      </c>
      <c r="L1762" s="39"/>
      <c r="M1762" s="40"/>
      <c r="N1762" s="40"/>
      <c r="O1762" s="40">
        <f t="shared" si="769"/>
        <v>0</v>
      </c>
      <c r="P1762" s="40"/>
      <c r="Q1762" s="41">
        <f t="shared" si="763"/>
        <v>4000</v>
      </c>
      <c r="R1762" s="41">
        <f t="shared" si="777"/>
        <v>0</v>
      </c>
      <c r="S1762" s="41">
        <f t="shared" si="777"/>
        <v>4000</v>
      </c>
    </row>
    <row r="1763" spans="2:19" ht="24" x14ac:dyDescent="0.2">
      <c r="B1763" s="7">
        <f t="shared" si="765"/>
        <v>27</v>
      </c>
      <c r="C1763" s="24"/>
      <c r="D1763" s="24"/>
      <c r="E1763" s="24"/>
      <c r="F1763" s="136"/>
      <c r="G1763" s="136"/>
      <c r="H1763" s="38" t="s">
        <v>436</v>
      </c>
      <c r="I1763" s="39">
        <f>5000+4500</f>
        <v>9500</v>
      </c>
      <c r="J1763" s="39"/>
      <c r="K1763" s="39">
        <f t="shared" si="767"/>
        <v>9500</v>
      </c>
      <c r="L1763" s="39"/>
      <c r="M1763" s="40"/>
      <c r="N1763" s="40"/>
      <c r="O1763" s="40">
        <f t="shared" si="769"/>
        <v>0</v>
      </c>
      <c r="P1763" s="40"/>
      <c r="Q1763" s="41">
        <f t="shared" si="763"/>
        <v>9500</v>
      </c>
      <c r="R1763" s="41">
        <f t="shared" si="777"/>
        <v>0</v>
      </c>
      <c r="S1763" s="41">
        <f t="shared" si="777"/>
        <v>9500</v>
      </c>
    </row>
    <row r="1764" spans="2:19" ht="24" x14ac:dyDescent="0.2">
      <c r="B1764" s="7">
        <f t="shared" si="765"/>
        <v>28</v>
      </c>
      <c r="C1764" s="24"/>
      <c r="D1764" s="24"/>
      <c r="E1764" s="24"/>
      <c r="F1764" s="136"/>
      <c r="G1764" s="136"/>
      <c r="H1764" s="38" t="s">
        <v>642</v>
      </c>
      <c r="I1764" s="39">
        <v>3000</v>
      </c>
      <c r="J1764" s="39"/>
      <c r="K1764" s="39">
        <f t="shared" si="767"/>
        <v>3000</v>
      </c>
      <c r="L1764" s="39"/>
      <c r="M1764" s="40"/>
      <c r="N1764" s="40"/>
      <c r="O1764" s="40">
        <f t="shared" si="769"/>
        <v>0</v>
      </c>
      <c r="P1764" s="40"/>
      <c r="Q1764" s="41">
        <f t="shared" si="763"/>
        <v>3000</v>
      </c>
      <c r="R1764" s="41">
        <f t="shared" si="777"/>
        <v>0</v>
      </c>
      <c r="S1764" s="41">
        <f t="shared" si="777"/>
        <v>3000</v>
      </c>
    </row>
    <row r="1765" spans="2:19" x14ac:dyDescent="0.2">
      <c r="B1765" s="7">
        <f t="shared" si="765"/>
        <v>29</v>
      </c>
      <c r="C1765" s="24"/>
      <c r="D1765" s="24"/>
      <c r="E1765" s="24"/>
      <c r="F1765" s="14" t="s">
        <v>78</v>
      </c>
      <c r="G1765" s="15">
        <v>640</v>
      </c>
      <c r="H1765" s="13" t="s">
        <v>127</v>
      </c>
      <c r="I1765" s="16">
        <f>I1766</f>
        <v>64180</v>
      </c>
      <c r="J1765" s="16">
        <f t="shared" ref="J1765" si="781">J1766</f>
        <v>0</v>
      </c>
      <c r="K1765" s="16">
        <f t="shared" si="767"/>
        <v>64180</v>
      </c>
      <c r="L1765" s="27"/>
      <c r="M1765" s="27"/>
      <c r="N1765" s="27"/>
      <c r="O1765" s="27">
        <f t="shared" si="769"/>
        <v>0</v>
      </c>
      <c r="P1765" s="27"/>
      <c r="Q1765" s="50">
        <f t="shared" si="763"/>
        <v>64180</v>
      </c>
      <c r="R1765" s="50">
        <f t="shared" si="777"/>
        <v>0</v>
      </c>
      <c r="S1765" s="50">
        <f t="shared" si="777"/>
        <v>64180</v>
      </c>
    </row>
    <row r="1766" spans="2:19" x14ac:dyDescent="0.2">
      <c r="B1766" s="7">
        <f t="shared" si="765"/>
        <v>30</v>
      </c>
      <c r="C1766" s="24"/>
      <c r="D1766" s="24"/>
      <c r="E1766" s="24"/>
      <c r="F1766" s="136"/>
      <c r="G1766" s="21">
        <v>642</v>
      </c>
      <c r="H1766" s="19" t="s">
        <v>128</v>
      </c>
      <c r="I1766" s="22">
        <f>I1767+I1768</f>
        <v>64180</v>
      </c>
      <c r="J1766" s="22">
        <f t="shared" ref="J1766" si="782">J1767+J1768</f>
        <v>0</v>
      </c>
      <c r="K1766" s="22">
        <f t="shared" si="767"/>
        <v>64180</v>
      </c>
      <c r="L1766" s="27"/>
      <c r="M1766" s="27"/>
      <c r="N1766" s="27"/>
      <c r="O1766" s="27">
        <f t="shared" si="769"/>
        <v>0</v>
      </c>
      <c r="P1766" s="27"/>
      <c r="Q1766" s="50">
        <f t="shared" si="763"/>
        <v>64180</v>
      </c>
      <c r="R1766" s="50">
        <f t="shared" si="777"/>
        <v>0</v>
      </c>
      <c r="S1766" s="50">
        <f t="shared" si="777"/>
        <v>64180</v>
      </c>
    </row>
    <row r="1767" spans="2:19" x14ac:dyDescent="0.2">
      <c r="B1767" s="7">
        <f t="shared" si="765"/>
        <v>31</v>
      </c>
      <c r="C1767" s="24"/>
      <c r="D1767" s="24"/>
      <c r="E1767" s="24"/>
      <c r="F1767" s="136"/>
      <c r="G1767" s="136"/>
      <c r="H1767" s="1" t="s">
        <v>14</v>
      </c>
      <c r="I1767" s="26">
        <f>20000-4500-1320</f>
        <v>14180</v>
      </c>
      <c r="J1767" s="26"/>
      <c r="K1767" s="26">
        <f t="shared" si="767"/>
        <v>14180</v>
      </c>
      <c r="L1767" s="26"/>
      <c r="M1767" s="27"/>
      <c r="N1767" s="27"/>
      <c r="O1767" s="27">
        <f t="shared" si="769"/>
        <v>0</v>
      </c>
      <c r="P1767" s="27"/>
      <c r="Q1767" s="28">
        <f t="shared" si="763"/>
        <v>14180</v>
      </c>
      <c r="R1767" s="28">
        <f t="shared" si="777"/>
        <v>0</v>
      </c>
      <c r="S1767" s="28">
        <f t="shared" si="777"/>
        <v>14180</v>
      </c>
    </row>
    <row r="1768" spans="2:19" x14ac:dyDescent="0.2">
      <c r="B1768" s="7">
        <f t="shared" si="765"/>
        <v>32</v>
      </c>
      <c r="C1768" s="24"/>
      <c r="D1768" s="24"/>
      <c r="E1768" s="24"/>
      <c r="F1768" s="136"/>
      <c r="G1768" s="136"/>
      <c r="H1768" s="1" t="s">
        <v>279</v>
      </c>
      <c r="I1768" s="26">
        <v>50000</v>
      </c>
      <c r="J1768" s="26"/>
      <c r="K1768" s="26">
        <f t="shared" si="767"/>
        <v>50000</v>
      </c>
      <c r="L1768" s="26"/>
      <c r="M1768" s="27"/>
      <c r="N1768" s="27"/>
      <c r="O1768" s="27">
        <f t="shared" si="769"/>
        <v>0</v>
      </c>
      <c r="P1768" s="27"/>
      <c r="Q1768" s="28">
        <f t="shared" si="763"/>
        <v>50000</v>
      </c>
      <c r="R1768" s="28">
        <f t="shared" si="777"/>
        <v>0</v>
      </c>
      <c r="S1768" s="28">
        <f t="shared" si="777"/>
        <v>50000</v>
      </c>
    </row>
    <row r="1769" spans="2:19" x14ac:dyDescent="0.2">
      <c r="B1769" s="7">
        <f t="shared" si="765"/>
        <v>33</v>
      </c>
      <c r="C1769" s="24"/>
      <c r="D1769" s="24"/>
      <c r="E1769" s="24"/>
      <c r="F1769" s="14" t="s">
        <v>62</v>
      </c>
      <c r="G1769" s="15">
        <v>720</v>
      </c>
      <c r="H1769" s="13" t="s">
        <v>3</v>
      </c>
      <c r="I1769" s="26"/>
      <c r="J1769" s="26"/>
      <c r="K1769" s="26">
        <f t="shared" si="767"/>
        <v>0</v>
      </c>
      <c r="L1769" s="26"/>
      <c r="M1769" s="16">
        <f>M1771+M1770</f>
        <v>130000</v>
      </c>
      <c r="N1769" s="16">
        <f t="shared" ref="N1769" si="783">N1771+N1770</f>
        <v>0</v>
      </c>
      <c r="O1769" s="16">
        <f t="shared" si="769"/>
        <v>130000</v>
      </c>
      <c r="P1769" s="27"/>
      <c r="Q1769" s="28">
        <f t="shared" ref="Q1769:Q1800" si="784">M1769+I1769</f>
        <v>130000</v>
      </c>
      <c r="R1769" s="28">
        <f t="shared" ref="R1769:S1784" si="785">N1769+J1769</f>
        <v>0</v>
      </c>
      <c r="S1769" s="28">
        <f t="shared" si="785"/>
        <v>130000</v>
      </c>
    </row>
    <row r="1770" spans="2:19" ht="36" x14ac:dyDescent="0.2">
      <c r="B1770" s="7">
        <f t="shared" si="765"/>
        <v>34</v>
      </c>
      <c r="C1770" s="24"/>
      <c r="D1770" s="24"/>
      <c r="E1770" s="24"/>
      <c r="F1770" s="14"/>
      <c r="G1770" s="15"/>
      <c r="H1770" s="38" t="s">
        <v>655</v>
      </c>
      <c r="I1770" s="26"/>
      <c r="J1770" s="26"/>
      <c r="K1770" s="26">
        <f t="shared" si="767"/>
        <v>0</v>
      </c>
      <c r="L1770" s="26"/>
      <c r="M1770" s="27">
        <v>100000</v>
      </c>
      <c r="N1770" s="27"/>
      <c r="O1770" s="27">
        <f t="shared" si="769"/>
        <v>100000</v>
      </c>
      <c r="P1770" s="27"/>
      <c r="Q1770" s="28">
        <f t="shared" si="784"/>
        <v>100000</v>
      </c>
      <c r="R1770" s="28">
        <f t="shared" si="785"/>
        <v>0</v>
      </c>
      <c r="S1770" s="28">
        <f t="shared" si="785"/>
        <v>100000</v>
      </c>
    </row>
    <row r="1771" spans="2:19" ht="24" x14ac:dyDescent="0.2">
      <c r="B1771" s="7">
        <f t="shared" si="765"/>
        <v>35</v>
      </c>
      <c r="C1771" s="24"/>
      <c r="D1771" s="24"/>
      <c r="E1771" s="24"/>
      <c r="F1771" s="168"/>
      <c r="G1771" s="168"/>
      <c r="H1771" s="38" t="s">
        <v>654</v>
      </c>
      <c r="I1771" s="26"/>
      <c r="J1771" s="26"/>
      <c r="K1771" s="26">
        <f t="shared" si="767"/>
        <v>0</v>
      </c>
      <c r="L1771" s="26"/>
      <c r="M1771" s="27">
        <v>30000</v>
      </c>
      <c r="N1771" s="27"/>
      <c r="O1771" s="27">
        <f t="shared" si="769"/>
        <v>30000</v>
      </c>
      <c r="P1771" s="27"/>
      <c r="Q1771" s="28">
        <f t="shared" si="784"/>
        <v>30000</v>
      </c>
      <c r="R1771" s="28">
        <f t="shared" si="785"/>
        <v>0</v>
      </c>
      <c r="S1771" s="28">
        <f t="shared" si="785"/>
        <v>30000</v>
      </c>
    </row>
    <row r="1772" spans="2:19" ht="15" x14ac:dyDescent="0.2">
      <c r="B1772" s="7">
        <f t="shared" si="765"/>
        <v>36</v>
      </c>
      <c r="C1772" s="10">
        <v>4</v>
      </c>
      <c r="D1772" s="420" t="s">
        <v>265</v>
      </c>
      <c r="E1772" s="421"/>
      <c r="F1772" s="421"/>
      <c r="G1772" s="421"/>
      <c r="H1772" s="421"/>
      <c r="I1772" s="11">
        <f>I1773+I1787+I1798</f>
        <v>249358</v>
      </c>
      <c r="J1772" s="11">
        <f t="shared" ref="J1772" si="786">J1773+J1787+J1798</f>
        <v>2950</v>
      </c>
      <c r="K1772" s="11">
        <f t="shared" si="767"/>
        <v>252308</v>
      </c>
      <c r="L1772" s="320"/>
      <c r="M1772" s="11">
        <f>M1773+M1787+M1798</f>
        <v>53000</v>
      </c>
      <c r="N1772" s="11">
        <f t="shared" ref="N1772" si="787">N1773+N1787+N1798</f>
        <v>0</v>
      </c>
      <c r="O1772" s="11">
        <f t="shared" si="769"/>
        <v>53000</v>
      </c>
      <c r="P1772" s="320"/>
      <c r="Q1772" s="35">
        <f t="shared" si="784"/>
        <v>302358</v>
      </c>
      <c r="R1772" s="35">
        <f t="shared" si="785"/>
        <v>2950</v>
      </c>
      <c r="S1772" s="35">
        <f t="shared" si="785"/>
        <v>305308</v>
      </c>
    </row>
    <row r="1773" spans="2:19" ht="15" x14ac:dyDescent="0.25">
      <c r="B1773" s="7">
        <f t="shared" si="765"/>
        <v>37</v>
      </c>
      <c r="C1773" s="29"/>
      <c r="D1773" s="29">
        <v>1</v>
      </c>
      <c r="E1773" s="441" t="s">
        <v>56</v>
      </c>
      <c r="F1773" s="442"/>
      <c r="G1773" s="442"/>
      <c r="H1773" s="442"/>
      <c r="I1773" s="30">
        <f>I1777</f>
        <v>139524</v>
      </c>
      <c r="J1773" s="30">
        <f t="shared" ref="J1773" si="788">J1777</f>
        <v>2000</v>
      </c>
      <c r="K1773" s="30">
        <f t="shared" si="767"/>
        <v>141524</v>
      </c>
      <c r="L1773" s="321"/>
      <c r="M1773" s="30">
        <f>M1774+M1777</f>
        <v>53000</v>
      </c>
      <c r="N1773" s="30">
        <f t="shared" ref="N1773" si="789">N1774+N1777</f>
        <v>0</v>
      </c>
      <c r="O1773" s="30">
        <f t="shared" si="769"/>
        <v>53000</v>
      </c>
      <c r="P1773" s="321"/>
      <c r="Q1773" s="32">
        <f t="shared" si="784"/>
        <v>192524</v>
      </c>
      <c r="R1773" s="32">
        <f t="shared" si="785"/>
        <v>2000</v>
      </c>
      <c r="S1773" s="32">
        <f t="shared" si="785"/>
        <v>194524</v>
      </c>
    </row>
    <row r="1774" spans="2:19" x14ac:dyDescent="0.2">
      <c r="B1774" s="7">
        <f t="shared" si="765"/>
        <v>38</v>
      </c>
      <c r="C1774" s="13"/>
      <c r="D1774" s="13"/>
      <c r="E1774" s="13"/>
      <c r="F1774" s="14" t="s">
        <v>53</v>
      </c>
      <c r="G1774" s="15">
        <v>710</v>
      </c>
      <c r="H1774" s="13" t="s">
        <v>171</v>
      </c>
      <c r="I1774" s="16"/>
      <c r="J1774" s="16"/>
      <c r="K1774" s="16">
        <f t="shared" si="767"/>
        <v>0</v>
      </c>
      <c r="L1774" s="16"/>
      <c r="M1774" s="16">
        <f>M1775+M1778</f>
        <v>53000</v>
      </c>
      <c r="N1774" s="16">
        <f t="shared" ref="N1774" si="790">N1775+N1778</f>
        <v>0</v>
      </c>
      <c r="O1774" s="16">
        <f t="shared" si="769"/>
        <v>53000</v>
      </c>
      <c r="P1774" s="16"/>
      <c r="Q1774" s="18">
        <f t="shared" si="784"/>
        <v>53000</v>
      </c>
      <c r="R1774" s="18">
        <f t="shared" si="785"/>
        <v>0</v>
      </c>
      <c r="S1774" s="18">
        <f t="shared" si="785"/>
        <v>53000</v>
      </c>
    </row>
    <row r="1775" spans="2:19" x14ac:dyDescent="0.2">
      <c r="B1775" s="7">
        <f t="shared" si="765"/>
        <v>39</v>
      </c>
      <c r="C1775" s="19"/>
      <c r="D1775" s="19"/>
      <c r="E1775" s="19"/>
      <c r="F1775" s="20"/>
      <c r="G1775" s="21">
        <v>717</v>
      </c>
      <c r="H1775" s="19" t="s">
        <v>178</v>
      </c>
      <c r="I1775" s="22"/>
      <c r="J1775" s="22"/>
      <c r="K1775" s="22">
        <f t="shared" si="767"/>
        <v>0</v>
      </c>
      <c r="L1775" s="22"/>
      <c r="M1775" s="22">
        <f>M1776+M1777</f>
        <v>53000</v>
      </c>
      <c r="N1775" s="22">
        <f t="shared" ref="N1775" si="791">N1776+N1777</f>
        <v>0</v>
      </c>
      <c r="O1775" s="22">
        <f t="shared" si="769"/>
        <v>53000</v>
      </c>
      <c r="P1775" s="22"/>
      <c r="Q1775" s="23">
        <f t="shared" si="784"/>
        <v>53000</v>
      </c>
      <c r="R1775" s="23">
        <f t="shared" si="785"/>
        <v>0</v>
      </c>
      <c r="S1775" s="23">
        <f t="shared" si="785"/>
        <v>53000</v>
      </c>
    </row>
    <row r="1776" spans="2:19" x14ac:dyDescent="0.2">
      <c r="B1776" s="7">
        <f t="shared" si="765"/>
        <v>40</v>
      </c>
      <c r="C1776" s="24"/>
      <c r="D1776" s="24"/>
      <c r="E1776" s="24"/>
      <c r="F1776" s="136"/>
      <c r="G1776" s="136"/>
      <c r="H1776" s="1" t="s">
        <v>728</v>
      </c>
      <c r="I1776" s="26"/>
      <c r="J1776" s="26"/>
      <c r="K1776" s="26">
        <f t="shared" si="767"/>
        <v>0</v>
      </c>
      <c r="L1776" s="26"/>
      <c r="M1776" s="26">
        <v>53000</v>
      </c>
      <c r="N1776" s="26"/>
      <c r="O1776" s="26">
        <f t="shared" si="769"/>
        <v>53000</v>
      </c>
      <c r="P1776" s="26"/>
      <c r="Q1776" s="28">
        <f t="shared" si="784"/>
        <v>53000</v>
      </c>
      <c r="R1776" s="28">
        <f t="shared" si="785"/>
        <v>0</v>
      </c>
      <c r="S1776" s="28">
        <f t="shared" si="785"/>
        <v>53000</v>
      </c>
    </row>
    <row r="1777" spans="2:19" ht="15" x14ac:dyDescent="0.25">
      <c r="B1777" s="7">
        <f t="shared" si="765"/>
        <v>41</v>
      </c>
      <c r="C1777" s="108"/>
      <c r="D1777" s="108"/>
      <c r="E1777" s="108">
        <v>5</v>
      </c>
      <c r="F1777" s="109"/>
      <c r="G1777" s="109"/>
      <c r="H1777" s="108" t="s">
        <v>104</v>
      </c>
      <c r="I1777" s="110">
        <f>I1778+I1779+I1780+I1786</f>
        <v>139524</v>
      </c>
      <c r="J1777" s="110">
        <f t="shared" ref="J1777" si="792">J1778+J1779+J1780+J1786</f>
        <v>2000</v>
      </c>
      <c r="K1777" s="110">
        <f t="shared" si="767"/>
        <v>141524</v>
      </c>
      <c r="L1777" s="321"/>
      <c r="M1777" s="110"/>
      <c r="N1777" s="110"/>
      <c r="O1777" s="110">
        <f t="shared" si="769"/>
        <v>0</v>
      </c>
      <c r="P1777" s="321"/>
      <c r="Q1777" s="112">
        <f t="shared" si="784"/>
        <v>139524</v>
      </c>
      <c r="R1777" s="112">
        <f t="shared" si="785"/>
        <v>2000</v>
      </c>
      <c r="S1777" s="112">
        <f t="shared" si="785"/>
        <v>141524</v>
      </c>
    </row>
    <row r="1778" spans="2:19" x14ac:dyDescent="0.2">
      <c r="B1778" s="7">
        <f t="shared" ref="B1778:B1809" si="793">B1777+1</f>
        <v>42</v>
      </c>
      <c r="C1778" s="13"/>
      <c r="D1778" s="13"/>
      <c r="E1778" s="13"/>
      <c r="F1778" s="14" t="s">
        <v>53</v>
      </c>
      <c r="G1778" s="15">
        <v>610</v>
      </c>
      <c r="H1778" s="13" t="s">
        <v>511</v>
      </c>
      <c r="I1778" s="16">
        <v>62619</v>
      </c>
      <c r="J1778" s="16"/>
      <c r="K1778" s="16">
        <f t="shared" si="767"/>
        <v>62619</v>
      </c>
      <c r="L1778" s="16"/>
      <c r="M1778" s="16"/>
      <c r="N1778" s="16"/>
      <c r="O1778" s="16">
        <f t="shared" si="769"/>
        <v>0</v>
      </c>
      <c r="P1778" s="16"/>
      <c r="Q1778" s="18">
        <f t="shared" si="784"/>
        <v>62619</v>
      </c>
      <c r="R1778" s="18">
        <f t="shared" si="785"/>
        <v>0</v>
      </c>
      <c r="S1778" s="18">
        <f t="shared" si="785"/>
        <v>62619</v>
      </c>
    </row>
    <row r="1779" spans="2:19" x14ac:dyDescent="0.2">
      <c r="B1779" s="7">
        <f t="shared" si="793"/>
        <v>43</v>
      </c>
      <c r="C1779" s="13"/>
      <c r="D1779" s="13"/>
      <c r="E1779" s="13"/>
      <c r="F1779" s="14" t="s">
        <v>53</v>
      </c>
      <c r="G1779" s="15">
        <v>620</v>
      </c>
      <c r="H1779" s="13" t="s">
        <v>122</v>
      </c>
      <c r="I1779" s="16">
        <v>24030</v>
      </c>
      <c r="J1779" s="16"/>
      <c r="K1779" s="16">
        <f t="shared" si="767"/>
        <v>24030</v>
      </c>
      <c r="L1779" s="16"/>
      <c r="M1779" s="16"/>
      <c r="N1779" s="16"/>
      <c r="O1779" s="16">
        <f t="shared" si="769"/>
        <v>0</v>
      </c>
      <c r="P1779" s="16"/>
      <c r="Q1779" s="18">
        <f t="shared" si="784"/>
        <v>24030</v>
      </c>
      <c r="R1779" s="18">
        <f t="shared" si="785"/>
        <v>0</v>
      </c>
      <c r="S1779" s="18">
        <f t="shared" si="785"/>
        <v>24030</v>
      </c>
    </row>
    <row r="1780" spans="2:19" x14ac:dyDescent="0.2">
      <c r="B1780" s="7">
        <f t="shared" si="793"/>
        <v>44</v>
      </c>
      <c r="C1780" s="13"/>
      <c r="D1780" s="13"/>
      <c r="E1780" s="13"/>
      <c r="F1780" s="14" t="s">
        <v>53</v>
      </c>
      <c r="G1780" s="15">
        <v>630</v>
      </c>
      <c r="H1780" s="13" t="s">
        <v>119</v>
      </c>
      <c r="I1780" s="16">
        <f>SUM(I1781:I1785)</f>
        <v>49170</v>
      </c>
      <c r="J1780" s="16">
        <f t="shared" ref="J1780" si="794">SUM(J1781:J1785)</f>
        <v>2000</v>
      </c>
      <c r="K1780" s="16">
        <f t="shared" si="767"/>
        <v>51170</v>
      </c>
      <c r="L1780" s="16"/>
      <c r="M1780" s="16"/>
      <c r="N1780" s="16"/>
      <c r="O1780" s="16">
        <f t="shared" si="769"/>
        <v>0</v>
      </c>
      <c r="P1780" s="16"/>
      <c r="Q1780" s="18">
        <f t="shared" si="784"/>
        <v>49170</v>
      </c>
      <c r="R1780" s="18">
        <f t="shared" si="785"/>
        <v>2000</v>
      </c>
      <c r="S1780" s="18">
        <f t="shared" si="785"/>
        <v>51170</v>
      </c>
    </row>
    <row r="1781" spans="2:19" x14ac:dyDescent="0.2">
      <c r="B1781" s="7">
        <f t="shared" si="793"/>
        <v>45</v>
      </c>
      <c r="C1781" s="19"/>
      <c r="D1781" s="19"/>
      <c r="E1781" s="19"/>
      <c r="F1781" s="20"/>
      <c r="G1781" s="21">
        <v>632</v>
      </c>
      <c r="H1781" s="19" t="s">
        <v>131</v>
      </c>
      <c r="I1781" s="22">
        <v>21830</v>
      </c>
      <c r="J1781" s="22"/>
      <c r="K1781" s="22">
        <f t="shared" si="767"/>
        <v>21830</v>
      </c>
      <c r="L1781" s="22"/>
      <c r="M1781" s="22"/>
      <c r="N1781" s="22"/>
      <c r="O1781" s="22">
        <f t="shared" si="769"/>
        <v>0</v>
      </c>
      <c r="P1781" s="22"/>
      <c r="Q1781" s="23">
        <f t="shared" si="784"/>
        <v>21830</v>
      </c>
      <c r="R1781" s="23">
        <f t="shared" si="785"/>
        <v>0</v>
      </c>
      <c r="S1781" s="23">
        <f t="shared" si="785"/>
        <v>21830</v>
      </c>
    </row>
    <row r="1782" spans="2:19" x14ac:dyDescent="0.2">
      <c r="B1782" s="7">
        <f t="shared" si="793"/>
        <v>46</v>
      </c>
      <c r="C1782" s="19"/>
      <c r="D1782" s="19"/>
      <c r="E1782" s="19"/>
      <c r="F1782" s="20"/>
      <c r="G1782" s="21">
        <v>633</v>
      </c>
      <c r="H1782" s="19" t="s">
        <v>123</v>
      </c>
      <c r="I1782" s="22">
        <v>9600</v>
      </c>
      <c r="J1782" s="22"/>
      <c r="K1782" s="22">
        <f t="shared" si="767"/>
        <v>9600</v>
      </c>
      <c r="L1782" s="22"/>
      <c r="M1782" s="22"/>
      <c r="N1782" s="22"/>
      <c r="O1782" s="22">
        <f t="shared" si="769"/>
        <v>0</v>
      </c>
      <c r="P1782" s="22"/>
      <c r="Q1782" s="23">
        <f t="shared" si="784"/>
        <v>9600</v>
      </c>
      <c r="R1782" s="23">
        <f t="shared" si="785"/>
        <v>0</v>
      </c>
      <c r="S1782" s="23">
        <f t="shared" si="785"/>
        <v>9600</v>
      </c>
    </row>
    <row r="1783" spans="2:19" x14ac:dyDescent="0.2">
      <c r="B1783" s="7">
        <f t="shared" si="793"/>
        <v>47</v>
      </c>
      <c r="C1783" s="19"/>
      <c r="D1783" s="19"/>
      <c r="E1783" s="19"/>
      <c r="F1783" s="20"/>
      <c r="G1783" s="21">
        <v>634</v>
      </c>
      <c r="H1783" s="19" t="s">
        <v>129</v>
      </c>
      <c r="I1783" s="22">
        <v>1500</v>
      </c>
      <c r="J1783" s="22"/>
      <c r="K1783" s="22">
        <f t="shared" si="767"/>
        <v>1500</v>
      </c>
      <c r="L1783" s="22"/>
      <c r="M1783" s="22"/>
      <c r="N1783" s="22"/>
      <c r="O1783" s="22">
        <f t="shared" si="769"/>
        <v>0</v>
      </c>
      <c r="P1783" s="22"/>
      <c r="Q1783" s="23">
        <f t="shared" si="784"/>
        <v>1500</v>
      </c>
      <c r="R1783" s="23">
        <f t="shared" si="785"/>
        <v>0</v>
      </c>
      <c r="S1783" s="23">
        <f t="shared" si="785"/>
        <v>1500</v>
      </c>
    </row>
    <row r="1784" spans="2:19" x14ac:dyDescent="0.2">
      <c r="B1784" s="7">
        <f t="shared" si="793"/>
        <v>48</v>
      </c>
      <c r="C1784" s="19"/>
      <c r="D1784" s="19"/>
      <c r="E1784" s="19"/>
      <c r="F1784" s="20"/>
      <c r="G1784" s="21">
        <v>635</v>
      </c>
      <c r="H1784" s="19" t="s">
        <v>130</v>
      </c>
      <c r="I1784" s="22">
        <v>4000</v>
      </c>
      <c r="J1784" s="22"/>
      <c r="K1784" s="22">
        <f t="shared" si="767"/>
        <v>4000</v>
      </c>
      <c r="L1784" s="22"/>
      <c r="M1784" s="22"/>
      <c r="N1784" s="22"/>
      <c r="O1784" s="22">
        <f t="shared" si="769"/>
        <v>0</v>
      </c>
      <c r="P1784" s="22"/>
      <c r="Q1784" s="23">
        <f t="shared" si="784"/>
        <v>4000</v>
      </c>
      <c r="R1784" s="23">
        <f t="shared" si="785"/>
        <v>0</v>
      </c>
      <c r="S1784" s="23">
        <f t="shared" si="785"/>
        <v>4000</v>
      </c>
    </row>
    <row r="1785" spans="2:19" x14ac:dyDescent="0.2">
      <c r="B1785" s="7">
        <f t="shared" si="793"/>
        <v>49</v>
      </c>
      <c r="C1785" s="19"/>
      <c r="D1785" s="19"/>
      <c r="E1785" s="19"/>
      <c r="F1785" s="20"/>
      <c r="G1785" s="21">
        <v>637</v>
      </c>
      <c r="H1785" s="19" t="s">
        <v>120</v>
      </c>
      <c r="I1785" s="22">
        <v>12240</v>
      </c>
      <c r="J1785" s="22">
        <v>2000</v>
      </c>
      <c r="K1785" s="22">
        <f t="shared" si="767"/>
        <v>14240</v>
      </c>
      <c r="L1785" s="22"/>
      <c r="M1785" s="22"/>
      <c r="N1785" s="22"/>
      <c r="O1785" s="22">
        <f t="shared" si="769"/>
        <v>0</v>
      </c>
      <c r="P1785" s="22"/>
      <c r="Q1785" s="23">
        <f t="shared" si="784"/>
        <v>12240</v>
      </c>
      <c r="R1785" s="23">
        <f t="shared" ref="R1785:S1800" si="795">N1785+J1785</f>
        <v>2000</v>
      </c>
      <c r="S1785" s="23">
        <f t="shared" si="795"/>
        <v>14240</v>
      </c>
    </row>
    <row r="1786" spans="2:19" x14ac:dyDescent="0.2">
      <c r="B1786" s="7">
        <f t="shared" si="793"/>
        <v>50</v>
      </c>
      <c r="C1786" s="13"/>
      <c r="D1786" s="13"/>
      <c r="E1786" s="13"/>
      <c r="F1786" s="14" t="s">
        <v>53</v>
      </c>
      <c r="G1786" s="15">
        <v>640</v>
      </c>
      <c r="H1786" s="13" t="s">
        <v>127</v>
      </c>
      <c r="I1786" s="16">
        <v>3705</v>
      </c>
      <c r="J1786" s="16"/>
      <c r="K1786" s="16">
        <f t="shared" si="767"/>
        <v>3705</v>
      </c>
      <c r="L1786" s="16"/>
      <c r="M1786" s="16"/>
      <c r="N1786" s="16"/>
      <c r="O1786" s="16">
        <f t="shared" si="769"/>
        <v>0</v>
      </c>
      <c r="P1786" s="16"/>
      <c r="Q1786" s="18">
        <f t="shared" si="784"/>
        <v>3705</v>
      </c>
      <c r="R1786" s="18">
        <f t="shared" si="795"/>
        <v>0</v>
      </c>
      <c r="S1786" s="18">
        <f t="shared" si="795"/>
        <v>3705</v>
      </c>
    </row>
    <row r="1787" spans="2:19" ht="15" x14ac:dyDescent="0.25">
      <c r="B1787" s="7">
        <f t="shared" si="793"/>
        <v>51</v>
      </c>
      <c r="C1787" s="29"/>
      <c r="D1787" s="29">
        <v>2</v>
      </c>
      <c r="E1787" s="441" t="s">
        <v>264</v>
      </c>
      <c r="F1787" s="442"/>
      <c r="G1787" s="442"/>
      <c r="H1787" s="442"/>
      <c r="I1787" s="30">
        <f>I1788</f>
        <v>106554</v>
      </c>
      <c r="J1787" s="30">
        <f t="shared" ref="J1787" si="796">J1788</f>
        <v>0</v>
      </c>
      <c r="K1787" s="30">
        <f t="shared" si="767"/>
        <v>106554</v>
      </c>
      <c r="L1787" s="321"/>
      <c r="M1787" s="30"/>
      <c r="N1787" s="30"/>
      <c r="O1787" s="30">
        <f t="shared" si="769"/>
        <v>0</v>
      </c>
      <c r="P1787" s="321"/>
      <c r="Q1787" s="32">
        <f t="shared" si="784"/>
        <v>106554</v>
      </c>
      <c r="R1787" s="32">
        <f t="shared" si="795"/>
        <v>0</v>
      </c>
      <c r="S1787" s="32">
        <f t="shared" si="795"/>
        <v>106554</v>
      </c>
    </row>
    <row r="1788" spans="2:19" ht="15" x14ac:dyDescent="0.25">
      <c r="B1788" s="7">
        <f t="shared" si="793"/>
        <v>52</v>
      </c>
      <c r="C1788" s="108"/>
      <c r="D1788" s="108"/>
      <c r="E1788" s="108">
        <v>5</v>
      </c>
      <c r="F1788" s="109"/>
      <c r="G1788" s="109"/>
      <c r="H1788" s="108" t="s">
        <v>104</v>
      </c>
      <c r="I1788" s="110">
        <f>I1789+I1790+I1791+I1797</f>
        <v>106554</v>
      </c>
      <c r="J1788" s="110">
        <f t="shared" ref="J1788" si="797">J1789+J1790+J1791+J1797</f>
        <v>0</v>
      </c>
      <c r="K1788" s="110">
        <f t="shared" si="767"/>
        <v>106554</v>
      </c>
      <c r="L1788" s="321"/>
      <c r="M1788" s="110"/>
      <c r="N1788" s="110"/>
      <c r="O1788" s="110">
        <f t="shared" si="769"/>
        <v>0</v>
      </c>
      <c r="P1788" s="321"/>
      <c r="Q1788" s="112">
        <f t="shared" si="784"/>
        <v>106554</v>
      </c>
      <c r="R1788" s="112">
        <f t="shared" si="795"/>
        <v>0</v>
      </c>
      <c r="S1788" s="112">
        <f t="shared" si="795"/>
        <v>106554</v>
      </c>
    </row>
    <row r="1789" spans="2:19" x14ac:dyDescent="0.2">
      <c r="B1789" s="7">
        <f t="shared" si="793"/>
        <v>53</v>
      </c>
      <c r="C1789" s="13"/>
      <c r="D1789" s="13"/>
      <c r="E1789" s="13"/>
      <c r="F1789" s="14" t="s">
        <v>53</v>
      </c>
      <c r="G1789" s="15">
        <v>610</v>
      </c>
      <c r="H1789" s="13" t="s">
        <v>511</v>
      </c>
      <c r="I1789" s="16">
        <v>66412</v>
      </c>
      <c r="J1789" s="16"/>
      <c r="K1789" s="16">
        <f t="shared" si="767"/>
        <v>66412</v>
      </c>
      <c r="L1789" s="16"/>
      <c r="M1789" s="16"/>
      <c r="N1789" s="16"/>
      <c r="O1789" s="16">
        <f t="shared" si="769"/>
        <v>0</v>
      </c>
      <c r="P1789" s="16"/>
      <c r="Q1789" s="18">
        <f t="shared" si="784"/>
        <v>66412</v>
      </c>
      <c r="R1789" s="18">
        <f t="shared" si="795"/>
        <v>0</v>
      </c>
      <c r="S1789" s="18">
        <f t="shared" si="795"/>
        <v>66412</v>
      </c>
    </row>
    <row r="1790" spans="2:19" x14ac:dyDescent="0.2">
      <c r="B1790" s="7">
        <f t="shared" si="793"/>
        <v>54</v>
      </c>
      <c r="C1790" s="13"/>
      <c r="D1790" s="13"/>
      <c r="E1790" s="13"/>
      <c r="F1790" s="14" t="s">
        <v>53</v>
      </c>
      <c r="G1790" s="15">
        <v>620</v>
      </c>
      <c r="H1790" s="13" t="s">
        <v>122</v>
      </c>
      <c r="I1790" s="16">
        <v>25878</v>
      </c>
      <c r="J1790" s="16"/>
      <c r="K1790" s="16">
        <f t="shared" si="767"/>
        <v>25878</v>
      </c>
      <c r="L1790" s="16"/>
      <c r="M1790" s="16"/>
      <c r="N1790" s="16"/>
      <c r="O1790" s="16">
        <f t="shared" si="769"/>
        <v>0</v>
      </c>
      <c r="P1790" s="16"/>
      <c r="Q1790" s="18">
        <f t="shared" si="784"/>
        <v>25878</v>
      </c>
      <c r="R1790" s="18">
        <f t="shared" si="795"/>
        <v>0</v>
      </c>
      <c r="S1790" s="18">
        <f t="shared" si="795"/>
        <v>25878</v>
      </c>
    </row>
    <row r="1791" spans="2:19" x14ac:dyDescent="0.2">
      <c r="B1791" s="7">
        <f t="shared" si="793"/>
        <v>55</v>
      </c>
      <c r="C1791" s="13"/>
      <c r="D1791" s="13"/>
      <c r="E1791" s="13"/>
      <c r="F1791" s="14" t="s">
        <v>53</v>
      </c>
      <c r="G1791" s="15">
        <v>630</v>
      </c>
      <c r="H1791" s="13" t="s">
        <v>119</v>
      </c>
      <c r="I1791" s="16">
        <f>SUM(I1792:I1796)</f>
        <v>11142</v>
      </c>
      <c r="J1791" s="16">
        <f t="shared" ref="J1791" si="798">SUM(J1792:J1796)</f>
        <v>0</v>
      </c>
      <c r="K1791" s="16">
        <f t="shared" si="767"/>
        <v>11142</v>
      </c>
      <c r="L1791" s="16"/>
      <c r="M1791" s="16"/>
      <c r="N1791" s="16"/>
      <c r="O1791" s="16">
        <f t="shared" si="769"/>
        <v>0</v>
      </c>
      <c r="P1791" s="16"/>
      <c r="Q1791" s="18">
        <f t="shared" si="784"/>
        <v>11142</v>
      </c>
      <c r="R1791" s="18">
        <f t="shared" si="795"/>
        <v>0</v>
      </c>
      <c r="S1791" s="18">
        <f t="shared" si="795"/>
        <v>11142</v>
      </c>
    </row>
    <row r="1792" spans="2:19" x14ac:dyDescent="0.2">
      <c r="B1792" s="7">
        <f t="shared" si="793"/>
        <v>56</v>
      </c>
      <c r="C1792" s="19"/>
      <c r="D1792" s="19"/>
      <c r="E1792" s="19"/>
      <c r="F1792" s="20"/>
      <c r="G1792" s="21">
        <v>631</v>
      </c>
      <c r="H1792" s="19" t="s">
        <v>125</v>
      </c>
      <c r="I1792" s="22">
        <v>300</v>
      </c>
      <c r="J1792" s="22">
        <v>400</v>
      </c>
      <c r="K1792" s="22">
        <f t="shared" si="767"/>
        <v>700</v>
      </c>
      <c r="L1792" s="22"/>
      <c r="M1792" s="22"/>
      <c r="N1792" s="22"/>
      <c r="O1792" s="22">
        <f t="shared" si="769"/>
        <v>0</v>
      </c>
      <c r="P1792" s="22"/>
      <c r="Q1792" s="23">
        <f t="shared" si="784"/>
        <v>300</v>
      </c>
      <c r="R1792" s="23">
        <f t="shared" si="795"/>
        <v>400</v>
      </c>
      <c r="S1792" s="23">
        <f t="shared" si="795"/>
        <v>700</v>
      </c>
    </row>
    <row r="1793" spans="2:19" x14ac:dyDescent="0.2">
      <c r="B1793" s="7">
        <f t="shared" si="793"/>
        <v>57</v>
      </c>
      <c r="C1793" s="19"/>
      <c r="D1793" s="19"/>
      <c r="E1793" s="19"/>
      <c r="F1793" s="20"/>
      <c r="G1793" s="21">
        <v>632</v>
      </c>
      <c r="H1793" s="19" t="s">
        <v>131</v>
      </c>
      <c r="I1793" s="22">
        <v>1700</v>
      </c>
      <c r="J1793" s="22">
        <v>-400</v>
      </c>
      <c r="K1793" s="22">
        <f t="shared" si="767"/>
        <v>1300</v>
      </c>
      <c r="L1793" s="22"/>
      <c r="M1793" s="22"/>
      <c r="N1793" s="22"/>
      <c r="O1793" s="22">
        <f t="shared" si="769"/>
        <v>0</v>
      </c>
      <c r="P1793" s="22"/>
      <c r="Q1793" s="23">
        <f t="shared" si="784"/>
        <v>1700</v>
      </c>
      <c r="R1793" s="23">
        <f t="shared" si="795"/>
        <v>-400</v>
      </c>
      <c r="S1793" s="23">
        <f t="shared" si="795"/>
        <v>1300</v>
      </c>
    </row>
    <row r="1794" spans="2:19" x14ac:dyDescent="0.2">
      <c r="B1794" s="7">
        <f t="shared" si="793"/>
        <v>58</v>
      </c>
      <c r="C1794" s="19"/>
      <c r="D1794" s="19"/>
      <c r="E1794" s="19"/>
      <c r="F1794" s="20"/>
      <c r="G1794" s="21">
        <v>633</v>
      </c>
      <c r="H1794" s="19" t="s">
        <v>123</v>
      </c>
      <c r="I1794" s="22">
        <v>4450</v>
      </c>
      <c r="J1794" s="22"/>
      <c r="K1794" s="22">
        <f t="shared" si="767"/>
        <v>4450</v>
      </c>
      <c r="L1794" s="22"/>
      <c r="M1794" s="22"/>
      <c r="N1794" s="22"/>
      <c r="O1794" s="22">
        <f t="shared" si="769"/>
        <v>0</v>
      </c>
      <c r="P1794" s="22"/>
      <c r="Q1794" s="23">
        <f t="shared" si="784"/>
        <v>4450</v>
      </c>
      <c r="R1794" s="23">
        <f t="shared" si="795"/>
        <v>0</v>
      </c>
      <c r="S1794" s="23">
        <f t="shared" si="795"/>
        <v>4450</v>
      </c>
    </row>
    <row r="1795" spans="2:19" x14ac:dyDescent="0.2">
      <c r="B1795" s="7">
        <f t="shared" si="793"/>
        <v>59</v>
      </c>
      <c r="C1795" s="19"/>
      <c r="D1795" s="19"/>
      <c r="E1795" s="19"/>
      <c r="F1795" s="20"/>
      <c r="G1795" s="21">
        <v>635</v>
      </c>
      <c r="H1795" s="19" t="s">
        <v>130</v>
      </c>
      <c r="I1795" s="22">
        <v>500</v>
      </c>
      <c r="J1795" s="22"/>
      <c r="K1795" s="22">
        <f t="shared" si="767"/>
        <v>500</v>
      </c>
      <c r="L1795" s="22"/>
      <c r="M1795" s="22"/>
      <c r="N1795" s="22"/>
      <c r="O1795" s="22">
        <f t="shared" si="769"/>
        <v>0</v>
      </c>
      <c r="P1795" s="22"/>
      <c r="Q1795" s="23">
        <f t="shared" si="784"/>
        <v>500</v>
      </c>
      <c r="R1795" s="23">
        <f t="shared" si="795"/>
        <v>0</v>
      </c>
      <c r="S1795" s="23">
        <f t="shared" si="795"/>
        <v>500</v>
      </c>
    </row>
    <row r="1796" spans="2:19" x14ac:dyDescent="0.2">
      <c r="B1796" s="7">
        <f t="shared" si="793"/>
        <v>60</v>
      </c>
      <c r="C1796" s="19"/>
      <c r="D1796" s="19"/>
      <c r="E1796" s="19"/>
      <c r="F1796" s="20"/>
      <c r="G1796" s="21">
        <v>637</v>
      </c>
      <c r="H1796" s="19" t="s">
        <v>120</v>
      </c>
      <c r="I1796" s="22">
        <v>4192</v>
      </c>
      <c r="J1796" s="22"/>
      <c r="K1796" s="22">
        <f t="shared" si="767"/>
        <v>4192</v>
      </c>
      <c r="L1796" s="22"/>
      <c r="M1796" s="22"/>
      <c r="N1796" s="22"/>
      <c r="O1796" s="22">
        <f t="shared" si="769"/>
        <v>0</v>
      </c>
      <c r="P1796" s="22"/>
      <c r="Q1796" s="23">
        <f t="shared" si="784"/>
        <v>4192</v>
      </c>
      <c r="R1796" s="23">
        <f t="shared" si="795"/>
        <v>0</v>
      </c>
      <c r="S1796" s="23">
        <f t="shared" si="795"/>
        <v>4192</v>
      </c>
    </row>
    <row r="1797" spans="2:19" x14ac:dyDescent="0.2">
      <c r="B1797" s="7">
        <f t="shared" si="793"/>
        <v>61</v>
      </c>
      <c r="C1797" s="13"/>
      <c r="D1797" s="13"/>
      <c r="E1797" s="13"/>
      <c r="F1797" s="14" t="s">
        <v>53</v>
      </c>
      <c r="G1797" s="15">
        <v>640</v>
      </c>
      <c r="H1797" s="13" t="s">
        <v>127</v>
      </c>
      <c r="I1797" s="16">
        <v>3122</v>
      </c>
      <c r="J1797" s="16"/>
      <c r="K1797" s="16">
        <f t="shared" si="767"/>
        <v>3122</v>
      </c>
      <c r="L1797" s="16"/>
      <c r="M1797" s="16"/>
      <c r="N1797" s="16"/>
      <c r="O1797" s="16">
        <f t="shared" si="769"/>
        <v>0</v>
      </c>
      <c r="P1797" s="16"/>
      <c r="Q1797" s="18">
        <f t="shared" si="784"/>
        <v>3122</v>
      </c>
      <c r="R1797" s="18">
        <f t="shared" si="795"/>
        <v>0</v>
      </c>
      <c r="S1797" s="18">
        <f t="shared" si="795"/>
        <v>3122</v>
      </c>
    </row>
    <row r="1798" spans="2:19" ht="15" x14ac:dyDescent="0.25">
      <c r="B1798" s="7">
        <f t="shared" si="793"/>
        <v>62</v>
      </c>
      <c r="C1798" s="29"/>
      <c r="D1798" s="29">
        <v>3</v>
      </c>
      <c r="E1798" s="441" t="s">
        <v>382</v>
      </c>
      <c r="F1798" s="442"/>
      <c r="G1798" s="442"/>
      <c r="H1798" s="442"/>
      <c r="I1798" s="30">
        <f>I1799</f>
        <v>3280</v>
      </c>
      <c r="J1798" s="30">
        <f t="shared" ref="J1798" si="799">J1799</f>
        <v>950</v>
      </c>
      <c r="K1798" s="30">
        <f t="shared" si="767"/>
        <v>4230</v>
      </c>
      <c r="L1798" s="321"/>
      <c r="M1798" s="30"/>
      <c r="N1798" s="30"/>
      <c r="O1798" s="30">
        <f t="shared" si="769"/>
        <v>0</v>
      </c>
      <c r="P1798" s="321"/>
      <c r="Q1798" s="32">
        <f t="shared" si="784"/>
        <v>3280</v>
      </c>
      <c r="R1798" s="32">
        <f t="shared" si="795"/>
        <v>950</v>
      </c>
      <c r="S1798" s="32">
        <f t="shared" si="795"/>
        <v>4230</v>
      </c>
    </row>
    <row r="1799" spans="2:19" ht="15" x14ac:dyDescent="0.25">
      <c r="B1799" s="7">
        <f t="shared" si="793"/>
        <v>63</v>
      </c>
      <c r="C1799" s="108"/>
      <c r="D1799" s="108"/>
      <c r="E1799" s="108">
        <v>5</v>
      </c>
      <c r="F1799" s="109"/>
      <c r="G1799" s="109"/>
      <c r="H1799" s="108" t="s">
        <v>104</v>
      </c>
      <c r="I1799" s="110">
        <f>I1800+I1801</f>
        <v>3280</v>
      </c>
      <c r="J1799" s="110">
        <f t="shared" ref="J1799" si="800">J1800+J1801</f>
        <v>950</v>
      </c>
      <c r="K1799" s="110">
        <f t="shared" si="767"/>
        <v>4230</v>
      </c>
      <c r="L1799" s="321"/>
      <c r="M1799" s="110"/>
      <c r="N1799" s="110"/>
      <c r="O1799" s="110">
        <f t="shared" si="769"/>
        <v>0</v>
      </c>
      <c r="P1799" s="321"/>
      <c r="Q1799" s="112">
        <f t="shared" si="784"/>
        <v>3280</v>
      </c>
      <c r="R1799" s="112">
        <f t="shared" si="795"/>
        <v>950</v>
      </c>
      <c r="S1799" s="112">
        <f t="shared" si="795"/>
        <v>4230</v>
      </c>
    </row>
    <row r="1800" spans="2:19" x14ac:dyDescent="0.2">
      <c r="B1800" s="7">
        <f t="shared" si="793"/>
        <v>64</v>
      </c>
      <c r="C1800" s="13"/>
      <c r="D1800" s="13"/>
      <c r="E1800" s="13"/>
      <c r="F1800" s="14" t="s">
        <v>53</v>
      </c>
      <c r="G1800" s="15">
        <v>620</v>
      </c>
      <c r="H1800" s="13" t="s">
        <v>122</v>
      </c>
      <c r="I1800" s="16">
        <v>900</v>
      </c>
      <c r="J1800" s="16">
        <v>200</v>
      </c>
      <c r="K1800" s="16">
        <f t="shared" si="767"/>
        <v>1100</v>
      </c>
      <c r="L1800" s="16"/>
      <c r="M1800" s="16"/>
      <c r="N1800" s="16"/>
      <c r="O1800" s="16">
        <f t="shared" si="769"/>
        <v>0</v>
      </c>
      <c r="P1800" s="16"/>
      <c r="Q1800" s="18">
        <f t="shared" si="784"/>
        <v>900</v>
      </c>
      <c r="R1800" s="18">
        <f t="shared" si="795"/>
        <v>200</v>
      </c>
      <c r="S1800" s="18">
        <f t="shared" si="795"/>
        <v>1100</v>
      </c>
    </row>
    <row r="1801" spans="2:19" x14ac:dyDescent="0.2">
      <c r="B1801" s="7">
        <f t="shared" si="793"/>
        <v>65</v>
      </c>
      <c r="C1801" s="13"/>
      <c r="D1801" s="13"/>
      <c r="E1801" s="13"/>
      <c r="F1801" s="14" t="s">
        <v>53</v>
      </c>
      <c r="G1801" s="15">
        <v>630</v>
      </c>
      <c r="H1801" s="13" t="s">
        <v>119</v>
      </c>
      <c r="I1801" s="16">
        <f>I1802</f>
        <v>2380</v>
      </c>
      <c r="J1801" s="16">
        <f t="shared" ref="J1801" si="801">J1802</f>
        <v>750</v>
      </c>
      <c r="K1801" s="16">
        <f t="shared" si="767"/>
        <v>3130</v>
      </c>
      <c r="L1801" s="16"/>
      <c r="M1801" s="16"/>
      <c r="N1801" s="16"/>
      <c r="O1801" s="16">
        <f t="shared" si="769"/>
        <v>0</v>
      </c>
      <c r="P1801" s="16"/>
      <c r="Q1801" s="18">
        <f t="shared" ref="Q1801:Q1832" si="802">M1801+I1801</f>
        <v>2380</v>
      </c>
      <c r="R1801" s="18">
        <f t="shared" ref="R1801:S1816" si="803">N1801+J1801</f>
        <v>750</v>
      </c>
      <c r="S1801" s="18">
        <f t="shared" si="803"/>
        <v>3130</v>
      </c>
    </row>
    <row r="1802" spans="2:19" x14ac:dyDescent="0.2">
      <c r="B1802" s="7">
        <f t="shared" si="793"/>
        <v>66</v>
      </c>
      <c r="C1802" s="19"/>
      <c r="D1802" s="19"/>
      <c r="E1802" s="19"/>
      <c r="F1802" s="20"/>
      <c r="G1802" s="21">
        <v>637</v>
      </c>
      <c r="H1802" s="19" t="s">
        <v>120</v>
      </c>
      <c r="I1802" s="22">
        <v>2380</v>
      </c>
      <c r="J1802" s="22">
        <v>750</v>
      </c>
      <c r="K1802" s="22">
        <f t="shared" ref="K1802:K1868" si="804">I1802+J1802</f>
        <v>3130</v>
      </c>
      <c r="L1802" s="22"/>
      <c r="M1802" s="22"/>
      <c r="N1802" s="22"/>
      <c r="O1802" s="22">
        <f t="shared" ref="O1802:O1868" si="805">M1802+N1802</f>
        <v>0</v>
      </c>
      <c r="P1802" s="22"/>
      <c r="Q1802" s="23">
        <f t="shared" si="802"/>
        <v>2380</v>
      </c>
      <c r="R1802" s="23">
        <f t="shared" si="803"/>
        <v>750</v>
      </c>
      <c r="S1802" s="23">
        <f t="shared" si="803"/>
        <v>3130</v>
      </c>
    </row>
    <row r="1803" spans="2:19" ht="15" x14ac:dyDescent="0.2">
      <c r="B1803" s="7">
        <f t="shared" si="793"/>
        <v>67</v>
      </c>
      <c r="C1803" s="10">
        <v>5</v>
      </c>
      <c r="D1803" s="420" t="s">
        <v>173</v>
      </c>
      <c r="E1803" s="421"/>
      <c r="F1803" s="421"/>
      <c r="G1803" s="421"/>
      <c r="H1803" s="421"/>
      <c r="I1803" s="11">
        <f>I1831+I1812+I1804</f>
        <v>1438660</v>
      </c>
      <c r="J1803" s="11">
        <f t="shared" ref="J1803" si="806">J1831+J1812+J1804</f>
        <v>-6300</v>
      </c>
      <c r="K1803" s="11">
        <f t="shared" si="804"/>
        <v>1432360</v>
      </c>
      <c r="L1803" s="320"/>
      <c r="M1803" s="11">
        <f>M1831+M1812+M1804</f>
        <v>52500</v>
      </c>
      <c r="N1803" s="11">
        <f t="shared" ref="N1803" si="807">N1831+N1812+N1804</f>
        <v>0</v>
      </c>
      <c r="O1803" s="11">
        <f t="shared" si="805"/>
        <v>52500</v>
      </c>
      <c r="P1803" s="320"/>
      <c r="Q1803" s="35">
        <f t="shared" si="802"/>
        <v>1491160</v>
      </c>
      <c r="R1803" s="35">
        <f t="shared" si="803"/>
        <v>-6300</v>
      </c>
      <c r="S1803" s="35">
        <f t="shared" si="803"/>
        <v>1484860</v>
      </c>
    </row>
    <row r="1804" spans="2:19" ht="15" x14ac:dyDescent="0.25">
      <c r="B1804" s="7">
        <f t="shared" si="793"/>
        <v>68</v>
      </c>
      <c r="C1804" s="29"/>
      <c r="D1804" s="29">
        <v>1</v>
      </c>
      <c r="E1804" s="441" t="s">
        <v>396</v>
      </c>
      <c r="F1804" s="442"/>
      <c r="G1804" s="442"/>
      <c r="H1804" s="442"/>
      <c r="I1804" s="30">
        <f>I1805+I1809</f>
        <v>11434</v>
      </c>
      <c r="J1804" s="30">
        <f t="shared" ref="J1804" si="808">J1805+J1809</f>
        <v>0</v>
      </c>
      <c r="K1804" s="30">
        <f t="shared" si="804"/>
        <v>11434</v>
      </c>
      <c r="L1804" s="321"/>
      <c r="M1804" s="30"/>
      <c r="N1804" s="30"/>
      <c r="O1804" s="30">
        <f t="shared" si="805"/>
        <v>0</v>
      </c>
      <c r="P1804" s="321"/>
      <c r="Q1804" s="32">
        <f t="shared" si="802"/>
        <v>11434</v>
      </c>
      <c r="R1804" s="32">
        <f t="shared" si="803"/>
        <v>0</v>
      </c>
      <c r="S1804" s="32">
        <f t="shared" si="803"/>
        <v>11434</v>
      </c>
    </row>
    <row r="1805" spans="2:19" x14ac:dyDescent="0.2">
      <c r="B1805" s="7">
        <f t="shared" si="793"/>
        <v>69</v>
      </c>
      <c r="C1805" s="13"/>
      <c r="D1805" s="13"/>
      <c r="E1805" s="13"/>
      <c r="F1805" s="14" t="s">
        <v>78</v>
      </c>
      <c r="G1805" s="15">
        <v>630</v>
      </c>
      <c r="H1805" s="13" t="s">
        <v>119</v>
      </c>
      <c r="I1805" s="16">
        <f>SUM(I1806:I1808)</f>
        <v>7434</v>
      </c>
      <c r="J1805" s="16">
        <f t="shared" ref="J1805" si="809">SUM(J1806:J1808)</f>
        <v>0</v>
      </c>
      <c r="K1805" s="16">
        <f t="shared" si="804"/>
        <v>7434</v>
      </c>
      <c r="L1805" s="16"/>
      <c r="M1805" s="16"/>
      <c r="N1805" s="16"/>
      <c r="O1805" s="16">
        <f t="shared" si="805"/>
        <v>0</v>
      </c>
      <c r="P1805" s="16"/>
      <c r="Q1805" s="18">
        <f t="shared" si="802"/>
        <v>7434</v>
      </c>
      <c r="R1805" s="18">
        <f t="shared" si="803"/>
        <v>0</v>
      </c>
      <c r="S1805" s="18">
        <f t="shared" si="803"/>
        <v>7434</v>
      </c>
    </row>
    <row r="1806" spans="2:19" x14ac:dyDescent="0.2">
      <c r="B1806" s="7">
        <f t="shared" si="793"/>
        <v>70</v>
      </c>
      <c r="C1806" s="19"/>
      <c r="D1806" s="19"/>
      <c r="E1806" s="19"/>
      <c r="F1806" s="20" t="s">
        <v>78</v>
      </c>
      <c r="G1806" s="21">
        <v>633</v>
      </c>
      <c r="H1806" s="19" t="s">
        <v>123</v>
      </c>
      <c r="I1806" s="22">
        <f>4496-1496</f>
        <v>3000</v>
      </c>
      <c r="J1806" s="22"/>
      <c r="K1806" s="22">
        <f t="shared" si="804"/>
        <v>3000</v>
      </c>
      <c r="L1806" s="22"/>
      <c r="M1806" s="22"/>
      <c r="N1806" s="22"/>
      <c r="O1806" s="22">
        <f t="shared" si="805"/>
        <v>0</v>
      </c>
      <c r="P1806" s="22"/>
      <c r="Q1806" s="23">
        <f t="shared" si="802"/>
        <v>3000</v>
      </c>
      <c r="R1806" s="23">
        <f t="shared" si="803"/>
        <v>0</v>
      </c>
      <c r="S1806" s="23">
        <f t="shared" si="803"/>
        <v>3000</v>
      </c>
    </row>
    <row r="1807" spans="2:19" x14ac:dyDescent="0.2">
      <c r="B1807" s="7">
        <f t="shared" si="793"/>
        <v>71</v>
      </c>
      <c r="C1807" s="19"/>
      <c r="D1807" s="19"/>
      <c r="E1807" s="19"/>
      <c r="F1807" s="20" t="s">
        <v>78</v>
      </c>
      <c r="G1807" s="21">
        <v>634</v>
      </c>
      <c r="H1807" s="19" t="s">
        <v>129</v>
      </c>
      <c r="I1807" s="22">
        <v>2500</v>
      </c>
      <c r="J1807" s="22"/>
      <c r="K1807" s="22">
        <f t="shared" si="804"/>
        <v>2500</v>
      </c>
      <c r="L1807" s="22"/>
      <c r="M1807" s="22"/>
      <c r="N1807" s="22"/>
      <c r="O1807" s="22">
        <f t="shared" si="805"/>
        <v>0</v>
      </c>
      <c r="P1807" s="22"/>
      <c r="Q1807" s="23">
        <f t="shared" si="802"/>
        <v>2500</v>
      </c>
      <c r="R1807" s="23">
        <f t="shared" si="803"/>
        <v>0</v>
      </c>
      <c r="S1807" s="23">
        <f t="shared" si="803"/>
        <v>2500</v>
      </c>
    </row>
    <row r="1808" spans="2:19" x14ac:dyDescent="0.2">
      <c r="B1808" s="7">
        <f t="shared" si="793"/>
        <v>72</v>
      </c>
      <c r="C1808" s="19"/>
      <c r="D1808" s="19"/>
      <c r="E1808" s="19"/>
      <c r="F1808" s="20" t="s">
        <v>78</v>
      </c>
      <c r="G1808" s="21">
        <v>637</v>
      </c>
      <c r="H1808" s="19" t="s">
        <v>120</v>
      </c>
      <c r="I1808" s="22">
        <v>1934</v>
      </c>
      <c r="J1808" s="22"/>
      <c r="K1808" s="22">
        <f t="shared" si="804"/>
        <v>1934</v>
      </c>
      <c r="L1808" s="22"/>
      <c r="M1808" s="22"/>
      <c r="N1808" s="22"/>
      <c r="O1808" s="22">
        <f t="shared" si="805"/>
        <v>0</v>
      </c>
      <c r="P1808" s="22"/>
      <c r="Q1808" s="23">
        <f t="shared" si="802"/>
        <v>1934</v>
      </c>
      <c r="R1808" s="23">
        <f t="shared" si="803"/>
        <v>0</v>
      </c>
      <c r="S1808" s="23">
        <f t="shared" si="803"/>
        <v>1934</v>
      </c>
    </row>
    <row r="1809" spans="2:19" x14ac:dyDescent="0.2">
      <c r="B1809" s="7">
        <f t="shared" si="793"/>
        <v>73</v>
      </c>
      <c r="C1809" s="13"/>
      <c r="D1809" s="13"/>
      <c r="E1809" s="13"/>
      <c r="F1809" s="14" t="s">
        <v>75</v>
      </c>
      <c r="G1809" s="15">
        <v>640</v>
      </c>
      <c r="H1809" s="13" t="s">
        <v>127</v>
      </c>
      <c r="I1809" s="16">
        <f>SUM(I1810:I1811)</f>
        <v>4000</v>
      </c>
      <c r="J1809" s="16">
        <f t="shared" ref="J1809" si="810">SUM(J1810:J1811)</f>
        <v>0</v>
      </c>
      <c r="K1809" s="16">
        <f t="shared" si="804"/>
        <v>4000</v>
      </c>
      <c r="L1809" s="22"/>
      <c r="M1809" s="16"/>
      <c r="N1809" s="16"/>
      <c r="O1809" s="16">
        <f t="shared" si="805"/>
        <v>0</v>
      </c>
      <c r="P1809" s="16"/>
      <c r="Q1809" s="18">
        <f t="shared" si="802"/>
        <v>4000</v>
      </c>
      <c r="R1809" s="18">
        <f t="shared" si="803"/>
        <v>0</v>
      </c>
      <c r="S1809" s="18">
        <f t="shared" si="803"/>
        <v>4000</v>
      </c>
    </row>
    <row r="1810" spans="2:19" x14ac:dyDescent="0.2">
      <c r="B1810" s="7">
        <f t="shared" ref="B1810:B1865" si="811">B1809+1</f>
        <v>74</v>
      </c>
      <c r="C1810" s="24"/>
      <c r="D1810" s="24"/>
      <c r="E1810" s="24"/>
      <c r="F1810" s="136"/>
      <c r="G1810" s="136"/>
      <c r="H1810" s="1" t="s">
        <v>231</v>
      </c>
      <c r="I1810" s="22">
        <v>2000</v>
      </c>
      <c r="J1810" s="22"/>
      <c r="K1810" s="22">
        <f t="shared" si="804"/>
        <v>2000</v>
      </c>
      <c r="L1810" s="22"/>
      <c r="M1810" s="26"/>
      <c r="N1810" s="26"/>
      <c r="O1810" s="26">
        <f t="shared" si="805"/>
        <v>0</v>
      </c>
      <c r="P1810" s="26"/>
      <c r="Q1810" s="28">
        <f t="shared" si="802"/>
        <v>2000</v>
      </c>
      <c r="R1810" s="28">
        <f t="shared" si="803"/>
        <v>0</v>
      </c>
      <c r="S1810" s="28">
        <f t="shared" si="803"/>
        <v>2000</v>
      </c>
    </row>
    <row r="1811" spans="2:19" x14ac:dyDescent="0.2">
      <c r="B1811" s="7">
        <f t="shared" si="811"/>
        <v>75</v>
      </c>
      <c r="C1811" s="24"/>
      <c r="D1811" s="24"/>
      <c r="E1811" s="24"/>
      <c r="F1811" s="136"/>
      <c r="G1811" s="136"/>
      <c r="H1811" s="1" t="s">
        <v>2</v>
      </c>
      <c r="I1811" s="22">
        <v>2000</v>
      </c>
      <c r="J1811" s="22"/>
      <c r="K1811" s="22">
        <f t="shared" si="804"/>
        <v>2000</v>
      </c>
      <c r="L1811" s="22"/>
      <c r="M1811" s="26"/>
      <c r="N1811" s="26"/>
      <c r="O1811" s="26">
        <f t="shared" si="805"/>
        <v>0</v>
      </c>
      <c r="P1811" s="26"/>
      <c r="Q1811" s="28">
        <f t="shared" si="802"/>
        <v>2000</v>
      </c>
      <c r="R1811" s="28">
        <f t="shared" si="803"/>
        <v>0</v>
      </c>
      <c r="S1811" s="28">
        <f t="shared" si="803"/>
        <v>2000</v>
      </c>
    </row>
    <row r="1812" spans="2:19" ht="15" x14ac:dyDescent="0.25">
      <c r="B1812" s="7">
        <f t="shared" si="811"/>
        <v>76</v>
      </c>
      <c r="C1812" s="29"/>
      <c r="D1812" s="29">
        <v>2</v>
      </c>
      <c r="E1812" s="441" t="s">
        <v>59</v>
      </c>
      <c r="F1812" s="442"/>
      <c r="G1812" s="442"/>
      <c r="H1812" s="442"/>
      <c r="I1812" s="30">
        <f>I1813</f>
        <v>1381580</v>
      </c>
      <c r="J1812" s="30">
        <f t="shared" ref="J1812" si="812">J1813</f>
        <v>-6300</v>
      </c>
      <c r="K1812" s="30">
        <f t="shared" si="804"/>
        <v>1375280</v>
      </c>
      <c r="L1812" s="321"/>
      <c r="M1812" s="30">
        <f>M1813</f>
        <v>52500</v>
      </c>
      <c r="N1812" s="30">
        <f t="shared" ref="N1812" si="813">N1813</f>
        <v>0</v>
      </c>
      <c r="O1812" s="30">
        <f t="shared" si="805"/>
        <v>52500</v>
      </c>
      <c r="P1812" s="321"/>
      <c r="Q1812" s="32">
        <f t="shared" si="802"/>
        <v>1434080</v>
      </c>
      <c r="R1812" s="32">
        <f t="shared" si="803"/>
        <v>-6300</v>
      </c>
      <c r="S1812" s="32">
        <f t="shared" si="803"/>
        <v>1427780</v>
      </c>
    </row>
    <row r="1813" spans="2:19" ht="15" x14ac:dyDescent="0.25">
      <c r="B1813" s="7">
        <f t="shared" si="811"/>
        <v>77</v>
      </c>
      <c r="C1813" s="108"/>
      <c r="D1813" s="108"/>
      <c r="E1813" s="108">
        <v>5</v>
      </c>
      <c r="F1813" s="109"/>
      <c r="G1813" s="109"/>
      <c r="H1813" s="108" t="s">
        <v>104</v>
      </c>
      <c r="I1813" s="110">
        <f>I1814+I1815+I1816+I1824</f>
        <v>1381580</v>
      </c>
      <c r="J1813" s="110">
        <f t="shared" ref="J1813" si="814">J1814+J1815+J1816+J1824</f>
        <v>-6300</v>
      </c>
      <c r="K1813" s="110">
        <f t="shared" si="804"/>
        <v>1375280</v>
      </c>
      <c r="L1813" s="321"/>
      <c r="M1813" s="110">
        <f>M1825</f>
        <v>52500</v>
      </c>
      <c r="N1813" s="110">
        <f t="shared" ref="N1813" si="815">N1825</f>
        <v>0</v>
      </c>
      <c r="O1813" s="110">
        <f t="shared" si="805"/>
        <v>52500</v>
      </c>
      <c r="P1813" s="321"/>
      <c r="Q1813" s="112">
        <f t="shared" si="802"/>
        <v>1434080</v>
      </c>
      <c r="R1813" s="112">
        <f t="shared" si="803"/>
        <v>-6300</v>
      </c>
      <c r="S1813" s="112">
        <f t="shared" si="803"/>
        <v>1427780</v>
      </c>
    </row>
    <row r="1814" spans="2:19" x14ac:dyDescent="0.2">
      <c r="B1814" s="7">
        <f t="shared" si="811"/>
        <v>78</v>
      </c>
      <c r="C1814" s="13"/>
      <c r="D1814" s="13"/>
      <c r="E1814" s="13"/>
      <c r="F1814" s="14" t="s">
        <v>78</v>
      </c>
      <c r="G1814" s="15">
        <v>610</v>
      </c>
      <c r="H1814" s="13" t="s">
        <v>511</v>
      </c>
      <c r="I1814" s="16">
        <v>634837</v>
      </c>
      <c r="J1814" s="16"/>
      <c r="K1814" s="16">
        <f t="shared" si="804"/>
        <v>634837</v>
      </c>
      <c r="L1814" s="16"/>
      <c r="M1814" s="16"/>
      <c r="N1814" s="16"/>
      <c r="O1814" s="16">
        <f t="shared" si="805"/>
        <v>0</v>
      </c>
      <c r="P1814" s="16"/>
      <c r="Q1814" s="18">
        <f t="shared" si="802"/>
        <v>634837</v>
      </c>
      <c r="R1814" s="18">
        <f t="shared" si="803"/>
        <v>0</v>
      </c>
      <c r="S1814" s="18">
        <f t="shared" si="803"/>
        <v>634837</v>
      </c>
    </row>
    <row r="1815" spans="2:19" x14ac:dyDescent="0.2">
      <c r="B1815" s="7">
        <f t="shared" si="811"/>
        <v>79</v>
      </c>
      <c r="C1815" s="13"/>
      <c r="D1815" s="13"/>
      <c r="E1815" s="13"/>
      <c r="F1815" s="14" t="s">
        <v>78</v>
      </c>
      <c r="G1815" s="15">
        <v>620</v>
      </c>
      <c r="H1815" s="13" t="s">
        <v>122</v>
      </c>
      <c r="I1815" s="16">
        <v>246964</v>
      </c>
      <c r="J1815" s="16"/>
      <c r="K1815" s="16">
        <f t="shared" si="804"/>
        <v>246964</v>
      </c>
      <c r="L1815" s="16"/>
      <c r="M1815" s="16"/>
      <c r="N1815" s="16"/>
      <c r="O1815" s="16">
        <f t="shared" si="805"/>
        <v>0</v>
      </c>
      <c r="P1815" s="16"/>
      <c r="Q1815" s="18">
        <f t="shared" si="802"/>
        <v>246964</v>
      </c>
      <c r="R1815" s="18">
        <f t="shared" si="803"/>
        <v>0</v>
      </c>
      <c r="S1815" s="18">
        <f t="shared" si="803"/>
        <v>246964</v>
      </c>
    </row>
    <row r="1816" spans="2:19" x14ac:dyDescent="0.2">
      <c r="B1816" s="7">
        <f t="shared" si="811"/>
        <v>80</v>
      </c>
      <c r="C1816" s="13"/>
      <c r="D1816" s="13"/>
      <c r="E1816" s="13"/>
      <c r="F1816" s="14" t="s">
        <v>78</v>
      </c>
      <c r="G1816" s="15">
        <v>630</v>
      </c>
      <c r="H1816" s="13" t="s">
        <v>119</v>
      </c>
      <c r="I1816" s="16">
        <f>SUM(I1817:I1823)</f>
        <v>467065</v>
      </c>
      <c r="J1816" s="16">
        <f t="shared" ref="J1816" si="816">SUM(J1817:J1823)</f>
        <v>-1300</v>
      </c>
      <c r="K1816" s="16">
        <f t="shared" si="804"/>
        <v>465765</v>
      </c>
      <c r="L1816" s="16"/>
      <c r="M1816" s="16"/>
      <c r="N1816" s="16"/>
      <c r="O1816" s="16">
        <f t="shared" si="805"/>
        <v>0</v>
      </c>
      <c r="P1816" s="16"/>
      <c r="Q1816" s="18">
        <f t="shared" si="802"/>
        <v>467065</v>
      </c>
      <c r="R1816" s="18">
        <f t="shared" si="803"/>
        <v>-1300</v>
      </c>
      <c r="S1816" s="18">
        <f t="shared" si="803"/>
        <v>465765</v>
      </c>
    </row>
    <row r="1817" spans="2:19" x14ac:dyDescent="0.2">
      <c r="B1817" s="7">
        <f t="shared" si="811"/>
        <v>81</v>
      </c>
      <c r="C1817" s="19"/>
      <c r="D1817" s="19"/>
      <c r="E1817" s="19"/>
      <c r="F1817" s="20"/>
      <c r="G1817" s="21">
        <v>631</v>
      </c>
      <c r="H1817" s="19" t="s">
        <v>125</v>
      </c>
      <c r="I1817" s="22">
        <v>50</v>
      </c>
      <c r="J1817" s="22"/>
      <c r="K1817" s="22">
        <f t="shared" si="804"/>
        <v>50</v>
      </c>
      <c r="L1817" s="22"/>
      <c r="M1817" s="22"/>
      <c r="N1817" s="22"/>
      <c r="O1817" s="22">
        <f t="shared" si="805"/>
        <v>0</v>
      </c>
      <c r="P1817" s="22"/>
      <c r="Q1817" s="23">
        <f t="shared" si="802"/>
        <v>50</v>
      </c>
      <c r="R1817" s="23">
        <f t="shared" ref="R1817:S1832" si="817">N1817+J1817</f>
        <v>0</v>
      </c>
      <c r="S1817" s="23">
        <f t="shared" si="817"/>
        <v>50</v>
      </c>
    </row>
    <row r="1818" spans="2:19" x14ac:dyDescent="0.2">
      <c r="B1818" s="7">
        <f t="shared" si="811"/>
        <v>82</v>
      </c>
      <c r="C1818" s="19"/>
      <c r="D1818" s="19"/>
      <c r="E1818" s="19"/>
      <c r="F1818" s="20"/>
      <c r="G1818" s="21">
        <v>632</v>
      </c>
      <c r="H1818" s="19" t="s">
        <v>131</v>
      </c>
      <c r="I1818" s="22">
        <v>129230</v>
      </c>
      <c r="J1818" s="22"/>
      <c r="K1818" s="22">
        <f t="shared" si="804"/>
        <v>129230</v>
      </c>
      <c r="L1818" s="22"/>
      <c r="M1818" s="22"/>
      <c r="N1818" s="22"/>
      <c r="O1818" s="22">
        <f t="shared" si="805"/>
        <v>0</v>
      </c>
      <c r="P1818" s="22"/>
      <c r="Q1818" s="23">
        <f t="shared" si="802"/>
        <v>129230</v>
      </c>
      <c r="R1818" s="23">
        <f t="shared" si="817"/>
        <v>0</v>
      </c>
      <c r="S1818" s="23">
        <f t="shared" si="817"/>
        <v>129230</v>
      </c>
    </row>
    <row r="1819" spans="2:19" x14ac:dyDescent="0.2">
      <c r="B1819" s="7">
        <f t="shared" si="811"/>
        <v>83</v>
      </c>
      <c r="C1819" s="19"/>
      <c r="D1819" s="19"/>
      <c r="E1819" s="19"/>
      <c r="F1819" s="20"/>
      <c r="G1819" s="21">
        <v>633</v>
      </c>
      <c r="H1819" s="19" t="s">
        <v>123</v>
      </c>
      <c r="I1819" s="22">
        <f>74480-5000-15000</f>
        <v>54480</v>
      </c>
      <c r="J1819" s="22"/>
      <c r="K1819" s="22">
        <f t="shared" si="804"/>
        <v>54480</v>
      </c>
      <c r="L1819" s="22"/>
      <c r="M1819" s="22"/>
      <c r="N1819" s="22"/>
      <c r="O1819" s="22">
        <f t="shared" si="805"/>
        <v>0</v>
      </c>
      <c r="P1819" s="22"/>
      <c r="Q1819" s="23">
        <f t="shared" si="802"/>
        <v>54480</v>
      </c>
      <c r="R1819" s="23">
        <f t="shared" si="817"/>
        <v>0</v>
      </c>
      <c r="S1819" s="23">
        <f t="shared" si="817"/>
        <v>54480</v>
      </c>
    </row>
    <row r="1820" spans="2:19" x14ac:dyDescent="0.2">
      <c r="B1820" s="7">
        <f t="shared" si="811"/>
        <v>84</v>
      </c>
      <c r="C1820" s="19"/>
      <c r="D1820" s="19"/>
      <c r="E1820" s="19"/>
      <c r="F1820" s="20"/>
      <c r="G1820" s="21">
        <v>634</v>
      </c>
      <c r="H1820" s="19" t="s">
        <v>129</v>
      </c>
      <c r="I1820" s="22">
        <v>3500</v>
      </c>
      <c r="J1820" s="22">
        <v>700</v>
      </c>
      <c r="K1820" s="22">
        <f t="shared" si="804"/>
        <v>4200</v>
      </c>
      <c r="L1820" s="22"/>
      <c r="M1820" s="22"/>
      <c r="N1820" s="22"/>
      <c r="O1820" s="22">
        <f t="shared" si="805"/>
        <v>0</v>
      </c>
      <c r="P1820" s="22"/>
      <c r="Q1820" s="23">
        <f t="shared" si="802"/>
        <v>3500</v>
      </c>
      <c r="R1820" s="23">
        <f t="shared" si="817"/>
        <v>700</v>
      </c>
      <c r="S1820" s="23">
        <f t="shared" si="817"/>
        <v>4200</v>
      </c>
    </row>
    <row r="1821" spans="2:19" x14ac:dyDescent="0.2">
      <c r="B1821" s="7">
        <f t="shared" si="811"/>
        <v>85</v>
      </c>
      <c r="C1821" s="19"/>
      <c r="D1821" s="19"/>
      <c r="E1821" s="19"/>
      <c r="F1821" s="20"/>
      <c r="G1821" s="21">
        <v>635</v>
      </c>
      <c r="H1821" s="19" t="s">
        <v>130</v>
      </c>
      <c r="I1821" s="22">
        <f>14000+15000</f>
        <v>29000</v>
      </c>
      <c r="J1821" s="22">
        <v>-7000</v>
      </c>
      <c r="K1821" s="22">
        <f t="shared" si="804"/>
        <v>22000</v>
      </c>
      <c r="L1821" s="22"/>
      <c r="M1821" s="22"/>
      <c r="N1821" s="22"/>
      <c r="O1821" s="22">
        <f t="shared" si="805"/>
        <v>0</v>
      </c>
      <c r="P1821" s="22"/>
      <c r="Q1821" s="23">
        <f t="shared" si="802"/>
        <v>29000</v>
      </c>
      <c r="R1821" s="23">
        <f t="shared" si="817"/>
        <v>-7000</v>
      </c>
      <c r="S1821" s="23">
        <f t="shared" si="817"/>
        <v>22000</v>
      </c>
    </row>
    <row r="1822" spans="2:19" x14ac:dyDescent="0.2">
      <c r="B1822" s="7">
        <f t="shared" si="811"/>
        <v>86</v>
      </c>
      <c r="C1822" s="19"/>
      <c r="D1822" s="19"/>
      <c r="E1822" s="19"/>
      <c r="F1822" s="20"/>
      <c r="G1822" s="21">
        <v>636</v>
      </c>
      <c r="H1822" s="19" t="s">
        <v>124</v>
      </c>
      <c r="I1822" s="22">
        <v>300</v>
      </c>
      <c r="J1822" s="22"/>
      <c r="K1822" s="22">
        <f t="shared" si="804"/>
        <v>300</v>
      </c>
      <c r="L1822" s="22"/>
      <c r="M1822" s="22"/>
      <c r="N1822" s="22"/>
      <c r="O1822" s="22">
        <f t="shared" si="805"/>
        <v>0</v>
      </c>
      <c r="P1822" s="22"/>
      <c r="Q1822" s="23">
        <f t="shared" si="802"/>
        <v>300</v>
      </c>
      <c r="R1822" s="23">
        <f t="shared" si="817"/>
        <v>0</v>
      </c>
      <c r="S1822" s="23">
        <f t="shared" si="817"/>
        <v>300</v>
      </c>
    </row>
    <row r="1823" spans="2:19" x14ac:dyDescent="0.2">
      <c r="B1823" s="7">
        <f t="shared" si="811"/>
        <v>87</v>
      </c>
      <c r="C1823" s="19"/>
      <c r="D1823" s="19"/>
      <c r="E1823" s="19"/>
      <c r="F1823" s="20"/>
      <c r="G1823" s="21">
        <v>637</v>
      </c>
      <c r="H1823" s="19" t="s">
        <v>120</v>
      </c>
      <c r="I1823" s="22">
        <v>250505</v>
      </c>
      <c r="J1823" s="22">
        <v>5000</v>
      </c>
      <c r="K1823" s="22">
        <f t="shared" si="804"/>
        <v>255505</v>
      </c>
      <c r="L1823" s="22"/>
      <c r="M1823" s="22"/>
      <c r="N1823" s="22"/>
      <c r="O1823" s="22">
        <f t="shared" si="805"/>
        <v>0</v>
      </c>
      <c r="P1823" s="22"/>
      <c r="Q1823" s="23">
        <f t="shared" si="802"/>
        <v>250505</v>
      </c>
      <c r="R1823" s="23">
        <f t="shared" si="817"/>
        <v>5000</v>
      </c>
      <c r="S1823" s="23">
        <f t="shared" si="817"/>
        <v>255505</v>
      </c>
    </row>
    <row r="1824" spans="2:19" x14ac:dyDescent="0.2">
      <c r="B1824" s="7">
        <f t="shared" si="811"/>
        <v>88</v>
      </c>
      <c r="C1824" s="13"/>
      <c r="D1824" s="13"/>
      <c r="E1824" s="13"/>
      <c r="F1824" s="14" t="s">
        <v>78</v>
      </c>
      <c r="G1824" s="15">
        <v>640</v>
      </c>
      <c r="H1824" s="13" t="s">
        <v>127</v>
      </c>
      <c r="I1824" s="16">
        <v>32714</v>
      </c>
      <c r="J1824" s="16">
        <v>-5000</v>
      </c>
      <c r="K1824" s="16">
        <f t="shared" si="804"/>
        <v>27714</v>
      </c>
      <c r="L1824" s="16"/>
      <c r="M1824" s="16"/>
      <c r="N1824" s="16"/>
      <c r="O1824" s="16">
        <f t="shared" si="805"/>
        <v>0</v>
      </c>
      <c r="P1824" s="16"/>
      <c r="Q1824" s="18">
        <f t="shared" si="802"/>
        <v>32714</v>
      </c>
      <c r="R1824" s="18">
        <f t="shared" si="817"/>
        <v>-5000</v>
      </c>
      <c r="S1824" s="18">
        <f t="shared" si="817"/>
        <v>27714</v>
      </c>
    </row>
    <row r="1825" spans="2:19" x14ac:dyDescent="0.2">
      <c r="B1825" s="7">
        <f t="shared" si="811"/>
        <v>89</v>
      </c>
      <c r="C1825" s="13"/>
      <c r="D1825" s="13"/>
      <c r="E1825" s="13"/>
      <c r="F1825" s="14" t="s">
        <v>78</v>
      </c>
      <c r="G1825" s="15">
        <v>710</v>
      </c>
      <c r="H1825" s="13" t="s">
        <v>171</v>
      </c>
      <c r="I1825" s="16"/>
      <c r="J1825" s="16"/>
      <c r="K1825" s="16">
        <f t="shared" si="804"/>
        <v>0</v>
      </c>
      <c r="L1825" s="16"/>
      <c r="M1825" s="16">
        <f>M1826+M1828</f>
        <v>52500</v>
      </c>
      <c r="N1825" s="16">
        <f t="shared" ref="N1825" si="818">N1826+N1828</f>
        <v>0</v>
      </c>
      <c r="O1825" s="16">
        <f t="shared" si="805"/>
        <v>52500</v>
      </c>
      <c r="P1825" s="16"/>
      <c r="Q1825" s="18">
        <f t="shared" si="802"/>
        <v>52500</v>
      </c>
      <c r="R1825" s="18">
        <f t="shared" si="817"/>
        <v>0</v>
      </c>
      <c r="S1825" s="18">
        <f t="shared" si="817"/>
        <v>52500</v>
      </c>
    </row>
    <row r="1826" spans="2:19" x14ac:dyDescent="0.2">
      <c r="B1826" s="7">
        <f t="shared" si="811"/>
        <v>90</v>
      </c>
      <c r="C1826" s="19"/>
      <c r="D1826" s="19"/>
      <c r="E1826" s="19"/>
      <c r="F1826" s="20"/>
      <c r="G1826" s="21">
        <v>713</v>
      </c>
      <c r="H1826" s="19" t="s">
        <v>215</v>
      </c>
      <c r="I1826" s="22"/>
      <c r="J1826" s="22"/>
      <c r="K1826" s="22">
        <f t="shared" si="804"/>
        <v>0</v>
      </c>
      <c r="L1826" s="22"/>
      <c r="M1826" s="22">
        <f>M1827</f>
        <v>7500</v>
      </c>
      <c r="N1826" s="22">
        <f t="shared" ref="N1826" si="819">N1827</f>
        <v>0</v>
      </c>
      <c r="O1826" s="22">
        <f t="shared" si="805"/>
        <v>7500</v>
      </c>
      <c r="P1826" s="22"/>
      <c r="Q1826" s="23">
        <f t="shared" si="802"/>
        <v>7500</v>
      </c>
      <c r="R1826" s="23">
        <f t="shared" si="817"/>
        <v>0</v>
      </c>
      <c r="S1826" s="23">
        <f t="shared" si="817"/>
        <v>7500</v>
      </c>
    </row>
    <row r="1827" spans="2:19" x14ac:dyDescent="0.2">
      <c r="B1827" s="7">
        <f t="shared" si="811"/>
        <v>91</v>
      </c>
      <c r="C1827" s="24"/>
      <c r="D1827" s="24"/>
      <c r="E1827" s="24"/>
      <c r="F1827" s="169"/>
      <c r="G1827" s="136"/>
      <c r="H1827" s="1" t="s">
        <v>381</v>
      </c>
      <c r="I1827" s="26"/>
      <c r="J1827" s="26"/>
      <c r="K1827" s="26">
        <f t="shared" si="804"/>
        <v>0</v>
      </c>
      <c r="L1827" s="26"/>
      <c r="M1827" s="26">
        <v>7500</v>
      </c>
      <c r="N1827" s="26"/>
      <c r="O1827" s="26">
        <f t="shared" si="805"/>
        <v>7500</v>
      </c>
      <c r="P1827" s="26"/>
      <c r="Q1827" s="28">
        <f t="shared" si="802"/>
        <v>7500</v>
      </c>
      <c r="R1827" s="28">
        <f t="shared" si="817"/>
        <v>0</v>
      </c>
      <c r="S1827" s="28">
        <f t="shared" si="817"/>
        <v>7500</v>
      </c>
    </row>
    <row r="1828" spans="2:19" x14ac:dyDescent="0.2">
      <c r="B1828" s="7">
        <f t="shared" si="811"/>
        <v>92</v>
      </c>
      <c r="C1828" s="19"/>
      <c r="D1828" s="19"/>
      <c r="E1828" s="19"/>
      <c r="F1828" s="20"/>
      <c r="G1828" s="21">
        <v>717</v>
      </c>
      <c r="H1828" s="19" t="s">
        <v>178</v>
      </c>
      <c r="I1828" s="22"/>
      <c r="J1828" s="22"/>
      <c r="K1828" s="22">
        <f t="shared" si="804"/>
        <v>0</v>
      </c>
      <c r="L1828" s="22"/>
      <c r="M1828" s="22">
        <f>SUM(M1829:M1830)</f>
        <v>45000</v>
      </c>
      <c r="N1828" s="22">
        <f t="shared" ref="N1828" si="820">SUM(N1829:N1830)</f>
        <v>0</v>
      </c>
      <c r="O1828" s="22">
        <f t="shared" si="805"/>
        <v>45000</v>
      </c>
      <c r="P1828" s="22"/>
      <c r="Q1828" s="23">
        <f t="shared" si="802"/>
        <v>45000</v>
      </c>
      <c r="R1828" s="23">
        <f t="shared" si="817"/>
        <v>0</v>
      </c>
      <c r="S1828" s="23">
        <f t="shared" si="817"/>
        <v>45000</v>
      </c>
    </row>
    <row r="1829" spans="2:19" x14ac:dyDescent="0.2">
      <c r="B1829" s="7">
        <f t="shared" si="811"/>
        <v>93</v>
      </c>
      <c r="C1829" s="24"/>
      <c r="D1829" s="24"/>
      <c r="E1829" s="24"/>
      <c r="F1829" s="169"/>
      <c r="G1829" s="136"/>
      <c r="H1829" s="1" t="s">
        <v>564</v>
      </c>
      <c r="I1829" s="27"/>
      <c r="J1829" s="27"/>
      <c r="K1829" s="27">
        <f t="shared" si="804"/>
        <v>0</v>
      </c>
      <c r="L1829" s="27"/>
      <c r="M1829" s="26">
        <v>30000</v>
      </c>
      <c r="N1829" s="26"/>
      <c r="O1829" s="26">
        <f t="shared" si="805"/>
        <v>30000</v>
      </c>
      <c r="P1829" s="26"/>
      <c r="Q1829" s="50">
        <f t="shared" si="802"/>
        <v>30000</v>
      </c>
      <c r="R1829" s="50">
        <f t="shared" si="817"/>
        <v>0</v>
      </c>
      <c r="S1829" s="50">
        <f t="shared" si="817"/>
        <v>30000</v>
      </c>
    </row>
    <row r="1830" spans="2:19" x14ac:dyDescent="0.2">
      <c r="B1830" s="7">
        <f t="shared" si="811"/>
        <v>94</v>
      </c>
      <c r="C1830" s="24"/>
      <c r="D1830" s="24"/>
      <c r="E1830" s="24"/>
      <c r="F1830" s="169"/>
      <c r="G1830" s="136"/>
      <c r="H1830" s="1" t="s">
        <v>565</v>
      </c>
      <c r="I1830" s="27"/>
      <c r="J1830" s="27"/>
      <c r="K1830" s="27">
        <f t="shared" si="804"/>
        <v>0</v>
      </c>
      <c r="L1830" s="27"/>
      <c r="M1830" s="26">
        <v>15000</v>
      </c>
      <c r="N1830" s="26"/>
      <c r="O1830" s="26">
        <f t="shared" si="805"/>
        <v>15000</v>
      </c>
      <c r="P1830" s="26"/>
      <c r="Q1830" s="50">
        <f t="shared" si="802"/>
        <v>15000</v>
      </c>
      <c r="R1830" s="50">
        <f t="shared" si="817"/>
        <v>0</v>
      </c>
      <c r="S1830" s="50">
        <f t="shared" si="817"/>
        <v>15000</v>
      </c>
    </row>
    <row r="1831" spans="2:19" ht="15" x14ac:dyDescent="0.25">
      <c r="B1831" s="7">
        <f t="shared" si="811"/>
        <v>95</v>
      </c>
      <c r="C1831" s="29"/>
      <c r="D1831" s="29">
        <v>3</v>
      </c>
      <c r="E1831" s="441" t="s">
        <v>345</v>
      </c>
      <c r="F1831" s="442"/>
      <c r="G1831" s="442"/>
      <c r="H1831" s="442"/>
      <c r="I1831" s="30">
        <f>I1832</f>
        <v>45646</v>
      </c>
      <c r="J1831" s="30">
        <f t="shared" ref="J1831" si="821">J1832</f>
        <v>0</v>
      </c>
      <c r="K1831" s="30">
        <f t="shared" si="804"/>
        <v>45646</v>
      </c>
      <c r="L1831" s="321"/>
      <c r="M1831" s="30"/>
      <c r="N1831" s="30"/>
      <c r="O1831" s="30">
        <f t="shared" si="805"/>
        <v>0</v>
      </c>
      <c r="P1831" s="321"/>
      <c r="Q1831" s="32">
        <f t="shared" si="802"/>
        <v>45646</v>
      </c>
      <c r="R1831" s="32">
        <f t="shared" si="817"/>
        <v>0</v>
      </c>
      <c r="S1831" s="32">
        <f t="shared" si="817"/>
        <v>45646</v>
      </c>
    </row>
    <row r="1832" spans="2:19" x14ac:dyDescent="0.2">
      <c r="B1832" s="7">
        <f t="shared" si="811"/>
        <v>96</v>
      </c>
      <c r="C1832" s="13"/>
      <c r="D1832" s="13"/>
      <c r="E1832" s="13"/>
      <c r="F1832" s="14" t="s">
        <v>78</v>
      </c>
      <c r="G1832" s="15">
        <v>630</v>
      </c>
      <c r="H1832" s="13" t="s">
        <v>119</v>
      </c>
      <c r="I1832" s="16">
        <f>SUM(I1833:I1836)</f>
        <v>45646</v>
      </c>
      <c r="J1832" s="16">
        <f t="shared" ref="J1832" si="822">SUM(J1833:J1836)</f>
        <v>0</v>
      </c>
      <c r="K1832" s="16">
        <f t="shared" si="804"/>
        <v>45646</v>
      </c>
      <c r="L1832" s="16"/>
      <c r="M1832" s="16"/>
      <c r="N1832" s="16"/>
      <c r="O1832" s="16">
        <f t="shared" si="805"/>
        <v>0</v>
      </c>
      <c r="P1832" s="16"/>
      <c r="Q1832" s="18">
        <f t="shared" si="802"/>
        <v>45646</v>
      </c>
      <c r="R1832" s="18">
        <f t="shared" si="817"/>
        <v>0</v>
      </c>
      <c r="S1832" s="18">
        <f t="shared" si="817"/>
        <v>45646</v>
      </c>
    </row>
    <row r="1833" spans="2:19" x14ac:dyDescent="0.2">
      <c r="B1833" s="7">
        <f t="shared" si="811"/>
        <v>97</v>
      </c>
      <c r="C1833" s="19"/>
      <c r="D1833" s="19"/>
      <c r="E1833" s="19"/>
      <c r="F1833" s="20"/>
      <c r="G1833" s="21">
        <v>632</v>
      </c>
      <c r="H1833" s="19" t="s">
        <v>131</v>
      </c>
      <c r="I1833" s="22">
        <v>35000</v>
      </c>
      <c r="J1833" s="22"/>
      <c r="K1833" s="22">
        <f t="shared" si="804"/>
        <v>35000</v>
      </c>
      <c r="L1833" s="22"/>
      <c r="M1833" s="22"/>
      <c r="N1833" s="22"/>
      <c r="O1833" s="22">
        <f t="shared" si="805"/>
        <v>0</v>
      </c>
      <c r="P1833" s="22"/>
      <c r="Q1833" s="23">
        <f t="shared" ref="Q1833:Q1867" si="823">M1833+I1833</f>
        <v>35000</v>
      </c>
      <c r="R1833" s="23">
        <f t="shared" ref="R1833:S1848" si="824">N1833+J1833</f>
        <v>0</v>
      </c>
      <c r="S1833" s="23">
        <f t="shared" si="824"/>
        <v>35000</v>
      </c>
    </row>
    <row r="1834" spans="2:19" x14ac:dyDescent="0.2">
      <c r="B1834" s="7">
        <f t="shared" si="811"/>
        <v>98</v>
      </c>
      <c r="C1834" s="19"/>
      <c r="D1834" s="19"/>
      <c r="E1834" s="19"/>
      <c r="F1834" s="20"/>
      <c r="G1834" s="21">
        <v>633</v>
      </c>
      <c r="H1834" s="19" t="s">
        <v>123</v>
      </c>
      <c r="I1834" s="22">
        <f>500+1496</f>
        <v>1996</v>
      </c>
      <c r="J1834" s="22"/>
      <c r="K1834" s="22">
        <f t="shared" si="804"/>
        <v>1996</v>
      </c>
      <c r="L1834" s="22"/>
      <c r="M1834" s="22"/>
      <c r="N1834" s="22"/>
      <c r="O1834" s="22">
        <f t="shared" si="805"/>
        <v>0</v>
      </c>
      <c r="P1834" s="22"/>
      <c r="Q1834" s="23">
        <f t="shared" si="823"/>
        <v>1996</v>
      </c>
      <c r="R1834" s="23">
        <f t="shared" si="824"/>
        <v>0</v>
      </c>
      <c r="S1834" s="23">
        <f t="shared" si="824"/>
        <v>1996</v>
      </c>
    </row>
    <row r="1835" spans="2:19" x14ac:dyDescent="0.2">
      <c r="B1835" s="7">
        <f t="shared" si="811"/>
        <v>99</v>
      </c>
      <c r="C1835" s="19"/>
      <c r="D1835" s="19"/>
      <c r="E1835" s="19"/>
      <c r="F1835" s="20"/>
      <c r="G1835" s="21">
        <v>635</v>
      </c>
      <c r="H1835" s="19" t="s">
        <v>130</v>
      </c>
      <c r="I1835" s="22">
        <v>4500</v>
      </c>
      <c r="J1835" s="22"/>
      <c r="K1835" s="22">
        <f t="shared" si="804"/>
        <v>4500</v>
      </c>
      <c r="L1835" s="22"/>
      <c r="M1835" s="22"/>
      <c r="N1835" s="22"/>
      <c r="O1835" s="22">
        <f t="shared" si="805"/>
        <v>0</v>
      </c>
      <c r="P1835" s="22"/>
      <c r="Q1835" s="23">
        <f t="shared" si="823"/>
        <v>4500</v>
      </c>
      <c r="R1835" s="23">
        <f t="shared" si="824"/>
        <v>0</v>
      </c>
      <c r="S1835" s="23">
        <f t="shared" si="824"/>
        <v>4500</v>
      </c>
    </row>
    <row r="1836" spans="2:19" x14ac:dyDescent="0.2">
      <c r="B1836" s="7">
        <f t="shared" si="811"/>
        <v>100</v>
      </c>
      <c r="C1836" s="19"/>
      <c r="D1836" s="19"/>
      <c r="E1836" s="19"/>
      <c r="F1836" s="20"/>
      <c r="G1836" s="21">
        <v>637</v>
      </c>
      <c r="H1836" s="19" t="s">
        <v>120</v>
      </c>
      <c r="I1836" s="22">
        <v>4150</v>
      </c>
      <c r="J1836" s="22"/>
      <c r="K1836" s="22">
        <f t="shared" si="804"/>
        <v>4150</v>
      </c>
      <c r="L1836" s="22"/>
      <c r="M1836" s="22"/>
      <c r="N1836" s="22"/>
      <c r="O1836" s="22">
        <f t="shared" si="805"/>
        <v>0</v>
      </c>
      <c r="P1836" s="22"/>
      <c r="Q1836" s="23">
        <f t="shared" si="823"/>
        <v>4150</v>
      </c>
      <c r="R1836" s="23">
        <f t="shared" si="824"/>
        <v>0</v>
      </c>
      <c r="S1836" s="23">
        <f t="shared" si="824"/>
        <v>4150</v>
      </c>
    </row>
    <row r="1837" spans="2:19" ht="15" x14ac:dyDescent="0.2">
      <c r="B1837" s="7">
        <f t="shared" si="811"/>
        <v>101</v>
      </c>
      <c r="C1837" s="10">
        <v>6</v>
      </c>
      <c r="D1837" s="420" t="s">
        <v>226</v>
      </c>
      <c r="E1837" s="421"/>
      <c r="F1837" s="421"/>
      <c r="G1837" s="421"/>
      <c r="H1837" s="421"/>
      <c r="I1837" s="11">
        <f>I1840+I1838</f>
        <v>2416584</v>
      </c>
      <c r="J1837" s="11">
        <f t="shared" ref="J1837" si="825">J1840+J1838</f>
        <v>-13150</v>
      </c>
      <c r="K1837" s="11">
        <f t="shared" si="804"/>
        <v>2403434</v>
      </c>
      <c r="L1837" s="320"/>
      <c r="M1837" s="11">
        <f>M1840</f>
        <v>210000</v>
      </c>
      <c r="N1837" s="11">
        <f t="shared" ref="N1837" si="826">N1840</f>
        <v>16500</v>
      </c>
      <c r="O1837" s="11">
        <f t="shared" si="805"/>
        <v>226500</v>
      </c>
      <c r="P1837" s="320"/>
      <c r="Q1837" s="35">
        <f t="shared" si="823"/>
        <v>2626584</v>
      </c>
      <c r="R1837" s="35">
        <f t="shared" si="824"/>
        <v>3350</v>
      </c>
      <c r="S1837" s="35">
        <f t="shared" si="824"/>
        <v>2629934</v>
      </c>
    </row>
    <row r="1838" spans="2:19" ht="15" x14ac:dyDescent="0.2">
      <c r="B1838" s="7">
        <f t="shared" si="811"/>
        <v>102</v>
      </c>
      <c r="C1838" s="13"/>
      <c r="D1838" s="13"/>
      <c r="E1838" s="13"/>
      <c r="F1838" s="14" t="s">
        <v>77</v>
      </c>
      <c r="G1838" s="15">
        <v>630</v>
      </c>
      <c r="H1838" s="13" t="s">
        <v>119</v>
      </c>
      <c r="I1838" s="16">
        <f>I1839</f>
        <v>9024</v>
      </c>
      <c r="J1838" s="16">
        <f t="shared" ref="J1838" si="827">J1839</f>
        <v>0</v>
      </c>
      <c r="K1838" s="16">
        <f t="shared" si="804"/>
        <v>9024</v>
      </c>
      <c r="L1838" s="320"/>
      <c r="M1838" s="22"/>
      <c r="N1838" s="22"/>
      <c r="O1838" s="22">
        <f t="shared" si="805"/>
        <v>0</v>
      </c>
      <c r="P1838" s="320"/>
      <c r="Q1838" s="18">
        <f t="shared" si="823"/>
        <v>9024</v>
      </c>
      <c r="R1838" s="18">
        <f t="shared" si="824"/>
        <v>0</v>
      </c>
      <c r="S1838" s="18">
        <f t="shared" si="824"/>
        <v>9024</v>
      </c>
    </row>
    <row r="1839" spans="2:19" ht="15" x14ac:dyDescent="0.2">
      <c r="B1839" s="7">
        <f t="shared" si="811"/>
        <v>103</v>
      </c>
      <c r="C1839" s="19"/>
      <c r="D1839" s="19"/>
      <c r="E1839" s="19"/>
      <c r="F1839" s="20"/>
      <c r="G1839" s="21">
        <v>637</v>
      </c>
      <c r="H1839" s="19" t="s">
        <v>120</v>
      </c>
      <c r="I1839" s="22">
        <v>9024</v>
      </c>
      <c r="J1839" s="22"/>
      <c r="K1839" s="22">
        <f t="shared" si="804"/>
        <v>9024</v>
      </c>
      <c r="L1839" s="320"/>
      <c r="M1839" s="22"/>
      <c r="N1839" s="22"/>
      <c r="O1839" s="22">
        <f t="shared" si="805"/>
        <v>0</v>
      </c>
      <c r="P1839" s="320"/>
      <c r="Q1839" s="23">
        <f t="shared" si="823"/>
        <v>9024</v>
      </c>
      <c r="R1839" s="23">
        <f t="shared" si="824"/>
        <v>0</v>
      </c>
      <c r="S1839" s="23">
        <f t="shared" si="824"/>
        <v>9024</v>
      </c>
    </row>
    <row r="1840" spans="2:19" ht="15" x14ac:dyDescent="0.25">
      <c r="B1840" s="7">
        <f t="shared" si="811"/>
        <v>104</v>
      </c>
      <c r="C1840" s="108"/>
      <c r="D1840" s="108"/>
      <c r="E1840" s="108">
        <v>5</v>
      </c>
      <c r="F1840" s="109"/>
      <c r="G1840" s="109"/>
      <c r="H1840" s="108" t="s">
        <v>104</v>
      </c>
      <c r="I1840" s="110">
        <f>I1841+I1842+I1843+I1851</f>
        <v>2407560</v>
      </c>
      <c r="J1840" s="110">
        <f t="shared" ref="J1840" si="828">J1841+J1842+J1843+J1851</f>
        <v>-13150</v>
      </c>
      <c r="K1840" s="110">
        <f t="shared" si="804"/>
        <v>2394410</v>
      </c>
      <c r="L1840" s="321"/>
      <c r="M1840" s="110">
        <f>M1852</f>
        <v>210000</v>
      </c>
      <c r="N1840" s="110">
        <f t="shared" ref="N1840" si="829">N1852</f>
        <v>16500</v>
      </c>
      <c r="O1840" s="110">
        <f t="shared" si="805"/>
        <v>226500</v>
      </c>
      <c r="P1840" s="321"/>
      <c r="Q1840" s="112">
        <f t="shared" si="823"/>
        <v>2617560</v>
      </c>
      <c r="R1840" s="112">
        <f t="shared" si="824"/>
        <v>3350</v>
      </c>
      <c r="S1840" s="112">
        <f t="shared" si="824"/>
        <v>2620910</v>
      </c>
    </row>
    <row r="1841" spans="2:19" x14ac:dyDescent="0.2">
      <c r="B1841" s="7">
        <f t="shared" si="811"/>
        <v>105</v>
      </c>
      <c r="C1841" s="13"/>
      <c r="D1841" s="13"/>
      <c r="E1841" s="13"/>
      <c r="F1841" s="14" t="s">
        <v>77</v>
      </c>
      <c r="G1841" s="15">
        <v>610</v>
      </c>
      <c r="H1841" s="13" t="s">
        <v>511</v>
      </c>
      <c r="I1841" s="16">
        <v>1164235</v>
      </c>
      <c r="J1841" s="16"/>
      <c r="K1841" s="16">
        <f t="shared" si="804"/>
        <v>1164235</v>
      </c>
      <c r="L1841" s="16"/>
      <c r="M1841" s="16"/>
      <c r="N1841" s="16"/>
      <c r="O1841" s="16">
        <f t="shared" si="805"/>
        <v>0</v>
      </c>
      <c r="P1841" s="16"/>
      <c r="Q1841" s="18">
        <f t="shared" si="823"/>
        <v>1164235</v>
      </c>
      <c r="R1841" s="18">
        <f t="shared" si="824"/>
        <v>0</v>
      </c>
      <c r="S1841" s="18">
        <f t="shared" si="824"/>
        <v>1164235</v>
      </c>
    </row>
    <row r="1842" spans="2:19" x14ac:dyDescent="0.2">
      <c r="B1842" s="7">
        <f t="shared" si="811"/>
        <v>106</v>
      </c>
      <c r="C1842" s="13"/>
      <c r="D1842" s="13"/>
      <c r="E1842" s="13"/>
      <c r="F1842" s="14" t="s">
        <v>77</v>
      </c>
      <c r="G1842" s="15">
        <v>620</v>
      </c>
      <c r="H1842" s="13" t="s">
        <v>122</v>
      </c>
      <c r="I1842" s="16">
        <v>432031</v>
      </c>
      <c r="J1842" s="16"/>
      <c r="K1842" s="16">
        <f t="shared" si="804"/>
        <v>432031</v>
      </c>
      <c r="L1842" s="16"/>
      <c r="M1842" s="16"/>
      <c r="N1842" s="16"/>
      <c r="O1842" s="16">
        <f t="shared" si="805"/>
        <v>0</v>
      </c>
      <c r="P1842" s="16"/>
      <c r="Q1842" s="18">
        <f t="shared" si="823"/>
        <v>432031</v>
      </c>
      <c r="R1842" s="18">
        <f t="shared" si="824"/>
        <v>0</v>
      </c>
      <c r="S1842" s="18">
        <f t="shared" si="824"/>
        <v>432031</v>
      </c>
    </row>
    <row r="1843" spans="2:19" x14ac:dyDescent="0.2">
      <c r="B1843" s="7">
        <f t="shared" si="811"/>
        <v>107</v>
      </c>
      <c r="C1843" s="13"/>
      <c r="D1843" s="13"/>
      <c r="E1843" s="13"/>
      <c r="F1843" s="14" t="s">
        <v>77</v>
      </c>
      <c r="G1843" s="15">
        <v>630</v>
      </c>
      <c r="H1843" s="13" t="s">
        <v>119</v>
      </c>
      <c r="I1843" s="16">
        <f>SUM(I1844:I1850)</f>
        <v>735757</v>
      </c>
      <c r="J1843" s="16">
        <f t="shared" ref="J1843" si="830">SUM(J1844:J1850)</f>
        <v>-13150</v>
      </c>
      <c r="K1843" s="16">
        <f t="shared" si="804"/>
        <v>722607</v>
      </c>
      <c r="L1843" s="16"/>
      <c r="M1843" s="16"/>
      <c r="N1843" s="16"/>
      <c r="O1843" s="16">
        <f t="shared" si="805"/>
        <v>0</v>
      </c>
      <c r="P1843" s="16"/>
      <c r="Q1843" s="18">
        <f t="shared" si="823"/>
        <v>735757</v>
      </c>
      <c r="R1843" s="18">
        <f t="shared" si="824"/>
        <v>-13150</v>
      </c>
      <c r="S1843" s="18">
        <f t="shared" si="824"/>
        <v>722607</v>
      </c>
    </row>
    <row r="1844" spans="2:19" x14ac:dyDescent="0.2">
      <c r="B1844" s="7">
        <f t="shared" si="811"/>
        <v>108</v>
      </c>
      <c r="C1844" s="19"/>
      <c r="D1844" s="19"/>
      <c r="E1844" s="19"/>
      <c r="F1844" s="20"/>
      <c r="G1844" s="21">
        <v>631</v>
      </c>
      <c r="H1844" s="19" t="s">
        <v>125</v>
      </c>
      <c r="I1844" s="22">
        <v>100</v>
      </c>
      <c r="J1844" s="22"/>
      <c r="K1844" s="22">
        <f t="shared" si="804"/>
        <v>100</v>
      </c>
      <c r="L1844" s="22"/>
      <c r="M1844" s="22"/>
      <c r="N1844" s="22"/>
      <c r="O1844" s="22">
        <f t="shared" si="805"/>
        <v>0</v>
      </c>
      <c r="P1844" s="22"/>
      <c r="Q1844" s="23">
        <f t="shared" si="823"/>
        <v>100</v>
      </c>
      <c r="R1844" s="23">
        <f t="shared" si="824"/>
        <v>0</v>
      </c>
      <c r="S1844" s="23">
        <f t="shared" si="824"/>
        <v>100</v>
      </c>
    </row>
    <row r="1845" spans="2:19" x14ac:dyDescent="0.2">
      <c r="B1845" s="7">
        <f t="shared" si="811"/>
        <v>109</v>
      </c>
      <c r="C1845" s="19"/>
      <c r="D1845" s="19"/>
      <c r="E1845" s="19"/>
      <c r="F1845" s="20"/>
      <c r="G1845" s="21">
        <v>632</v>
      </c>
      <c r="H1845" s="19" t="s">
        <v>131</v>
      </c>
      <c r="I1845" s="22">
        <v>163500</v>
      </c>
      <c r="J1845" s="22"/>
      <c r="K1845" s="22">
        <f t="shared" si="804"/>
        <v>163500</v>
      </c>
      <c r="L1845" s="22"/>
      <c r="M1845" s="22"/>
      <c r="N1845" s="22"/>
      <c r="O1845" s="22">
        <f t="shared" si="805"/>
        <v>0</v>
      </c>
      <c r="P1845" s="22"/>
      <c r="Q1845" s="23">
        <f t="shared" si="823"/>
        <v>163500</v>
      </c>
      <c r="R1845" s="23">
        <f t="shared" si="824"/>
        <v>0</v>
      </c>
      <c r="S1845" s="23">
        <f t="shared" si="824"/>
        <v>163500</v>
      </c>
    </row>
    <row r="1846" spans="2:19" x14ac:dyDescent="0.2">
      <c r="B1846" s="7">
        <f t="shared" si="811"/>
        <v>110</v>
      </c>
      <c r="C1846" s="19"/>
      <c r="D1846" s="19"/>
      <c r="E1846" s="19"/>
      <c r="F1846" s="20"/>
      <c r="G1846" s="21">
        <v>633</v>
      </c>
      <c r="H1846" s="19" t="s">
        <v>123</v>
      </c>
      <c r="I1846" s="22">
        <f>71056+4700</f>
        <v>75756</v>
      </c>
      <c r="J1846" s="22"/>
      <c r="K1846" s="22">
        <f t="shared" si="804"/>
        <v>75756</v>
      </c>
      <c r="L1846" s="22"/>
      <c r="M1846" s="22"/>
      <c r="N1846" s="22"/>
      <c r="O1846" s="22">
        <f t="shared" si="805"/>
        <v>0</v>
      </c>
      <c r="P1846" s="22"/>
      <c r="Q1846" s="23">
        <f t="shared" si="823"/>
        <v>75756</v>
      </c>
      <c r="R1846" s="23">
        <f t="shared" si="824"/>
        <v>0</v>
      </c>
      <c r="S1846" s="23">
        <f t="shared" si="824"/>
        <v>75756</v>
      </c>
    </row>
    <row r="1847" spans="2:19" x14ac:dyDescent="0.2">
      <c r="B1847" s="7">
        <f t="shared" si="811"/>
        <v>111</v>
      </c>
      <c r="C1847" s="19"/>
      <c r="D1847" s="19"/>
      <c r="E1847" s="19"/>
      <c r="F1847" s="20"/>
      <c r="G1847" s="21">
        <v>634</v>
      </c>
      <c r="H1847" s="19" t="s">
        <v>129</v>
      </c>
      <c r="I1847" s="22">
        <v>3300</v>
      </c>
      <c r="J1847" s="22">
        <v>1300</v>
      </c>
      <c r="K1847" s="22">
        <f t="shared" si="804"/>
        <v>4600</v>
      </c>
      <c r="L1847" s="22"/>
      <c r="M1847" s="22"/>
      <c r="N1847" s="22"/>
      <c r="O1847" s="22">
        <f t="shared" si="805"/>
        <v>0</v>
      </c>
      <c r="P1847" s="22"/>
      <c r="Q1847" s="23">
        <f t="shared" si="823"/>
        <v>3300</v>
      </c>
      <c r="R1847" s="23">
        <f t="shared" si="824"/>
        <v>1300</v>
      </c>
      <c r="S1847" s="23">
        <f t="shared" si="824"/>
        <v>4600</v>
      </c>
    </row>
    <row r="1848" spans="2:19" x14ac:dyDescent="0.2">
      <c r="B1848" s="7">
        <f t="shared" si="811"/>
        <v>112</v>
      </c>
      <c r="C1848" s="19"/>
      <c r="D1848" s="19"/>
      <c r="E1848" s="19"/>
      <c r="F1848" s="20"/>
      <c r="G1848" s="21">
        <v>635</v>
      </c>
      <c r="H1848" s="19" t="s">
        <v>130</v>
      </c>
      <c r="I1848" s="22">
        <f>80801+5000</f>
        <v>85801</v>
      </c>
      <c r="J1848" s="22">
        <v>-29450</v>
      </c>
      <c r="K1848" s="22">
        <f t="shared" si="804"/>
        <v>56351</v>
      </c>
      <c r="L1848" s="22"/>
      <c r="M1848" s="22"/>
      <c r="N1848" s="22"/>
      <c r="O1848" s="22">
        <f t="shared" si="805"/>
        <v>0</v>
      </c>
      <c r="P1848" s="22"/>
      <c r="Q1848" s="23">
        <f t="shared" si="823"/>
        <v>85801</v>
      </c>
      <c r="R1848" s="23">
        <f t="shared" si="824"/>
        <v>-29450</v>
      </c>
      <c r="S1848" s="23">
        <f t="shared" si="824"/>
        <v>56351</v>
      </c>
    </row>
    <row r="1849" spans="2:19" x14ac:dyDescent="0.2">
      <c r="B1849" s="7">
        <f t="shared" si="811"/>
        <v>113</v>
      </c>
      <c r="C1849" s="19"/>
      <c r="D1849" s="19"/>
      <c r="E1849" s="19"/>
      <c r="F1849" s="20"/>
      <c r="G1849" s="21">
        <v>636</v>
      </c>
      <c r="H1849" s="19" t="s">
        <v>124</v>
      </c>
      <c r="I1849" s="22">
        <v>300</v>
      </c>
      <c r="J1849" s="22"/>
      <c r="K1849" s="22">
        <f t="shared" si="804"/>
        <v>300</v>
      </c>
      <c r="L1849" s="22"/>
      <c r="M1849" s="22"/>
      <c r="N1849" s="22"/>
      <c r="O1849" s="22">
        <f t="shared" si="805"/>
        <v>0</v>
      </c>
      <c r="P1849" s="22"/>
      <c r="Q1849" s="23">
        <f t="shared" si="823"/>
        <v>300</v>
      </c>
      <c r="R1849" s="23">
        <f t="shared" ref="R1849:S1867" si="831">N1849+J1849</f>
        <v>0</v>
      </c>
      <c r="S1849" s="23">
        <f t="shared" si="831"/>
        <v>300</v>
      </c>
    </row>
    <row r="1850" spans="2:19" x14ac:dyDescent="0.2">
      <c r="B1850" s="7">
        <f t="shared" si="811"/>
        <v>114</v>
      </c>
      <c r="C1850" s="19"/>
      <c r="D1850" s="19"/>
      <c r="E1850" s="19"/>
      <c r="F1850" s="20"/>
      <c r="G1850" s="21">
        <v>637</v>
      </c>
      <c r="H1850" s="19" t="s">
        <v>120</v>
      </c>
      <c r="I1850" s="22">
        <v>407000</v>
      </c>
      <c r="J1850" s="22">
        <v>15000</v>
      </c>
      <c r="K1850" s="22">
        <f t="shared" si="804"/>
        <v>422000</v>
      </c>
      <c r="L1850" s="22"/>
      <c r="M1850" s="22"/>
      <c r="N1850" s="22"/>
      <c r="O1850" s="22">
        <f t="shared" si="805"/>
        <v>0</v>
      </c>
      <c r="P1850" s="22"/>
      <c r="Q1850" s="23">
        <f t="shared" si="823"/>
        <v>407000</v>
      </c>
      <c r="R1850" s="23">
        <f t="shared" si="831"/>
        <v>15000</v>
      </c>
      <c r="S1850" s="23">
        <f t="shared" si="831"/>
        <v>422000</v>
      </c>
    </row>
    <row r="1851" spans="2:19" x14ac:dyDescent="0.2">
      <c r="B1851" s="7">
        <f t="shared" si="811"/>
        <v>115</v>
      </c>
      <c r="C1851" s="13"/>
      <c r="D1851" s="13"/>
      <c r="E1851" s="13"/>
      <c r="F1851" s="14" t="s">
        <v>77</v>
      </c>
      <c r="G1851" s="15">
        <v>640</v>
      </c>
      <c r="H1851" s="13" t="s">
        <v>127</v>
      </c>
      <c r="I1851" s="16">
        <v>75537</v>
      </c>
      <c r="J1851" s="16"/>
      <c r="K1851" s="16">
        <f t="shared" si="804"/>
        <v>75537</v>
      </c>
      <c r="L1851" s="16"/>
      <c r="M1851" s="16"/>
      <c r="N1851" s="16"/>
      <c r="O1851" s="16">
        <f t="shared" si="805"/>
        <v>0</v>
      </c>
      <c r="P1851" s="16"/>
      <c r="Q1851" s="18">
        <f t="shared" si="823"/>
        <v>75537</v>
      </c>
      <c r="R1851" s="18">
        <f t="shared" si="831"/>
        <v>0</v>
      </c>
      <c r="S1851" s="18">
        <f t="shared" si="831"/>
        <v>75537</v>
      </c>
    </row>
    <row r="1852" spans="2:19" x14ac:dyDescent="0.2">
      <c r="B1852" s="7">
        <f t="shared" si="811"/>
        <v>116</v>
      </c>
      <c r="C1852" s="13"/>
      <c r="D1852" s="13"/>
      <c r="E1852" s="13"/>
      <c r="F1852" s="14" t="s">
        <v>77</v>
      </c>
      <c r="G1852" s="15">
        <v>710</v>
      </c>
      <c r="H1852" s="13" t="s">
        <v>171</v>
      </c>
      <c r="I1852" s="16"/>
      <c r="J1852" s="16"/>
      <c r="K1852" s="16">
        <f t="shared" si="804"/>
        <v>0</v>
      </c>
      <c r="L1852" s="16"/>
      <c r="M1852" s="16">
        <f>M1855</f>
        <v>210000</v>
      </c>
      <c r="N1852" s="16">
        <f>N1855+N1853</f>
        <v>16500</v>
      </c>
      <c r="O1852" s="16">
        <f t="shared" si="805"/>
        <v>226500</v>
      </c>
      <c r="P1852" s="16"/>
      <c r="Q1852" s="18">
        <f t="shared" si="823"/>
        <v>210000</v>
      </c>
      <c r="R1852" s="18">
        <f t="shared" si="831"/>
        <v>16500</v>
      </c>
      <c r="S1852" s="18">
        <f t="shared" si="831"/>
        <v>226500</v>
      </c>
    </row>
    <row r="1853" spans="2:19" x14ac:dyDescent="0.2">
      <c r="B1853" s="7">
        <f t="shared" si="811"/>
        <v>117</v>
      </c>
      <c r="C1853" s="13"/>
      <c r="D1853" s="13"/>
      <c r="E1853" s="13"/>
      <c r="F1853" s="14"/>
      <c r="G1853" s="21">
        <v>714</v>
      </c>
      <c r="H1853" s="19" t="s">
        <v>172</v>
      </c>
      <c r="I1853" s="22"/>
      <c r="J1853" s="22"/>
      <c r="K1853" s="22"/>
      <c r="L1853" s="22"/>
      <c r="M1853" s="22">
        <v>0</v>
      </c>
      <c r="N1853" s="22">
        <f>N1854</f>
        <v>6500</v>
      </c>
      <c r="O1853" s="22">
        <f t="shared" ref="O1853:O1854" si="832">M1853+N1853</f>
        <v>6500</v>
      </c>
      <c r="P1853" s="22"/>
      <c r="Q1853" s="23">
        <f t="shared" ref="Q1853:Q1854" si="833">M1853+I1853</f>
        <v>0</v>
      </c>
      <c r="R1853" s="23">
        <f t="shared" ref="R1853:R1854" si="834">N1853+J1853</f>
        <v>6500</v>
      </c>
      <c r="S1853" s="23">
        <f t="shared" ref="S1853:S1854" si="835">O1853+K1853</f>
        <v>6500</v>
      </c>
    </row>
    <row r="1854" spans="2:19" x14ac:dyDescent="0.2">
      <c r="B1854" s="7">
        <f t="shared" si="811"/>
        <v>118</v>
      </c>
      <c r="C1854" s="13"/>
      <c r="D1854" s="13"/>
      <c r="E1854" s="13"/>
      <c r="F1854" s="14"/>
      <c r="G1854" s="21"/>
      <c r="H1854" s="1" t="s">
        <v>747</v>
      </c>
      <c r="I1854" s="26"/>
      <c r="J1854" s="26"/>
      <c r="K1854" s="26"/>
      <c r="L1854" s="26"/>
      <c r="M1854" s="26">
        <v>0</v>
      </c>
      <c r="N1854" s="26">
        <v>6500</v>
      </c>
      <c r="O1854" s="26">
        <f t="shared" si="832"/>
        <v>6500</v>
      </c>
      <c r="P1854" s="26"/>
      <c r="Q1854" s="28">
        <f t="shared" si="833"/>
        <v>0</v>
      </c>
      <c r="R1854" s="28">
        <f t="shared" si="834"/>
        <v>6500</v>
      </c>
      <c r="S1854" s="28">
        <f t="shared" si="835"/>
        <v>6500</v>
      </c>
    </row>
    <row r="1855" spans="2:19" x14ac:dyDescent="0.2">
      <c r="B1855" s="7">
        <f t="shared" si="811"/>
        <v>119</v>
      </c>
      <c r="C1855" s="19"/>
      <c r="D1855" s="19"/>
      <c r="E1855" s="19"/>
      <c r="F1855" s="20"/>
      <c r="G1855" s="21">
        <v>717</v>
      </c>
      <c r="H1855" s="19" t="s">
        <v>178</v>
      </c>
      <c r="I1855" s="22"/>
      <c r="J1855" s="22"/>
      <c r="K1855" s="22">
        <f t="shared" si="804"/>
        <v>0</v>
      </c>
      <c r="L1855" s="22"/>
      <c r="M1855" s="22">
        <f>SUM(M1856:M1858)</f>
        <v>210000</v>
      </c>
      <c r="N1855" s="22">
        <f>SUM(N1856:N1859)</f>
        <v>10000</v>
      </c>
      <c r="O1855" s="22">
        <f t="shared" si="805"/>
        <v>220000</v>
      </c>
      <c r="P1855" s="22"/>
      <c r="Q1855" s="23">
        <f t="shared" si="823"/>
        <v>210000</v>
      </c>
      <c r="R1855" s="23">
        <f t="shared" si="831"/>
        <v>10000</v>
      </c>
      <c r="S1855" s="23">
        <f t="shared" si="831"/>
        <v>220000</v>
      </c>
    </row>
    <row r="1856" spans="2:19" x14ac:dyDescent="0.2">
      <c r="B1856" s="7">
        <f t="shared" si="811"/>
        <v>120</v>
      </c>
      <c r="C1856" s="1"/>
      <c r="D1856" s="1"/>
      <c r="E1856" s="1"/>
      <c r="F1856" s="113"/>
      <c r="G1856" s="25"/>
      <c r="H1856" s="1" t="s">
        <v>398</v>
      </c>
      <c r="I1856" s="26"/>
      <c r="J1856" s="26"/>
      <c r="K1856" s="26">
        <f t="shared" si="804"/>
        <v>0</v>
      </c>
      <c r="L1856" s="26"/>
      <c r="M1856" s="26">
        <v>68000</v>
      </c>
      <c r="N1856" s="26"/>
      <c r="O1856" s="26">
        <f t="shared" si="805"/>
        <v>68000</v>
      </c>
      <c r="P1856" s="26"/>
      <c r="Q1856" s="28">
        <f t="shared" si="823"/>
        <v>68000</v>
      </c>
      <c r="R1856" s="28">
        <f t="shared" si="831"/>
        <v>0</v>
      </c>
      <c r="S1856" s="28">
        <f t="shared" si="831"/>
        <v>68000</v>
      </c>
    </row>
    <row r="1857" spans="2:19" x14ac:dyDescent="0.2">
      <c r="B1857" s="7">
        <f t="shared" si="811"/>
        <v>121</v>
      </c>
      <c r="C1857" s="1"/>
      <c r="D1857" s="1"/>
      <c r="E1857" s="1"/>
      <c r="F1857" s="113"/>
      <c r="G1857" s="25"/>
      <c r="H1857" s="1" t="s">
        <v>566</v>
      </c>
      <c r="I1857" s="26"/>
      <c r="J1857" s="26"/>
      <c r="K1857" s="26">
        <f t="shared" si="804"/>
        <v>0</v>
      </c>
      <c r="L1857" s="26"/>
      <c r="M1857" s="26">
        <v>135000</v>
      </c>
      <c r="N1857" s="26"/>
      <c r="O1857" s="26">
        <f t="shared" si="805"/>
        <v>135000</v>
      </c>
      <c r="P1857" s="26"/>
      <c r="Q1857" s="28">
        <f t="shared" si="823"/>
        <v>135000</v>
      </c>
      <c r="R1857" s="28">
        <f t="shared" si="831"/>
        <v>0</v>
      </c>
      <c r="S1857" s="28">
        <f t="shared" si="831"/>
        <v>135000</v>
      </c>
    </row>
    <row r="1858" spans="2:19" x14ac:dyDescent="0.2">
      <c r="B1858" s="7">
        <f t="shared" si="811"/>
        <v>122</v>
      </c>
      <c r="C1858" s="1"/>
      <c r="D1858" s="1"/>
      <c r="E1858" s="1"/>
      <c r="F1858" s="113"/>
      <c r="G1858" s="25"/>
      <c r="H1858" s="1" t="s">
        <v>567</v>
      </c>
      <c r="I1858" s="26"/>
      <c r="J1858" s="26"/>
      <c r="K1858" s="26">
        <f t="shared" si="804"/>
        <v>0</v>
      </c>
      <c r="L1858" s="26"/>
      <c r="M1858" s="26">
        <v>7000</v>
      </c>
      <c r="N1858" s="26"/>
      <c r="O1858" s="26">
        <f t="shared" si="805"/>
        <v>7000</v>
      </c>
      <c r="P1858" s="26"/>
      <c r="Q1858" s="28">
        <f t="shared" si="823"/>
        <v>7000</v>
      </c>
      <c r="R1858" s="28">
        <f t="shared" si="831"/>
        <v>0</v>
      </c>
      <c r="S1858" s="28">
        <f t="shared" si="831"/>
        <v>7000</v>
      </c>
    </row>
    <row r="1859" spans="2:19" x14ac:dyDescent="0.2">
      <c r="B1859" s="7">
        <f t="shared" si="811"/>
        <v>123</v>
      </c>
      <c r="C1859" s="1"/>
      <c r="D1859" s="1"/>
      <c r="E1859" s="1"/>
      <c r="F1859" s="113"/>
      <c r="G1859" s="25"/>
      <c r="H1859" s="1" t="s">
        <v>748</v>
      </c>
      <c r="I1859" s="26"/>
      <c r="J1859" s="26"/>
      <c r="K1859" s="26"/>
      <c r="L1859" s="26"/>
      <c r="M1859" s="26">
        <v>0</v>
      </c>
      <c r="N1859" s="26">
        <v>10000</v>
      </c>
      <c r="O1859" s="26">
        <f t="shared" si="805"/>
        <v>10000</v>
      </c>
      <c r="P1859" s="26"/>
      <c r="Q1859" s="28">
        <f t="shared" ref="Q1859" si="836">M1859+I1859</f>
        <v>0</v>
      </c>
      <c r="R1859" s="28">
        <f t="shared" ref="R1859" si="837">N1859+J1859</f>
        <v>10000</v>
      </c>
      <c r="S1859" s="28">
        <f t="shared" ref="S1859" si="838">O1859+K1859</f>
        <v>10000</v>
      </c>
    </row>
    <row r="1860" spans="2:19" ht="15" x14ac:dyDescent="0.2">
      <c r="B1860" s="7">
        <f t="shared" si="811"/>
        <v>124</v>
      </c>
      <c r="C1860" s="10">
        <v>7</v>
      </c>
      <c r="D1860" s="420" t="s">
        <v>52</v>
      </c>
      <c r="E1860" s="421"/>
      <c r="F1860" s="421"/>
      <c r="G1860" s="421"/>
      <c r="H1860" s="421"/>
      <c r="I1860" s="11">
        <f>I1863+I1861</f>
        <v>1274360</v>
      </c>
      <c r="J1860" s="11">
        <f t="shared" ref="J1860" si="839">J1863+J1861</f>
        <v>0</v>
      </c>
      <c r="K1860" s="11">
        <f t="shared" si="804"/>
        <v>1274360</v>
      </c>
      <c r="L1860" s="320"/>
      <c r="M1860" s="11"/>
      <c r="N1860" s="11"/>
      <c r="O1860" s="11">
        <f t="shared" si="805"/>
        <v>0</v>
      </c>
      <c r="P1860" s="320"/>
      <c r="Q1860" s="35">
        <f t="shared" si="823"/>
        <v>1274360</v>
      </c>
      <c r="R1860" s="35">
        <f t="shared" si="831"/>
        <v>0</v>
      </c>
      <c r="S1860" s="35">
        <f t="shared" si="831"/>
        <v>1274360</v>
      </c>
    </row>
    <row r="1861" spans="2:19" ht="15" x14ac:dyDescent="0.2">
      <c r="B1861" s="7">
        <f t="shared" si="811"/>
        <v>125</v>
      </c>
      <c r="C1861" s="13"/>
      <c r="D1861" s="13"/>
      <c r="E1861" s="13"/>
      <c r="F1861" s="14" t="s">
        <v>77</v>
      </c>
      <c r="G1861" s="15">
        <v>630</v>
      </c>
      <c r="H1861" s="13" t="s">
        <v>119</v>
      </c>
      <c r="I1861" s="16">
        <f>I1862</f>
        <v>2726</v>
      </c>
      <c r="J1861" s="16">
        <f t="shared" ref="J1861" si="840">J1862</f>
        <v>0</v>
      </c>
      <c r="K1861" s="16">
        <f t="shared" si="804"/>
        <v>2726</v>
      </c>
      <c r="L1861" s="320"/>
      <c r="M1861" s="22"/>
      <c r="N1861" s="22"/>
      <c r="O1861" s="22">
        <f t="shared" si="805"/>
        <v>0</v>
      </c>
      <c r="P1861" s="320"/>
      <c r="Q1861" s="18">
        <f t="shared" si="823"/>
        <v>2726</v>
      </c>
      <c r="R1861" s="18">
        <f t="shared" si="831"/>
        <v>0</v>
      </c>
      <c r="S1861" s="18">
        <f t="shared" si="831"/>
        <v>2726</v>
      </c>
    </row>
    <row r="1862" spans="2:19" ht="15" x14ac:dyDescent="0.2">
      <c r="B1862" s="7">
        <f t="shared" si="811"/>
        <v>126</v>
      </c>
      <c r="C1862" s="19"/>
      <c r="D1862" s="19"/>
      <c r="E1862" s="19"/>
      <c r="F1862" s="20"/>
      <c r="G1862" s="21">
        <v>637</v>
      </c>
      <c r="H1862" s="19" t="s">
        <v>120</v>
      </c>
      <c r="I1862" s="22">
        <v>2726</v>
      </c>
      <c r="J1862" s="22"/>
      <c r="K1862" s="22">
        <f t="shared" si="804"/>
        <v>2726</v>
      </c>
      <c r="L1862" s="320"/>
      <c r="M1862" s="22"/>
      <c r="N1862" s="22"/>
      <c r="O1862" s="22">
        <f t="shared" si="805"/>
        <v>0</v>
      </c>
      <c r="P1862" s="320"/>
      <c r="Q1862" s="23">
        <f t="shared" si="823"/>
        <v>2726</v>
      </c>
      <c r="R1862" s="23">
        <f t="shared" si="831"/>
        <v>0</v>
      </c>
      <c r="S1862" s="23">
        <f t="shared" si="831"/>
        <v>2726</v>
      </c>
    </row>
    <row r="1863" spans="2:19" ht="15" x14ac:dyDescent="0.25">
      <c r="B1863" s="7">
        <f t="shared" si="811"/>
        <v>127</v>
      </c>
      <c r="C1863" s="108"/>
      <c r="D1863" s="108"/>
      <c r="E1863" s="108">
        <v>5</v>
      </c>
      <c r="F1863" s="109"/>
      <c r="G1863" s="109"/>
      <c r="H1863" s="108" t="s">
        <v>104</v>
      </c>
      <c r="I1863" s="110">
        <f>I1864+I1865+I1866+I1873</f>
        <v>1271634</v>
      </c>
      <c r="J1863" s="110">
        <f t="shared" ref="J1863" si="841">J1864+J1865+J1866+J1873</f>
        <v>0</v>
      </c>
      <c r="K1863" s="110">
        <f t="shared" si="804"/>
        <v>1271634</v>
      </c>
      <c r="L1863" s="321"/>
      <c r="M1863" s="110"/>
      <c r="N1863" s="110"/>
      <c r="O1863" s="110">
        <f t="shared" si="805"/>
        <v>0</v>
      </c>
      <c r="P1863" s="321"/>
      <c r="Q1863" s="112">
        <f t="shared" si="823"/>
        <v>1271634</v>
      </c>
      <c r="R1863" s="112">
        <f t="shared" si="831"/>
        <v>0</v>
      </c>
      <c r="S1863" s="112">
        <f t="shared" si="831"/>
        <v>1271634</v>
      </c>
    </row>
    <row r="1864" spans="2:19" x14ac:dyDescent="0.2">
      <c r="B1864" s="7">
        <f t="shared" si="811"/>
        <v>128</v>
      </c>
      <c r="C1864" s="13"/>
      <c r="D1864" s="13"/>
      <c r="E1864" s="13"/>
      <c r="F1864" s="14" t="s">
        <v>77</v>
      </c>
      <c r="G1864" s="15">
        <v>610</v>
      </c>
      <c r="H1864" s="13" t="s">
        <v>511</v>
      </c>
      <c r="I1864" s="16">
        <f>777204+65000</f>
        <v>842204</v>
      </c>
      <c r="J1864" s="16"/>
      <c r="K1864" s="16">
        <f t="shared" si="804"/>
        <v>842204</v>
      </c>
      <c r="L1864" s="16"/>
      <c r="M1864" s="16"/>
      <c r="N1864" s="16"/>
      <c r="O1864" s="16">
        <f t="shared" si="805"/>
        <v>0</v>
      </c>
      <c r="P1864" s="16"/>
      <c r="Q1864" s="18">
        <f t="shared" si="823"/>
        <v>842204</v>
      </c>
      <c r="R1864" s="18">
        <f t="shared" si="831"/>
        <v>0</v>
      </c>
      <c r="S1864" s="18">
        <f t="shared" si="831"/>
        <v>842204</v>
      </c>
    </row>
    <row r="1865" spans="2:19" x14ac:dyDescent="0.2">
      <c r="B1865" s="7">
        <f t="shared" si="811"/>
        <v>129</v>
      </c>
      <c r="C1865" s="13"/>
      <c r="D1865" s="13"/>
      <c r="E1865" s="13"/>
      <c r="F1865" s="14" t="s">
        <v>77</v>
      </c>
      <c r="G1865" s="15">
        <v>620</v>
      </c>
      <c r="H1865" s="13" t="s">
        <v>122</v>
      </c>
      <c r="I1865" s="16">
        <f>289468+20000</f>
        <v>309468</v>
      </c>
      <c r="J1865" s="16"/>
      <c r="K1865" s="16">
        <f t="shared" si="804"/>
        <v>309468</v>
      </c>
      <c r="L1865" s="16"/>
      <c r="M1865" s="16"/>
      <c r="N1865" s="16"/>
      <c r="O1865" s="16">
        <f t="shared" si="805"/>
        <v>0</v>
      </c>
      <c r="P1865" s="16"/>
      <c r="Q1865" s="18">
        <f t="shared" si="823"/>
        <v>309468</v>
      </c>
      <c r="R1865" s="18">
        <f t="shared" si="831"/>
        <v>0</v>
      </c>
      <c r="S1865" s="18">
        <f t="shared" si="831"/>
        <v>309468</v>
      </c>
    </row>
    <row r="1866" spans="2:19" x14ac:dyDescent="0.2">
      <c r="B1866" s="7">
        <f t="shared" ref="B1866:B1904" si="842">B1865+1</f>
        <v>130</v>
      </c>
      <c r="C1866" s="13"/>
      <c r="D1866" s="13"/>
      <c r="E1866" s="13"/>
      <c r="F1866" s="14" t="s">
        <v>77</v>
      </c>
      <c r="G1866" s="15">
        <v>630</v>
      </c>
      <c r="H1866" s="13" t="s">
        <v>119</v>
      </c>
      <c r="I1866" s="16">
        <f>SUM(I1867:I1872)</f>
        <v>42150</v>
      </c>
      <c r="J1866" s="16">
        <f t="shared" ref="J1866" si="843">SUM(J1867:J1872)</f>
        <v>0</v>
      </c>
      <c r="K1866" s="16">
        <f t="shared" si="804"/>
        <v>42150</v>
      </c>
      <c r="L1866" s="16"/>
      <c r="M1866" s="16"/>
      <c r="N1866" s="16"/>
      <c r="O1866" s="16">
        <f t="shared" si="805"/>
        <v>0</v>
      </c>
      <c r="P1866" s="16"/>
      <c r="Q1866" s="18">
        <f t="shared" si="823"/>
        <v>42150</v>
      </c>
      <c r="R1866" s="18">
        <f t="shared" si="831"/>
        <v>0</v>
      </c>
      <c r="S1866" s="18">
        <f t="shared" si="831"/>
        <v>42150</v>
      </c>
    </row>
    <row r="1867" spans="2:19" x14ac:dyDescent="0.2">
      <c r="B1867" s="7">
        <f t="shared" si="842"/>
        <v>131</v>
      </c>
      <c r="C1867" s="19"/>
      <c r="D1867" s="19"/>
      <c r="E1867" s="19"/>
      <c r="F1867" s="20"/>
      <c r="G1867" s="21">
        <v>631</v>
      </c>
      <c r="H1867" s="19" t="s">
        <v>125</v>
      </c>
      <c r="I1867" s="22">
        <v>100</v>
      </c>
      <c r="J1867" s="22"/>
      <c r="K1867" s="22">
        <f t="shared" si="804"/>
        <v>100</v>
      </c>
      <c r="L1867" s="22"/>
      <c r="M1867" s="22"/>
      <c r="N1867" s="22"/>
      <c r="O1867" s="22">
        <f t="shared" si="805"/>
        <v>0</v>
      </c>
      <c r="P1867" s="22"/>
      <c r="Q1867" s="23">
        <f t="shared" si="823"/>
        <v>100</v>
      </c>
      <c r="R1867" s="23">
        <f t="shared" si="831"/>
        <v>0</v>
      </c>
      <c r="S1867" s="23">
        <f t="shared" si="831"/>
        <v>100</v>
      </c>
    </row>
    <row r="1868" spans="2:19" x14ac:dyDescent="0.2">
      <c r="B1868" s="7">
        <f t="shared" si="842"/>
        <v>132</v>
      </c>
      <c r="C1868" s="19"/>
      <c r="D1868" s="19"/>
      <c r="E1868" s="19"/>
      <c r="F1868" s="20"/>
      <c r="G1868" s="21">
        <v>632</v>
      </c>
      <c r="H1868" s="19" t="s">
        <v>131</v>
      </c>
      <c r="I1868" s="22">
        <v>830</v>
      </c>
      <c r="J1868" s="22"/>
      <c r="K1868" s="22">
        <f t="shared" si="804"/>
        <v>830</v>
      </c>
      <c r="L1868" s="22"/>
      <c r="M1868" s="22"/>
      <c r="N1868" s="22"/>
      <c r="O1868" s="22">
        <f t="shared" si="805"/>
        <v>0</v>
      </c>
      <c r="P1868" s="22"/>
      <c r="Q1868" s="23">
        <f t="shared" ref="Q1868:Q1904" si="844">M1868+I1868</f>
        <v>830</v>
      </c>
      <c r="R1868" s="23">
        <f t="shared" ref="R1868:S1883" si="845">N1868+J1868</f>
        <v>0</v>
      </c>
      <c r="S1868" s="23">
        <f t="shared" si="845"/>
        <v>830</v>
      </c>
    </row>
    <row r="1869" spans="2:19" x14ac:dyDescent="0.2">
      <c r="B1869" s="7">
        <f t="shared" si="842"/>
        <v>133</v>
      </c>
      <c r="C1869" s="19"/>
      <c r="D1869" s="19"/>
      <c r="E1869" s="19"/>
      <c r="F1869" s="20"/>
      <c r="G1869" s="21">
        <v>633</v>
      </c>
      <c r="H1869" s="19" t="s">
        <v>123</v>
      </c>
      <c r="I1869" s="22">
        <v>6100</v>
      </c>
      <c r="J1869" s="22"/>
      <c r="K1869" s="22">
        <f t="shared" ref="K1869:K1904" si="846">I1869+J1869</f>
        <v>6100</v>
      </c>
      <c r="L1869" s="22"/>
      <c r="M1869" s="22"/>
      <c r="N1869" s="22"/>
      <c r="O1869" s="22">
        <f t="shared" ref="O1869:O1904" si="847">M1869+N1869</f>
        <v>0</v>
      </c>
      <c r="P1869" s="22"/>
      <c r="Q1869" s="23">
        <f t="shared" si="844"/>
        <v>6100</v>
      </c>
      <c r="R1869" s="23">
        <f t="shared" si="845"/>
        <v>0</v>
      </c>
      <c r="S1869" s="23">
        <f t="shared" si="845"/>
        <v>6100</v>
      </c>
    </row>
    <row r="1870" spans="2:19" x14ac:dyDescent="0.2">
      <c r="B1870" s="7">
        <f t="shared" si="842"/>
        <v>134</v>
      </c>
      <c r="C1870" s="19"/>
      <c r="D1870" s="19"/>
      <c r="E1870" s="19"/>
      <c r="F1870" s="20"/>
      <c r="G1870" s="21">
        <v>634</v>
      </c>
      <c r="H1870" s="19" t="s">
        <v>129</v>
      </c>
      <c r="I1870" s="22">
        <v>7700</v>
      </c>
      <c r="J1870" s="22"/>
      <c r="K1870" s="22">
        <f t="shared" si="846"/>
        <v>7700</v>
      </c>
      <c r="L1870" s="22"/>
      <c r="M1870" s="22"/>
      <c r="N1870" s="22"/>
      <c r="O1870" s="22">
        <f t="shared" si="847"/>
        <v>0</v>
      </c>
      <c r="P1870" s="22"/>
      <c r="Q1870" s="23">
        <f t="shared" si="844"/>
        <v>7700</v>
      </c>
      <c r="R1870" s="23">
        <f t="shared" si="845"/>
        <v>0</v>
      </c>
      <c r="S1870" s="23">
        <f t="shared" si="845"/>
        <v>7700</v>
      </c>
    </row>
    <row r="1871" spans="2:19" x14ac:dyDescent="0.2">
      <c r="B1871" s="7">
        <f t="shared" si="842"/>
        <v>135</v>
      </c>
      <c r="C1871" s="19"/>
      <c r="D1871" s="19"/>
      <c r="E1871" s="19"/>
      <c r="F1871" s="20"/>
      <c r="G1871" s="21">
        <v>636</v>
      </c>
      <c r="H1871" s="19" t="s">
        <v>124</v>
      </c>
      <c r="I1871" s="22">
        <v>300</v>
      </c>
      <c r="J1871" s="22"/>
      <c r="K1871" s="22">
        <f t="shared" si="846"/>
        <v>300</v>
      </c>
      <c r="L1871" s="22"/>
      <c r="M1871" s="22"/>
      <c r="N1871" s="22"/>
      <c r="O1871" s="22">
        <f t="shared" si="847"/>
        <v>0</v>
      </c>
      <c r="P1871" s="22"/>
      <c r="Q1871" s="23">
        <f t="shared" si="844"/>
        <v>300</v>
      </c>
      <c r="R1871" s="23">
        <f t="shared" si="845"/>
        <v>0</v>
      </c>
      <c r="S1871" s="23">
        <f t="shared" si="845"/>
        <v>300</v>
      </c>
    </row>
    <row r="1872" spans="2:19" x14ac:dyDescent="0.2">
      <c r="B1872" s="7">
        <f t="shared" si="842"/>
        <v>136</v>
      </c>
      <c r="C1872" s="19"/>
      <c r="D1872" s="19"/>
      <c r="E1872" s="19"/>
      <c r="F1872" s="20"/>
      <c r="G1872" s="21">
        <v>637</v>
      </c>
      <c r="H1872" s="19" t="s">
        <v>120</v>
      </c>
      <c r="I1872" s="22">
        <v>27120</v>
      </c>
      <c r="J1872" s="22"/>
      <c r="K1872" s="22">
        <f t="shared" si="846"/>
        <v>27120</v>
      </c>
      <c r="L1872" s="22"/>
      <c r="M1872" s="22"/>
      <c r="N1872" s="22"/>
      <c r="O1872" s="22">
        <f t="shared" si="847"/>
        <v>0</v>
      </c>
      <c r="P1872" s="22"/>
      <c r="Q1872" s="23">
        <f t="shared" si="844"/>
        <v>27120</v>
      </c>
      <c r="R1872" s="23">
        <f t="shared" si="845"/>
        <v>0</v>
      </c>
      <c r="S1872" s="23">
        <f t="shared" si="845"/>
        <v>27120</v>
      </c>
    </row>
    <row r="1873" spans="2:19" x14ac:dyDescent="0.2">
      <c r="B1873" s="7">
        <f t="shared" si="842"/>
        <v>137</v>
      </c>
      <c r="C1873" s="13"/>
      <c r="D1873" s="13"/>
      <c r="E1873" s="13"/>
      <c r="F1873" s="14" t="s">
        <v>77</v>
      </c>
      <c r="G1873" s="15">
        <v>640</v>
      </c>
      <c r="H1873" s="13" t="s">
        <v>127</v>
      </c>
      <c r="I1873" s="16">
        <v>77812</v>
      </c>
      <c r="J1873" s="16"/>
      <c r="K1873" s="16">
        <f t="shared" si="846"/>
        <v>77812</v>
      </c>
      <c r="L1873" s="16"/>
      <c r="M1873" s="16"/>
      <c r="N1873" s="16"/>
      <c r="O1873" s="16">
        <f t="shared" si="847"/>
        <v>0</v>
      </c>
      <c r="P1873" s="16"/>
      <c r="Q1873" s="18">
        <f t="shared" si="844"/>
        <v>77812</v>
      </c>
      <c r="R1873" s="18">
        <f t="shared" si="845"/>
        <v>0</v>
      </c>
      <c r="S1873" s="18">
        <f t="shared" si="845"/>
        <v>77812</v>
      </c>
    </row>
    <row r="1874" spans="2:19" ht="15" x14ac:dyDescent="0.2">
      <c r="B1874" s="7">
        <f t="shared" si="842"/>
        <v>138</v>
      </c>
      <c r="C1874" s="10">
        <v>8</v>
      </c>
      <c r="D1874" s="420" t="s">
        <v>190</v>
      </c>
      <c r="E1874" s="421"/>
      <c r="F1874" s="421"/>
      <c r="G1874" s="421"/>
      <c r="H1874" s="421"/>
      <c r="I1874" s="11">
        <f>I1875</f>
        <v>8000</v>
      </c>
      <c r="J1874" s="11">
        <f t="shared" ref="J1874:J1875" si="848">J1875</f>
        <v>0</v>
      </c>
      <c r="K1874" s="11">
        <f t="shared" si="846"/>
        <v>8000</v>
      </c>
      <c r="L1874" s="320"/>
      <c r="M1874" s="11"/>
      <c r="N1874" s="11"/>
      <c r="O1874" s="11">
        <f t="shared" si="847"/>
        <v>0</v>
      </c>
      <c r="P1874" s="320"/>
      <c r="Q1874" s="35">
        <f t="shared" si="844"/>
        <v>8000</v>
      </c>
      <c r="R1874" s="35">
        <f t="shared" si="845"/>
        <v>0</v>
      </c>
      <c r="S1874" s="35">
        <f t="shared" si="845"/>
        <v>8000</v>
      </c>
    </row>
    <row r="1875" spans="2:19" x14ac:dyDescent="0.2">
      <c r="B1875" s="7">
        <f t="shared" si="842"/>
        <v>139</v>
      </c>
      <c r="C1875" s="13"/>
      <c r="D1875" s="13"/>
      <c r="E1875" s="13"/>
      <c r="F1875" s="14" t="s">
        <v>141</v>
      </c>
      <c r="G1875" s="15">
        <v>630</v>
      </c>
      <c r="H1875" s="13" t="s">
        <v>119</v>
      </c>
      <c r="I1875" s="16">
        <f>I1876</f>
        <v>8000</v>
      </c>
      <c r="J1875" s="16">
        <f t="shared" si="848"/>
        <v>0</v>
      </c>
      <c r="K1875" s="16">
        <f t="shared" si="846"/>
        <v>8000</v>
      </c>
      <c r="L1875" s="16"/>
      <c r="M1875" s="16"/>
      <c r="N1875" s="16"/>
      <c r="O1875" s="16">
        <f t="shared" si="847"/>
        <v>0</v>
      </c>
      <c r="P1875" s="16"/>
      <c r="Q1875" s="18">
        <f t="shared" si="844"/>
        <v>8000</v>
      </c>
      <c r="R1875" s="18">
        <f t="shared" si="845"/>
        <v>0</v>
      </c>
      <c r="S1875" s="18">
        <f t="shared" si="845"/>
        <v>8000</v>
      </c>
    </row>
    <row r="1876" spans="2:19" x14ac:dyDescent="0.2">
      <c r="B1876" s="7">
        <f t="shared" si="842"/>
        <v>140</v>
      </c>
      <c r="C1876" s="19"/>
      <c r="D1876" s="19"/>
      <c r="E1876" s="19"/>
      <c r="F1876" s="20"/>
      <c r="G1876" s="21">
        <v>637</v>
      </c>
      <c r="H1876" s="19" t="s">
        <v>120</v>
      </c>
      <c r="I1876" s="22">
        <v>8000</v>
      </c>
      <c r="J1876" s="22"/>
      <c r="K1876" s="22">
        <f t="shared" si="846"/>
        <v>8000</v>
      </c>
      <c r="L1876" s="22"/>
      <c r="M1876" s="22"/>
      <c r="N1876" s="22"/>
      <c r="O1876" s="22">
        <f t="shared" si="847"/>
        <v>0</v>
      </c>
      <c r="P1876" s="22"/>
      <c r="Q1876" s="23">
        <f t="shared" si="844"/>
        <v>8000</v>
      </c>
      <c r="R1876" s="23">
        <f t="shared" si="845"/>
        <v>0</v>
      </c>
      <c r="S1876" s="23">
        <f t="shared" si="845"/>
        <v>8000</v>
      </c>
    </row>
    <row r="1877" spans="2:19" ht="15" x14ac:dyDescent="0.2">
      <c r="B1877" s="7">
        <f t="shared" si="842"/>
        <v>141</v>
      </c>
      <c r="C1877" s="10">
        <v>9</v>
      </c>
      <c r="D1877" s="420" t="s">
        <v>169</v>
      </c>
      <c r="E1877" s="421"/>
      <c r="F1877" s="421"/>
      <c r="G1877" s="421"/>
      <c r="H1877" s="421"/>
      <c r="I1877" s="11">
        <f>I1878+I1880</f>
        <v>18600</v>
      </c>
      <c r="J1877" s="11">
        <f t="shared" ref="J1877" si="849">J1878+J1880</f>
        <v>0</v>
      </c>
      <c r="K1877" s="11">
        <f t="shared" si="846"/>
        <v>18600</v>
      </c>
      <c r="L1877" s="320"/>
      <c r="M1877" s="11"/>
      <c r="N1877" s="11"/>
      <c r="O1877" s="11">
        <f t="shared" si="847"/>
        <v>0</v>
      </c>
      <c r="P1877" s="320"/>
      <c r="Q1877" s="35">
        <f t="shared" si="844"/>
        <v>18600</v>
      </c>
      <c r="R1877" s="35">
        <f t="shared" si="845"/>
        <v>0</v>
      </c>
      <c r="S1877" s="35">
        <f t="shared" si="845"/>
        <v>18600</v>
      </c>
    </row>
    <row r="1878" spans="2:19" x14ac:dyDescent="0.2">
      <c r="B1878" s="7">
        <f t="shared" si="842"/>
        <v>142</v>
      </c>
      <c r="C1878" s="13"/>
      <c r="D1878" s="13"/>
      <c r="E1878" s="13"/>
      <c r="F1878" s="14" t="s">
        <v>76</v>
      </c>
      <c r="G1878" s="15">
        <v>630</v>
      </c>
      <c r="H1878" s="13" t="s">
        <v>119</v>
      </c>
      <c r="I1878" s="16">
        <f>I1879</f>
        <v>18000</v>
      </c>
      <c r="J1878" s="16">
        <f t="shared" ref="J1878" si="850">J1879</f>
        <v>0</v>
      </c>
      <c r="K1878" s="16">
        <f t="shared" si="846"/>
        <v>18000</v>
      </c>
      <c r="L1878" s="16"/>
      <c r="M1878" s="16"/>
      <c r="N1878" s="16"/>
      <c r="O1878" s="16">
        <f t="shared" si="847"/>
        <v>0</v>
      </c>
      <c r="P1878" s="16"/>
      <c r="Q1878" s="18">
        <f t="shared" si="844"/>
        <v>18000</v>
      </c>
      <c r="R1878" s="18">
        <f t="shared" si="845"/>
        <v>0</v>
      </c>
      <c r="S1878" s="18">
        <f t="shared" si="845"/>
        <v>18000</v>
      </c>
    </row>
    <row r="1879" spans="2:19" x14ac:dyDescent="0.2">
      <c r="B1879" s="7">
        <f t="shared" si="842"/>
        <v>143</v>
      </c>
      <c r="C1879" s="19"/>
      <c r="D1879" s="19"/>
      <c r="E1879" s="19"/>
      <c r="F1879" s="20"/>
      <c r="G1879" s="21">
        <v>637</v>
      </c>
      <c r="H1879" s="19" t="s">
        <v>120</v>
      </c>
      <c r="I1879" s="22">
        <v>18000</v>
      </c>
      <c r="J1879" s="22"/>
      <c r="K1879" s="22">
        <f t="shared" si="846"/>
        <v>18000</v>
      </c>
      <c r="L1879" s="22"/>
      <c r="M1879" s="22"/>
      <c r="N1879" s="22"/>
      <c r="O1879" s="22">
        <f t="shared" si="847"/>
        <v>0</v>
      </c>
      <c r="P1879" s="22"/>
      <c r="Q1879" s="23">
        <f t="shared" si="844"/>
        <v>18000</v>
      </c>
      <c r="R1879" s="23">
        <f t="shared" si="845"/>
        <v>0</v>
      </c>
      <c r="S1879" s="23">
        <f t="shared" si="845"/>
        <v>18000</v>
      </c>
    </row>
    <row r="1880" spans="2:19" x14ac:dyDescent="0.2">
      <c r="B1880" s="7">
        <f t="shared" si="842"/>
        <v>144</v>
      </c>
      <c r="C1880" s="13"/>
      <c r="D1880" s="13"/>
      <c r="E1880" s="13"/>
      <c r="F1880" s="14" t="s">
        <v>76</v>
      </c>
      <c r="G1880" s="15">
        <v>640</v>
      </c>
      <c r="H1880" s="13" t="s">
        <v>127</v>
      </c>
      <c r="I1880" s="16">
        <f>I1881</f>
        <v>600</v>
      </c>
      <c r="J1880" s="16">
        <f t="shared" ref="J1880" si="851">J1881</f>
        <v>0</v>
      </c>
      <c r="K1880" s="16">
        <f t="shared" si="846"/>
        <v>600</v>
      </c>
      <c r="L1880" s="16"/>
      <c r="M1880" s="16"/>
      <c r="N1880" s="16"/>
      <c r="O1880" s="16">
        <f t="shared" si="847"/>
        <v>0</v>
      </c>
      <c r="P1880" s="16"/>
      <c r="Q1880" s="18">
        <f t="shared" si="844"/>
        <v>600</v>
      </c>
      <c r="R1880" s="18">
        <f t="shared" si="845"/>
        <v>0</v>
      </c>
      <c r="S1880" s="18">
        <f t="shared" si="845"/>
        <v>600</v>
      </c>
    </row>
    <row r="1881" spans="2:19" x14ac:dyDescent="0.2">
      <c r="B1881" s="7">
        <f t="shared" si="842"/>
        <v>145</v>
      </c>
      <c r="C1881" s="24"/>
      <c r="D1881" s="24"/>
      <c r="E1881" s="24"/>
      <c r="F1881" s="136"/>
      <c r="G1881" s="136"/>
      <c r="H1881" s="1" t="s">
        <v>347</v>
      </c>
      <c r="I1881" s="26">
        <v>600</v>
      </c>
      <c r="J1881" s="26"/>
      <c r="K1881" s="26">
        <f t="shared" si="846"/>
        <v>600</v>
      </c>
      <c r="L1881" s="26"/>
      <c r="M1881" s="26"/>
      <c r="N1881" s="26"/>
      <c r="O1881" s="26">
        <f t="shared" si="847"/>
        <v>0</v>
      </c>
      <c r="P1881" s="26"/>
      <c r="Q1881" s="28">
        <f t="shared" si="844"/>
        <v>600</v>
      </c>
      <c r="R1881" s="28">
        <f t="shared" si="845"/>
        <v>0</v>
      </c>
      <c r="S1881" s="28">
        <f t="shared" si="845"/>
        <v>600</v>
      </c>
    </row>
    <row r="1882" spans="2:19" ht="15" x14ac:dyDescent="0.2">
      <c r="B1882" s="7">
        <f t="shared" si="842"/>
        <v>146</v>
      </c>
      <c r="C1882" s="10">
        <v>10</v>
      </c>
      <c r="D1882" s="420" t="s">
        <v>170</v>
      </c>
      <c r="E1882" s="421"/>
      <c r="F1882" s="421"/>
      <c r="G1882" s="421"/>
      <c r="H1882" s="421"/>
      <c r="I1882" s="11">
        <f>I1883</f>
        <v>27955</v>
      </c>
      <c r="J1882" s="11">
        <f t="shared" ref="J1882" si="852">J1883</f>
        <v>2370</v>
      </c>
      <c r="K1882" s="11">
        <f t="shared" si="846"/>
        <v>30325</v>
      </c>
      <c r="L1882" s="320"/>
      <c r="M1882" s="11"/>
      <c r="N1882" s="11"/>
      <c r="O1882" s="11">
        <f t="shared" si="847"/>
        <v>0</v>
      </c>
      <c r="P1882" s="320"/>
      <c r="Q1882" s="35">
        <f t="shared" si="844"/>
        <v>27955</v>
      </c>
      <c r="R1882" s="35">
        <f t="shared" si="845"/>
        <v>2370</v>
      </c>
      <c r="S1882" s="35">
        <f t="shared" si="845"/>
        <v>30325</v>
      </c>
    </row>
    <row r="1883" spans="2:19" ht="15" x14ac:dyDescent="0.25">
      <c r="B1883" s="7">
        <f t="shared" si="842"/>
        <v>147</v>
      </c>
      <c r="C1883" s="108"/>
      <c r="D1883" s="108"/>
      <c r="E1883" s="108">
        <v>5</v>
      </c>
      <c r="F1883" s="109"/>
      <c r="G1883" s="109"/>
      <c r="H1883" s="108" t="s">
        <v>104</v>
      </c>
      <c r="I1883" s="110">
        <f>I1884+I1885+I1886+I1891</f>
        <v>27955</v>
      </c>
      <c r="J1883" s="110">
        <f t="shared" ref="J1883" si="853">J1884+J1885+J1886+J1891</f>
        <v>2370</v>
      </c>
      <c r="K1883" s="110">
        <f t="shared" si="846"/>
        <v>30325</v>
      </c>
      <c r="L1883" s="321"/>
      <c r="M1883" s="110"/>
      <c r="N1883" s="110"/>
      <c r="O1883" s="110">
        <f t="shared" si="847"/>
        <v>0</v>
      </c>
      <c r="P1883" s="321"/>
      <c r="Q1883" s="112">
        <f t="shared" si="844"/>
        <v>27955</v>
      </c>
      <c r="R1883" s="112">
        <f t="shared" si="845"/>
        <v>2370</v>
      </c>
      <c r="S1883" s="112">
        <f t="shared" si="845"/>
        <v>30325</v>
      </c>
    </row>
    <row r="1884" spans="2:19" x14ac:dyDescent="0.2">
      <c r="B1884" s="7">
        <f t="shared" si="842"/>
        <v>148</v>
      </c>
      <c r="C1884" s="13"/>
      <c r="D1884" s="13"/>
      <c r="E1884" s="13"/>
      <c r="F1884" s="14" t="s">
        <v>77</v>
      </c>
      <c r="G1884" s="15">
        <v>610</v>
      </c>
      <c r="H1884" s="13" t="s">
        <v>511</v>
      </c>
      <c r="I1884" s="16">
        <v>17014</v>
      </c>
      <c r="J1884" s="16"/>
      <c r="K1884" s="16">
        <f t="shared" si="846"/>
        <v>17014</v>
      </c>
      <c r="L1884" s="16"/>
      <c r="M1884" s="16"/>
      <c r="N1884" s="16"/>
      <c r="O1884" s="16">
        <f t="shared" si="847"/>
        <v>0</v>
      </c>
      <c r="P1884" s="16"/>
      <c r="Q1884" s="18">
        <f t="shared" si="844"/>
        <v>17014</v>
      </c>
      <c r="R1884" s="18">
        <f t="shared" ref="R1884:S1899" si="854">N1884+J1884</f>
        <v>0</v>
      </c>
      <c r="S1884" s="18">
        <f t="shared" si="854"/>
        <v>17014</v>
      </c>
    </row>
    <row r="1885" spans="2:19" x14ac:dyDescent="0.2">
      <c r="B1885" s="7">
        <f t="shared" si="842"/>
        <v>149</v>
      </c>
      <c r="C1885" s="13"/>
      <c r="D1885" s="13"/>
      <c r="E1885" s="13"/>
      <c r="F1885" s="14" t="s">
        <v>77</v>
      </c>
      <c r="G1885" s="15">
        <v>620</v>
      </c>
      <c r="H1885" s="13" t="s">
        <v>122</v>
      </c>
      <c r="I1885" s="16">
        <v>5736</v>
      </c>
      <c r="J1885" s="16">
        <v>1300</v>
      </c>
      <c r="K1885" s="16">
        <f t="shared" si="846"/>
        <v>7036</v>
      </c>
      <c r="L1885" s="16"/>
      <c r="M1885" s="16"/>
      <c r="N1885" s="16"/>
      <c r="O1885" s="16">
        <f t="shared" si="847"/>
        <v>0</v>
      </c>
      <c r="P1885" s="16"/>
      <c r="Q1885" s="18">
        <f t="shared" si="844"/>
        <v>5736</v>
      </c>
      <c r="R1885" s="18">
        <f t="shared" si="854"/>
        <v>1300</v>
      </c>
      <c r="S1885" s="18">
        <f t="shared" si="854"/>
        <v>7036</v>
      </c>
    </row>
    <row r="1886" spans="2:19" x14ac:dyDescent="0.2">
      <c r="B1886" s="7">
        <f t="shared" si="842"/>
        <v>150</v>
      </c>
      <c r="C1886" s="13"/>
      <c r="D1886" s="13"/>
      <c r="E1886" s="13"/>
      <c r="F1886" s="14" t="s">
        <v>77</v>
      </c>
      <c r="G1886" s="15">
        <v>630</v>
      </c>
      <c r="H1886" s="13" t="s">
        <v>119</v>
      </c>
      <c r="I1886" s="16">
        <f>SUM(I1887:I1890)</f>
        <v>5005</v>
      </c>
      <c r="J1886" s="16">
        <f t="shared" ref="J1886" si="855">SUM(J1887:J1890)</f>
        <v>1070</v>
      </c>
      <c r="K1886" s="16">
        <f t="shared" si="846"/>
        <v>6075</v>
      </c>
      <c r="L1886" s="16"/>
      <c r="M1886" s="16"/>
      <c r="N1886" s="16"/>
      <c r="O1886" s="16">
        <f t="shared" si="847"/>
        <v>0</v>
      </c>
      <c r="P1886" s="16"/>
      <c r="Q1886" s="18">
        <f t="shared" si="844"/>
        <v>5005</v>
      </c>
      <c r="R1886" s="18">
        <f t="shared" si="854"/>
        <v>1070</v>
      </c>
      <c r="S1886" s="18">
        <f t="shared" si="854"/>
        <v>6075</v>
      </c>
    </row>
    <row r="1887" spans="2:19" x14ac:dyDescent="0.2">
      <c r="B1887" s="7">
        <f t="shared" si="842"/>
        <v>151</v>
      </c>
      <c r="C1887" s="19"/>
      <c r="D1887" s="19"/>
      <c r="E1887" s="19"/>
      <c r="F1887" s="20"/>
      <c r="G1887" s="21">
        <v>632</v>
      </c>
      <c r="H1887" s="19" t="s">
        <v>131</v>
      </c>
      <c r="I1887" s="22">
        <v>45</v>
      </c>
      <c r="J1887" s="22">
        <v>70</v>
      </c>
      <c r="K1887" s="22">
        <f t="shared" si="846"/>
        <v>115</v>
      </c>
      <c r="L1887" s="22"/>
      <c r="M1887" s="22"/>
      <c r="N1887" s="22"/>
      <c r="O1887" s="22">
        <f t="shared" si="847"/>
        <v>0</v>
      </c>
      <c r="P1887" s="22"/>
      <c r="Q1887" s="23">
        <f t="shared" si="844"/>
        <v>45</v>
      </c>
      <c r="R1887" s="23">
        <f t="shared" si="854"/>
        <v>70</v>
      </c>
      <c r="S1887" s="23">
        <f t="shared" si="854"/>
        <v>115</v>
      </c>
    </row>
    <row r="1888" spans="2:19" x14ac:dyDescent="0.2">
      <c r="B1888" s="7">
        <f t="shared" si="842"/>
        <v>152</v>
      </c>
      <c r="C1888" s="19"/>
      <c r="D1888" s="19"/>
      <c r="E1888" s="19"/>
      <c r="F1888" s="20"/>
      <c r="G1888" s="21">
        <v>633</v>
      </c>
      <c r="H1888" s="19" t="s">
        <v>123</v>
      </c>
      <c r="I1888" s="22">
        <v>60</v>
      </c>
      <c r="J1888" s="22"/>
      <c r="K1888" s="22">
        <f t="shared" si="846"/>
        <v>60</v>
      </c>
      <c r="L1888" s="22"/>
      <c r="M1888" s="22"/>
      <c r="N1888" s="22"/>
      <c r="O1888" s="22">
        <f t="shared" si="847"/>
        <v>0</v>
      </c>
      <c r="P1888" s="22"/>
      <c r="Q1888" s="23">
        <f t="shared" si="844"/>
        <v>60</v>
      </c>
      <c r="R1888" s="23">
        <f t="shared" si="854"/>
        <v>0</v>
      </c>
      <c r="S1888" s="23">
        <f t="shared" si="854"/>
        <v>60</v>
      </c>
    </row>
    <row r="1889" spans="2:19" x14ac:dyDescent="0.2">
      <c r="B1889" s="7">
        <f t="shared" si="842"/>
        <v>153</v>
      </c>
      <c r="C1889" s="19"/>
      <c r="D1889" s="19"/>
      <c r="E1889" s="19"/>
      <c r="F1889" s="20"/>
      <c r="G1889" s="21">
        <v>634</v>
      </c>
      <c r="H1889" s="19" t="s">
        <v>129</v>
      </c>
      <c r="I1889" s="22">
        <v>3500</v>
      </c>
      <c r="J1889" s="22">
        <v>1000</v>
      </c>
      <c r="K1889" s="22">
        <f t="shared" si="846"/>
        <v>4500</v>
      </c>
      <c r="L1889" s="22"/>
      <c r="M1889" s="22"/>
      <c r="N1889" s="22"/>
      <c r="O1889" s="22">
        <f t="shared" si="847"/>
        <v>0</v>
      </c>
      <c r="P1889" s="22"/>
      <c r="Q1889" s="23">
        <f t="shared" si="844"/>
        <v>3500</v>
      </c>
      <c r="R1889" s="23">
        <f t="shared" si="854"/>
        <v>1000</v>
      </c>
      <c r="S1889" s="23">
        <f t="shared" si="854"/>
        <v>4500</v>
      </c>
    </row>
    <row r="1890" spans="2:19" x14ac:dyDescent="0.2">
      <c r="B1890" s="7">
        <f t="shared" si="842"/>
        <v>154</v>
      </c>
      <c r="C1890" s="19"/>
      <c r="D1890" s="19"/>
      <c r="E1890" s="19"/>
      <c r="F1890" s="20"/>
      <c r="G1890" s="21">
        <v>637</v>
      </c>
      <c r="H1890" s="19" t="s">
        <v>120</v>
      </c>
      <c r="I1890" s="22">
        <v>1400</v>
      </c>
      <c r="J1890" s="22"/>
      <c r="K1890" s="22">
        <f t="shared" si="846"/>
        <v>1400</v>
      </c>
      <c r="L1890" s="22"/>
      <c r="M1890" s="22"/>
      <c r="N1890" s="22"/>
      <c r="O1890" s="22">
        <f t="shared" si="847"/>
        <v>0</v>
      </c>
      <c r="P1890" s="22"/>
      <c r="Q1890" s="23">
        <f t="shared" si="844"/>
        <v>1400</v>
      </c>
      <c r="R1890" s="23">
        <f t="shared" si="854"/>
        <v>0</v>
      </c>
      <c r="S1890" s="23">
        <f t="shared" si="854"/>
        <v>1400</v>
      </c>
    </row>
    <row r="1891" spans="2:19" x14ac:dyDescent="0.2">
      <c r="B1891" s="7">
        <f t="shared" si="842"/>
        <v>155</v>
      </c>
      <c r="C1891" s="13"/>
      <c r="D1891" s="13"/>
      <c r="E1891" s="13"/>
      <c r="F1891" s="14" t="s">
        <v>77</v>
      </c>
      <c r="G1891" s="15">
        <v>640</v>
      </c>
      <c r="H1891" s="13" t="s">
        <v>127</v>
      </c>
      <c r="I1891" s="16">
        <v>200</v>
      </c>
      <c r="J1891" s="16"/>
      <c r="K1891" s="16">
        <f t="shared" si="846"/>
        <v>200</v>
      </c>
      <c r="L1891" s="16"/>
      <c r="M1891" s="16"/>
      <c r="N1891" s="16"/>
      <c r="O1891" s="16">
        <f t="shared" si="847"/>
        <v>0</v>
      </c>
      <c r="P1891" s="16"/>
      <c r="Q1891" s="18">
        <f t="shared" si="844"/>
        <v>200</v>
      </c>
      <c r="R1891" s="18">
        <f t="shared" si="854"/>
        <v>0</v>
      </c>
      <c r="S1891" s="18">
        <f t="shared" si="854"/>
        <v>200</v>
      </c>
    </row>
    <row r="1892" spans="2:19" ht="15" x14ac:dyDescent="0.2">
      <c r="B1892" s="7">
        <f t="shared" si="842"/>
        <v>156</v>
      </c>
      <c r="C1892" s="10">
        <v>11</v>
      </c>
      <c r="D1892" s="420" t="s">
        <v>73</v>
      </c>
      <c r="E1892" s="421"/>
      <c r="F1892" s="421"/>
      <c r="G1892" s="421"/>
      <c r="H1892" s="421"/>
      <c r="I1892" s="11">
        <f>I1893</f>
        <v>242285</v>
      </c>
      <c r="J1892" s="11">
        <f t="shared" ref="J1892" si="856">J1893</f>
        <v>0</v>
      </c>
      <c r="K1892" s="11">
        <f t="shared" si="846"/>
        <v>242285</v>
      </c>
      <c r="L1892" s="320"/>
      <c r="M1892" s="11"/>
      <c r="N1892" s="11"/>
      <c r="O1892" s="11">
        <f t="shared" si="847"/>
        <v>0</v>
      </c>
      <c r="P1892" s="320"/>
      <c r="Q1892" s="35">
        <f t="shared" si="844"/>
        <v>242285</v>
      </c>
      <c r="R1892" s="35">
        <f t="shared" si="854"/>
        <v>0</v>
      </c>
      <c r="S1892" s="35">
        <f t="shared" si="854"/>
        <v>242285</v>
      </c>
    </row>
    <row r="1893" spans="2:19" ht="15" x14ac:dyDescent="0.25">
      <c r="B1893" s="7">
        <f t="shared" si="842"/>
        <v>157</v>
      </c>
      <c r="C1893" s="108"/>
      <c r="D1893" s="108"/>
      <c r="E1893" s="108">
        <v>5</v>
      </c>
      <c r="F1893" s="109"/>
      <c r="G1893" s="109"/>
      <c r="H1893" s="108" t="s">
        <v>104</v>
      </c>
      <c r="I1893" s="110">
        <f>I1894+I1895+I1896+I1903</f>
        <v>242285</v>
      </c>
      <c r="J1893" s="110">
        <f t="shared" ref="J1893" si="857">J1894+J1895+J1896+J1903</f>
        <v>0</v>
      </c>
      <c r="K1893" s="110">
        <f t="shared" si="846"/>
        <v>242285</v>
      </c>
      <c r="L1893" s="321"/>
      <c r="M1893" s="110"/>
      <c r="N1893" s="110"/>
      <c r="O1893" s="110">
        <f t="shared" si="847"/>
        <v>0</v>
      </c>
      <c r="P1893" s="321"/>
      <c r="Q1893" s="112">
        <f t="shared" si="844"/>
        <v>242285</v>
      </c>
      <c r="R1893" s="112">
        <f t="shared" si="854"/>
        <v>0</v>
      </c>
      <c r="S1893" s="112">
        <f t="shared" si="854"/>
        <v>242285</v>
      </c>
    </row>
    <row r="1894" spans="2:19" x14ac:dyDescent="0.2">
      <c r="B1894" s="7">
        <f t="shared" si="842"/>
        <v>158</v>
      </c>
      <c r="C1894" s="13"/>
      <c r="D1894" s="13"/>
      <c r="E1894" s="13"/>
      <c r="F1894" s="14" t="s">
        <v>62</v>
      </c>
      <c r="G1894" s="15">
        <v>610</v>
      </c>
      <c r="H1894" s="13" t="s">
        <v>511</v>
      </c>
      <c r="I1894" s="16">
        <v>145864</v>
      </c>
      <c r="J1894" s="16"/>
      <c r="K1894" s="16">
        <f t="shared" si="846"/>
        <v>145864</v>
      </c>
      <c r="L1894" s="16"/>
      <c r="M1894" s="16"/>
      <c r="N1894" s="16"/>
      <c r="O1894" s="16">
        <f t="shared" si="847"/>
        <v>0</v>
      </c>
      <c r="P1894" s="16"/>
      <c r="Q1894" s="18">
        <f t="shared" si="844"/>
        <v>145864</v>
      </c>
      <c r="R1894" s="18">
        <f t="shared" si="854"/>
        <v>0</v>
      </c>
      <c r="S1894" s="18">
        <f t="shared" si="854"/>
        <v>145864</v>
      </c>
    </row>
    <row r="1895" spans="2:19" x14ac:dyDescent="0.2">
      <c r="B1895" s="7">
        <f t="shared" si="842"/>
        <v>159</v>
      </c>
      <c r="C1895" s="13"/>
      <c r="D1895" s="13"/>
      <c r="E1895" s="13"/>
      <c r="F1895" s="14" t="s">
        <v>62</v>
      </c>
      <c r="G1895" s="15">
        <v>620</v>
      </c>
      <c r="H1895" s="13" t="s">
        <v>122</v>
      </c>
      <c r="I1895" s="16">
        <v>58037</v>
      </c>
      <c r="J1895" s="16"/>
      <c r="K1895" s="16">
        <f t="shared" si="846"/>
        <v>58037</v>
      </c>
      <c r="L1895" s="16"/>
      <c r="M1895" s="16"/>
      <c r="N1895" s="16"/>
      <c r="O1895" s="16">
        <f t="shared" si="847"/>
        <v>0</v>
      </c>
      <c r="P1895" s="16"/>
      <c r="Q1895" s="18">
        <f t="shared" si="844"/>
        <v>58037</v>
      </c>
      <c r="R1895" s="18">
        <f t="shared" si="854"/>
        <v>0</v>
      </c>
      <c r="S1895" s="18">
        <f t="shared" si="854"/>
        <v>58037</v>
      </c>
    </row>
    <row r="1896" spans="2:19" x14ac:dyDescent="0.2">
      <c r="B1896" s="7">
        <f t="shared" si="842"/>
        <v>160</v>
      </c>
      <c r="C1896" s="13"/>
      <c r="D1896" s="13"/>
      <c r="E1896" s="13"/>
      <c r="F1896" s="14" t="s">
        <v>62</v>
      </c>
      <c r="G1896" s="15">
        <v>630</v>
      </c>
      <c r="H1896" s="13" t="s">
        <v>119</v>
      </c>
      <c r="I1896" s="16">
        <f>SUM(I1897:I1902)</f>
        <v>32514</v>
      </c>
      <c r="J1896" s="16">
        <f t="shared" ref="J1896" si="858">SUM(J1897:J1902)</f>
        <v>0</v>
      </c>
      <c r="K1896" s="16">
        <f t="shared" si="846"/>
        <v>32514</v>
      </c>
      <c r="L1896" s="16"/>
      <c r="M1896" s="16"/>
      <c r="N1896" s="16"/>
      <c r="O1896" s="16">
        <f t="shared" si="847"/>
        <v>0</v>
      </c>
      <c r="P1896" s="16"/>
      <c r="Q1896" s="18">
        <f t="shared" si="844"/>
        <v>32514</v>
      </c>
      <c r="R1896" s="18">
        <f t="shared" si="854"/>
        <v>0</v>
      </c>
      <c r="S1896" s="18">
        <f t="shared" si="854"/>
        <v>32514</v>
      </c>
    </row>
    <row r="1897" spans="2:19" x14ac:dyDescent="0.2">
      <c r="B1897" s="7">
        <f t="shared" si="842"/>
        <v>161</v>
      </c>
      <c r="C1897" s="19"/>
      <c r="D1897" s="19"/>
      <c r="E1897" s="19"/>
      <c r="F1897" s="20"/>
      <c r="G1897" s="21">
        <v>631</v>
      </c>
      <c r="H1897" s="19" t="s">
        <v>125</v>
      </c>
      <c r="I1897" s="22">
        <v>100</v>
      </c>
      <c r="J1897" s="22"/>
      <c r="K1897" s="22">
        <f t="shared" si="846"/>
        <v>100</v>
      </c>
      <c r="L1897" s="22"/>
      <c r="M1897" s="22"/>
      <c r="N1897" s="22"/>
      <c r="O1897" s="22">
        <f t="shared" si="847"/>
        <v>0</v>
      </c>
      <c r="P1897" s="22"/>
      <c r="Q1897" s="23">
        <f t="shared" si="844"/>
        <v>100</v>
      </c>
      <c r="R1897" s="23">
        <f t="shared" si="854"/>
        <v>0</v>
      </c>
      <c r="S1897" s="23">
        <f t="shared" si="854"/>
        <v>100</v>
      </c>
    </row>
    <row r="1898" spans="2:19" x14ac:dyDescent="0.2">
      <c r="B1898" s="7">
        <f t="shared" si="842"/>
        <v>162</v>
      </c>
      <c r="C1898" s="19"/>
      <c r="D1898" s="19"/>
      <c r="E1898" s="19"/>
      <c r="F1898" s="20"/>
      <c r="G1898" s="21">
        <v>632</v>
      </c>
      <c r="H1898" s="19" t="s">
        <v>131</v>
      </c>
      <c r="I1898" s="22">
        <v>1550</v>
      </c>
      <c r="J1898" s="22"/>
      <c r="K1898" s="22">
        <f t="shared" si="846"/>
        <v>1550</v>
      </c>
      <c r="L1898" s="22"/>
      <c r="M1898" s="22"/>
      <c r="N1898" s="22"/>
      <c r="O1898" s="22">
        <f t="shared" si="847"/>
        <v>0</v>
      </c>
      <c r="P1898" s="22"/>
      <c r="Q1898" s="23">
        <f t="shared" si="844"/>
        <v>1550</v>
      </c>
      <c r="R1898" s="23">
        <f t="shared" si="854"/>
        <v>0</v>
      </c>
      <c r="S1898" s="23">
        <f t="shared" si="854"/>
        <v>1550</v>
      </c>
    </row>
    <row r="1899" spans="2:19" x14ac:dyDescent="0.2">
      <c r="B1899" s="7">
        <f t="shared" si="842"/>
        <v>163</v>
      </c>
      <c r="C1899" s="19"/>
      <c r="D1899" s="19"/>
      <c r="E1899" s="19"/>
      <c r="F1899" s="20"/>
      <c r="G1899" s="21">
        <v>633</v>
      </c>
      <c r="H1899" s="19" t="s">
        <v>123</v>
      </c>
      <c r="I1899" s="22">
        <v>4064</v>
      </c>
      <c r="J1899" s="22"/>
      <c r="K1899" s="22">
        <f t="shared" si="846"/>
        <v>4064</v>
      </c>
      <c r="L1899" s="22"/>
      <c r="M1899" s="22"/>
      <c r="N1899" s="22"/>
      <c r="O1899" s="22">
        <f t="shared" si="847"/>
        <v>0</v>
      </c>
      <c r="P1899" s="22"/>
      <c r="Q1899" s="23">
        <f t="shared" si="844"/>
        <v>4064</v>
      </c>
      <c r="R1899" s="23">
        <f t="shared" si="854"/>
        <v>0</v>
      </c>
      <c r="S1899" s="23">
        <f t="shared" si="854"/>
        <v>4064</v>
      </c>
    </row>
    <row r="1900" spans="2:19" x14ac:dyDescent="0.2">
      <c r="B1900" s="7">
        <f t="shared" si="842"/>
        <v>164</v>
      </c>
      <c r="C1900" s="19"/>
      <c r="D1900" s="19"/>
      <c r="E1900" s="19"/>
      <c r="F1900" s="20"/>
      <c r="G1900" s="21">
        <v>634</v>
      </c>
      <c r="H1900" s="19" t="s">
        <v>129</v>
      </c>
      <c r="I1900" s="22">
        <v>1300</v>
      </c>
      <c r="J1900" s="22"/>
      <c r="K1900" s="22">
        <f t="shared" si="846"/>
        <v>1300</v>
      </c>
      <c r="L1900" s="22"/>
      <c r="M1900" s="22"/>
      <c r="N1900" s="22"/>
      <c r="O1900" s="22">
        <f t="shared" si="847"/>
        <v>0</v>
      </c>
      <c r="P1900" s="22"/>
      <c r="Q1900" s="23">
        <f t="shared" si="844"/>
        <v>1300</v>
      </c>
      <c r="R1900" s="23">
        <f t="shared" ref="R1900:S1904" si="859">N1900+J1900</f>
        <v>0</v>
      </c>
      <c r="S1900" s="23">
        <f t="shared" si="859"/>
        <v>1300</v>
      </c>
    </row>
    <row r="1901" spans="2:19" x14ac:dyDescent="0.2">
      <c r="B1901" s="7">
        <f t="shared" si="842"/>
        <v>165</v>
      </c>
      <c r="C1901" s="19"/>
      <c r="D1901" s="19"/>
      <c r="E1901" s="19"/>
      <c r="F1901" s="20"/>
      <c r="G1901" s="21">
        <v>635</v>
      </c>
      <c r="H1901" s="19" t="s">
        <v>130</v>
      </c>
      <c r="I1901" s="22">
        <v>400</v>
      </c>
      <c r="J1901" s="22"/>
      <c r="K1901" s="22">
        <f t="shared" si="846"/>
        <v>400</v>
      </c>
      <c r="L1901" s="22"/>
      <c r="M1901" s="22"/>
      <c r="N1901" s="22"/>
      <c r="O1901" s="22">
        <f t="shared" si="847"/>
        <v>0</v>
      </c>
      <c r="P1901" s="22"/>
      <c r="Q1901" s="23">
        <f t="shared" si="844"/>
        <v>400</v>
      </c>
      <c r="R1901" s="23">
        <f t="shared" si="859"/>
        <v>0</v>
      </c>
      <c r="S1901" s="23">
        <f t="shared" si="859"/>
        <v>400</v>
      </c>
    </row>
    <row r="1902" spans="2:19" x14ac:dyDescent="0.2">
      <c r="B1902" s="7">
        <f t="shared" si="842"/>
        <v>166</v>
      </c>
      <c r="C1902" s="19"/>
      <c r="D1902" s="19"/>
      <c r="E1902" s="19"/>
      <c r="F1902" s="20"/>
      <c r="G1902" s="21">
        <v>637</v>
      </c>
      <c r="H1902" s="19" t="s">
        <v>120</v>
      </c>
      <c r="I1902" s="22">
        <v>25100</v>
      </c>
      <c r="J1902" s="22"/>
      <c r="K1902" s="22">
        <f t="shared" si="846"/>
        <v>25100</v>
      </c>
      <c r="L1902" s="22"/>
      <c r="M1902" s="22"/>
      <c r="N1902" s="22"/>
      <c r="O1902" s="22">
        <f t="shared" si="847"/>
        <v>0</v>
      </c>
      <c r="P1902" s="22"/>
      <c r="Q1902" s="23">
        <f t="shared" si="844"/>
        <v>25100</v>
      </c>
      <c r="R1902" s="23">
        <f t="shared" si="859"/>
        <v>0</v>
      </c>
      <c r="S1902" s="23">
        <f t="shared" si="859"/>
        <v>25100</v>
      </c>
    </row>
    <row r="1903" spans="2:19" x14ac:dyDescent="0.2">
      <c r="B1903" s="7">
        <f t="shared" si="842"/>
        <v>167</v>
      </c>
      <c r="C1903" s="171"/>
      <c r="D1903" s="171"/>
      <c r="E1903" s="171"/>
      <c r="F1903" s="172" t="s">
        <v>62</v>
      </c>
      <c r="G1903" s="173">
        <v>640</v>
      </c>
      <c r="H1903" s="171" t="s">
        <v>127</v>
      </c>
      <c r="I1903" s="133">
        <v>5870</v>
      </c>
      <c r="J1903" s="133"/>
      <c r="K1903" s="133">
        <f t="shared" si="846"/>
        <v>5870</v>
      </c>
      <c r="L1903" s="133"/>
      <c r="M1903" s="133"/>
      <c r="N1903" s="133"/>
      <c r="O1903" s="133">
        <f t="shared" si="847"/>
        <v>0</v>
      </c>
      <c r="P1903" s="133"/>
      <c r="Q1903" s="134">
        <f t="shared" si="844"/>
        <v>5870</v>
      </c>
      <c r="R1903" s="134">
        <f t="shared" si="859"/>
        <v>0</v>
      </c>
      <c r="S1903" s="134">
        <f t="shared" si="859"/>
        <v>5870</v>
      </c>
    </row>
    <row r="1904" spans="2:19" ht="15" x14ac:dyDescent="0.2">
      <c r="B1904" s="7">
        <f t="shared" si="842"/>
        <v>168</v>
      </c>
      <c r="C1904" s="357">
        <v>12</v>
      </c>
      <c r="D1904" s="464" t="s">
        <v>455</v>
      </c>
      <c r="E1904" s="465"/>
      <c r="F1904" s="465"/>
      <c r="G1904" s="465"/>
      <c r="H1904" s="465"/>
      <c r="I1904" s="142">
        <v>0</v>
      </c>
      <c r="J1904" s="142"/>
      <c r="K1904" s="142">
        <f t="shared" si="846"/>
        <v>0</v>
      </c>
      <c r="L1904" s="332"/>
      <c r="M1904" s="142"/>
      <c r="N1904" s="142"/>
      <c r="O1904" s="142">
        <f t="shared" si="847"/>
        <v>0</v>
      </c>
      <c r="P1904" s="332"/>
      <c r="Q1904" s="143">
        <f t="shared" si="844"/>
        <v>0</v>
      </c>
      <c r="R1904" s="143">
        <f t="shared" si="859"/>
        <v>0</v>
      </c>
      <c r="S1904" s="143">
        <f t="shared" si="859"/>
        <v>0</v>
      </c>
    </row>
    <row r="1905" spans="2:19" x14ac:dyDescent="0.2">
      <c r="B1905" s="3"/>
      <c r="F1905" s="3"/>
      <c r="G1905" s="3"/>
      <c r="I1905" s="3"/>
      <c r="J1905" s="3"/>
      <c r="K1905" s="3"/>
      <c r="L1905" s="3"/>
      <c r="M1905" s="3"/>
      <c r="N1905" s="3"/>
      <c r="O1905" s="3"/>
      <c r="P1905" s="3"/>
      <c r="Q1905" s="3"/>
    </row>
    <row r="1906" spans="2:19" x14ac:dyDescent="0.2">
      <c r="B1906" s="3"/>
      <c r="F1906" s="3"/>
      <c r="G1906" s="3"/>
      <c r="I1906" s="3"/>
      <c r="J1906" s="3"/>
      <c r="K1906" s="3"/>
      <c r="L1906" s="3"/>
      <c r="M1906" s="3"/>
      <c r="N1906" s="3"/>
      <c r="O1906" s="3"/>
      <c r="P1906" s="3"/>
      <c r="Q1906" s="3"/>
    </row>
    <row r="1907" spans="2:19" x14ac:dyDescent="0.2">
      <c r="B1907" s="3"/>
      <c r="F1907" s="3"/>
      <c r="G1907" s="3"/>
      <c r="I1907" s="3"/>
      <c r="J1907" s="3"/>
      <c r="K1907" s="3"/>
      <c r="L1907" s="3"/>
      <c r="M1907" s="3"/>
      <c r="N1907" s="3"/>
      <c r="O1907" s="3"/>
      <c r="P1907" s="3"/>
      <c r="Q1907" s="3"/>
    </row>
    <row r="1908" spans="2:19" ht="27.75" x14ac:dyDescent="0.4">
      <c r="B1908" s="429" t="s">
        <v>24</v>
      </c>
      <c r="C1908" s="430"/>
      <c r="D1908" s="430"/>
      <c r="E1908" s="430"/>
      <c r="F1908" s="430"/>
      <c r="G1908" s="430"/>
      <c r="H1908" s="430"/>
      <c r="I1908" s="430"/>
      <c r="J1908" s="430"/>
      <c r="K1908" s="430"/>
      <c r="L1908" s="430"/>
      <c r="M1908" s="430"/>
      <c r="N1908" s="430"/>
      <c r="O1908" s="430"/>
      <c r="P1908" s="430"/>
      <c r="Q1908" s="430"/>
    </row>
    <row r="1909" spans="2:19" ht="12.75" customHeight="1" x14ac:dyDescent="0.2">
      <c r="B1909" s="431" t="s">
        <v>464</v>
      </c>
      <c r="C1909" s="432"/>
      <c r="D1909" s="432"/>
      <c r="E1909" s="432"/>
      <c r="F1909" s="432"/>
      <c r="G1909" s="432"/>
      <c r="H1909" s="432"/>
      <c r="I1909" s="432"/>
      <c r="J1909" s="432"/>
      <c r="K1909" s="432"/>
      <c r="L1909" s="432"/>
      <c r="M1909" s="432"/>
      <c r="N1909" s="432"/>
      <c r="O1909" s="432"/>
      <c r="P1909" s="432"/>
      <c r="Q1909" s="433" t="s">
        <v>735</v>
      </c>
      <c r="R1909" s="433" t="s">
        <v>733</v>
      </c>
      <c r="S1909" s="433" t="s">
        <v>736</v>
      </c>
    </row>
    <row r="1910" spans="2:19" ht="12.75" customHeight="1" x14ac:dyDescent="0.2">
      <c r="B1910" s="436"/>
      <c r="C1910" s="422" t="s">
        <v>112</v>
      </c>
      <c r="D1910" s="422" t="s">
        <v>113</v>
      </c>
      <c r="E1910" s="422"/>
      <c r="F1910" s="422" t="s">
        <v>114</v>
      </c>
      <c r="G1910" s="423" t="s">
        <v>115</v>
      </c>
      <c r="H1910" s="424" t="s">
        <v>116</v>
      </c>
      <c r="I1910" s="435" t="s">
        <v>737</v>
      </c>
      <c r="J1910" s="455" t="s">
        <v>733</v>
      </c>
      <c r="K1910" s="435" t="s">
        <v>738</v>
      </c>
      <c r="L1910" s="318"/>
      <c r="M1910" s="435" t="s">
        <v>739</v>
      </c>
      <c r="N1910" s="455" t="s">
        <v>733</v>
      </c>
      <c r="O1910" s="435" t="s">
        <v>740</v>
      </c>
      <c r="P1910" s="318"/>
      <c r="Q1910" s="434"/>
      <c r="R1910" s="434"/>
      <c r="S1910" s="434"/>
    </row>
    <row r="1911" spans="2:19" x14ac:dyDescent="0.2">
      <c r="B1911" s="436"/>
      <c r="C1911" s="422"/>
      <c r="D1911" s="422"/>
      <c r="E1911" s="422"/>
      <c r="F1911" s="422"/>
      <c r="G1911" s="423"/>
      <c r="H1911" s="424"/>
      <c r="I1911" s="435"/>
      <c r="J1911" s="456"/>
      <c r="K1911" s="435"/>
      <c r="L1911" s="318"/>
      <c r="M1911" s="435"/>
      <c r="N1911" s="456"/>
      <c r="O1911" s="435"/>
      <c r="P1911" s="318"/>
      <c r="Q1911" s="434"/>
      <c r="R1911" s="434"/>
      <c r="S1911" s="434"/>
    </row>
    <row r="1912" spans="2:19" x14ac:dyDescent="0.2">
      <c r="B1912" s="436"/>
      <c r="C1912" s="422"/>
      <c r="D1912" s="422"/>
      <c r="E1912" s="422"/>
      <c r="F1912" s="422"/>
      <c r="G1912" s="423"/>
      <c r="H1912" s="424"/>
      <c r="I1912" s="435"/>
      <c r="J1912" s="456"/>
      <c r="K1912" s="435"/>
      <c r="L1912" s="318"/>
      <c r="M1912" s="435"/>
      <c r="N1912" s="456"/>
      <c r="O1912" s="435"/>
      <c r="P1912" s="318"/>
      <c r="Q1912" s="434"/>
      <c r="R1912" s="434"/>
      <c r="S1912" s="434"/>
    </row>
    <row r="1913" spans="2:19" x14ac:dyDescent="0.2">
      <c r="B1913" s="436"/>
      <c r="C1913" s="422"/>
      <c r="D1913" s="422"/>
      <c r="E1913" s="422"/>
      <c r="F1913" s="422"/>
      <c r="G1913" s="423"/>
      <c r="H1913" s="424"/>
      <c r="I1913" s="435"/>
      <c r="J1913" s="457"/>
      <c r="K1913" s="435"/>
      <c r="L1913" s="318"/>
      <c r="M1913" s="435"/>
      <c r="N1913" s="457"/>
      <c r="O1913" s="435"/>
      <c r="P1913" s="318"/>
      <c r="Q1913" s="434"/>
      <c r="R1913" s="434"/>
      <c r="S1913" s="434"/>
    </row>
    <row r="1914" spans="2:19" ht="15.75" x14ac:dyDescent="0.2">
      <c r="B1914" s="7">
        <v>1</v>
      </c>
      <c r="C1914" s="439" t="s">
        <v>24</v>
      </c>
      <c r="D1914" s="440"/>
      <c r="E1914" s="440"/>
      <c r="F1914" s="440"/>
      <c r="G1914" s="440"/>
      <c r="H1914" s="440"/>
      <c r="I1914" s="8">
        <f>I1915</f>
        <v>423430</v>
      </c>
      <c r="J1914" s="8">
        <f t="shared" ref="J1914" si="860">J1915</f>
        <v>0</v>
      </c>
      <c r="K1914" s="8">
        <f>I1914+J1914</f>
        <v>423430</v>
      </c>
      <c r="L1914" s="319"/>
      <c r="M1914" s="8">
        <f>M1915</f>
        <v>1650</v>
      </c>
      <c r="N1914" s="8">
        <f t="shared" ref="N1914:N1915" si="861">N1915</f>
        <v>0</v>
      </c>
      <c r="O1914" s="8">
        <f>M1914+N1914</f>
        <v>1650</v>
      </c>
      <c r="P1914" s="319"/>
      <c r="Q1914" s="9">
        <f t="shared" ref="Q1914:Q1933" si="862">M1914+I1914</f>
        <v>425080</v>
      </c>
      <c r="R1914" s="9">
        <f t="shared" ref="R1914:S1929" si="863">N1914+J1914</f>
        <v>0</v>
      </c>
      <c r="S1914" s="9">
        <f t="shared" si="863"/>
        <v>425080</v>
      </c>
    </row>
    <row r="1915" spans="2:19" ht="15" x14ac:dyDescent="0.2">
      <c r="B1915" s="7">
        <f t="shared" ref="B1915:B1933" si="864">B1914+1</f>
        <v>2</v>
      </c>
      <c r="C1915" s="10">
        <v>1</v>
      </c>
      <c r="D1915" s="420" t="s">
        <v>152</v>
      </c>
      <c r="E1915" s="421"/>
      <c r="F1915" s="421"/>
      <c r="G1915" s="421"/>
      <c r="H1915" s="421"/>
      <c r="I1915" s="11">
        <f>I1916+I1926</f>
        <v>423430</v>
      </c>
      <c r="J1915" s="11">
        <f t="shared" ref="J1915" si="865">J1916+J1926</f>
        <v>0</v>
      </c>
      <c r="K1915" s="11">
        <f t="shared" ref="K1915:K1933" si="866">I1915+J1915</f>
        <v>423430</v>
      </c>
      <c r="L1915" s="320"/>
      <c r="M1915" s="11">
        <f>M1916</f>
        <v>1650</v>
      </c>
      <c r="N1915" s="11">
        <f t="shared" si="861"/>
        <v>0</v>
      </c>
      <c r="O1915" s="11">
        <f t="shared" ref="O1915:O1933" si="867">M1915+N1915</f>
        <v>1650</v>
      </c>
      <c r="P1915" s="320"/>
      <c r="Q1915" s="35">
        <f t="shared" si="862"/>
        <v>425080</v>
      </c>
      <c r="R1915" s="35">
        <f t="shared" si="863"/>
        <v>0</v>
      </c>
      <c r="S1915" s="35">
        <f t="shared" si="863"/>
        <v>425080</v>
      </c>
    </row>
    <row r="1916" spans="2:19" ht="15" x14ac:dyDescent="0.25">
      <c r="B1916" s="7">
        <f t="shared" si="864"/>
        <v>3</v>
      </c>
      <c r="C1916" s="29"/>
      <c r="D1916" s="29">
        <v>1</v>
      </c>
      <c r="E1916" s="441" t="s">
        <v>151</v>
      </c>
      <c r="F1916" s="442"/>
      <c r="G1916" s="442"/>
      <c r="H1916" s="442"/>
      <c r="I1916" s="30">
        <f>I1917+I1920</f>
        <v>337850</v>
      </c>
      <c r="J1916" s="30">
        <f t="shared" ref="J1916" si="868">J1917+J1920</f>
        <v>0</v>
      </c>
      <c r="K1916" s="30">
        <f t="shared" si="866"/>
        <v>337850</v>
      </c>
      <c r="L1916" s="321"/>
      <c r="M1916" s="30">
        <f>M1922</f>
        <v>1650</v>
      </c>
      <c r="N1916" s="30">
        <f t="shared" ref="N1916" si="869">N1922</f>
        <v>0</v>
      </c>
      <c r="O1916" s="30">
        <f t="shared" si="867"/>
        <v>1650</v>
      </c>
      <c r="P1916" s="321"/>
      <c r="Q1916" s="32">
        <f t="shared" si="862"/>
        <v>339500</v>
      </c>
      <c r="R1916" s="32">
        <f t="shared" si="863"/>
        <v>0</v>
      </c>
      <c r="S1916" s="32">
        <f t="shared" si="863"/>
        <v>339500</v>
      </c>
    </row>
    <row r="1917" spans="2:19" x14ac:dyDescent="0.2">
      <c r="B1917" s="7">
        <f t="shared" si="864"/>
        <v>4</v>
      </c>
      <c r="C1917" s="13"/>
      <c r="D1917" s="13"/>
      <c r="E1917" s="13"/>
      <c r="F1917" s="14" t="s">
        <v>150</v>
      </c>
      <c r="G1917" s="15">
        <v>630</v>
      </c>
      <c r="H1917" s="13" t="s">
        <v>119</v>
      </c>
      <c r="I1917" s="16">
        <f>SUM(I1918:I1919)</f>
        <v>250350</v>
      </c>
      <c r="J1917" s="16">
        <f t="shared" ref="J1917" si="870">SUM(J1918:J1919)</f>
        <v>0</v>
      </c>
      <c r="K1917" s="16">
        <f t="shared" si="866"/>
        <v>250350</v>
      </c>
      <c r="L1917" s="16"/>
      <c r="M1917" s="16"/>
      <c r="N1917" s="16"/>
      <c r="O1917" s="16">
        <f t="shared" si="867"/>
        <v>0</v>
      </c>
      <c r="P1917" s="16"/>
      <c r="Q1917" s="18">
        <f t="shared" si="862"/>
        <v>250350</v>
      </c>
      <c r="R1917" s="18">
        <f t="shared" si="863"/>
        <v>0</v>
      </c>
      <c r="S1917" s="18">
        <f t="shared" si="863"/>
        <v>250350</v>
      </c>
    </row>
    <row r="1918" spans="2:19" x14ac:dyDescent="0.2">
      <c r="B1918" s="7">
        <f t="shared" si="864"/>
        <v>5</v>
      </c>
      <c r="C1918" s="19"/>
      <c r="D1918" s="19"/>
      <c r="E1918" s="19"/>
      <c r="F1918" s="20"/>
      <c r="G1918" s="21">
        <v>635</v>
      </c>
      <c r="H1918" s="19" t="s">
        <v>130</v>
      </c>
      <c r="I1918" s="22">
        <v>6600</v>
      </c>
      <c r="J1918" s="22"/>
      <c r="K1918" s="22">
        <f t="shared" si="866"/>
        <v>6600</v>
      </c>
      <c r="L1918" s="22"/>
      <c r="M1918" s="22"/>
      <c r="N1918" s="22"/>
      <c r="O1918" s="22">
        <f t="shared" si="867"/>
        <v>0</v>
      </c>
      <c r="P1918" s="22"/>
      <c r="Q1918" s="23">
        <f t="shared" si="862"/>
        <v>6600</v>
      </c>
      <c r="R1918" s="23">
        <f t="shared" si="863"/>
        <v>0</v>
      </c>
      <c r="S1918" s="23">
        <f t="shared" si="863"/>
        <v>6600</v>
      </c>
    </row>
    <row r="1919" spans="2:19" x14ac:dyDescent="0.2">
      <c r="B1919" s="7">
        <f t="shared" si="864"/>
        <v>6</v>
      </c>
      <c r="C1919" s="19"/>
      <c r="D1919" s="19"/>
      <c r="E1919" s="19"/>
      <c r="F1919" s="20"/>
      <c r="G1919" s="21">
        <v>637</v>
      </c>
      <c r="H1919" s="19" t="s">
        <v>120</v>
      </c>
      <c r="I1919" s="22">
        <v>243750</v>
      </c>
      <c r="J1919" s="22"/>
      <c r="K1919" s="22">
        <f t="shared" si="866"/>
        <v>243750</v>
      </c>
      <c r="L1919" s="22"/>
      <c r="M1919" s="22"/>
      <c r="N1919" s="22"/>
      <c r="O1919" s="22">
        <f t="shared" si="867"/>
        <v>0</v>
      </c>
      <c r="P1919" s="22"/>
      <c r="Q1919" s="23">
        <f t="shared" si="862"/>
        <v>243750</v>
      </c>
      <c r="R1919" s="23">
        <f t="shared" si="863"/>
        <v>0</v>
      </c>
      <c r="S1919" s="23">
        <f t="shared" si="863"/>
        <v>243750</v>
      </c>
    </row>
    <row r="1920" spans="2:19" x14ac:dyDescent="0.2">
      <c r="B1920" s="7">
        <f t="shared" si="864"/>
        <v>7</v>
      </c>
      <c r="C1920" s="13"/>
      <c r="D1920" s="13"/>
      <c r="E1920" s="13"/>
      <c r="F1920" s="14" t="s">
        <v>150</v>
      </c>
      <c r="G1920" s="15">
        <v>640</v>
      </c>
      <c r="H1920" s="13" t="s">
        <v>127</v>
      </c>
      <c r="I1920" s="16">
        <f>I1921</f>
        <v>87500</v>
      </c>
      <c r="J1920" s="16">
        <f t="shared" ref="J1920" si="871">J1921</f>
        <v>0</v>
      </c>
      <c r="K1920" s="16">
        <f t="shared" si="866"/>
        <v>87500</v>
      </c>
      <c r="L1920" s="16"/>
      <c r="M1920" s="16"/>
      <c r="N1920" s="16"/>
      <c r="O1920" s="16">
        <f t="shared" si="867"/>
        <v>0</v>
      </c>
      <c r="P1920" s="16"/>
      <c r="Q1920" s="18">
        <f t="shared" si="862"/>
        <v>87500</v>
      </c>
      <c r="R1920" s="18">
        <f t="shared" si="863"/>
        <v>0</v>
      </c>
      <c r="S1920" s="18">
        <f t="shared" si="863"/>
        <v>87500</v>
      </c>
    </row>
    <row r="1921" spans="2:19" x14ac:dyDescent="0.2">
      <c r="B1921" s="7">
        <f t="shared" si="864"/>
        <v>8</v>
      </c>
      <c r="C1921" s="19"/>
      <c r="D1921" s="19"/>
      <c r="E1921" s="19"/>
      <c r="F1921" s="20"/>
      <c r="G1921" s="21">
        <v>642</v>
      </c>
      <c r="H1921" s="19" t="s">
        <v>128</v>
      </c>
      <c r="I1921" s="22">
        <v>87500</v>
      </c>
      <c r="J1921" s="22"/>
      <c r="K1921" s="22">
        <f t="shared" si="866"/>
        <v>87500</v>
      </c>
      <c r="L1921" s="22"/>
      <c r="M1921" s="22"/>
      <c r="N1921" s="22"/>
      <c r="O1921" s="22">
        <f t="shared" si="867"/>
        <v>0</v>
      </c>
      <c r="P1921" s="22"/>
      <c r="Q1921" s="23">
        <f t="shared" si="862"/>
        <v>87500</v>
      </c>
      <c r="R1921" s="23">
        <f t="shared" si="863"/>
        <v>0</v>
      </c>
      <c r="S1921" s="23">
        <f t="shared" si="863"/>
        <v>87500</v>
      </c>
    </row>
    <row r="1922" spans="2:19" x14ac:dyDescent="0.2">
      <c r="B1922" s="7">
        <f t="shared" si="864"/>
        <v>9</v>
      </c>
      <c r="C1922" s="13"/>
      <c r="D1922" s="13"/>
      <c r="E1922" s="13"/>
      <c r="F1922" s="14" t="s">
        <v>150</v>
      </c>
      <c r="G1922" s="15">
        <v>710</v>
      </c>
      <c r="H1922" s="13" t="s">
        <v>171</v>
      </c>
      <c r="I1922" s="16"/>
      <c r="J1922" s="16"/>
      <c r="K1922" s="16">
        <f t="shared" si="866"/>
        <v>0</v>
      </c>
      <c r="L1922" s="16"/>
      <c r="M1922" s="16">
        <f>M1923</f>
        <v>1650</v>
      </c>
      <c r="N1922" s="16">
        <f t="shared" ref="N1922:N1923" si="872">N1923</f>
        <v>0</v>
      </c>
      <c r="O1922" s="16">
        <f t="shared" si="867"/>
        <v>1650</v>
      </c>
      <c r="P1922" s="16"/>
      <c r="Q1922" s="18">
        <f t="shared" si="862"/>
        <v>1650</v>
      </c>
      <c r="R1922" s="18">
        <f t="shared" si="863"/>
        <v>0</v>
      </c>
      <c r="S1922" s="18">
        <f t="shared" si="863"/>
        <v>1650</v>
      </c>
    </row>
    <row r="1923" spans="2:19" x14ac:dyDescent="0.2">
      <c r="B1923" s="7">
        <f t="shared" si="864"/>
        <v>10</v>
      </c>
      <c r="C1923" s="19"/>
      <c r="D1923" s="19"/>
      <c r="E1923" s="19"/>
      <c r="F1923" s="20"/>
      <c r="G1923" s="21">
        <v>717</v>
      </c>
      <c r="H1923" s="19" t="s">
        <v>178</v>
      </c>
      <c r="I1923" s="22"/>
      <c r="J1923" s="22"/>
      <c r="K1923" s="22">
        <f t="shared" si="866"/>
        <v>0</v>
      </c>
      <c r="L1923" s="22"/>
      <c r="M1923" s="22">
        <f>M1924</f>
        <v>1650</v>
      </c>
      <c r="N1923" s="22">
        <f t="shared" si="872"/>
        <v>0</v>
      </c>
      <c r="O1923" s="22">
        <f t="shared" si="867"/>
        <v>1650</v>
      </c>
      <c r="P1923" s="22"/>
      <c r="Q1923" s="23">
        <f t="shared" si="862"/>
        <v>1650</v>
      </c>
      <c r="R1923" s="23">
        <f t="shared" si="863"/>
        <v>0</v>
      </c>
      <c r="S1923" s="23">
        <f t="shared" si="863"/>
        <v>1650</v>
      </c>
    </row>
    <row r="1924" spans="2:19" x14ac:dyDescent="0.2">
      <c r="B1924" s="7">
        <f t="shared" si="864"/>
        <v>11</v>
      </c>
      <c r="C1924" s="24"/>
      <c r="D1924" s="24"/>
      <c r="E1924" s="24"/>
      <c r="F1924" s="136"/>
      <c r="G1924" s="136"/>
      <c r="H1924" s="1" t="s">
        <v>397</v>
      </c>
      <c r="I1924" s="26"/>
      <c r="J1924" s="26"/>
      <c r="K1924" s="26">
        <f t="shared" si="866"/>
        <v>0</v>
      </c>
      <c r="L1924" s="26"/>
      <c r="M1924" s="26">
        <v>1650</v>
      </c>
      <c r="N1924" s="26"/>
      <c r="O1924" s="26">
        <f t="shared" si="867"/>
        <v>1650</v>
      </c>
      <c r="P1924" s="26"/>
      <c r="Q1924" s="28">
        <f t="shared" si="862"/>
        <v>1650</v>
      </c>
      <c r="R1924" s="28">
        <f t="shared" si="863"/>
        <v>0</v>
      </c>
      <c r="S1924" s="28">
        <f t="shared" si="863"/>
        <v>1650</v>
      </c>
    </row>
    <row r="1925" spans="2:19" ht="15" x14ac:dyDescent="0.25">
      <c r="B1925" s="7">
        <f t="shared" si="864"/>
        <v>12</v>
      </c>
      <c r="C1925" s="29"/>
      <c r="D1925" s="29">
        <v>2</v>
      </c>
      <c r="E1925" s="441" t="s">
        <v>329</v>
      </c>
      <c r="F1925" s="442"/>
      <c r="G1925" s="442"/>
      <c r="H1925" s="442"/>
      <c r="I1925" s="30">
        <v>0</v>
      </c>
      <c r="J1925" s="30">
        <v>0</v>
      </c>
      <c r="K1925" s="30">
        <f t="shared" si="866"/>
        <v>0</v>
      </c>
      <c r="L1925" s="321"/>
      <c r="M1925" s="30"/>
      <c r="N1925" s="30"/>
      <c r="O1925" s="30">
        <f t="shared" si="867"/>
        <v>0</v>
      </c>
      <c r="P1925" s="321"/>
      <c r="Q1925" s="32">
        <f t="shared" si="862"/>
        <v>0</v>
      </c>
      <c r="R1925" s="32">
        <f t="shared" si="863"/>
        <v>0</v>
      </c>
      <c r="S1925" s="32">
        <f t="shared" si="863"/>
        <v>0</v>
      </c>
    </row>
    <row r="1926" spans="2:19" ht="15" x14ac:dyDescent="0.25">
      <c r="B1926" s="7">
        <f t="shared" si="864"/>
        <v>13</v>
      </c>
      <c r="C1926" s="29"/>
      <c r="D1926" s="29">
        <v>3</v>
      </c>
      <c r="E1926" s="441" t="s">
        <v>182</v>
      </c>
      <c r="F1926" s="442"/>
      <c r="G1926" s="442"/>
      <c r="H1926" s="442"/>
      <c r="I1926" s="30">
        <f>I1927+I1928+I1929+I1933</f>
        <v>85580</v>
      </c>
      <c r="J1926" s="30">
        <f t="shared" ref="J1926" si="873">J1927+J1928+J1929+J1933</f>
        <v>0</v>
      </c>
      <c r="K1926" s="30">
        <f t="shared" si="866"/>
        <v>85580</v>
      </c>
      <c r="L1926" s="321"/>
      <c r="M1926" s="31"/>
      <c r="N1926" s="31"/>
      <c r="O1926" s="31">
        <f t="shared" si="867"/>
        <v>0</v>
      </c>
      <c r="P1926" s="17">
        <f>P1927+P1928+P1929+P1933</f>
        <v>0</v>
      </c>
      <c r="Q1926" s="32">
        <f t="shared" si="862"/>
        <v>85580</v>
      </c>
      <c r="R1926" s="32">
        <f t="shared" si="863"/>
        <v>0</v>
      </c>
      <c r="S1926" s="32">
        <f t="shared" si="863"/>
        <v>85580</v>
      </c>
    </row>
    <row r="1927" spans="2:19" x14ac:dyDescent="0.2">
      <c r="B1927" s="7">
        <f t="shared" si="864"/>
        <v>14</v>
      </c>
      <c r="C1927" s="13"/>
      <c r="D1927" s="13"/>
      <c r="E1927" s="13"/>
      <c r="F1927" s="14" t="s">
        <v>181</v>
      </c>
      <c r="G1927" s="15">
        <v>610</v>
      </c>
      <c r="H1927" s="13" t="s">
        <v>511</v>
      </c>
      <c r="I1927" s="16">
        <v>56000</v>
      </c>
      <c r="J1927" s="16"/>
      <c r="K1927" s="16">
        <f t="shared" si="866"/>
        <v>56000</v>
      </c>
      <c r="L1927" s="16"/>
      <c r="M1927" s="16"/>
      <c r="N1927" s="16"/>
      <c r="O1927" s="16">
        <f t="shared" si="867"/>
        <v>0</v>
      </c>
      <c r="P1927" s="16"/>
      <c r="Q1927" s="18">
        <f t="shared" si="862"/>
        <v>56000</v>
      </c>
      <c r="R1927" s="18">
        <f t="shared" si="863"/>
        <v>0</v>
      </c>
      <c r="S1927" s="18">
        <f t="shared" si="863"/>
        <v>56000</v>
      </c>
    </row>
    <row r="1928" spans="2:19" x14ac:dyDescent="0.2">
      <c r="B1928" s="7">
        <f t="shared" si="864"/>
        <v>15</v>
      </c>
      <c r="C1928" s="13"/>
      <c r="D1928" s="13"/>
      <c r="E1928" s="13"/>
      <c r="F1928" s="14" t="s">
        <v>181</v>
      </c>
      <c r="G1928" s="15">
        <v>620</v>
      </c>
      <c r="H1928" s="13" t="s">
        <v>122</v>
      </c>
      <c r="I1928" s="16">
        <v>21300</v>
      </c>
      <c r="J1928" s="16"/>
      <c r="K1928" s="16">
        <f t="shared" si="866"/>
        <v>21300</v>
      </c>
      <c r="L1928" s="16"/>
      <c r="M1928" s="16"/>
      <c r="N1928" s="16"/>
      <c r="O1928" s="16">
        <f t="shared" si="867"/>
        <v>0</v>
      </c>
      <c r="P1928" s="16"/>
      <c r="Q1928" s="18">
        <f t="shared" si="862"/>
        <v>21300</v>
      </c>
      <c r="R1928" s="18">
        <f t="shared" si="863"/>
        <v>0</v>
      </c>
      <c r="S1928" s="18">
        <f t="shared" si="863"/>
        <v>21300</v>
      </c>
    </row>
    <row r="1929" spans="2:19" x14ac:dyDescent="0.2">
      <c r="B1929" s="7">
        <f t="shared" si="864"/>
        <v>16</v>
      </c>
      <c r="C1929" s="13"/>
      <c r="D1929" s="13"/>
      <c r="E1929" s="13"/>
      <c r="F1929" s="14" t="s">
        <v>181</v>
      </c>
      <c r="G1929" s="15">
        <v>630</v>
      </c>
      <c r="H1929" s="13" t="s">
        <v>119</v>
      </c>
      <c r="I1929" s="16">
        <f>SUM(I1930:I1932)</f>
        <v>5680</v>
      </c>
      <c r="J1929" s="16">
        <f t="shared" ref="J1929" si="874">SUM(J1930:J1932)</f>
        <v>0</v>
      </c>
      <c r="K1929" s="16">
        <f t="shared" si="866"/>
        <v>5680</v>
      </c>
      <c r="L1929" s="16"/>
      <c r="M1929" s="16"/>
      <c r="N1929" s="16"/>
      <c r="O1929" s="16">
        <f t="shared" si="867"/>
        <v>0</v>
      </c>
      <c r="P1929" s="16"/>
      <c r="Q1929" s="18">
        <f t="shared" si="862"/>
        <v>5680</v>
      </c>
      <c r="R1929" s="18">
        <f t="shared" si="863"/>
        <v>0</v>
      </c>
      <c r="S1929" s="18">
        <f t="shared" si="863"/>
        <v>5680</v>
      </c>
    </row>
    <row r="1930" spans="2:19" x14ac:dyDescent="0.2">
      <c r="B1930" s="7">
        <f t="shared" si="864"/>
        <v>17</v>
      </c>
      <c r="C1930" s="19"/>
      <c r="D1930" s="19"/>
      <c r="E1930" s="19"/>
      <c r="F1930" s="20"/>
      <c r="G1930" s="21">
        <v>632</v>
      </c>
      <c r="H1930" s="19" t="s">
        <v>131</v>
      </c>
      <c r="I1930" s="22">
        <v>3000</v>
      </c>
      <c r="J1930" s="22"/>
      <c r="K1930" s="22">
        <f t="shared" si="866"/>
        <v>3000</v>
      </c>
      <c r="L1930" s="22"/>
      <c r="M1930" s="22"/>
      <c r="N1930" s="22"/>
      <c r="O1930" s="22">
        <f t="shared" si="867"/>
        <v>0</v>
      </c>
      <c r="P1930" s="22"/>
      <c r="Q1930" s="23">
        <f t="shared" si="862"/>
        <v>3000</v>
      </c>
      <c r="R1930" s="23">
        <f t="shared" ref="R1930:S1933" si="875">N1930+J1930</f>
        <v>0</v>
      </c>
      <c r="S1930" s="23">
        <f t="shared" si="875"/>
        <v>3000</v>
      </c>
    </row>
    <row r="1931" spans="2:19" x14ac:dyDescent="0.2">
      <c r="B1931" s="7">
        <f t="shared" si="864"/>
        <v>18</v>
      </c>
      <c r="C1931" s="19"/>
      <c r="D1931" s="19"/>
      <c r="E1931" s="19"/>
      <c r="F1931" s="20"/>
      <c r="G1931" s="21">
        <v>633</v>
      </c>
      <c r="H1931" s="19" t="s">
        <v>123</v>
      </c>
      <c r="I1931" s="22">
        <v>1130</v>
      </c>
      <c r="J1931" s="22"/>
      <c r="K1931" s="22">
        <f t="shared" si="866"/>
        <v>1130</v>
      </c>
      <c r="L1931" s="22"/>
      <c r="M1931" s="22"/>
      <c r="N1931" s="22"/>
      <c r="O1931" s="22">
        <f t="shared" si="867"/>
        <v>0</v>
      </c>
      <c r="P1931" s="22"/>
      <c r="Q1931" s="23">
        <f t="shared" si="862"/>
        <v>1130</v>
      </c>
      <c r="R1931" s="23">
        <f t="shared" si="875"/>
        <v>0</v>
      </c>
      <c r="S1931" s="23">
        <f t="shared" si="875"/>
        <v>1130</v>
      </c>
    </row>
    <row r="1932" spans="2:19" x14ac:dyDescent="0.2">
      <c r="B1932" s="7">
        <f t="shared" si="864"/>
        <v>19</v>
      </c>
      <c r="C1932" s="19"/>
      <c r="D1932" s="19"/>
      <c r="E1932" s="19"/>
      <c r="F1932" s="20"/>
      <c r="G1932" s="21">
        <v>637</v>
      </c>
      <c r="H1932" s="19" t="s">
        <v>120</v>
      </c>
      <c r="I1932" s="22">
        <v>1550</v>
      </c>
      <c r="J1932" s="22"/>
      <c r="K1932" s="22">
        <f t="shared" si="866"/>
        <v>1550</v>
      </c>
      <c r="L1932" s="22"/>
      <c r="M1932" s="22"/>
      <c r="N1932" s="22"/>
      <c r="O1932" s="22">
        <f t="shared" si="867"/>
        <v>0</v>
      </c>
      <c r="P1932" s="22"/>
      <c r="Q1932" s="23">
        <f t="shared" si="862"/>
        <v>1550</v>
      </c>
      <c r="R1932" s="23">
        <f t="shared" si="875"/>
        <v>0</v>
      </c>
      <c r="S1932" s="23">
        <f t="shared" si="875"/>
        <v>1550</v>
      </c>
    </row>
    <row r="1933" spans="2:19" x14ac:dyDescent="0.2">
      <c r="B1933" s="174">
        <f t="shared" si="864"/>
        <v>20</v>
      </c>
      <c r="C1933" s="175"/>
      <c r="D1933" s="175"/>
      <c r="E1933" s="175"/>
      <c r="F1933" s="176" t="s">
        <v>181</v>
      </c>
      <c r="G1933" s="177">
        <v>640</v>
      </c>
      <c r="H1933" s="175" t="s">
        <v>127</v>
      </c>
      <c r="I1933" s="178">
        <v>2600</v>
      </c>
      <c r="J1933" s="178"/>
      <c r="K1933" s="178">
        <f t="shared" si="866"/>
        <v>2600</v>
      </c>
      <c r="L1933" s="178"/>
      <c r="M1933" s="178"/>
      <c r="N1933" s="178"/>
      <c r="O1933" s="178">
        <f t="shared" si="867"/>
        <v>0</v>
      </c>
      <c r="P1933" s="178"/>
      <c r="Q1933" s="179">
        <f t="shared" si="862"/>
        <v>2600</v>
      </c>
      <c r="R1933" s="179">
        <f t="shared" si="875"/>
        <v>0</v>
      </c>
      <c r="S1933" s="179">
        <f t="shared" si="875"/>
        <v>2600</v>
      </c>
    </row>
    <row r="1934" spans="2:19" x14ac:dyDescent="0.2">
      <c r="B1934" s="3"/>
      <c r="F1934" s="3"/>
      <c r="G1934" s="3"/>
      <c r="I1934" s="3"/>
      <c r="J1934" s="3"/>
      <c r="K1934" s="3"/>
      <c r="L1934" s="3"/>
      <c r="M1934" s="3"/>
      <c r="N1934" s="3"/>
      <c r="O1934" s="3"/>
      <c r="P1934" s="3"/>
      <c r="Q1934" s="3"/>
    </row>
    <row r="1935" spans="2:19" x14ac:dyDescent="0.2">
      <c r="B1935" s="3"/>
      <c r="F1935" s="3"/>
      <c r="G1935" s="3"/>
      <c r="I1935" s="3"/>
      <c r="J1935" s="3"/>
      <c r="K1935" s="3"/>
      <c r="L1935" s="3"/>
      <c r="M1935" s="3"/>
      <c r="N1935" s="3"/>
      <c r="O1935" s="3"/>
      <c r="P1935" s="3"/>
      <c r="Q1935" s="3"/>
    </row>
    <row r="1936" spans="2:19" x14ac:dyDescent="0.2">
      <c r="B1936" s="3"/>
      <c r="F1936" s="3"/>
      <c r="G1936" s="3"/>
      <c r="I1936" s="3"/>
      <c r="J1936" s="3"/>
      <c r="K1936" s="3"/>
      <c r="L1936" s="3"/>
      <c r="M1936" s="3"/>
      <c r="N1936" s="3"/>
      <c r="O1936" s="3"/>
      <c r="P1936" s="3"/>
      <c r="Q1936" s="3"/>
    </row>
    <row r="1937" spans="2:17" x14ac:dyDescent="0.2">
      <c r="B1937" s="3"/>
      <c r="F1937" s="3"/>
      <c r="G1937" s="3"/>
      <c r="I1937" s="3"/>
      <c r="J1937" s="3"/>
      <c r="K1937" s="3"/>
      <c r="L1937" s="3"/>
      <c r="M1937" s="3"/>
      <c r="N1937" s="3"/>
      <c r="O1937" s="3"/>
      <c r="P1937" s="3"/>
      <c r="Q1937" s="3"/>
    </row>
    <row r="1938" spans="2:17" x14ac:dyDescent="0.2">
      <c r="B1938" s="3"/>
      <c r="F1938" s="3"/>
      <c r="G1938" s="3"/>
      <c r="I1938" s="3"/>
      <c r="J1938" s="3"/>
      <c r="K1938" s="3"/>
      <c r="L1938" s="3"/>
      <c r="M1938" s="3"/>
      <c r="N1938" s="3"/>
      <c r="O1938" s="3"/>
      <c r="P1938" s="3"/>
      <c r="Q1938" s="3"/>
    </row>
    <row r="1939" spans="2:17" x14ac:dyDescent="0.2">
      <c r="B1939" s="3"/>
      <c r="F1939" s="3"/>
      <c r="G1939" s="3"/>
      <c r="I1939" s="3"/>
      <c r="J1939" s="3"/>
      <c r="K1939" s="3"/>
      <c r="L1939" s="3"/>
      <c r="M1939" s="3"/>
      <c r="N1939" s="3"/>
      <c r="O1939" s="3"/>
      <c r="P1939" s="3"/>
      <c r="Q1939" s="3"/>
    </row>
    <row r="1940" spans="2:17" x14ac:dyDescent="0.2">
      <c r="B1940" s="3"/>
      <c r="F1940" s="3"/>
      <c r="G1940" s="3"/>
      <c r="I1940" s="3"/>
      <c r="J1940" s="3"/>
      <c r="K1940" s="3"/>
      <c r="L1940" s="3"/>
      <c r="M1940" s="3"/>
      <c r="N1940" s="3"/>
      <c r="O1940" s="3"/>
      <c r="P1940" s="3"/>
      <c r="Q1940" s="3"/>
    </row>
    <row r="1941" spans="2:17" x14ac:dyDescent="0.2">
      <c r="B1941" s="3"/>
      <c r="F1941" s="3"/>
      <c r="G1941" s="3"/>
      <c r="I1941" s="3"/>
      <c r="J1941" s="3"/>
      <c r="K1941" s="3"/>
      <c r="L1941" s="3"/>
      <c r="M1941" s="3"/>
      <c r="N1941" s="3"/>
      <c r="O1941" s="3"/>
      <c r="P1941" s="3"/>
      <c r="Q1941" s="3"/>
    </row>
    <row r="1942" spans="2:17" x14ac:dyDescent="0.2">
      <c r="B1942" s="3"/>
      <c r="F1942" s="3"/>
      <c r="G1942" s="3"/>
      <c r="I1942" s="3"/>
      <c r="J1942" s="3"/>
      <c r="K1942" s="3"/>
      <c r="L1942" s="3"/>
      <c r="M1942" s="3"/>
      <c r="N1942" s="3"/>
      <c r="O1942" s="3"/>
      <c r="P1942" s="3"/>
      <c r="Q1942" s="3"/>
    </row>
    <row r="1943" spans="2:17" x14ac:dyDescent="0.2">
      <c r="B1943" s="3"/>
      <c r="F1943" s="3"/>
      <c r="G1943" s="3"/>
      <c r="I1943" s="3"/>
      <c r="J1943" s="3"/>
      <c r="K1943" s="3"/>
      <c r="L1943" s="3"/>
      <c r="M1943" s="3"/>
      <c r="N1943" s="3"/>
      <c r="O1943" s="3"/>
      <c r="P1943" s="3"/>
      <c r="Q1943" s="3"/>
    </row>
    <row r="1944" spans="2:17" x14ac:dyDescent="0.2">
      <c r="B1944" s="3"/>
      <c r="F1944" s="3"/>
      <c r="G1944" s="3"/>
      <c r="I1944" s="3"/>
      <c r="J1944" s="3"/>
      <c r="K1944" s="3"/>
      <c r="L1944" s="3"/>
      <c r="M1944" s="3"/>
      <c r="N1944" s="3"/>
      <c r="O1944" s="3"/>
      <c r="P1944" s="3"/>
      <c r="Q1944" s="3"/>
    </row>
    <row r="1945" spans="2:17" x14ac:dyDescent="0.2">
      <c r="B1945" s="3"/>
      <c r="F1945" s="3"/>
      <c r="G1945" s="3"/>
      <c r="I1945" s="3"/>
      <c r="J1945" s="3"/>
      <c r="K1945" s="3"/>
      <c r="L1945" s="3"/>
      <c r="M1945" s="3"/>
      <c r="N1945" s="3"/>
      <c r="O1945" s="3"/>
      <c r="P1945" s="3"/>
      <c r="Q1945" s="3"/>
    </row>
    <row r="1946" spans="2:17" x14ac:dyDescent="0.2">
      <c r="B1946" s="3"/>
      <c r="F1946" s="3"/>
      <c r="G1946" s="3"/>
      <c r="I1946" s="3"/>
      <c r="J1946" s="3"/>
      <c r="K1946" s="3"/>
      <c r="L1946" s="3"/>
      <c r="M1946" s="3"/>
      <c r="N1946" s="3"/>
      <c r="O1946" s="3"/>
      <c r="P1946" s="3"/>
      <c r="Q1946" s="3"/>
    </row>
    <row r="1947" spans="2:17" x14ac:dyDescent="0.2">
      <c r="B1947" s="3"/>
      <c r="F1947" s="3"/>
      <c r="G1947" s="3"/>
      <c r="I1947" s="3"/>
      <c r="J1947" s="3"/>
      <c r="K1947" s="3"/>
      <c r="L1947" s="3"/>
      <c r="M1947" s="3"/>
      <c r="N1947" s="3"/>
      <c r="O1947" s="3"/>
      <c r="P1947" s="3"/>
      <c r="Q1947" s="3"/>
    </row>
    <row r="1948" spans="2:17" x14ac:dyDescent="0.2">
      <c r="B1948" s="3"/>
      <c r="F1948" s="3"/>
      <c r="G1948" s="3"/>
      <c r="I1948" s="3"/>
      <c r="J1948" s="3"/>
      <c r="K1948" s="3"/>
      <c r="L1948" s="3"/>
      <c r="M1948" s="3"/>
      <c r="N1948" s="3"/>
      <c r="O1948" s="3"/>
      <c r="P1948" s="3"/>
      <c r="Q1948" s="3"/>
    </row>
    <row r="1949" spans="2:17" x14ac:dyDescent="0.2">
      <c r="B1949" s="3"/>
      <c r="F1949" s="3"/>
      <c r="G1949" s="3"/>
      <c r="I1949" s="3"/>
      <c r="J1949" s="3"/>
      <c r="K1949" s="3"/>
      <c r="L1949" s="3"/>
      <c r="M1949" s="3"/>
      <c r="N1949" s="3"/>
      <c r="O1949" s="3"/>
      <c r="P1949" s="3"/>
      <c r="Q1949" s="3"/>
    </row>
    <row r="1950" spans="2:17" x14ac:dyDescent="0.2">
      <c r="B1950" s="3"/>
      <c r="F1950" s="3"/>
      <c r="G1950" s="3"/>
      <c r="I1950" s="3"/>
      <c r="J1950" s="3"/>
      <c r="K1950" s="3"/>
      <c r="L1950" s="3"/>
      <c r="M1950" s="3"/>
      <c r="N1950" s="3"/>
      <c r="O1950" s="3"/>
      <c r="P1950" s="3"/>
      <c r="Q1950" s="3"/>
    </row>
    <row r="1951" spans="2:17" x14ac:dyDescent="0.2">
      <c r="B1951" s="3"/>
      <c r="F1951" s="3"/>
      <c r="G1951" s="3"/>
      <c r="I1951" s="3"/>
      <c r="J1951" s="3"/>
      <c r="K1951" s="3"/>
      <c r="L1951" s="3"/>
      <c r="M1951" s="3"/>
      <c r="N1951" s="3"/>
      <c r="O1951" s="3"/>
      <c r="P1951" s="3"/>
      <c r="Q1951" s="3"/>
    </row>
    <row r="1952" spans="2:17" x14ac:dyDescent="0.2">
      <c r="B1952" s="3"/>
      <c r="F1952" s="3"/>
      <c r="G1952" s="3"/>
      <c r="I1952" s="3"/>
      <c r="J1952" s="3"/>
      <c r="K1952" s="3"/>
      <c r="L1952" s="3"/>
      <c r="M1952" s="3"/>
      <c r="N1952" s="3"/>
      <c r="O1952" s="3"/>
      <c r="P1952" s="3"/>
      <c r="Q1952" s="3"/>
    </row>
    <row r="1953" spans="2:17" x14ac:dyDescent="0.2">
      <c r="B1953" s="3"/>
      <c r="F1953" s="3"/>
      <c r="G1953" s="3"/>
      <c r="I1953" s="3"/>
      <c r="J1953" s="3"/>
      <c r="K1953" s="3"/>
      <c r="L1953" s="3"/>
      <c r="M1953" s="3"/>
      <c r="N1953" s="3"/>
      <c r="O1953" s="3"/>
      <c r="P1953" s="3"/>
      <c r="Q1953" s="3"/>
    </row>
    <row r="1954" spans="2:17" x14ac:dyDescent="0.2">
      <c r="B1954" s="3"/>
      <c r="F1954" s="3"/>
      <c r="G1954" s="3"/>
      <c r="I1954" s="3"/>
      <c r="J1954" s="3"/>
      <c r="K1954" s="3"/>
      <c r="L1954" s="3"/>
      <c r="M1954" s="3"/>
      <c r="N1954" s="3"/>
      <c r="O1954" s="3"/>
      <c r="P1954" s="3"/>
      <c r="Q1954" s="3"/>
    </row>
    <row r="1955" spans="2:17" x14ac:dyDescent="0.2">
      <c r="B1955" s="3"/>
      <c r="F1955" s="3"/>
      <c r="G1955" s="3"/>
      <c r="I1955" s="3"/>
      <c r="J1955" s="3"/>
      <c r="K1955" s="3"/>
      <c r="L1955" s="3"/>
      <c r="M1955" s="3"/>
      <c r="N1955" s="3"/>
      <c r="O1955" s="3"/>
      <c r="P1955" s="3"/>
      <c r="Q1955" s="3"/>
    </row>
    <row r="1956" spans="2:17" x14ac:dyDescent="0.2">
      <c r="B1956" s="3"/>
      <c r="F1956" s="3"/>
      <c r="G1956" s="3"/>
      <c r="I1956" s="3"/>
      <c r="J1956" s="3"/>
      <c r="K1956" s="3"/>
      <c r="L1956" s="3"/>
      <c r="M1956" s="3"/>
      <c r="N1956" s="3"/>
      <c r="O1956" s="3"/>
      <c r="P1956" s="3"/>
      <c r="Q1956" s="3"/>
    </row>
    <row r="1957" spans="2:17" x14ac:dyDescent="0.2">
      <c r="B1957" s="3"/>
      <c r="F1957" s="3"/>
      <c r="G1957" s="3"/>
      <c r="I1957" s="3"/>
      <c r="J1957" s="3"/>
      <c r="K1957" s="3"/>
      <c r="L1957" s="3"/>
      <c r="M1957" s="3"/>
      <c r="N1957" s="3"/>
      <c r="O1957" s="3"/>
      <c r="P1957" s="3"/>
      <c r="Q1957" s="3"/>
    </row>
    <row r="1958" spans="2:17" x14ac:dyDescent="0.2">
      <c r="B1958" s="3"/>
      <c r="F1958" s="3"/>
      <c r="G1958" s="3"/>
      <c r="I1958" s="3"/>
      <c r="J1958" s="3"/>
      <c r="K1958" s="3"/>
      <c r="L1958" s="3"/>
      <c r="M1958" s="3"/>
      <c r="N1958" s="3"/>
      <c r="O1958" s="3"/>
      <c r="P1958" s="3"/>
      <c r="Q1958" s="3"/>
    </row>
    <row r="1959" spans="2:17" x14ac:dyDescent="0.2">
      <c r="B1959" s="3"/>
      <c r="F1959" s="3"/>
      <c r="G1959" s="3"/>
      <c r="I1959" s="3"/>
      <c r="J1959" s="3"/>
      <c r="K1959" s="3"/>
      <c r="L1959" s="3"/>
      <c r="M1959" s="3"/>
      <c r="N1959" s="3"/>
      <c r="O1959" s="3"/>
      <c r="P1959" s="3"/>
      <c r="Q1959" s="3"/>
    </row>
    <row r="1960" spans="2:17" x14ac:dyDescent="0.2">
      <c r="B1960" s="3"/>
      <c r="F1960" s="3"/>
      <c r="G1960" s="3"/>
      <c r="I1960" s="3"/>
      <c r="J1960" s="3"/>
      <c r="K1960" s="3"/>
      <c r="L1960" s="3"/>
      <c r="M1960" s="3"/>
      <c r="N1960" s="3"/>
      <c r="O1960" s="3"/>
      <c r="P1960" s="3"/>
      <c r="Q1960" s="3"/>
    </row>
    <row r="1961" spans="2:17" x14ac:dyDescent="0.2">
      <c r="B1961" s="3"/>
      <c r="F1961" s="3"/>
      <c r="G1961" s="3"/>
      <c r="I1961" s="3"/>
      <c r="J1961" s="3"/>
      <c r="K1961" s="3"/>
      <c r="L1961" s="3"/>
      <c r="M1961" s="3"/>
      <c r="N1961" s="3"/>
      <c r="O1961" s="3"/>
      <c r="P1961" s="3"/>
      <c r="Q1961" s="3"/>
    </row>
    <row r="1962" spans="2:17" x14ac:dyDescent="0.2">
      <c r="B1962" s="3"/>
      <c r="F1962" s="3"/>
      <c r="G1962" s="3"/>
      <c r="I1962" s="3"/>
      <c r="J1962" s="3"/>
      <c r="K1962" s="3"/>
      <c r="L1962" s="3"/>
      <c r="M1962" s="3"/>
      <c r="N1962" s="3"/>
      <c r="O1962" s="3"/>
      <c r="P1962" s="3"/>
      <c r="Q1962" s="3"/>
    </row>
    <row r="1963" spans="2:17" x14ac:dyDescent="0.2">
      <c r="B1963" s="3"/>
      <c r="F1963" s="3"/>
      <c r="G1963" s="3"/>
      <c r="I1963" s="3"/>
      <c r="J1963" s="3"/>
      <c r="K1963" s="3"/>
      <c r="L1963" s="3"/>
      <c r="M1963" s="3"/>
      <c r="N1963" s="3"/>
      <c r="O1963" s="3"/>
      <c r="P1963" s="3"/>
      <c r="Q1963" s="3"/>
    </row>
    <row r="1964" spans="2:17" x14ac:dyDescent="0.2">
      <c r="B1964" s="3"/>
      <c r="F1964" s="3"/>
      <c r="G1964" s="3"/>
      <c r="I1964" s="3"/>
      <c r="J1964" s="3"/>
      <c r="K1964" s="3"/>
      <c r="L1964" s="3"/>
      <c r="M1964" s="3"/>
      <c r="N1964" s="3"/>
      <c r="O1964" s="3"/>
      <c r="P1964" s="3"/>
      <c r="Q1964" s="3"/>
    </row>
    <row r="1965" spans="2:17" x14ac:dyDescent="0.2">
      <c r="B1965" s="3"/>
      <c r="F1965" s="3"/>
      <c r="G1965" s="3"/>
      <c r="I1965" s="3"/>
      <c r="J1965" s="3"/>
      <c r="K1965" s="3"/>
      <c r="L1965" s="3"/>
      <c r="M1965" s="3"/>
      <c r="N1965" s="3"/>
      <c r="O1965" s="3"/>
      <c r="P1965" s="3"/>
      <c r="Q1965" s="3"/>
    </row>
    <row r="1966" spans="2:17" x14ac:dyDescent="0.2">
      <c r="B1966" s="3"/>
      <c r="F1966" s="3"/>
      <c r="G1966" s="3"/>
      <c r="I1966" s="3"/>
      <c r="J1966" s="3"/>
      <c r="K1966" s="3"/>
      <c r="L1966" s="3"/>
      <c r="M1966" s="3"/>
      <c r="N1966" s="3"/>
      <c r="O1966" s="3"/>
      <c r="P1966" s="3"/>
      <c r="Q1966" s="3"/>
    </row>
    <row r="1967" spans="2:17" x14ac:dyDescent="0.2">
      <c r="B1967" s="3"/>
      <c r="F1967" s="3"/>
      <c r="G1967" s="3"/>
      <c r="I1967" s="3"/>
      <c r="J1967" s="3"/>
      <c r="K1967" s="3"/>
      <c r="L1967" s="3"/>
      <c r="M1967" s="3"/>
      <c r="N1967" s="3"/>
      <c r="O1967" s="3"/>
      <c r="P1967" s="3"/>
      <c r="Q1967" s="3"/>
    </row>
    <row r="1968" spans="2:17" x14ac:dyDescent="0.2">
      <c r="B1968" s="3"/>
      <c r="F1968" s="3"/>
      <c r="G1968" s="3"/>
      <c r="I1968" s="3"/>
      <c r="J1968" s="3"/>
      <c r="K1968" s="3"/>
      <c r="L1968" s="3"/>
      <c r="M1968" s="3"/>
      <c r="N1968" s="3"/>
      <c r="O1968" s="3"/>
      <c r="P1968" s="3"/>
      <c r="Q1968" s="3"/>
    </row>
    <row r="1969" spans="2:17" x14ac:dyDescent="0.2">
      <c r="B1969" s="3"/>
      <c r="F1969" s="3"/>
      <c r="G1969" s="3"/>
      <c r="I1969" s="3"/>
      <c r="J1969" s="3"/>
      <c r="K1969" s="3"/>
      <c r="L1969" s="3"/>
      <c r="M1969" s="3"/>
      <c r="N1969" s="3"/>
      <c r="O1969" s="3"/>
      <c r="P1969" s="3"/>
      <c r="Q1969" s="3"/>
    </row>
    <row r="1970" spans="2:17" x14ac:dyDescent="0.2">
      <c r="B1970" s="3"/>
      <c r="F1970" s="3"/>
      <c r="G1970" s="3"/>
      <c r="I1970" s="3"/>
      <c r="J1970" s="3"/>
      <c r="K1970" s="3"/>
      <c r="L1970" s="3"/>
      <c r="M1970" s="3"/>
      <c r="N1970" s="3"/>
      <c r="O1970" s="3"/>
      <c r="P1970" s="3"/>
      <c r="Q1970" s="3"/>
    </row>
    <row r="1971" spans="2:17" x14ac:dyDescent="0.2">
      <c r="B1971" s="3"/>
      <c r="F1971" s="3"/>
      <c r="G1971" s="3"/>
      <c r="I1971" s="3"/>
      <c r="J1971" s="3"/>
      <c r="K1971" s="3"/>
      <c r="L1971" s="3"/>
      <c r="M1971" s="3"/>
      <c r="N1971" s="3"/>
      <c r="O1971" s="3"/>
      <c r="P1971" s="3"/>
      <c r="Q1971" s="3"/>
    </row>
    <row r="1972" spans="2:17" x14ac:dyDescent="0.2">
      <c r="B1972" s="3"/>
      <c r="F1972" s="3"/>
      <c r="G1972" s="3"/>
      <c r="I1972" s="3"/>
      <c r="J1972" s="3"/>
      <c r="K1972" s="3"/>
      <c r="L1972" s="3"/>
      <c r="M1972" s="3"/>
      <c r="N1972" s="3"/>
      <c r="O1972" s="3"/>
      <c r="P1972" s="3"/>
      <c r="Q1972" s="3"/>
    </row>
    <row r="1973" spans="2:17" x14ac:dyDescent="0.2">
      <c r="B1973" s="3"/>
      <c r="F1973" s="3"/>
      <c r="G1973" s="3"/>
      <c r="I1973" s="3"/>
      <c r="J1973" s="3"/>
      <c r="K1973" s="3"/>
      <c r="L1973" s="3"/>
      <c r="M1973" s="3"/>
      <c r="N1973" s="3"/>
      <c r="O1973" s="3"/>
      <c r="P1973" s="3"/>
      <c r="Q1973" s="3"/>
    </row>
    <row r="1974" spans="2:17" x14ac:dyDescent="0.2">
      <c r="B1974" s="3"/>
      <c r="F1974" s="3"/>
      <c r="G1974" s="3"/>
      <c r="I1974" s="3"/>
      <c r="J1974" s="3"/>
      <c r="K1974" s="3"/>
      <c r="L1974" s="3"/>
      <c r="M1974" s="3"/>
      <c r="N1974" s="3"/>
      <c r="O1974" s="3"/>
      <c r="P1974" s="3"/>
      <c r="Q1974" s="3"/>
    </row>
    <row r="1975" spans="2:17" x14ac:dyDescent="0.2">
      <c r="B1975" s="3"/>
      <c r="F1975" s="3"/>
      <c r="G1975" s="3"/>
      <c r="I1975" s="3"/>
      <c r="J1975" s="3"/>
      <c r="K1975" s="3"/>
      <c r="L1975" s="3"/>
      <c r="M1975" s="3"/>
      <c r="N1975" s="3"/>
      <c r="O1975" s="3"/>
      <c r="P1975" s="3"/>
      <c r="Q1975" s="3"/>
    </row>
    <row r="1976" spans="2:17" x14ac:dyDescent="0.2">
      <c r="B1976" s="3"/>
      <c r="F1976" s="3"/>
      <c r="G1976" s="3"/>
      <c r="I1976" s="3"/>
      <c r="J1976" s="3"/>
      <c r="K1976" s="3"/>
      <c r="L1976" s="3"/>
      <c r="M1976" s="3"/>
      <c r="N1976" s="3"/>
      <c r="O1976" s="3"/>
      <c r="P1976" s="3"/>
      <c r="Q1976" s="3"/>
    </row>
    <row r="1977" spans="2:17" x14ac:dyDescent="0.2">
      <c r="B1977" s="3"/>
      <c r="F1977" s="3"/>
      <c r="G1977" s="3"/>
      <c r="I1977" s="3"/>
      <c r="J1977" s="3"/>
      <c r="K1977" s="3"/>
      <c r="L1977" s="3"/>
      <c r="M1977" s="3"/>
      <c r="N1977" s="3"/>
      <c r="O1977" s="3"/>
      <c r="P1977" s="3"/>
      <c r="Q1977" s="3"/>
    </row>
    <row r="1978" spans="2:17" x14ac:dyDescent="0.2">
      <c r="B1978" s="3"/>
      <c r="F1978" s="3"/>
      <c r="G1978" s="3"/>
      <c r="I1978" s="3"/>
      <c r="J1978" s="3"/>
      <c r="K1978" s="3"/>
      <c r="L1978" s="3"/>
      <c r="M1978" s="3"/>
      <c r="N1978" s="3"/>
      <c r="O1978" s="3"/>
      <c r="P1978" s="3"/>
      <c r="Q1978" s="3"/>
    </row>
    <row r="1979" spans="2:17" x14ac:dyDescent="0.2">
      <c r="B1979" s="3"/>
      <c r="F1979" s="3"/>
      <c r="G1979" s="3"/>
      <c r="I1979" s="3"/>
      <c r="J1979" s="3"/>
      <c r="K1979" s="3"/>
      <c r="L1979" s="3"/>
      <c r="M1979" s="3"/>
      <c r="N1979" s="3"/>
      <c r="O1979" s="3"/>
      <c r="P1979" s="3"/>
      <c r="Q1979" s="3"/>
    </row>
    <row r="1980" spans="2:17" x14ac:dyDescent="0.2">
      <c r="B1980" s="3"/>
      <c r="F1980" s="3"/>
      <c r="G1980" s="3"/>
      <c r="I1980" s="3"/>
      <c r="J1980" s="3"/>
      <c r="K1980" s="3"/>
      <c r="L1980" s="3"/>
      <c r="M1980" s="3"/>
      <c r="N1980" s="3"/>
      <c r="O1980" s="3"/>
      <c r="P1980" s="3"/>
      <c r="Q1980" s="3"/>
    </row>
    <row r="1981" spans="2:17" x14ac:dyDescent="0.2">
      <c r="B1981" s="3"/>
      <c r="F1981" s="3"/>
      <c r="G1981" s="3"/>
      <c r="I1981" s="3"/>
      <c r="J1981" s="3"/>
      <c r="K1981" s="3"/>
      <c r="L1981" s="3"/>
      <c r="M1981" s="3"/>
      <c r="N1981" s="3"/>
      <c r="O1981" s="3"/>
      <c r="P1981" s="3"/>
      <c r="Q1981" s="3"/>
    </row>
    <row r="1982" spans="2:17" x14ac:dyDescent="0.2">
      <c r="B1982" s="3"/>
      <c r="F1982" s="3"/>
      <c r="G1982" s="3"/>
      <c r="I1982" s="3"/>
      <c r="J1982" s="3"/>
      <c r="K1982" s="3"/>
      <c r="L1982" s="3"/>
      <c r="M1982" s="3"/>
      <c r="N1982" s="3"/>
      <c r="O1982" s="3"/>
      <c r="P1982" s="3"/>
      <c r="Q1982" s="3"/>
    </row>
    <row r="1983" spans="2:17" x14ac:dyDescent="0.2">
      <c r="B1983" s="3"/>
      <c r="F1983" s="3"/>
      <c r="G1983" s="3"/>
      <c r="I1983" s="3"/>
      <c r="J1983" s="3"/>
      <c r="K1983" s="3"/>
      <c r="L1983" s="3"/>
      <c r="M1983" s="3"/>
      <c r="N1983" s="3"/>
      <c r="O1983" s="3"/>
      <c r="P1983" s="3"/>
      <c r="Q1983" s="3"/>
    </row>
    <row r="1984" spans="2:17" x14ac:dyDescent="0.2">
      <c r="B1984" s="3"/>
      <c r="F1984" s="3"/>
      <c r="G1984" s="3"/>
      <c r="I1984" s="3"/>
      <c r="J1984" s="3"/>
      <c r="K1984" s="3"/>
      <c r="L1984" s="3"/>
      <c r="M1984" s="3"/>
      <c r="N1984" s="3"/>
      <c r="O1984" s="3"/>
      <c r="P1984" s="3"/>
      <c r="Q1984" s="3"/>
    </row>
    <row r="1985" spans="2:17" x14ac:dyDescent="0.2">
      <c r="B1985" s="3"/>
      <c r="F1985" s="3"/>
      <c r="G1985" s="3"/>
      <c r="I1985" s="3"/>
      <c r="J1985" s="3"/>
      <c r="K1985" s="3"/>
      <c r="L1985" s="3"/>
      <c r="M1985" s="3"/>
      <c r="N1985" s="3"/>
      <c r="O1985" s="3"/>
      <c r="P1985" s="3"/>
      <c r="Q1985" s="3"/>
    </row>
    <row r="1986" spans="2:17" x14ac:dyDescent="0.2">
      <c r="B1986" s="3"/>
      <c r="F1986" s="3"/>
      <c r="G1986" s="3"/>
      <c r="I1986" s="3"/>
      <c r="J1986" s="3"/>
      <c r="K1986" s="3"/>
      <c r="L1986" s="3"/>
      <c r="M1986" s="3"/>
      <c r="N1986" s="3"/>
      <c r="O1986" s="3"/>
      <c r="P1986" s="3"/>
      <c r="Q1986" s="3"/>
    </row>
    <row r="1987" spans="2:17" x14ac:dyDescent="0.2">
      <c r="B1987" s="3"/>
      <c r="F1987" s="3"/>
      <c r="G1987" s="3"/>
      <c r="I1987" s="3"/>
      <c r="J1987" s="3"/>
      <c r="K1987" s="3"/>
      <c r="L1987" s="3"/>
      <c r="M1987" s="3"/>
      <c r="N1987" s="3"/>
      <c r="O1987" s="3"/>
      <c r="P1987" s="3"/>
      <c r="Q1987" s="3"/>
    </row>
    <row r="1988" spans="2:17" x14ac:dyDescent="0.2">
      <c r="B1988" s="3"/>
      <c r="F1988" s="3"/>
      <c r="G1988" s="3"/>
      <c r="I1988" s="3"/>
      <c r="J1988" s="3"/>
      <c r="K1988" s="3"/>
      <c r="L1988" s="3"/>
      <c r="M1988" s="3"/>
      <c r="N1988" s="3"/>
      <c r="O1988" s="3"/>
      <c r="P1988" s="3"/>
      <c r="Q1988" s="3"/>
    </row>
    <row r="1989" spans="2:17" x14ac:dyDescent="0.2">
      <c r="B1989" s="3"/>
      <c r="F1989" s="3"/>
      <c r="G1989" s="3"/>
      <c r="I1989" s="3"/>
      <c r="J1989" s="3"/>
      <c r="K1989" s="3"/>
      <c r="L1989" s="3"/>
      <c r="M1989" s="3"/>
      <c r="N1989" s="3"/>
      <c r="O1989" s="3"/>
      <c r="P1989" s="3"/>
      <c r="Q1989" s="3"/>
    </row>
    <row r="1990" spans="2:17" x14ac:dyDescent="0.2">
      <c r="B1990" s="3"/>
      <c r="F1990" s="3"/>
      <c r="G1990" s="3"/>
      <c r="I1990" s="3"/>
      <c r="J1990" s="3"/>
      <c r="K1990" s="3"/>
      <c r="L1990" s="3"/>
      <c r="M1990" s="3"/>
      <c r="N1990" s="3"/>
      <c r="O1990" s="3"/>
      <c r="P1990" s="3"/>
      <c r="Q1990" s="3"/>
    </row>
    <row r="1991" spans="2:17" x14ac:dyDescent="0.2">
      <c r="B1991" s="3"/>
      <c r="F1991" s="3"/>
      <c r="G1991" s="3"/>
      <c r="I1991" s="3"/>
      <c r="J1991" s="3"/>
      <c r="K1991" s="3"/>
      <c r="L1991" s="3"/>
      <c r="M1991" s="3"/>
      <c r="N1991" s="3"/>
      <c r="O1991" s="3"/>
      <c r="P1991" s="3"/>
      <c r="Q1991" s="3"/>
    </row>
    <row r="1992" spans="2:17" x14ac:dyDescent="0.2">
      <c r="B1992" s="3"/>
      <c r="F1992" s="3"/>
      <c r="G1992" s="3"/>
      <c r="I1992" s="3"/>
      <c r="J1992" s="3"/>
      <c r="K1992" s="3"/>
      <c r="L1992" s="3"/>
      <c r="M1992" s="3"/>
      <c r="N1992" s="3"/>
      <c r="O1992" s="3"/>
      <c r="P1992" s="3"/>
      <c r="Q1992" s="3"/>
    </row>
    <row r="1993" spans="2:17" x14ac:dyDescent="0.2">
      <c r="B1993" s="3"/>
      <c r="F1993" s="3"/>
      <c r="G1993" s="3"/>
      <c r="I1993" s="3"/>
      <c r="J1993" s="3"/>
      <c r="K1993" s="3"/>
      <c r="L1993" s="3"/>
      <c r="M1993" s="3"/>
      <c r="N1993" s="3"/>
      <c r="O1993" s="3"/>
      <c r="P1993" s="3"/>
      <c r="Q1993" s="3"/>
    </row>
    <row r="1994" spans="2:17" x14ac:dyDescent="0.2">
      <c r="B1994" s="3"/>
      <c r="F1994" s="3"/>
      <c r="G1994" s="3"/>
      <c r="I1994" s="3"/>
      <c r="J1994" s="3"/>
      <c r="K1994" s="3"/>
      <c r="L1994" s="3"/>
      <c r="M1994" s="3"/>
      <c r="N1994" s="3"/>
      <c r="O1994" s="3"/>
      <c r="P1994" s="3"/>
      <c r="Q1994" s="3"/>
    </row>
    <row r="1995" spans="2:17" x14ac:dyDescent="0.2">
      <c r="B1995" s="3"/>
      <c r="F1995" s="3"/>
      <c r="G1995" s="3"/>
      <c r="I1995" s="3"/>
      <c r="J1995" s="3"/>
      <c r="K1995" s="3"/>
      <c r="L1995" s="3"/>
      <c r="M1995" s="3"/>
      <c r="N1995" s="3"/>
      <c r="O1995" s="3"/>
      <c r="P1995" s="3"/>
      <c r="Q1995" s="3"/>
    </row>
    <row r="1996" spans="2:17" x14ac:dyDescent="0.2">
      <c r="B1996" s="3"/>
      <c r="F1996" s="3"/>
      <c r="G1996" s="3"/>
      <c r="I1996" s="3"/>
      <c r="J1996" s="3"/>
      <c r="K1996" s="3"/>
      <c r="L1996" s="3"/>
      <c r="M1996" s="3"/>
      <c r="N1996" s="3"/>
      <c r="O1996" s="3"/>
      <c r="P1996" s="3"/>
      <c r="Q1996" s="3"/>
    </row>
    <row r="1997" spans="2:17" x14ac:dyDescent="0.2">
      <c r="B1997" s="3"/>
      <c r="F1997" s="3"/>
      <c r="G1997" s="3"/>
      <c r="I1997" s="3"/>
      <c r="J1997" s="3"/>
      <c r="K1997" s="3"/>
      <c r="L1997" s="3"/>
      <c r="M1997" s="3"/>
      <c r="N1997" s="3"/>
      <c r="O1997" s="3"/>
      <c r="P1997" s="3"/>
      <c r="Q1997" s="3"/>
    </row>
    <row r="1998" spans="2:17" x14ac:dyDescent="0.2">
      <c r="B1998" s="3"/>
      <c r="F1998" s="3"/>
      <c r="G1998" s="3"/>
      <c r="I1998" s="3"/>
      <c r="J1998" s="3"/>
      <c r="K1998" s="3"/>
      <c r="L1998" s="3"/>
      <c r="M1998" s="3"/>
      <c r="N1998" s="3"/>
      <c r="O1998" s="3"/>
      <c r="P1998" s="3"/>
      <c r="Q1998" s="3"/>
    </row>
    <row r="1999" spans="2:17" x14ac:dyDescent="0.2">
      <c r="B1999" s="3"/>
      <c r="F1999" s="3"/>
      <c r="G1999" s="3"/>
      <c r="I1999" s="3"/>
      <c r="J1999" s="3"/>
      <c r="K1999" s="3"/>
      <c r="L1999" s="3"/>
      <c r="M1999" s="3"/>
      <c r="N1999" s="3"/>
      <c r="O1999" s="3"/>
      <c r="P1999" s="3"/>
      <c r="Q1999" s="3"/>
    </row>
    <row r="2000" spans="2:17" x14ac:dyDescent="0.2">
      <c r="B2000" s="3"/>
      <c r="F2000" s="3"/>
      <c r="G2000" s="3"/>
      <c r="I2000" s="3"/>
      <c r="J2000" s="3"/>
      <c r="K2000" s="3"/>
      <c r="L2000" s="3"/>
      <c r="M2000" s="3"/>
      <c r="N2000" s="3"/>
      <c r="O2000" s="3"/>
      <c r="P2000" s="3"/>
      <c r="Q2000" s="3"/>
    </row>
    <row r="2001" spans="2:17" x14ac:dyDescent="0.2">
      <c r="B2001" s="3"/>
      <c r="F2001" s="3"/>
      <c r="G2001" s="3"/>
      <c r="I2001" s="3"/>
      <c r="J2001" s="3"/>
      <c r="K2001" s="3"/>
      <c r="L2001" s="3"/>
      <c r="M2001" s="3"/>
      <c r="N2001" s="3"/>
      <c r="O2001" s="3"/>
      <c r="P2001" s="3"/>
      <c r="Q2001" s="3"/>
    </row>
    <row r="2002" spans="2:17" x14ac:dyDescent="0.2">
      <c r="B2002" s="3"/>
      <c r="F2002" s="3"/>
      <c r="G2002" s="3"/>
      <c r="I2002" s="3"/>
      <c r="J2002" s="3"/>
      <c r="K2002" s="3"/>
      <c r="L2002" s="3"/>
      <c r="M2002" s="3"/>
      <c r="N2002" s="3"/>
      <c r="O2002" s="3"/>
      <c r="P2002" s="3"/>
      <c r="Q2002" s="3"/>
    </row>
    <row r="2003" spans="2:17" x14ac:dyDescent="0.2">
      <c r="B2003" s="3"/>
      <c r="F2003" s="3"/>
      <c r="G2003" s="3"/>
      <c r="I2003" s="3"/>
      <c r="J2003" s="3"/>
      <c r="K2003" s="3"/>
      <c r="L2003" s="3"/>
      <c r="M2003" s="3"/>
      <c r="N2003" s="3"/>
      <c r="O2003" s="3"/>
      <c r="P2003" s="3"/>
      <c r="Q2003" s="3"/>
    </row>
    <row r="2004" spans="2:17" x14ac:dyDescent="0.2">
      <c r="B2004" s="3"/>
      <c r="F2004" s="3"/>
      <c r="G2004" s="3"/>
      <c r="I2004" s="3"/>
      <c r="J2004" s="3"/>
      <c r="K2004" s="3"/>
      <c r="L2004" s="3"/>
      <c r="M2004" s="3"/>
      <c r="N2004" s="3"/>
      <c r="O2004" s="3"/>
      <c r="P2004" s="3"/>
      <c r="Q2004" s="3"/>
    </row>
    <row r="2005" spans="2:17" x14ac:dyDescent="0.2">
      <c r="B2005" s="3"/>
      <c r="F2005" s="3"/>
      <c r="G2005" s="3"/>
      <c r="I2005" s="3"/>
      <c r="J2005" s="3"/>
      <c r="K2005" s="3"/>
      <c r="L2005" s="3"/>
      <c r="M2005" s="3"/>
      <c r="N2005" s="3"/>
      <c r="O2005" s="3"/>
      <c r="P2005" s="3"/>
      <c r="Q2005" s="3"/>
    </row>
    <row r="2006" spans="2:17" x14ac:dyDescent="0.2">
      <c r="B2006" s="3"/>
      <c r="F2006" s="3"/>
      <c r="G2006" s="3"/>
      <c r="I2006" s="3"/>
      <c r="J2006" s="3"/>
      <c r="K2006" s="3"/>
      <c r="L2006" s="3"/>
      <c r="M2006" s="3"/>
      <c r="N2006" s="3"/>
      <c r="O2006" s="3"/>
      <c r="P2006" s="3"/>
      <c r="Q2006" s="3"/>
    </row>
    <row r="2007" spans="2:17" x14ac:dyDescent="0.2">
      <c r="B2007" s="3"/>
      <c r="F2007" s="3"/>
      <c r="G2007" s="3"/>
      <c r="I2007" s="3"/>
      <c r="J2007" s="3"/>
      <c r="K2007" s="3"/>
      <c r="L2007" s="3"/>
      <c r="M2007" s="3"/>
      <c r="N2007" s="3"/>
      <c r="O2007" s="3"/>
      <c r="P2007" s="3"/>
      <c r="Q2007" s="3"/>
    </row>
    <row r="2008" spans="2:17" x14ac:dyDescent="0.2">
      <c r="B2008" s="3"/>
      <c r="F2008" s="3"/>
      <c r="G2008" s="3"/>
      <c r="I2008" s="3"/>
      <c r="J2008" s="3"/>
      <c r="K2008" s="3"/>
      <c r="L2008" s="3"/>
      <c r="M2008" s="3"/>
      <c r="N2008" s="3"/>
      <c r="O2008" s="3"/>
      <c r="P2008" s="3"/>
      <c r="Q2008" s="3"/>
    </row>
    <row r="2009" spans="2:17" x14ac:dyDescent="0.2">
      <c r="B2009" s="3"/>
      <c r="F2009" s="3"/>
      <c r="G2009" s="3"/>
      <c r="I2009" s="3"/>
      <c r="J2009" s="3"/>
      <c r="K2009" s="3"/>
      <c r="L2009" s="3"/>
      <c r="M2009" s="3"/>
      <c r="N2009" s="3"/>
      <c r="O2009" s="3"/>
      <c r="P2009" s="3"/>
      <c r="Q2009" s="3"/>
    </row>
    <row r="2010" spans="2:17" x14ac:dyDescent="0.2">
      <c r="B2010" s="3"/>
      <c r="F2010" s="3"/>
      <c r="G2010" s="3"/>
      <c r="I2010" s="3"/>
      <c r="J2010" s="3"/>
      <c r="K2010" s="3"/>
      <c r="L2010" s="3"/>
      <c r="M2010" s="3"/>
      <c r="N2010" s="3"/>
      <c r="O2010" s="3"/>
      <c r="P2010" s="3"/>
      <c r="Q2010" s="3"/>
    </row>
    <row r="2011" spans="2:17" x14ac:dyDescent="0.2">
      <c r="B2011" s="3"/>
      <c r="F2011" s="3"/>
      <c r="G2011" s="3"/>
      <c r="I2011" s="3"/>
      <c r="J2011" s="3"/>
      <c r="K2011" s="3"/>
      <c r="L2011" s="3"/>
      <c r="M2011" s="3"/>
      <c r="N2011" s="3"/>
      <c r="O2011" s="3"/>
      <c r="P2011" s="3"/>
      <c r="Q2011" s="3"/>
    </row>
    <row r="2012" spans="2:17" x14ac:dyDescent="0.2">
      <c r="B2012" s="3"/>
      <c r="F2012" s="3"/>
      <c r="G2012" s="3"/>
      <c r="I2012" s="3"/>
      <c r="J2012" s="3"/>
      <c r="K2012" s="3"/>
      <c r="L2012" s="3"/>
      <c r="M2012" s="3"/>
      <c r="N2012" s="3"/>
      <c r="O2012" s="3"/>
      <c r="P2012" s="3"/>
      <c r="Q2012" s="3"/>
    </row>
    <row r="2013" spans="2:17" x14ac:dyDescent="0.2">
      <c r="B2013" s="3"/>
      <c r="F2013" s="3"/>
      <c r="G2013" s="3"/>
      <c r="I2013" s="3"/>
      <c r="J2013" s="3"/>
      <c r="K2013" s="3"/>
      <c r="L2013" s="3"/>
      <c r="M2013" s="3"/>
      <c r="N2013" s="3"/>
      <c r="O2013" s="3"/>
      <c r="P2013" s="3"/>
      <c r="Q2013" s="3"/>
    </row>
    <row r="2014" spans="2:17" x14ac:dyDescent="0.2">
      <c r="B2014" s="3"/>
      <c r="F2014" s="3"/>
      <c r="G2014" s="3"/>
      <c r="I2014" s="3"/>
      <c r="J2014" s="3"/>
      <c r="K2014" s="3"/>
      <c r="L2014" s="3"/>
      <c r="M2014" s="3"/>
      <c r="N2014" s="3"/>
      <c r="O2014" s="3"/>
      <c r="P2014" s="3"/>
      <c r="Q2014" s="3"/>
    </row>
    <row r="2015" spans="2:17" x14ac:dyDescent="0.2">
      <c r="B2015" s="3"/>
      <c r="F2015" s="3"/>
      <c r="G2015" s="3"/>
      <c r="I2015" s="3"/>
      <c r="J2015" s="3"/>
      <c r="K2015" s="3"/>
      <c r="L2015" s="3"/>
      <c r="M2015" s="3"/>
      <c r="N2015" s="3"/>
      <c r="O2015" s="3"/>
      <c r="P2015" s="3"/>
      <c r="Q2015" s="3"/>
    </row>
    <row r="2016" spans="2:17" x14ac:dyDescent="0.2">
      <c r="B2016" s="3"/>
      <c r="F2016" s="3"/>
      <c r="G2016" s="3"/>
      <c r="I2016" s="3"/>
      <c r="J2016" s="3"/>
      <c r="K2016" s="3"/>
      <c r="L2016" s="3"/>
      <c r="M2016" s="3"/>
      <c r="N2016" s="3"/>
      <c r="O2016" s="3"/>
      <c r="P2016" s="3"/>
      <c r="Q2016" s="3"/>
    </row>
    <row r="2017" spans="2:17" x14ac:dyDescent="0.2">
      <c r="B2017" s="3"/>
      <c r="F2017" s="3"/>
      <c r="G2017" s="3"/>
      <c r="I2017" s="3"/>
      <c r="J2017" s="3"/>
      <c r="K2017" s="3"/>
      <c r="L2017" s="3"/>
      <c r="M2017" s="3"/>
      <c r="N2017" s="3"/>
      <c r="O2017" s="3"/>
      <c r="P2017" s="3"/>
      <c r="Q2017" s="3"/>
    </row>
    <row r="2018" spans="2:17" x14ac:dyDescent="0.2">
      <c r="B2018" s="3"/>
      <c r="F2018" s="3"/>
      <c r="G2018" s="3"/>
      <c r="I2018" s="3"/>
      <c r="J2018" s="3"/>
      <c r="K2018" s="3"/>
      <c r="L2018" s="3"/>
      <c r="M2018" s="3"/>
      <c r="N2018" s="3"/>
      <c r="O2018" s="3"/>
      <c r="P2018" s="3"/>
      <c r="Q2018" s="3"/>
    </row>
    <row r="2019" spans="2:17" x14ac:dyDescent="0.2">
      <c r="B2019" s="3"/>
      <c r="F2019" s="3"/>
      <c r="G2019" s="3"/>
      <c r="I2019" s="3"/>
      <c r="J2019" s="3"/>
      <c r="K2019" s="3"/>
      <c r="L2019" s="3"/>
      <c r="M2019" s="3"/>
      <c r="N2019" s="3"/>
      <c r="O2019" s="3"/>
      <c r="P2019" s="3"/>
      <c r="Q2019" s="3"/>
    </row>
    <row r="2020" spans="2:17" x14ac:dyDescent="0.2">
      <c r="B2020" s="3"/>
      <c r="F2020" s="3"/>
      <c r="G2020" s="3"/>
      <c r="I2020" s="3"/>
      <c r="J2020" s="3"/>
      <c r="K2020" s="3"/>
      <c r="L2020" s="3"/>
      <c r="M2020" s="3"/>
      <c r="N2020" s="3"/>
      <c r="O2020" s="3"/>
      <c r="P2020" s="3"/>
      <c r="Q2020" s="3"/>
    </row>
    <row r="2021" spans="2:17" x14ac:dyDescent="0.2">
      <c r="B2021" s="3"/>
      <c r="F2021" s="3"/>
      <c r="G2021" s="3"/>
      <c r="I2021" s="3"/>
      <c r="J2021" s="3"/>
      <c r="K2021" s="3"/>
      <c r="L2021" s="3"/>
      <c r="M2021" s="3"/>
      <c r="N2021" s="3"/>
      <c r="O2021" s="3"/>
      <c r="P2021" s="3"/>
      <c r="Q2021" s="3"/>
    </row>
    <row r="2022" spans="2:17" x14ac:dyDescent="0.2">
      <c r="B2022" s="3"/>
      <c r="F2022" s="3"/>
      <c r="G2022" s="3"/>
      <c r="I2022" s="3"/>
      <c r="J2022" s="3"/>
      <c r="K2022" s="3"/>
      <c r="L2022" s="3"/>
      <c r="M2022" s="3"/>
      <c r="N2022" s="3"/>
      <c r="O2022" s="3"/>
      <c r="P2022" s="3"/>
      <c r="Q2022" s="3"/>
    </row>
    <row r="2023" spans="2:17" x14ac:dyDescent="0.2">
      <c r="B2023" s="3"/>
      <c r="F2023" s="3"/>
      <c r="G2023" s="3"/>
      <c r="I2023" s="3"/>
      <c r="J2023" s="3"/>
      <c r="K2023" s="3"/>
      <c r="L2023" s="3"/>
      <c r="M2023" s="3"/>
      <c r="N2023" s="3"/>
      <c r="O2023" s="3"/>
      <c r="P2023" s="3"/>
      <c r="Q2023" s="3"/>
    </row>
    <row r="2024" spans="2:17" x14ac:dyDescent="0.2">
      <c r="B2024" s="3"/>
      <c r="F2024" s="3"/>
      <c r="G2024" s="3"/>
      <c r="I2024" s="3"/>
      <c r="J2024" s="3"/>
      <c r="K2024" s="3"/>
      <c r="L2024" s="3"/>
      <c r="M2024" s="3"/>
      <c r="N2024" s="3"/>
      <c r="O2024" s="3"/>
      <c r="P2024" s="3"/>
      <c r="Q2024" s="3"/>
    </row>
    <row r="2025" spans="2:17" x14ac:dyDescent="0.2">
      <c r="B2025" s="3"/>
      <c r="F2025" s="3"/>
      <c r="G2025" s="3"/>
      <c r="I2025" s="3"/>
      <c r="J2025" s="3"/>
      <c r="K2025" s="3"/>
      <c r="L2025" s="3"/>
      <c r="M2025" s="3"/>
      <c r="N2025" s="3"/>
      <c r="O2025" s="3"/>
      <c r="P2025" s="3"/>
      <c r="Q2025" s="3"/>
    </row>
    <row r="2026" spans="2:17" x14ac:dyDescent="0.2">
      <c r="B2026" s="3"/>
      <c r="F2026" s="3"/>
      <c r="G2026" s="3"/>
      <c r="I2026" s="3"/>
      <c r="J2026" s="3"/>
      <c r="K2026" s="3"/>
      <c r="L2026" s="3"/>
      <c r="M2026" s="3"/>
      <c r="N2026" s="3"/>
      <c r="O2026" s="3"/>
      <c r="P2026" s="3"/>
      <c r="Q2026" s="3"/>
    </row>
    <row r="2027" spans="2:17" x14ac:dyDescent="0.2">
      <c r="B2027" s="3"/>
      <c r="F2027" s="3"/>
      <c r="G2027" s="3"/>
      <c r="I2027" s="3"/>
      <c r="J2027" s="3"/>
      <c r="K2027" s="3"/>
      <c r="L2027" s="3"/>
      <c r="M2027" s="3"/>
      <c r="N2027" s="3"/>
      <c r="O2027" s="3"/>
      <c r="P2027" s="3"/>
      <c r="Q2027" s="3"/>
    </row>
    <row r="2028" spans="2:17" x14ac:dyDescent="0.2">
      <c r="B2028" s="3"/>
      <c r="F2028" s="3"/>
      <c r="G2028" s="3"/>
      <c r="I2028" s="3"/>
      <c r="J2028" s="3"/>
      <c r="K2028" s="3"/>
      <c r="L2028" s="3"/>
      <c r="M2028" s="3"/>
      <c r="N2028" s="3"/>
      <c r="O2028" s="3"/>
      <c r="P2028" s="3"/>
      <c r="Q2028" s="3"/>
    </row>
    <row r="2029" spans="2:17" x14ac:dyDescent="0.2">
      <c r="B2029" s="3"/>
      <c r="F2029" s="3"/>
      <c r="G2029" s="3"/>
      <c r="I2029" s="3"/>
      <c r="J2029" s="3"/>
      <c r="K2029" s="3"/>
      <c r="L2029" s="3"/>
      <c r="M2029" s="3"/>
      <c r="N2029" s="3"/>
      <c r="O2029" s="3"/>
      <c r="P2029" s="3"/>
      <c r="Q2029" s="3"/>
    </row>
    <row r="2030" spans="2:17" x14ac:dyDescent="0.2">
      <c r="B2030" s="3"/>
      <c r="F2030" s="3"/>
      <c r="G2030" s="3"/>
      <c r="I2030" s="3"/>
      <c r="J2030" s="3"/>
      <c r="K2030" s="3"/>
      <c r="L2030" s="3"/>
      <c r="M2030" s="3"/>
      <c r="N2030" s="3"/>
      <c r="O2030" s="3"/>
      <c r="P2030" s="3"/>
      <c r="Q2030" s="3"/>
    </row>
    <row r="2031" spans="2:17" x14ac:dyDescent="0.2">
      <c r="B2031" s="3"/>
      <c r="F2031" s="3"/>
      <c r="G2031" s="3"/>
      <c r="I2031" s="3"/>
      <c r="J2031" s="3"/>
      <c r="K2031" s="3"/>
      <c r="L2031" s="3"/>
      <c r="M2031" s="3"/>
      <c r="N2031" s="3"/>
      <c r="O2031" s="3"/>
      <c r="P2031" s="3"/>
      <c r="Q2031" s="3"/>
    </row>
    <row r="2032" spans="2:17" x14ac:dyDescent="0.2">
      <c r="B2032" s="3"/>
      <c r="F2032" s="3"/>
      <c r="G2032" s="3"/>
      <c r="I2032" s="3"/>
      <c r="J2032" s="3"/>
      <c r="K2032" s="3"/>
      <c r="L2032" s="3"/>
      <c r="M2032" s="3"/>
      <c r="N2032" s="3"/>
      <c r="O2032" s="3"/>
      <c r="P2032" s="3"/>
      <c r="Q2032" s="3"/>
    </row>
    <row r="2033" spans="2:17" x14ac:dyDescent="0.2">
      <c r="B2033" s="3"/>
      <c r="F2033" s="3"/>
      <c r="G2033" s="3"/>
      <c r="I2033" s="3"/>
      <c r="J2033" s="3"/>
      <c r="K2033" s="3"/>
      <c r="L2033" s="3"/>
      <c r="M2033" s="3"/>
      <c r="N2033" s="3"/>
      <c r="O2033" s="3"/>
      <c r="P2033" s="3"/>
      <c r="Q2033" s="3"/>
    </row>
    <row r="2034" spans="2:17" x14ac:dyDescent="0.2">
      <c r="B2034" s="3"/>
      <c r="F2034" s="3"/>
      <c r="G2034" s="3"/>
      <c r="I2034" s="3"/>
      <c r="J2034" s="3"/>
      <c r="K2034" s="3"/>
      <c r="L2034" s="3"/>
      <c r="M2034" s="3"/>
      <c r="N2034" s="3"/>
      <c r="O2034" s="3"/>
      <c r="P2034" s="3"/>
      <c r="Q2034" s="3"/>
    </row>
    <row r="2035" spans="2:17" x14ac:dyDescent="0.2">
      <c r="B2035" s="3"/>
      <c r="F2035" s="3"/>
      <c r="G2035" s="3"/>
      <c r="I2035" s="3"/>
      <c r="J2035" s="3"/>
      <c r="K2035" s="3"/>
      <c r="L2035" s="3"/>
      <c r="M2035" s="3"/>
      <c r="N2035" s="3"/>
      <c r="O2035" s="3"/>
      <c r="P2035" s="3"/>
      <c r="Q2035" s="3"/>
    </row>
    <row r="2036" spans="2:17" x14ac:dyDescent="0.2">
      <c r="B2036" s="3"/>
      <c r="F2036" s="3"/>
      <c r="G2036" s="3"/>
      <c r="I2036" s="3"/>
      <c r="J2036" s="3"/>
      <c r="K2036" s="3"/>
      <c r="L2036" s="3"/>
      <c r="M2036" s="3"/>
      <c r="N2036" s="3"/>
      <c r="O2036" s="3"/>
      <c r="P2036" s="3"/>
      <c r="Q2036" s="3"/>
    </row>
    <row r="2037" spans="2:17" x14ac:dyDescent="0.2">
      <c r="B2037" s="3"/>
      <c r="F2037" s="3"/>
      <c r="G2037" s="3"/>
      <c r="I2037" s="3"/>
      <c r="J2037" s="3"/>
      <c r="K2037" s="3"/>
      <c r="L2037" s="3"/>
      <c r="M2037" s="3"/>
      <c r="N2037" s="3"/>
      <c r="O2037" s="3"/>
      <c r="P2037" s="3"/>
      <c r="Q2037" s="3"/>
    </row>
    <row r="2038" spans="2:17" x14ac:dyDescent="0.2">
      <c r="B2038" s="3"/>
      <c r="F2038" s="3"/>
      <c r="G2038" s="3"/>
      <c r="I2038" s="3"/>
      <c r="J2038" s="3"/>
      <c r="K2038" s="3"/>
      <c r="L2038" s="3"/>
      <c r="M2038" s="3"/>
      <c r="N2038" s="3"/>
      <c r="O2038" s="3"/>
      <c r="P2038" s="3"/>
      <c r="Q2038" s="3"/>
    </row>
    <row r="2039" spans="2:17" x14ac:dyDescent="0.2">
      <c r="B2039" s="3"/>
      <c r="F2039" s="3"/>
      <c r="G2039" s="3"/>
      <c r="I2039" s="3"/>
      <c r="J2039" s="3"/>
      <c r="K2039" s="3"/>
      <c r="L2039" s="3"/>
      <c r="M2039" s="3"/>
      <c r="N2039" s="3"/>
      <c r="O2039" s="3"/>
      <c r="P2039" s="3"/>
      <c r="Q2039" s="3"/>
    </row>
    <row r="2040" spans="2:17" x14ac:dyDescent="0.2">
      <c r="B2040" s="3"/>
      <c r="F2040" s="3"/>
      <c r="G2040" s="3"/>
      <c r="I2040" s="3"/>
      <c r="J2040" s="3"/>
      <c r="K2040" s="3"/>
      <c r="L2040" s="3"/>
      <c r="M2040" s="3"/>
      <c r="N2040" s="3"/>
      <c r="O2040" s="3"/>
      <c r="P2040" s="3"/>
      <c r="Q2040" s="3"/>
    </row>
    <row r="2041" spans="2:17" x14ac:dyDescent="0.2">
      <c r="B2041" s="3"/>
      <c r="F2041" s="3"/>
      <c r="G2041" s="3"/>
      <c r="I2041" s="3"/>
      <c r="J2041" s="3"/>
      <c r="K2041" s="3"/>
      <c r="L2041" s="3"/>
      <c r="M2041" s="3"/>
      <c r="N2041" s="3"/>
      <c r="O2041" s="3"/>
      <c r="P2041" s="3"/>
      <c r="Q2041" s="3"/>
    </row>
    <row r="2042" spans="2:17" x14ac:dyDescent="0.2">
      <c r="B2042" s="3"/>
      <c r="F2042" s="3"/>
      <c r="G2042" s="3"/>
      <c r="I2042" s="3"/>
      <c r="J2042" s="3"/>
      <c r="K2042" s="3"/>
      <c r="L2042" s="3"/>
      <c r="M2042" s="3"/>
      <c r="N2042" s="3"/>
      <c r="O2042" s="3"/>
      <c r="P2042" s="3"/>
      <c r="Q2042" s="3"/>
    </row>
    <row r="2043" spans="2:17" x14ac:dyDescent="0.2">
      <c r="B2043" s="3"/>
      <c r="F2043" s="3"/>
      <c r="G2043" s="3"/>
      <c r="I2043" s="3"/>
      <c r="J2043" s="3"/>
      <c r="K2043" s="3"/>
      <c r="L2043" s="3"/>
      <c r="M2043" s="3"/>
      <c r="N2043" s="3"/>
      <c r="O2043" s="3"/>
      <c r="P2043" s="3"/>
      <c r="Q2043" s="3"/>
    </row>
    <row r="2044" spans="2:17" x14ac:dyDescent="0.2">
      <c r="B2044" s="3"/>
      <c r="F2044" s="3"/>
      <c r="G2044" s="3"/>
      <c r="I2044" s="3"/>
      <c r="J2044" s="3"/>
      <c r="K2044" s="3"/>
      <c r="L2044" s="3"/>
      <c r="M2044" s="3"/>
      <c r="N2044" s="3"/>
      <c r="O2044" s="3"/>
      <c r="P2044" s="3"/>
      <c r="Q2044" s="3"/>
    </row>
    <row r="2045" spans="2:17" x14ac:dyDescent="0.2">
      <c r="B2045" s="3"/>
      <c r="F2045" s="3"/>
      <c r="G2045" s="3"/>
      <c r="I2045" s="3"/>
      <c r="J2045" s="3"/>
      <c r="K2045" s="3"/>
      <c r="L2045" s="3"/>
      <c r="M2045" s="3"/>
      <c r="N2045" s="3"/>
      <c r="O2045" s="3"/>
      <c r="P2045" s="3"/>
      <c r="Q2045" s="3"/>
    </row>
    <row r="2046" spans="2:17" x14ac:dyDescent="0.2">
      <c r="B2046" s="3"/>
      <c r="F2046" s="3"/>
      <c r="G2046" s="3"/>
      <c r="I2046" s="3"/>
      <c r="J2046" s="3"/>
      <c r="K2046" s="3"/>
      <c r="L2046" s="3"/>
      <c r="M2046" s="3"/>
      <c r="N2046" s="3"/>
      <c r="O2046" s="3"/>
      <c r="P2046" s="3"/>
      <c r="Q2046" s="3"/>
    </row>
    <row r="2047" spans="2:17" x14ac:dyDescent="0.2">
      <c r="B2047" s="3"/>
      <c r="F2047" s="3"/>
      <c r="G2047" s="3"/>
      <c r="I2047" s="3"/>
      <c r="J2047" s="3"/>
      <c r="K2047" s="3"/>
      <c r="L2047" s="3"/>
      <c r="M2047" s="3"/>
      <c r="N2047" s="3"/>
      <c r="O2047" s="3"/>
      <c r="P2047" s="3"/>
      <c r="Q2047" s="3"/>
    </row>
    <row r="2048" spans="2:17" x14ac:dyDescent="0.2">
      <c r="B2048" s="3"/>
      <c r="F2048" s="3"/>
      <c r="G2048" s="3"/>
      <c r="I2048" s="3"/>
      <c r="J2048" s="3"/>
      <c r="K2048" s="3"/>
      <c r="L2048" s="3"/>
      <c r="M2048" s="3"/>
      <c r="N2048" s="3"/>
      <c r="O2048" s="3"/>
      <c r="P2048" s="3"/>
      <c r="Q2048" s="3"/>
    </row>
    <row r="2049" spans="2:17" x14ac:dyDescent="0.2">
      <c r="B2049" s="3"/>
      <c r="F2049" s="3"/>
      <c r="G2049" s="3"/>
      <c r="I2049" s="3"/>
      <c r="J2049" s="3"/>
      <c r="K2049" s="3"/>
      <c r="L2049" s="3"/>
      <c r="M2049" s="3"/>
      <c r="N2049" s="3"/>
      <c r="O2049" s="3"/>
      <c r="P2049" s="3"/>
      <c r="Q2049" s="3"/>
    </row>
    <row r="2050" spans="2:17" x14ac:dyDescent="0.2">
      <c r="B2050" s="3"/>
      <c r="F2050" s="3"/>
      <c r="G2050" s="3"/>
      <c r="I2050" s="3"/>
      <c r="J2050" s="3"/>
      <c r="K2050" s="3"/>
      <c r="L2050" s="3"/>
      <c r="M2050" s="3"/>
      <c r="N2050" s="3"/>
      <c r="O2050" s="3"/>
      <c r="P2050" s="3"/>
      <c r="Q2050" s="3"/>
    </row>
    <row r="2051" spans="2:17" x14ac:dyDescent="0.2">
      <c r="B2051" s="3"/>
      <c r="F2051" s="3"/>
      <c r="G2051" s="3"/>
      <c r="I2051" s="3"/>
      <c r="J2051" s="3"/>
      <c r="K2051" s="3"/>
      <c r="L2051" s="3"/>
      <c r="M2051" s="3"/>
      <c r="N2051" s="3"/>
      <c r="O2051" s="3"/>
      <c r="P2051" s="3"/>
      <c r="Q2051" s="3"/>
    </row>
    <row r="2052" spans="2:17" x14ac:dyDescent="0.2">
      <c r="B2052" s="3"/>
      <c r="F2052" s="3"/>
      <c r="G2052" s="3"/>
      <c r="I2052" s="3"/>
      <c r="J2052" s="3"/>
      <c r="K2052" s="3"/>
      <c r="L2052" s="3"/>
      <c r="M2052" s="3"/>
      <c r="N2052" s="3"/>
      <c r="O2052" s="3"/>
      <c r="P2052" s="3"/>
      <c r="Q2052" s="3"/>
    </row>
    <row r="2053" spans="2:17" x14ac:dyDescent="0.2">
      <c r="B2053" s="3"/>
      <c r="F2053" s="3"/>
      <c r="G2053" s="3"/>
      <c r="I2053" s="3"/>
      <c r="J2053" s="3"/>
      <c r="K2053" s="3"/>
      <c r="L2053" s="3"/>
      <c r="M2053" s="3"/>
      <c r="N2053" s="3"/>
      <c r="O2053" s="3"/>
      <c r="P2053" s="3"/>
      <c r="Q2053" s="3"/>
    </row>
    <row r="2054" spans="2:17" x14ac:dyDescent="0.2">
      <c r="B2054" s="3"/>
      <c r="F2054" s="3"/>
      <c r="G2054" s="3"/>
      <c r="I2054" s="3"/>
      <c r="J2054" s="3"/>
      <c r="K2054" s="3"/>
      <c r="L2054" s="3"/>
      <c r="M2054" s="3"/>
      <c r="N2054" s="3"/>
      <c r="O2054" s="3"/>
      <c r="P2054" s="3"/>
      <c r="Q2054" s="3"/>
    </row>
    <row r="2055" spans="2:17" x14ac:dyDescent="0.2">
      <c r="B2055" s="3"/>
      <c r="F2055" s="3"/>
      <c r="G2055" s="3"/>
      <c r="I2055" s="3"/>
      <c r="J2055" s="3"/>
      <c r="K2055" s="3"/>
      <c r="L2055" s="3"/>
      <c r="M2055" s="3"/>
      <c r="N2055" s="3"/>
      <c r="O2055" s="3"/>
      <c r="P2055" s="3"/>
      <c r="Q2055" s="3"/>
    </row>
    <row r="2056" spans="2:17" x14ac:dyDescent="0.2">
      <c r="B2056" s="3"/>
      <c r="F2056" s="3"/>
      <c r="G2056" s="3"/>
      <c r="I2056" s="3"/>
      <c r="J2056" s="3"/>
      <c r="K2056" s="3"/>
      <c r="L2056" s="3"/>
      <c r="M2056" s="3"/>
      <c r="N2056" s="3"/>
      <c r="O2056" s="3"/>
      <c r="P2056" s="3"/>
      <c r="Q2056" s="3"/>
    </row>
    <row r="2057" spans="2:17" x14ac:dyDescent="0.2">
      <c r="B2057" s="3"/>
      <c r="F2057" s="3"/>
      <c r="G2057" s="3"/>
      <c r="I2057" s="3"/>
      <c r="J2057" s="3"/>
      <c r="K2057" s="3"/>
      <c r="L2057" s="3"/>
      <c r="M2057" s="3"/>
      <c r="N2057" s="3"/>
      <c r="O2057" s="3"/>
      <c r="P2057" s="3"/>
      <c r="Q2057" s="3"/>
    </row>
    <row r="2058" spans="2:17" x14ac:dyDescent="0.2">
      <c r="B2058" s="3"/>
      <c r="F2058" s="3"/>
      <c r="G2058" s="3"/>
      <c r="I2058" s="3"/>
      <c r="J2058" s="3"/>
      <c r="K2058" s="3"/>
      <c r="L2058" s="3"/>
      <c r="M2058" s="3"/>
      <c r="N2058" s="3"/>
      <c r="O2058" s="3"/>
      <c r="P2058" s="3"/>
      <c r="Q2058" s="3"/>
    </row>
    <row r="2059" spans="2:17" x14ac:dyDescent="0.2">
      <c r="B2059" s="3"/>
      <c r="F2059" s="3"/>
      <c r="G2059" s="3"/>
      <c r="I2059" s="3"/>
      <c r="J2059" s="3"/>
      <c r="K2059" s="3"/>
      <c r="L2059" s="3"/>
      <c r="M2059" s="3"/>
      <c r="N2059" s="3"/>
      <c r="O2059" s="3"/>
      <c r="P2059" s="3"/>
      <c r="Q2059" s="3"/>
    </row>
    <row r="2060" spans="2:17" x14ac:dyDescent="0.2">
      <c r="B2060" s="3"/>
      <c r="F2060" s="3"/>
      <c r="G2060" s="3"/>
      <c r="I2060" s="3"/>
      <c r="J2060" s="3"/>
      <c r="K2060" s="3"/>
      <c r="L2060" s="3"/>
      <c r="M2060" s="3"/>
      <c r="N2060" s="3"/>
      <c r="O2060" s="3"/>
      <c r="P2060" s="3"/>
      <c r="Q2060" s="3"/>
    </row>
    <row r="2061" spans="2:17" x14ac:dyDescent="0.2">
      <c r="B2061" s="3"/>
      <c r="F2061" s="3"/>
      <c r="G2061" s="3"/>
      <c r="I2061" s="3"/>
      <c r="J2061" s="3"/>
      <c r="K2061" s="3"/>
      <c r="L2061" s="3"/>
      <c r="M2061" s="3"/>
      <c r="N2061" s="3"/>
      <c r="O2061" s="3"/>
      <c r="P2061" s="3"/>
      <c r="Q2061" s="3"/>
    </row>
    <row r="2062" spans="2:17" x14ac:dyDescent="0.2">
      <c r="B2062" s="3"/>
      <c r="F2062" s="3"/>
      <c r="G2062" s="3"/>
      <c r="I2062" s="3"/>
      <c r="J2062" s="3"/>
      <c r="K2062" s="3"/>
      <c r="L2062" s="3"/>
      <c r="M2062" s="3"/>
      <c r="N2062" s="3"/>
      <c r="O2062" s="3"/>
      <c r="P2062" s="3"/>
      <c r="Q2062" s="3"/>
    </row>
    <row r="2063" spans="2:17" x14ac:dyDescent="0.2">
      <c r="B2063" s="3"/>
      <c r="F2063" s="3"/>
      <c r="G2063" s="3"/>
      <c r="I2063" s="3"/>
      <c r="J2063" s="3"/>
      <c r="K2063" s="3"/>
      <c r="L2063" s="3"/>
      <c r="M2063" s="3"/>
      <c r="N2063" s="3"/>
      <c r="O2063" s="3"/>
      <c r="P2063" s="3"/>
      <c r="Q2063" s="3"/>
    </row>
    <row r="2064" spans="2:17" x14ac:dyDescent="0.2">
      <c r="B2064" s="3"/>
      <c r="F2064" s="3"/>
      <c r="G2064" s="3"/>
      <c r="I2064" s="3"/>
      <c r="J2064" s="3"/>
      <c r="K2064" s="3"/>
      <c r="L2064" s="3"/>
      <c r="M2064" s="3"/>
      <c r="N2064" s="3"/>
      <c r="O2064" s="3"/>
      <c r="P2064" s="3"/>
      <c r="Q2064" s="3"/>
    </row>
    <row r="2065" spans="2:17" x14ac:dyDescent="0.2">
      <c r="B2065" s="3"/>
      <c r="F2065" s="3"/>
      <c r="G2065" s="3"/>
      <c r="I2065" s="3"/>
      <c r="J2065" s="3"/>
      <c r="K2065" s="3"/>
      <c r="L2065" s="3"/>
      <c r="M2065" s="3"/>
      <c r="N2065" s="3"/>
      <c r="O2065" s="3"/>
      <c r="P2065" s="3"/>
      <c r="Q2065" s="3"/>
    </row>
    <row r="2066" spans="2:17" x14ac:dyDescent="0.2">
      <c r="B2066" s="3"/>
      <c r="F2066" s="3"/>
      <c r="G2066" s="3"/>
      <c r="I2066" s="3"/>
      <c r="J2066" s="3"/>
      <c r="K2066" s="3"/>
      <c r="L2066" s="3"/>
      <c r="M2066" s="3"/>
      <c r="N2066" s="3"/>
      <c r="O2066" s="3"/>
      <c r="P2066" s="3"/>
      <c r="Q2066" s="3"/>
    </row>
    <row r="2067" spans="2:17" x14ac:dyDescent="0.2">
      <c r="B2067" s="3"/>
      <c r="F2067" s="3"/>
      <c r="G2067" s="3"/>
      <c r="I2067" s="3"/>
      <c r="J2067" s="3"/>
      <c r="K2067" s="3"/>
      <c r="L2067" s="3"/>
      <c r="M2067" s="3"/>
      <c r="N2067" s="3"/>
      <c r="O2067" s="3"/>
      <c r="P2067" s="3"/>
      <c r="Q2067" s="3"/>
    </row>
    <row r="2068" spans="2:17" x14ac:dyDescent="0.2">
      <c r="B2068" s="3"/>
      <c r="F2068" s="3"/>
      <c r="G2068" s="3"/>
      <c r="I2068" s="3"/>
      <c r="J2068" s="3"/>
      <c r="K2068" s="3"/>
      <c r="L2068" s="3"/>
      <c r="M2068" s="3"/>
      <c r="N2068" s="3"/>
      <c r="O2068" s="3"/>
      <c r="P2068" s="3"/>
      <c r="Q2068" s="3"/>
    </row>
    <row r="2069" spans="2:17" x14ac:dyDescent="0.2">
      <c r="B2069" s="3"/>
      <c r="F2069" s="3"/>
      <c r="G2069" s="3"/>
      <c r="I2069" s="3"/>
      <c r="J2069" s="3"/>
      <c r="K2069" s="3"/>
      <c r="L2069" s="3"/>
      <c r="M2069" s="3"/>
      <c r="N2069" s="3"/>
      <c r="O2069" s="3"/>
      <c r="P2069" s="3"/>
      <c r="Q2069" s="3"/>
    </row>
    <row r="2070" spans="2:17" x14ac:dyDescent="0.2">
      <c r="B2070" s="3"/>
      <c r="F2070" s="3"/>
      <c r="G2070" s="3"/>
      <c r="I2070" s="3"/>
      <c r="J2070" s="3"/>
      <c r="K2070" s="3"/>
      <c r="L2070" s="3"/>
      <c r="M2070" s="3"/>
      <c r="N2070" s="3"/>
      <c r="O2070" s="3"/>
      <c r="P2070" s="3"/>
      <c r="Q2070" s="3"/>
    </row>
    <row r="2071" spans="2:17" x14ac:dyDescent="0.2">
      <c r="B2071" s="3"/>
      <c r="F2071" s="3"/>
      <c r="G2071" s="3"/>
      <c r="I2071" s="3"/>
      <c r="J2071" s="3"/>
      <c r="K2071" s="3"/>
      <c r="L2071" s="3"/>
      <c r="M2071" s="3"/>
      <c r="N2071" s="3"/>
      <c r="O2071" s="3"/>
      <c r="P2071" s="3"/>
      <c r="Q2071" s="3"/>
    </row>
    <row r="2072" spans="2:17" x14ac:dyDescent="0.2">
      <c r="B2072" s="3"/>
      <c r="F2072" s="3"/>
      <c r="G2072" s="3"/>
      <c r="I2072" s="3"/>
      <c r="J2072" s="3"/>
      <c r="K2072" s="3"/>
      <c r="L2072" s="3"/>
      <c r="M2072" s="3"/>
      <c r="N2072" s="3"/>
      <c r="O2072" s="3"/>
      <c r="P2072" s="3"/>
      <c r="Q2072" s="3"/>
    </row>
    <row r="2073" spans="2:17" x14ac:dyDescent="0.2">
      <c r="B2073" s="3"/>
      <c r="F2073" s="3"/>
      <c r="G2073" s="3"/>
      <c r="I2073" s="3"/>
      <c r="J2073" s="3"/>
      <c r="K2073" s="3"/>
      <c r="L2073" s="3"/>
      <c r="M2073" s="3"/>
      <c r="N2073" s="3"/>
      <c r="O2073" s="3"/>
      <c r="P2073" s="3"/>
      <c r="Q2073" s="3"/>
    </row>
    <row r="2074" spans="2:17" x14ac:dyDescent="0.2">
      <c r="B2074" s="3"/>
      <c r="F2074" s="3"/>
      <c r="G2074" s="3"/>
      <c r="I2074" s="3"/>
      <c r="J2074" s="3"/>
      <c r="K2074" s="3"/>
      <c r="L2074" s="3"/>
      <c r="M2074" s="3"/>
      <c r="N2074" s="3"/>
      <c r="O2074" s="3"/>
      <c r="P2074" s="3"/>
      <c r="Q2074" s="3"/>
    </row>
    <row r="2075" spans="2:17" x14ac:dyDescent="0.2">
      <c r="B2075" s="3"/>
      <c r="F2075" s="3"/>
      <c r="G2075" s="3"/>
      <c r="I2075" s="3"/>
      <c r="J2075" s="3"/>
      <c r="K2075" s="3"/>
      <c r="L2075" s="3"/>
      <c r="M2075" s="3"/>
      <c r="N2075" s="3"/>
      <c r="O2075" s="3"/>
      <c r="P2075" s="3"/>
      <c r="Q2075" s="3"/>
    </row>
    <row r="2076" spans="2:17" x14ac:dyDescent="0.2">
      <c r="B2076" s="3"/>
      <c r="F2076" s="3"/>
      <c r="G2076" s="3"/>
      <c r="I2076" s="3"/>
      <c r="J2076" s="3"/>
      <c r="K2076" s="3"/>
      <c r="L2076" s="3"/>
      <c r="M2076" s="3"/>
      <c r="N2076" s="3"/>
      <c r="O2076" s="3"/>
      <c r="P2076" s="3"/>
      <c r="Q2076" s="3"/>
    </row>
    <row r="2077" spans="2:17" x14ac:dyDescent="0.2">
      <c r="B2077" s="3"/>
      <c r="F2077" s="3"/>
      <c r="G2077" s="3"/>
      <c r="I2077" s="3"/>
      <c r="J2077" s="3"/>
      <c r="K2077" s="3"/>
      <c r="L2077" s="3"/>
      <c r="M2077" s="3"/>
      <c r="N2077" s="3"/>
      <c r="O2077" s="3"/>
      <c r="P2077" s="3"/>
      <c r="Q2077" s="3"/>
    </row>
    <row r="2078" spans="2:17" x14ac:dyDescent="0.2">
      <c r="B2078" s="3"/>
      <c r="F2078" s="3"/>
      <c r="G2078" s="3"/>
      <c r="I2078" s="3"/>
      <c r="J2078" s="3"/>
      <c r="K2078" s="3"/>
      <c r="L2078" s="3"/>
      <c r="M2078" s="3"/>
      <c r="N2078" s="3"/>
      <c r="O2078" s="3"/>
      <c r="P2078" s="3"/>
      <c r="Q2078" s="3"/>
    </row>
    <row r="2079" spans="2:17" x14ac:dyDescent="0.2">
      <c r="B2079" s="3"/>
      <c r="F2079" s="3"/>
      <c r="G2079" s="3"/>
      <c r="I2079" s="3"/>
      <c r="J2079" s="3"/>
      <c r="K2079" s="3"/>
      <c r="L2079" s="3"/>
      <c r="M2079" s="3"/>
      <c r="N2079" s="3"/>
      <c r="O2079" s="3"/>
      <c r="P2079" s="3"/>
      <c r="Q2079" s="3"/>
    </row>
    <row r="2080" spans="2:17" x14ac:dyDescent="0.2">
      <c r="B2080" s="3"/>
      <c r="F2080" s="3"/>
      <c r="G2080" s="3"/>
      <c r="I2080" s="3"/>
      <c r="J2080" s="3"/>
      <c r="K2080" s="3"/>
      <c r="L2080" s="3"/>
      <c r="M2080" s="3"/>
      <c r="N2080" s="3"/>
      <c r="O2080" s="3"/>
      <c r="P2080" s="3"/>
      <c r="Q2080" s="3"/>
    </row>
    <row r="2081" spans="2:17" x14ac:dyDescent="0.2">
      <c r="B2081" s="3"/>
      <c r="F2081" s="3"/>
      <c r="G2081" s="3"/>
      <c r="I2081" s="3"/>
      <c r="J2081" s="3"/>
      <c r="K2081" s="3"/>
      <c r="L2081" s="3"/>
      <c r="M2081" s="3"/>
      <c r="N2081" s="3"/>
      <c r="O2081" s="3"/>
      <c r="P2081" s="3"/>
      <c r="Q2081" s="3"/>
    </row>
    <row r="2082" spans="2:17" x14ac:dyDescent="0.2">
      <c r="B2082" s="3"/>
      <c r="F2082" s="3"/>
      <c r="G2082" s="3"/>
      <c r="I2082" s="3"/>
      <c r="J2082" s="3"/>
      <c r="K2082" s="3"/>
      <c r="L2082" s="3"/>
      <c r="M2082" s="3"/>
      <c r="N2082" s="3"/>
      <c r="O2082" s="3"/>
      <c r="P2082" s="3"/>
      <c r="Q2082" s="3"/>
    </row>
    <row r="2083" spans="2:17" x14ac:dyDescent="0.2">
      <c r="B2083" s="3"/>
      <c r="F2083" s="3"/>
      <c r="G2083" s="3"/>
      <c r="I2083" s="3"/>
      <c r="J2083" s="3"/>
      <c r="K2083" s="3"/>
      <c r="L2083" s="3"/>
      <c r="M2083" s="3"/>
      <c r="N2083" s="3"/>
      <c r="O2083" s="3"/>
      <c r="P2083" s="3"/>
      <c r="Q2083" s="3"/>
    </row>
    <row r="2084" spans="2:17" x14ac:dyDescent="0.2">
      <c r="B2084" s="3"/>
      <c r="F2084" s="3"/>
      <c r="G2084" s="3"/>
      <c r="I2084" s="3"/>
      <c r="J2084" s="3"/>
      <c r="K2084" s="3"/>
      <c r="L2084" s="3"/>
      <c r="M2084" s="3"/>
      <c r="N2084" s="3"/>
      <c r="O2084" s="3"/>
      <c r="P2084" s="3"/>
      <c r="Q2084" s="3"/>
    </row>
    <row r="2085" spans="2:17" x14ac:dyDescent="0.2">
      <c r="B2085" s="3"/>
      <c r="F2085" s="3"/>
      <c r="G2085" s="3"/>
      <c r="I2085" s="3"/>
      <c r="J2085" s="3"/>
      <c r="K2085" s="3"/>
      <c r="L2085" s="3"/>
      <c r="M2085" s="3"/>
      <c r="N2085" s="3"/>
      <c r="O2085" s="3"/>
      <c r="P2085" s="3"/>
      <c r="Q2085" s="3"/>
    </row>
    <row r="2086" spans="2:17" x14ac:dyDescent="0.2">
      <c r="B2086" s="3"/>
      <c r="F2086" s="3"/>
      <c r="G2086" s="3"/>
      <c r="I2086" s="3"/>
      <c r="J2086" s="3"/>
      <c r="K2086" s="3"/>
      <c r="L2086" s="3"/>
      <c r="M2086" s="3"/>
      <c r="N2086" s="3"/>
      <c r="O2086" s="3"/>
      <c r="P2086" s="3"/>
      <c r="Q2086" s="3"/>
    </row>
    <row r="2087" spans="2:17" x14ac:dyDescent="0.2">
      <c r="B2087" s="3"/>
      <c r="F2087" s="3"/>
      <c r="G2087" s="3"/>
      <c r="I2087" s="3"/>
      <c r="J2087" s="3"/>
      <c r="K2087" s="3"/>
      <c r="L2087" s="3"/>
      <c r="M2087" s="3"/>
      <c r="N2087" s="3"/>
      <c r="O2087" s="3"/>
      <c r="P2087" s="3"/>
      <c r="Q2087" s="3"/>
    </row>
    <row r="2088" spans="2:17" x14ac:dyDescent="0.2">
      <c r="B2088" s="3"/>
      <c r="F2088" s="3"/>
      <c r="G2088" s="3"/>
      <c r="I2088" s="3"/>
      <c r="J2088" s="3"/>
      <c r="K2088" s="3"/>
      <c r="L2088" s="3"/>
      <c r="M2088" s="3"/>
      <c r="N2088" s="3"/>
      <c r="O2088" s="3"/>
      <c r="P2088" s="3"/>
      <c r="Q2088" s="3"/>
    </row>
    <row r="2089" spans="2:17" x14ac:dyDescent="0.2">
      <c r="B2089" s="3"/>
      <c r="F2089" s="3"/>
      <c r="G2089" s="3"/>
      <c r="I2089" s="3"/>
      <c r="J2089" s="3"/>
      <c r="K2089" s="3"/>
      <c r="L2089" s="3"/>
      <c r="M2089" s="3"/>
      <c r="N2089" s="3"/>
      <c r="O2089" s="3"/>
      <c r="P2089" s="3"/>
      <c r="Q2089" s="3"/>
    </row>
    <row r="2090" spans="2:17" x14ac:dyDescent="0.2">
      <c r="B2090" s="3"/>
      <c r="F2090" s="3"/>
      <c r="G2090" s="3"/>
      <c r="I2090" s="3"/>
      <c r="J2090" s="3"/>
      <c r="K2090" s="3"/>
      <c r="L2090" s="3"/>
      <c r="M2090" s="3"/>
      <c r="N2090" s="3"/>
      <c r="O2090" s="3"/>
      <c r="P2090" s="3"/>
      <c r="Q2090" s="3"/>
    </row>
    <row r="2091" spans="2:17" x14ac:dyDescent="0.2">
      <c r="B2091" s="3"/>
      <c r="F2091" s="3"/>
      <c r="G2091" s="3"/>
      <c r="I2091" s="3"/>
      <c r="J2091" s="3"/>
      <c r="K2091" s="3"/>
      <c r="L2091" s="3"/>
      <c r="M2091" s="3"/>
      <c r="N2091" s="3"/>
      <c r="O2091" s="3"/>
      <c r="P2091" s="3"/>
      <c r="Q2091" s="3"/>
    </row>
    <row r="2092" spans="2:17" x14ac:dyDescent="0.2">
      <c r="B2092" s="3"/>
      <c r="F2092" s="3"/>
      <c r="G2092" s="3"/>
      <c r="I2092" s="3"/>
      <c r="J2092" s="3"/>
      <c r="K2092" s="3"/>
      <c r="L2092" s="3"/>
      <c r="M2092" s="3"/>
      <c r="N2092" s="3"/>
      <c r="O2092" s="3"/>
      <c r="P2092" s="3"/>
      <c r="Q2092" s="3"/>
    </row>
    <row r="2093" spans="2:17" x14ac:dyDescent="0.2">
      <c r="B2093" s="3"/>
      <c r="F2093" s="3"/>
      <c r="G2093" s="3"/>
      <c r="I2093" s="3"/>
      <c r="J2093" s="3"/>
      <c r="K2093" s="3"/>
      <c r="L2093" s="3"/>
      <c r="M2093" s="3"/>
      <c r="N2093" s="3"/>
      <c r="O2093" s="3"/>
      <c r="P2093" s="3"/>
      <c r="Q2093" s="3"/>
    </row>
    <row r="2094" spans="2:17" x14ac:dyDescent="0.2">
      <c r="B2094" s="3"/>
      <c r="F2094" s="3"/>
      <c r="G2094" s="3"/>
      <c r="I2094" s="3"/>
      <c r="J2094" s="3"/>
      <c r="K2094" s="3"/>
      <c r="L2094" s="3"/>
      <c r="M2094" s="3"/>
      <c r="N2094" s="3"/>
      <c r="O2094" s="3"/>
      <c r="P2094" s="3"/>
      <c r="Q2094" s="3"/>
    </row>
    <row r="2095" spans="2:17" x14ac:dyDescent="0.2">
      <c r="B2095" s="3"/>
      <c r="F2095" s="3"/>
      <c r="G2095" s="3"/>
      <c r="I2095" s="3"/>
      <c r="J2095" s="3"/>
      <c r="K2095" s="3"/>
      <c r="L2095" s="3"/>
      <c r="M2095" s="3"/>
      <c r="N2095" s="3"/>
      <c r="O2095" s="3"/>
      <c r="P2095" s="3"/>
      <c r="Q2095" s="3"/>
    </row>
    <row r="2096" spans="2:17" x14ac:dyDescent="0.2">
      <c r="B2096" s="3"/>
      <c r="F2096" s="3"/>
      <c r="G2096" s="3"/>
      <c r="I2096" s="3"/>
      <c r="J2096" s="3"/>
      <c r="K2096" s="3"/>
      <c r="L2096" s="3"/>
      <c r="M2096" s="3"/>
      <c r="N2096" s="3"/>
      <c r="O2096" s="3"/>
      <c r="P2096" s="3"/>
      <c r="Q2096" s="3"/>
    </row>
    <row r="2097" spans="2:17" x14ac:dyDescent="0.2">
      <c r="B2097" s="3"/>
      <c r="F2097" s="3"/>
      <c r="G2097" s="3"/>
      <c r="I2097" s="3"/>
      <c r="J2097" s="3"/>
      <c r="K2097" s="3"/>
      <c r="L2097" s="3"/>
      <c r="M2097" s="3"/>
      <c r="N2097" s="3"/>
      <c r="O2097" s="3"/>
      <c r="P2097" s="3"/>
      <c r="Q2097" s="3"/>
    </row>
    <row r="2098" spans="2:17" x14ac:dyDescent="0.2">
      <c r="B2098" s="3"/>
      <c r="F2098" s="3"/>
      <c r="G2098" s="3"/>
      <c r="I2098" s="3"/>
      <c r="J2098" s="3"/>
      <c r="K2098" s="3"/>
      <c r="L2098" s="3"/>
      <c r="M2098" s="3"/>
      <c r="N2098" s="3"/>
      <c r="O2098" s="3"/>
      <c r="P2098" s="3"/>
      <c r="Q2098" s="3"/>
    </row>
    <row r="2099" spans="2:17" x14ac:dyDescent="0.2">
      <c r="B2099" s="3"/>
      <c r="F2099" s="3"/>
      <c r="G2099" s="3"/>
      <c r="I2099" s="3"/>
      <c r="J2099" s="3"/>
      <c r="K2099" s="3"/>
      <c r="L2099" s="3"/>
      <c r="M2099" s="3"/>
      <c r="N2099" s="3"/>
      <c r="O2099" s="3"/>
      <c r="P2099" s="3"/>
      <c r="Q2099" s="3"/>
    </row>
    <row r="2100" spans="2:17" x14ac:dyDescent="0.2">
      <c r="B2100" s="3"/>
      <c r="F2100" s="3"/>
      <c r="G2100" s="3"/>
      <c r="I2100" s="3"/>
      <c r="J2100" s="3"/>
      <c r="K2100" s="3"/>
      <c r="L2100" s="3"/>
      <c r="M2100" s="3"/>
      <c r="N2100" s="3"/>
      <c r="O2100" s="3"/>
      <c r="P2100" s="3"/>
      <c r="Q2100" s="3"/>
    </row>
    <row r="2101" spans="2:17" x14ac:dyDescent="0.2">
      <c r="B2101" s="3"/>
      <c r="F2101" s="3"/>
      <c r="G2101" s="3"/>
      <c r="I2101" s="3"/>
      <c r="J2101" s="3"/>
      <c r="K2101" s="3"/>
      <c r="L2101" s="3"/>
      <c r="M2101" s="3"/>
      <c r="N2101" s="3"/>
      <c r="O2101" s="3"/>
      <c r="P2101" s="3"/>
      <c r="Q2101" s="3"/>
    </row>
    <row r="2102" spans="2:17" x14ac:dyDescent="0.2">
      <c r="B2102" s="3"/>
      <c r="F2102" s="3"/>
      <c r="G2102" s="3"/>
      <c r="I2102" s="3"/>
      <c r="J2102" s="3"/>
      <c r="K2102" s="3"/>
      <c r="L2102" s="3"/>
      <c r="M2102" s="3"/>
      <c r="N2102" s="3"/>
      <c r="O2102" s="3"/>
      <c r="P2102" s="3"/>
      <c r="Q2102" s="3"/>
    </row>
    <row r="2103" spans="2:17" x14ac:dyDescent="0.2">
      <c r="B2103" s="3"/>
      <c r="F2103" s="3"/>
      <c r="G2103" s="3"/>
      <c r="I2103" s="3"/>
      <c r="J2103" s="3"/>
      <c r="K2103" s="3"/>
      <c r="L2103" s="3"/>
      <c r="M2103" s="3"/>
      <c r="N2103" s="3"/>
      <c r="O2103" s="3"/>
      <c r="P2103" s="3"/>
      <c r="Q2103" s="3"/>
    </row>
    <row r="2104" spans="2:17" x14ac:dyDescent="0.2">
      <c r="B2104" s="3"/>
      <c r="F2104" s="3"/>
      <c r="G2104" s="3"/>
      <c r="I2104" s="3"/>
      <c r="J2104" s="3"/>
      <c r="K2104" s="3"/>
      <c r="L2104" s="3"/>
      <c r="M2104" s="3"/>
      <c r="N2104" s="3"/>
      <c r="O2104" s="3"/>
      <c r="P2104" s="3"/>
      <c r="Q2104" s="3"/>
    </row>
    <row r="2105" spans="2:17" x14ac:dyDescent="0.2">
      <c r="B2105" s="3"/>
      <c r="F2105" s="3"/>
      <c r="G2105" s="3"/>
      <c r="I2105" s="3"/>
      <c r="J2105" s="3"/>
      <c r="K2105" s="3"/>
      <c r="L2105" s="3"/>
      <c r="M2105" s="3"/>
      <c r="N2105" s="3"/>
      <c r="O2105" s="3"/>
      <c r="P2105" s="3"/>
      <c r="Q2105" s="3"/>
    </row>
    <row r="2106" spans="2:17" x14ac:dyDescent="0.2">
      <c r="B2106" s="3"/>
      <c r="F2106" s="3"/>
      <c r="G2106" s="3"/>
      <c r="I2106" s="3"/>
      <c r="J2106" s="3"/>
      <c r="K2106" s="3"/>
      <c r="L2106" s="3"/>
      <c r="M2106" s="3"/>
      <c r="N2106" s="3"/>
      <c r="O2106" s="3"/>
      <c r="P2106" s="3"/>
      <c r="Q2106" s="3"/>
    </row>
    <row r="2107" spans="2:17" x14ac:dyDescent="0.2">
      <c r="B2107" s="3"/>
      <c r="F2107" s="3"/>
      <c r="G2107" s="3"/>
      <c r="I2107" s="3"/>
      <c r="J2107" s="3"/>
      <c r="K2107" s="3"/>
      <c r="L2107" s="3"/>
      <c r="M2107" s="3"/>
      <c r="N2107" s="3"/>
      <c r="O2107" s="3"/>
      <c r="P2107" s="3"/>
      <c r="Q2107" s="3"/>
    </row>
    <row r="2108" spans="2:17" x14ac:dyDescent="0.2">
      <c r="B2108" s="3"/>
      <c r="F2108" s="3"/>
      <c r="G2108" s="3"/>
      <c r="I2108" s="3"/>
      <c r="J2108" s="3"/>
      <c r="K2108" s="3"/>
      <c r="L2108" s="3"/>
      <c r="M2108" s="3"/>
      <c r="N2108" s="3"/>
      <c r="O2108" s="3"/>
      <c r="P2108" s="3"/>
      <c r="Q2108" s="3"/>
    </row>
    <row r="2109" spans="2:17" x14ac:dyDescent="0.2">
      <c r="B2109" s="3"/>
      <c r="F2109" s="3"/>
      <c r="G2109" s="3"/>
      <c r="I2109" s="3"/>
      <c r="J2109" s="3"/>
      <c r="K2109" s="3"/>
      <c r="L2109" s="3"/>
      <c r="M2109" s="3"/>
      <c r="N2109" s="3"/>
      <c r="O2109" s="3"/>
      <c r="P2109" s="3"/>
      <c r="Q2109" s="3"/>
    </row>
    <row r="2110" spans="2:17" x14ac:dyDescent="0.2">
      <c r="B2110" s="3"/>
      <c r="F2110" s="3"/>
      <c r="G2110" s="3"/>
      <c r="I2110" s="3"/>
      <c r="J2110" s="3"/>
      <c r="K2110" s="3"/>
      <c r="L2110" s="3"/>
      <c r="M2110" s="3"/>
      <c r="N2110" s="3"/>
      <c r="O2110" s="3"/>
      <c r="P2110" s="3"/>
      <c r="Q2110" s="3"/>
    </row>
    <row r="2111" spans="2:17" x14ac:dyDescent="0.2">
      <c r="B2111" s="3"/>
      <c r="F2111" s="3"/>
      <c r="G2111" s="3"/>
      <c r="I2111" s="3"/>
      <c r="J2111" s="3"/>
      <c r="K2111" s="3"/>
      <c r="L2111" s="3"/>
      <c r="M2111" s="3"/>
      <c r="N2111" s="3"/>
      <c r="O2111" s="3"/>
      <c r="P2111" s="3"/>
      <c r="Q2111" s="3"/>
    </row>
    <row r="2112" spans="2:17" x14ac:dyDescent="0.2">
      <c r="B2112" s="3"/>
      <c r="F2112" s="3"/>
      <c r="G2112" s="3"/>
      <c r="I2112" s="3"/>
      <c r="J2112" s="3"/>
      <c r="K2112" s="3"/>
      <c r="L2112" s="3"/>
      <c r="M2112" s="3"/>
      <c r="N2112" s="3"/>
      <c r="O2112" s="3"/>
      <c r="P2112" s="3"/>
      <c r="Q2112" s="3"/>
    </row>
    <row r="2113" spans="2:17" x14ac:dyDescent="0.2">
      <c r="B2113" s="3"/>
      <c r="F2113" s="3"/>
      <c r="G2113" s="3"/>
      <c r="I2113" s="3"/>
      <c r="J2113" s="3"/>
      <c r="K2113" s="3"/>
      <c r="L2113" s="3"/>
      <c r="M2113" s="3"/>
      <c r="N2113" s="3"/>
      <c r="O2113" s="3"/>
      <c r="P2113" s="3"/>
      <c r="Q2113" s="3"/>
    </row>
    <row r="2114" spans="2:17" x14ac:dyDescent="0.2">
      <c r="B2114" s="3"/>
      <c r="F2114" s="3"/>
      <c r="G2114" s="3"/>
      <c r="I2114" s="3"/>
      <c r="J2114" s="3"/>
      <c r="K2114" s="3"/>
      <c r="L2114" s="3"/>
      <c r="M2114" s="3"/>
      <c r="N2114" s="3"/>
      <c r="O2114" s="3"/>
      <c r="P2114" s="3"/>
      <c r="Q2114" s="3"/>
    </row>
    <row r="2115" spans="2:17" x14ac:dyDescent="0.2">
      <c r="B2115" s="3"/>
      <c r="F2115" s="3"/>
      <c r="G2115" s="3"/>
      <c r="I2115" s="3"/>
      <c r="J2115" s="3"/>
      <c r="K2115" s="3"/>
      <c r="L2115" s="3"/>
      <c r="M2115" s="3"/>
      <c r="N2115" s="3"/>
      <c r="O2115" s="3"/>
      <c r="P2115" s="3"/>
      <c r="Q2115" s="3"/>
    </row>
    <row r="2116" spans="2:17" x14ac:dyDescent="0.2">
      <c r="B2116" s="3"/>
      <c r="F2116" s="3"/>
      <c r="G2116" s="3"/>
      <c r="I2116" s="3"/>
      <c r="J2116" s="3"/>
      <c r="K2116" s="3"/>
      <c r="L2116" s="3"/>
      <c r="M2116" s="3"/>
      <c r="N2116" s="3"/>
      <c r="O2116" s="3"/>
      <c r="P2116" s="3"/>
      <c r="Q2116" s="3"/>
    </row>
    <row r="2117" spans="2:17" x14ac:dyDescent="0.2">
      <c r="B2117" s="3"/>
      <c r="F2117" s="3"/>
      <c r="G2117" s="3"/>
      <c r="I2117" s="3"/>
      <c r="J2117" s="3"/>
      <c r="K2117" s="3"/>
      <c r="L2117" s="3"/>
      <c r="M2117" s="3"/>
      <c r="N2117" s="3"/>
      <c r="O2117" s="3"/>
      <c r="P2117" s="3"/>
      <c r="Q2117" s="3"/>
    </row>
    <row r="2118" spans="2:17" x14ac:dyDescent="0.2">
      <c r="B2118" s="3"/>
      <c r="F2118" s="3"/>
      <c r="G2118" s="3"/>
      <c r="I2118" s="3"/>
      <c r="J2118" s="3"/>
      <c r="K2118" s="3"/>
      <c r="L2118" s="3"/>
      <c r="M2118" s="3"/>
      <c r="N2118" s="3"/>
      <c r="O2118" s="3"/>
      <c r="P2118" s="3"/>
      <c r="Q2118" s="3"/>
    </row>
    <row r="2119" spans="2:17" x14ac:dyDescent="0.2">
      <c r="B2119" s="3"/>
      <c r="F2119" s="3"/>
      <c r="G2119" s="3"/>
      <c r="I2119" s="3"/>
      <c r="J2119" s="3"/>
      <c r="K2119" s="3"/>
      <c r="L2119" s="3"/>
      <c r="M2119" s="3"/>
      <c r="N2119" s="3"/>
      <c r="O2119" s="3"/>
      <c r="P2119" s="3"/>
      <c r="Q2119" s="3"/>
    </row>
    <row r="2120" spans="2:17" x14ac:dyDescent="0.2">
      <c r="B2120" s="3"/>
      <c r="F2120" s="3"/>
      <c r="G2120" s="3"/>
      <c r="I2120" s="3"/>
      <c r="J2120" s="3"/>
      <c r="K2120" s="3"/>
      <c r="L2120" s="3"/>
      <c r="M2120" s="3"/>
      <c r="N2120" s="3"/>
      <c r="O2120" s="3"/>
      <c r="P2120" s="3"/>
      <c r="Q2120" s="3"/>
    </row>
    <row r="2121" spans="2:17" x14ac:dyDescent="0.2">
      <c r="B2121" s="3"/>
      <c r="F2121" s="3"/>
      <c r="G2121" s="3"/>
      <c r="I2121" s="3"/>
      <c r="J2121" s="3"/>
      <c r="K2121" s="3"/>
      <c r="L2121" s="3"/>
      <c r="M2121" s="3"/>
      <c r="N2121" s="3"/>
      <c r="O2121" s="3"/>
      <c r="P2121" s="3"/>
      <c r="Q2121" s="3"/>
    </row>
    <row r="2122" spans="2:17" x14ac:dyDescent="0.2">
      <c r="B2122" s="3"/>
      <c r="F2122" s="3"/>
      <c r="G2122" s="3"/>
      <c r="I2122" s="3"/>
      <c r="J2122" s="3"/>
      <c r="K2122" s="3"/>
      <c r="L2122" s="3"/>
      <c r="M2122" s="3"/>
      <c r="N2122" s="3"/>
      <c r="O2122" s="3"/>
      <c r="P2122" s="3"/>
      <c r="Q2122" s="3"/>
    </row>
    <row r="2123" spans="2:17" x14ac:dyDescent="0.2">
      <c r="B2123" s="3"/>
      <c r="F2123" s="3"/>
      <c r="G2123" s="3"/>
      <c r="I2123" s="3"/>
      <c r="J2123" s="3"/>
      <c r="K2123" s="3"/>
      <c r="L2123" s="3"/>
      <c r="M2123" s="3"/>
      <c r="N2123" s="3"/>
      <c r="O2123" s="3"/>
      <c r="P2123" s="3"/>
      <c r="Q2123" s="3"/>
    </row>
    <row r="2124" spans="2:17" x14ac:dyDescent="0.2">
      <c r="B2124" s="3"/>
      <c r="F2124" s="3"/>
      <c r="G2124" s="3"/>
      <c r="I2124" s="3"/>
      <c r="J2124" s="3"/>
      <c r="K2124" s="3"/>
      <c r="L2124" s="3"/>
      <c r="M2124" s="3"/>
      <c r="N2124" s="3"/>
      <c r="O2124" s="3"/>
      <c r="P2124" s="3"/>
      <c r="Q2124" s="3"/>
    </row>
    <row r="2125" spans="2:17" x14ac:dyDescent="0.2">
      <c r="B2125" s="3"/>
      <c r="F2125" s="3"/>
      <c r="G2125" s="3"/>
      <c r="I2125" s="3"/>
      <c r="J2125" s="3"/>
      <c r="K2125" s="3"/>
      <c r="L2125" s="3"/>
      <c r="M2125" s="3"/>
      <c r="N2125" s="3"/>
      <c r="O2125" s="3"/>
      <c r="P2125" s="3"/>
      <c r="Q2125" s="3"/>
    </row>
    <row r="2126" spans="2:17" x14ac:dyDescent="0.2">
      <c r="B2126" s="3"/>
      <c r="F2126" s="3"/>
      <c r="G2126" s="3"/>
      <c r="I2126" s="3"/>
      <c r="J2126" s="3"/>
      <c r="K2126" s="3"/>
      <c r="L2126" s="3"/>
      <c r="M2126" s="3"/>
      <c r="N2126" s="3"/>
      <c r="O2126" s="3"/>
      <c r="P2126" s="3"/>
      <c r="Q2126" s="3"/>
    </row>
    <row r="2127" spans="2:17" x14ac:dyDescent="0.2">
      <c r="B2127" s="3"/>
      <c r="F2127" s="3"/>
      <c r="G2127" s="3"/>
      <c r="I2127" s="3"/>
      <c r="J2127" s="3"/>
      <c r="K2127" s="3"/>
      <c r="L2127" s="3"/>
      <c r="M2127" s="3"/>
      <c r="N2127" s="3"/>
      <c r="O2127" s="3"/>
      <c r="P2127" s="3"/>
      <c r="Q2127" s="3"/>
    </row>
    <row r="2128" spans="2:17" x14ac:dyDescent="0.2">
      <c r="B2128" s="3"/>
      <c r="F2128" s="3"/>
      <c r="G2128" s="3"/>
      <c r="I2128" s="3"/>
      <c r="J2128" s="3"/>
      <c r="K2128" s="3"/>
      <c r="L2128" s="3"/>
      <c r="M2128" s="3"/>
      <c r="N2128" s="3"/>
      <c r="O2128" s="3"/>
      <c r="P2128" s="3"/>
      <c r="Q2128" s="3"/>
    </row>
    <row r="2129" spans="2:17" x14ac:dyDescent="0.2">
      <c r="B2129" s="3"/>
      <c r="F2129" s="3"/>
      <c r="G2129" s="3"/>
      <c r="I2129" s="3"/>
      <c r="J2129" s="3"/>
      <c r="K2129" s="3"/>
      <c r="L2129" s="3"/>
      <c r="M2129" s="3"/>
      <c r="N2129" s="3"/>
      <c r="O2129" s="3"/>
      <c r="P2129" s="3"/>
      <c r="Q2129" s="3"/>
    </row>
    <row r="2130" spans="2:17" x14ac:dyDescent="0.2">
      <c r="B2130" s="3"/>
      <c r="F2130" s="3"/>
      <c r="G2130" s="3"/>
      <c r="I2130" s="3"/>
      <c r="J2130" s="3"/>
      <c r="K2130" s="3"/>
      <c r="L2130" s="3"/>
      <c r="M2130" s="3"/>
      <c r="N2130" s="3"/>
      <c r="O2130" s="3"/>
      <c r="P2130" s="3"/>
      <c r="Q2130" s="3"/>
    </row>
    <row r="2131" spans="2:17" x14ac:dyDescent="0.2">
      <c r="B2131" s="3"/>
      <c r="F2131" s="3"/>
      <c r="G2131" s="3"/>
      <c r="I2131" s="3"/>
      <c r="J2131" s="3"/>
      <c r="K2131" s="3"/>
      <c r="L2131" s="3"/>
      <c r="M2131" s="3"/>
      <c r="N2131" s="3"/>
      <c r="O2131" s="3"/>
      <c r="P2131" s="3"/>
      <c r="Q2131" s="3"/>
    </row>
    <row r="2132" spans="2:17" x14ac:dyDescent="0.2">
      <c r="B2132" s="3"/>
      <c r="F2132" s="3"/>
      <c r="G2132" s="3"/>
      <c r="I2132" s="3"/>
      <c r="J2132" s="3"/>
      <c r="K2132" s="3"/>
      <c r="L2132" s="3"/>
      <c r="M2132" s="3"/>
      <c r="N2132" s="3"/>
      <c r="O2132" s="3"/>
      <c r="P2132" s="3"/>
      <c r="Q2132" s="3"/>
    </row>
    <row r="2133" spans="2:17" x14ac:dyDescent="0.2">
      <c r="B2133" s="3"/>
      <c r="F2133" s="3"/>
      <c r="G2133" s="3"/>
      <c r="I2133" s="3"/>
      <c r="J2133" s="3"/>
      <c r="K2133" s="3"/>
      <c r="L2133" s="3"/>
      <c r="M2133" s="3"/>
      <c r="N2133" s="3"/>
      <c r="O2133" s="3"/>
      <c r="P2133" s="3"/>
      <c r="Q2133" s="3"/>
    </row>
    <row r="2134" spans="2:17" x14ac:dyDescent="0.2">
      <c r="B2134" s="3"/>
      <c r="F2134" s="3"/>
      <c r="G2134" s="3"/>
      <c r="I2134" s="3"/>
      <c r="J2134" s="3"/>
      <c r="K2134" s="3"/>
      <c r="L2134" s="3"/>
      <c r="M2134" s="3"/>
      <c r="N2134" s="3"/>
      <c r="O2134" s="3"/>
      <c r="P2134" s="3"/>
      <c r="Q2134" s="3"/>
    </row>
    <row r="2135" spans="2:17" x14ac:dyDescent="0.2">
      <c r="B2135" s="3"/>
      <c r="F2135" s="3"/>
      <c r="G2135" s="3"/>
      <c r="I2135" s="3"/>
      <c r="J2135" s="3"/>
      <c r="K2135" s="3"/>
      <c r="L2135" s="3"/>
      <c r="M2135" s="3"/>
      <c r="N2135" s="3"/>
      <c r="O2135" s="3"/>
      <c r="P2135" s="3"/>
      <c r="Q2135" s="3"/>
    </row>
    <row r="2136" spans="2:17" x14ac:dyDescent="0.2">
      <c r="B2136" s="3"/>
      <c r="F2136" s="3"/>
      <c r="G2136" s="3"/>
      <c r="I2136" s="3"/>
      <c r="J2136" s="3"/>
      <c r="K2136" s="3"/>
      <c r="L2136" s="3"/>
      <c r="M2136" s="3"/>
      <c r="N2136" s="3"/>
      <c r="O2136" s="3"/>
      <c r="P2136" s="3"/>
      <c r="Q2136" s="3"/>
    </row>
    <row r="2137" spans="2:17" x14ac:dyDescent="0.2">
      <c r="B2137" s="3"/>
      <c r="F2137" s="3"/>
      <c r="G2137" s="3"/>
      <c r="I2137" s="3"/>
      <c r="J2137" s="3"/>
      <c r="K2137" s="3"/>
      <c r="L2137" s="3"/>
      <c r="M2137" s="3"/>
      <c r="N2137" s="3"/>
      <c r="O2137" s="3"/>
      <c r="P2137" s="3"/>
      <c r="Q2137" s="3"/>
    </row>
    <row r="2138" spans="2:17" x14ac:dyDescent="0.2">
      <c r="B2138" s="3"/>
      <c r="F2138" s="3"/>
      <c r="G2138" s="3"/>
      <c r="I2138" s="3"/>
      <c r="J2138" s="3"/>
      <c r="K2138" s="3"/>
      <c r="L2138" s="3"/>
      <c r="M2138" s="3"/>
      <c r="N2138" s="3"/>
      <c r="O2138" s="3"/>
      <c r="P2138" s="3"/>
      <c r="Q2138" s="3"/>
    </row>
    <row r="2139" spans="2:17" x14ac:dyDescent="0.2">
      <c r="B2139" s="3"/>
      <c r="F2139" s="3"/>
      <c r="G2139" s="3"/>
      <c r="I2139" s="3"/>
      <c r="J2139" s="3"/>
      <c r="K2139" s="3"/>
      <c r="L2139" s="3"/>
      <c r="M2139" s="3"/>
      <c r="N2139" s="3"/>
      <c r="O2139" s="3"/>
      <c r="P2139" s="3"/>
      <c r="Q2139" s="3"/>
    </row>
    <row r="2140" spans="2:17" x14ac:dyDescent="0.2">
      <c r="B2140" s="3"/>
      <c r="F2140" s="3"/>
      <c r="G2140" s="3"/>
      <c r="I2140" s="3"/>
      <c r="J2140" s="3"/>
      <c r="K2140" s="3"/>
      <c r="L2140" s="3"/>
      <c r="M2140" s="3"/>
      <c r="N2140" s="3"/>
      <c r="O2140" s="3"/>
      <c r="P2140" s="3"/>
      <c r="Q2140" s="3"/>
    </row>
    <row r="2141" spans="2:17" x14ac:dyDescent="0.2">
      <c r="B2141" s="3"/>
      <c r="F2141" s="3"/>
      <c r="G2141" s="3"/>
      <c r="I2141" s="3"/>
      <c r="J2141" s="3"/>
      <c r="K2141" s="3"/>
      <c r="L2141" s="3"/>
      <c r="M2141" s="3"/>
      <c r="N2141" s="3"/>
      <c r="O2141" s="3"/>
      <c r="P2141" s="3"/>
      <c r="Q2141" s="3"/>
    </row>
    <row r="2142" spans="2:17" x14ac:dyDescent="0.2">
      <c r="B2142" s="3"/>
      <c r="F2142" s="3"/>
      <c r="G2142" s="3"/>
      <c r="I2142" s="3"/>
      <c r="J2142" s="3"/>
      <c r="K2142" s="3"/>
      <c r="L2142" s="3"/>
      <c r="M2142" s="3"/>
      <c r="N2142" s="3"/>
      <c r="O2142" s="3"/>
      <c r="P2142" s="3"/>
      <c r="Q2142" s="3"/>
    </row>
    <row r="2143" spans="2:17" x14ac:dyDescent="0.2">
      <c r="B2143" s="3"/>
      <c r="F2143" s="3"/>
      <c r="G2143" s="3"/>
      <c r="I2143" s="3"/>
      <c r="J2143" s="3"/>
      <c r="K2143" s="3"/>
      <c r="L2143" s="3"/>
      <c r="M2143" s="3"/>
      <c r="N2143" s="3"/>
      <c r="O2143" s="3"/>
      <c r="P2143" s="3"/>
      <c r="Q2143" s="3"/>
    </row>
    <row r="2144" spans="2:17" x14ac:dyDescent="0.2">
      <c r="B2144" s="3"/>
      <c r="F2144" s="3"/>
      <c r="G2144" s="3"/>
      <c r="I2144" s="3"/>
      <c r="J2144" s="3"/>
      <c r="K2144" s="3"/>
      <c r="L2144" s="3"/>
      <c r="M2144" s="3"/>
      <c r="N2144" s="3"/>
      <c r="O2144" s="3"/>
      <c r="P2144" s="3"/>
      <c r="Q2144" s="3"/>
    </row>
    <row r="2145" spans="2:17" x14ac:dyDescent="0.2">
      <c r="B2145" s="3"/>
      <c r="F2145" s="3"/>
      <c r="G2145" s="3"/>
      <c r="I2145" s="3"/>
      <c r="J2145" s="3"/>
      <c r="K2145" s="3"/>
      <c r="L2145" s="3"/>
      <c r="M2145" s="3"/>
      <c r="N2145" s="3"/>
      <c r="O2145" s="3"/>
      <c r="P2145" s="3"/>
      <c r="Q2145" s="3"/>
    </row>
    <row r="2146" spans="2:17" x14ac:dyDescent="0.2">
      <c r="B2146" s="3"/>
      <c r="F2146" s="3"/>
      <c r="G2146" s="3"/>
      <c r="I2146" s="3"/>
      <c r="J2146" s="3"/>
      <c r="K2146" s="3"/>
      <c r="L2146" s="3"/>
      <c r="M2146" s="3"/>
      <c r="N2146" s="3"/>
      <c r="O2146" s="3"/>
      <c r="P2146" s="3"/>
      <c r="Q2146" s="3"/>
    </row>
    <row r="2147" spans="2:17" x14ac:dyDescent="0.2">
      <c r="B2147" s="3"/>
      <c r="F2147" s="3"/>
      <c r="G2147" s="3"/>
      <c r="I2147" s="3"/>
      <c r="J2147" s="3"/>
      <c r="K2147" s="3"/>
      <c r="L2147" s="3"/>
      <c r="M2147" s="3"/>
      <c r="N2147" s="3"/>
      <c r="O2147" s="3"/>
      <c r="P2147" s="3"/>
      <c r="Q2147" s="3"/>
    </row>
    <row r="2148" spans="2:17" x14ac:dyDescent="0.2">
      <c r="B2148" s="3"/>
      <c r="F2148" s="3"/>
      <c r="G2148" s="3"/>
      <c r="I2148" s="3"/>
      <c r="J2148" s="3"/>
      <c r="K2148" s="3"/>
      <c r="L2148" s="3"/>
      <c r="M2148" s="3"/>
      <c r="N2148" s="3"/>
      <c r="O2148" s="3"/>
      <c r="P2148" s="3"/>
      <c r="Q2148" s="3"/>
    </row>
    <row r="2149" spans="2:17" x14ac:dyDescent="0.2">
      <c r="B2149" s="3"/>
      <c r="F2149" s="3"/>
      <c r="G2149" s="3"/>
      <c r="I2149" s="3"/>
      <c r="J2149" s="3"/>
      <c r="K2149" s="3"/>
      <c r="L2149" s="3"/>
      <c r="M2149" s="3"/>
      <c r="N2149" s="3"/>
      <c r="O2149" s="3"/>
      <c r="P2149" s="3"/>
      <c r="Q2149" s="3"/>
    </row>
    <row r="2150" spans="2:17" x14ac:dyDescent="0.2">
      <c r="B2150" s="3"/>
      <c r="F2150" s="3"/>
      <c r="G2150" s="3"/>
      <c r="I2150" s="3"/>
      <c r="J2150" s="3"/>
      <c r="K2150" s="3"/>
      <c r="L2150" s="3"/>
      <c r="M2150" s="3"/>
      <c r="N2150" s="3"/>
      <c r="O2150" s="3"/>
      <c r="P2150" s="3"/>
      <c r="Q2150" s="3"/>
    </row>
    <row r="2151" spans="2:17" x14ac:dyDescent="0.2">
      <c r="B2151" s="3"/>
      <c r="F2151" s="3"/>
      <c r="G2151" s="3"/>
      <c r="I2151" s="3"/>
      <c r="J2151" s="3"/>
      <c r="K2151" s="3"/>
      <c r="L2151" s="3"/>
      <c r="M2151" s="3"/>
      <c r="N2151" s="3"/>
      <c r="O2151" s="3"/>
      <c r="P2151" s="3"/>
      <c r="Q2151" s="3"/>
    </row>
    <row r="2152" spans="2:17" x14ac:dyDescent="0.2">
      <c r="B2152" s="3"/>
      <c r="F2152" s="3"/>
      <c r="G2152" s="3"/>
      <c r="I2152" s="3"/>
      <c r="J2152" s="3"/>
      <c r="K2152" s="3"/>
      <c r="L2152" s="3"/>
      <c r="M2152" s="3"/>
      <c r="N2152" s="3"/>
      <c r="O2152" s="3"/>
      <c r="P2152" s="3"/>
      <c r="Q2152" s="3"/>
    </row>
    <row r="2153" spans="2:17" x14ac:dyDescent="0.2">
      <c r="B2153" s="3"/>
      <c r="F2153" s="3"/>
      <c r="G2153" s="3"/>
      <c r="I2153" s="3"/>
      <c r="J2153" s="3"/>
      <c r="K2153" s="3"/>
      <c r="L2153" s="3"/>
      <c r="M2153" s="3"/>
      <c r="N2153" s="3"/>
      <c r="O2153" s="3"/>
      <c r="P2153" s="3"/>
      <c r="Q2153" s="3"/>
    </row>
    <row r="2154" spans="2:17" x14ac:dyDescent="0.2">
      <c r="B2154" s="3"/>
      <c r="F2154" s="3"/>
      <c r="G2154" s="3"/>
      <c r="I2154" s="3"/>
      <c r="J2154" s="3"/>
      <c r="K2154" s="3"/>
      <c r="L2154" s="3"/>
      <c r="M2154" s="3"/>
      <c r="N2154" s="3"/>
      <c r="O2154" s="3"/>
      <c r="P2154" s="3"/>
      <c r="Q2154" s="3"/>
    </row>
    <row r="2155" spans="2:17" x14ac:dyDescent="0.2">
      <c r="B2155" s="3"/>
      <c r="F2155" s="3"/>
      <c r="G2155" s="3"/>
      <c r="I2155" s="3"/>
      <c r="J2155" s="3"/>
      <c r="K2155" s="3"/>
      <c r="L2155" s="3"/>
      <c r="M2155" s="3"/>
      <c r="N2155" s="3"/>
      <c r="O2155" s="3"/>
      <c r="P2155" s="3"/>
      <c r="Q2155" s="3"/>
    </row>
    <row r="2156" spans="2:17" x14ac:dyDescent="0.2">
      <c r="B2156" s="3"/>
      <c r="F2156" s="3"/>
      <c r="G2156" s="3"/>
      <c r="I2156" s="3"/>
      <c r="J2156" s="3"/>
      <c r="K2156" s="3"/>
      <c r="L2156" s="3"/>
      <c r="M2156" s="3"/>
      <c r="N2156" s="3"/>
      <c r="O2156" s="3"/>
      <c r="P2156" s="3"/>
      <c r="Q2156" s="3"/>
    </row>
    <row r="2157" spans="2:17" x14ac:dyDescent="0.2">
      <c r="B2157" s="3"/>
      <c r="F2157" s="3"/>
      <c r="G2157" s="3"/>
      <c r="I2157" s="3"/>
      <c r="J2157" s="3"/>
      <c r="K2157" s="3"/>
      <c r="L2157" s="3"/>
      <c r="M2157" s="3"/>
      <c r="N2157" s="3"/>
      <c r="O2157" s="3"/>
      <c r="P2157" s="3"/>
      <c r="Q2157" s="3"/>
    </row>
    <row r="2158" spans="2:17" x14ac:dyDescent="0.2">
      <c r="B2158" s="3"/>
      <c r="F2158" s="3"/>
      <c r="G2158" s="3"/>
      <c r="I2158" s="3"/>
      <c r="J2158" s="3"/>
      <c r="K2158" s="3"/>
      <c r="L2158" s="3"/>
      <c r="M2158" s="3"/>
      <c r="N2158" s="3"/>
      <c r="O2158" s="3"/>
      <c r="P2158" s="3"/>
      <c r="Q2158" s="3"/>
    </row>
    <row r="2159" spans="2:17" x14ac:dyDescent="0.2">
      <c r="B2159" s="3"/>
      <c r="F2159" s="3"/>
      <c r="G2159" s="3"/>
      <c r="I2159" s="3"/>
      <c r="J2159" s="3"/>
      <c r="K2159" s="3"/>
      <c r="L2159" s="3"/>
      <c r="M2159" s="3"/>
      <c r="N2159" s="3"/>
      <c r="O2159" s="3"/>
      <c r="P2159" s="3"/>
      <c r="Q2159" s="3"/>
    </row>
    <row r="2160" spans="2:17" x14ac:dyDescent="0.2">
      <c r="B2160" s="3"/>
      <c r="F2160" s="3"/>
      <c r="G2160" s="3"/>
      <c r="I2160" s="3"/>
      <c r="J2160" s="3"/>
      <c r="K2160" s="3"/>
      <c r="L2160" s="3"/>
      <c r="M2160" s="3"/>
      <c r="N2160" s="3"/>
      <c r="O2160" s="3"/>
      <c r="P2160" s="3"/>
      <c r="Q2160" s="3"/>
    </row>
    <row r="2161" spans="2:17" x14ac:dyDescent="0.2">
      <c r="B2161" s="3"/>
      <c r="F2161" s="3"/>
      <c r="G2161" s="3"/>
      <c r="I2161" s="3"/>
      <c r="J2161" s="3"/>
      <c r="K2161" s="3"/>
      <c r="L2161" s="3"/>
      <c r="M2161" s="3"/>
      <c r="N2161" s="3"/>
      <c r="O2161" s="3"/>
      <c r="P2161" s="3"/>
      <c r="Q2161" s="3"/>
    </row>
    <row r="2162" spans="2:17" x14ac:dyDescent="0.2">
      <c r="B2162" s="3"/>
      <c r="F2162" s="3"/>
      <c r="G2162" s="3"/>
      <c r="I2162" s="3"/>
      <c r="J2162" s="3"/>
      <c r="K2162" s="3"/>
      <c r="L2162" s="3"/>
      <c r="M2162" s="3"/>
      <c r="N2162" s="3"/>
      <c r="O2162" s="3"/>
      <c r="P2162" s="3"/>
      <c r="Q2162" s="3"/>
    </row>
    <row r="2163" spans="2:17" x14ac:dyDescent="0.2">
      <c r="B2163" s="3"/>
      <c r="F2163" s="3"/>
      <c r="G2163" s="3"/>
      <c r="I2163" s="3"/>
      <c r="J2163" s="3"/>
      <c r="K2163" s="3"/>
      <c r="L2163" s="3"/>
      <c r="M2163" s="3"/>
      <c r="N2163" s="3"/>
      <c r="O2163" s="3"/>
      <c r="P2163" s="3"/>
      <c r="Q2163" s="3"/>
    </row>
    <row r="2164" spans="2:17" x14ac:dyDescent="0.2">
      <c r="B2164" s="3"/>
      <c r="F2164" s="3"/>
      <c r="G2164" s="3"/>
      <c r="I2164" s="3"/>
      <c r="J2164" s="3"/>
      <c r="K2164" s="3"/>
      <c r="L2164" s="3"/>
      <c r="M2164" s="3"/>
      <c r="N2164" s="3"/>
      <c r="O2164" s="3"/>
      <c r="P2164" s="3"/>
      <c r="Q2164" s="3"/>
    </row>
    <row r="2165" spans="2:17" x14ac:dyDescent="0.2">
      <c r="B2165" s="3"/>
      <c r="F2165" s="3"/>
      <c r="G2165" s="3"/>
      <c r="I2165" s="3"/>
      <c r="J2165" s="3"/>
      <c r="K2165" s="3"/>
      <c r="L2165" s="3"/>
      <c r="M2165" s="3"/>
      <c r="N2165" s="3"/>
      <c r="O2165" s="3"/>
      <c r="P2165" s="3"/>
      <c r="Q2165" s="3"/>
    </row>
    <row r="2166" spans="2:17" x14ac:dyDescent="0.2">
      <c r="B2166" s="3"/>
      <c r="F2166" s="3"/>
      <c r="G2166" s="3"/>
      <c r="I2166" s="3"/>
      <c r="J2166" s="3"/>
      <c r="K2166" s="3"/>
      <c r="L2166" s="3"/>
      <c r="M2166" s="3"/>
      <c r="N2166" s="3"/>
      <c r="O2166" s="3"/>
      <c r="P2166" s="3"/>
      <c r="Q2166" s="3"/>
    </row>
    <row r="2167" spans="2:17" x14ac:dyDescent="0.2">
      <c r="B2167" s="3"/>
      <c r="F2167" s="3"/>
      <c r="G2167" s="3"/>
      <c r="I2167" s="3"/>
      <c r="J2167" s="3"/>
      <c r="K2167" s="3"/>
      <c r="L2167" s="3"/>
      <c r="M2167" s="3"/>
      <c r="N2167" s="3"/>
      <c r="O2167" s="3"/>
      <c r="P2167" s="3"/>
      <c r="Q2167" s="3"/>
    </row>
    <row r="2168" spans="2:17" x14ac:dyDescent="0.2">
      <c r="B2168" s="3"/>
      <c r="F2168" s="3"/>
      <c r="G2168" s="3"/>
      <c r="I2168" s="3"/>
      <c r="J2168" s="3"/>
      <c r="K2168" s="3"/>
      <c r="L2168" s="3"/>
      <c r="M2168" s="3"/>
      <c r="N2168" s="3"/>
      <c r="O2168" s="3"/>
      <c r="P2168" s="3"/>
      <c r="Q2168" s="3"/>
    </row>
    <row r="2169" spans="2:17" x14ac:dyDescent="0.2">
      <c r="B2169" s="3"/>
      <c r="F2169" s="3"/>
      <c r="G2169" s="3"/>
      <c r="I2169" s="3"/>
      <c r="J2169" s="3"/>
      <c r="K2169" s="3"/>
      <c r="L2169" s="3"/>
      <c r="M2169" s="3"/>
      <c r="N2169" s="3"/>
      <c r="O2169" s="3"/>
      <c r="P2169" s="3"/>
      <c r="Q2169" s="3"/>
    </row>
    <row r="2170" spans="2:17" x14ac:dyDescent="0.2">
      <c r="B2170" s="3"/>
      <c r="F2170" s="3"/>
      <c r="G2170" s="3"/>
      <c r="I2170" s="3"/>
      <c r="J2170" s="3"/>
      <c r="K2170" s="3"/>
      <c r="L2170" s="3"/>
      <c r="M2170" s="3"/>
      <c r="N2170" s="3"/>
      <c r="O2170" s="3"/>
      <c r="P2170" s="3"/>
      <c r="Q2170" s="3"/>
    </row>
    <row r="2171" spans="2:17" x14ac:dyDescent="0.2">
      <c r="B2171" s="3"/>
      <c r="F2171" s="3"/>
      <c r="G2171" s="3"/>
      <c r="I2171" s="3"/>
      <c r="J2171" s="3"/>
      <c r="K2171" s="3"/>
      <c r="L2171" s="3"/>
      <c r="M2171" s="3"/>
      <c r="N2171" s="3"/>
      <c r="O2171" s="3"/>
      <c r="P2171" s="3"/>
      <c r="Q2171" s="3"/>
    </row>
    <row r="2172" spans="2:17" x14ac:dyDescent="0.2">
      <c r="B2172" s="3"/>
      <c r="F2172" s="3"/>
      <c r="G2172" s="3"/>
      <c r="I2172" s="3"/>
      <c r="J2172" s="3"/>
      <c r="K2172" s="3"/>
      <c r="L2172" s="3"/>
      <c r="M2172" s="3"/>
      <c r="N2172" s="3"/>
      <c r="O2172" s="3"/>
      <c r="P2172" s="3"/>
      <c r="Q2172" s="3"/>
    </row>
    <row r="2173" spans="2:17" x14ac:dyDescent="0.2">
      <c r="B2173" s="3"/>
      <c r="F2173" s="3"/>
      <c r="G2173" s="3"/>
      <c r="I2173" s="3"/>
      <c r="J2173" s="3"/>
      <c r="K2173" s="3"/>
      <c r="L2173" s="3"/>
      <c r="M2173" s="3"/>
      <c r="N2173" s="3"/>
      <c r="O2173" s="3"/>
      <c r="P2173" s="3"/>
      <c r="Q2173" s="3"/>
    </row>
    <row r="2174" spans="2:17" x14ac:dyDescent="0.2">
      <c r="B2174" s="3"/>
      <c r="F2174" s="3"/>
      <c r="G2174" s="3"/>
      <c r="I2174" s="3"/>
      <c r="J2174" s="3"/>
      <c r="K2174" s="3"/>
      <c r="L2174" s="3"/>
      <c r="M2174" s="3"/>
      <c r="N2174" s="3"/>
      <c r="O2174" s="3"/>
      <c r="P2174" s="3"/>
      <c r="Q2174" s="3"/>
    </row>
    <row r="2175" spans="2:17" x14ac:dyDescent="0.2">
      <c r="B2175" s="3"/>
      <c r="F2175" s="3"/>
      <c r="G2175" s="3"/>
      <c r="I2175" s="3"/>
      <c r="J2175" s="3"/>
      <c r="K2175" s="3"/>
      <c r="L2175" s="3"/>
      <c r="M2175" s="3"/>
      <c r="N2175" s="3"/>
      <c r="O2175" s="3"/>
      <c r="P2175" s="3"/>
      <c r="Q2175" s="3"/>
    </row>
    <row r="2176" spans="2:17" x14ac:dyDescent="0.2">
      <c r="B2176" s="3"/>
      <c r="F2176" s="3"/>
      <c r="G2176" s="3"/>
      <c r="I2176" s="3"/>
      <c r="J2176" s="3"/>
      <c r="K2176" s="3"/>
      <c r="L2176" s="3"/>
      <c r="M2176" s="3"/>
      <c r="N2176" s="3"/>
      <c r="O2176" s="3"/>
      <c r="P2176" s="3"/>
      <c r="Q2176" s="3"/>
    </row>
    <row r="2177" spans="2:17" x14ac:dyDescent="0.2">
      <c r="B2177" s="3"/>
      <c r="F2177" s="3"/>
      <c r="G2177" s="3"/>
      <c r="I2177" s="3"/>
      <c r="J2177" s="3"/>
      <c r="K2177" s="3"/>
      <c r="L2177" s="3"/>
      <c r="M2177" s="3"/>
      <c r="N2177" s="3"/>
      <c r="O2177" s="3"/>
      <c r="P2177" s="3"/>
      <c r="Q2177" s="3"/>
    </row>
    <row r="2178" spans="2:17" x14ac:dyDescent="0.2">
      <c r="B2178" s="3"/>
      <c r="F2178" s="3"/>
      <c r="G2178" s="3"/>
      <c r="I2178" s="3"/>
      <c r="J2178" s="3"/>
      <c r="K2178" s="3"/>
      <c r="L2178" s="3"/>
      <c r="M2178" s="3"/>
      <c r="N2178" s="3"/>
      <c r="O2178" s="3"/>
      <c r="P2178" s="3"/>
      <c r="Q2178" s="3"/>
    </row>
    <row r="2179" spans="2:17" x14ac:dyDescent="0.2">
      <c r="B2179" s="3"/>
      <c r="F2179" s="3"/>
      <c r="G2179" s="3"/>
      <c r="I2179" s="3"/>
      <c r="J2179" s="3"/>
      <c r="K2179" s="3"/>
      <c r="L2179" s="3"/>
      <c r="M2179" s="3"/>
      <c r="N2179" s="3"/>
      <c r="O2179" s="3"/>
      <c r="P2179" s="3"/>
      <c r="Q2179" s="3"/>
    </row>
    <row r="2180" spans="2:17" x14ac:dyDescent="0.2">
      <c r="B2180" s="3"/>
      <c r="F2180" s="3"/>
      <c r="G2180" s="3"/>
      <c r="I2180" s="3"/>
      <c r="J2180" s="3"/>
      <c r="K2180" s="3"/>
      <c r="L2180" s="3"/>
      <c r="M2180" s="3"/>
      <c r="N2180" s="3"/>
      <c r="O2180" s="3"/>
      <c r="P2180" s="3"/>
      <c r="Q2180" s="3"/>
    </row>
    <row r="2181" spans="2:17" x14ac:dyDescent="0.2">
      <c r="B2181" s="3"/>
      <c r="F2181" s="3"/>
      <c r="G2181" s="3"/>
      <c r="I2181" s="3"/>
      <c r="J2181" s="3"/>
      <c r="K2181" s="3"/>
      <c r="L2181" s="3"/>
      <c r="M2181" s="3"/>
      <c r="N2181" s="3"/>
      <c r="O2181" s="3"/>
      <c r="P2181" s="3"/>
      <c r="Q2181" s="3"/>
    </row>
    <row r="2182" spans="2:17" x14ac:dyDescent="0.2">
      <c r="B2182" s="3"/>
      <c r="F2182" s="3"/>
      <c r="G2182" s="3"/>
      <c r="I2182" s="3"/>
      <c r="J2182" s="3"/>
      <c r="K2182" s="3"/>
      <c r="L2182" s="3"/>
      <c r="M2182" s="3"/>
      <c r="N2182" s="3"/>
      <c r="O2182" s="3"/>
      <c r="P2182" s="3"/>
      <c r="Q2182" s="3"/>
    </row>
    <row r="2183" spans="2:17" x14ac:dyDescent="0.2">
      <c r="B2183" s="3"/>
      <c r="F2183" s="3"/>
      <c r="G2183" s="3"/>
      <c r="I2183" s="3"/>
      <c r="J2183" s="3"/>
      <c r="K2183" s="3"/>
      <c r="L2183" s="3"/>
      <c r="M2183" s="3"/>
      <c r="N2183" s="3"/>
      <c r="O2183" s="3"/>
      <c r="P2183" s="3"/>
      <c r="Q2183" s="3"/>
    </row>
    <row r="2184" spans="2:17" x14ac:dyDescent="0.2">
      <c r="B2184" s="3"/>
      <c r="F2184" s="3"/>
      <c r="G2184" s="3"/>
      <c r="I2184" s="3"/>
      <c r="J2184" s="3"/>
      <c r="K2184" s="3"/>
      <c r="L2184" s="3"/>
      <c r="M2184" s="3"/>
      <c r="N2184" s="3"/>
      <c r="O2184" s="3"/>
      <c r="P2184" s="3"/>
      <c r="Q2184" s="3"/>
    </row>
    <row r="2185" spans="2:17" x14ac:dyDescent="0.2">
      <c r="B2185" s="3"/>
      <c r="F2185" s="3"/>
      <c r="G2185" s="3"/>
      <c r="I2185" s="3"/>
      <c r="J2185" s="3"/>
      <c r="K2185" s="3"/>
      <c r="L2185" s="3"/>
      <c r="M2185" s="3"/>
      <c r="N2185" s="3"/>
      <c r="O2185" s="3"/>
      <c r="P2185" s="3"/>
      <c r="Q2185" s="3"/>
    </row>
    <row r="2186" spans="2:17" x14ac:dyDescent="0.2">
      <c r="B2186" s="3"/>
      <c r="F2186" s="3"/>
      <c r="G2186" s="3"/>
      <c r="I2186" s="3"/>
      <c r="J2186" s="3"/>
      <c r="K2186" s="3"/>
      <c r="L2186" s="3"/>
      <c r="M2186" s="3"/>
      <c r="N2186" s="3"/>
      <c r="O2186" s="3"/>
      <c r="P2186" s="3"/>
      <c r="Q2186" s="3"/>
    </row>
    <row r="2187" spans="2:17" x14ac:dyDescent="0.2">
      <c r="B2187" s="3"/>
      <c r="F2187" s="3"/>
      <c r="G2187" s="3"/>
      <c r="I2187" s="3"/>
      <c r="J2187" s="3"/>
      <c r="K2187" s="3"/>
      <c r="L2187" s="3"/>
      <c r="M2187" s="3"/>
      <c r="N2187" s="3"/>
      <c r="O2187" s="3"/>
      <c r="P2187" s="3"/>
      <c r="Q2187" s="3"/>
    </row>
    <row r="2188" spans="2:17" x14ac:dyDescent="0.2">
      <c r="B2188" s="3"/>
      <c r="F2188" s="3"/>
      <c r="G2188" s="3"/>
      <c r="I2188" s="3"/>
      <c r="J2188" s="3"/>
      <c r="K2188" s="3"/>
      <c r="L2188" s="3"/>
      <c r="M2188" s="3"/>
      <c r="N2188" s="3"/>
      <c r="O2188" s="3"/>
      <c r="P2188" s="3"/>
      <c r="Q2188" s="3"/>
    </row>
    <row r="2189" spans="2:17" x14ac:dyDescent="0.2">
      <c r="B2189" s="3"/>
      <c r="F2189" s="3"/>
      <c r="G2189" s="3"/>
      <c r="I2189" s="3"/>
      <c r="J2189" s="3"/>
      <c r="K2189" s="3"/>
      <c r="L2189" s="3"/>
      <c r="M2189" s="3"/>
      <c r="N2189" s="3"/>
      <c r="O2189" s="3"/>
      <c r="P2189" s="3"/>
      <c r="Q2189" s="3"/>
    </row>
    <row r="2190" spans="2:17" x14ac:dyDescent="0.2">
      <c r="B2190" s="3"/>
      <c r="F2190" s="3"/>
      <c r="G2190" s="3"/>
      <c r="I2190" s="3"/>
      <c r="J2190" s="3"/>
      <c r="K2190" s="3"/>
      <c r="L2190" s="3"/>
      <c r="M2190" s="3"/>
      <c r="N2190" s="3"/>
      <c r="O2190" s="3"/>
      <c r="P2190" s="3"/>
      <c r="Q2190" s="3"/>
    </row>
    <row r="2191" spans="2:17" x14ac:dyDescent="0.2">
      <c r="B2191" s="3"/>
      <c r="F2191" s="3"/>
      <c r="G2191" s="3"/>
      <c r="I2191" s="3"/>
      <c r="J2191" s="3"/>
      <c r="K2191" s="3"/>
      <c r="L2191" s="3"/>
      <c r="M2191" s="3"/>
      <c r="N2191" s="3"/>
      <c r="O2191" s="3"/>
      <c r="P2191" s="3"/>
      <c r="Q2191" s="3"/>
    </row>
    <row r="2192" spans="2:17" x14ac:dyDescent="0.2">
      <c r="B2192" s="3"/>
      <c r="F2192" s="3"/>
      <c r="G2192" s="3"/>
      <c r="I2192" s="3"/>
      <c r="J2192" s="3"/>
      <c r="K2192" s="3"/>
      <c r="L2192" s="3"/>
      <c r="M2192" s="3"/>
      <c r="N2192" s="3"/>
      <c r="O2192" s="3"/>
      <c r="P2192" s="3"/>
      <c r="Q2192" s="3"/>
    </row>
    <row r="2193" spans="2:17" x14ac:dyDescent="0.2">
      <c r="B2193" s="3"/>
      <c r="F2193" s="3"/>
      <c r="G2193" s="3"/>
      <c r="I2193" s="3"/>
      <c r="J2193" s="3"/>
      <c r="K2193" s="3"/>
      <c r="L2193" s="3"/>
      <c r="M2193" s="3"/>
      <c r="N2193" s="3"/>
      <c r="O2193" s="3"/>
      <c r="P2193" s="3"/>
      <c r="Q2193" s="3"/>
    </row>
    <row r="2194" spans="2:17" x14ac:dyDescent="0.2">
      <c r="B2194" s="3"/>
      <c r="F2194" s="3"/>
      <c r="G2194" s="3"/>
      <c r="I2194" s="3"/>
      <c r="J2194" s="3"/>
      <c r="K2194" s="3"/>
      <c r="L2194" s="3"/>
      <c r="M2194" s="3"/>
      <c r="N2194" s="3"/>
      <c r="O2194" s="3"/>
      <c r="P2194" s="3"/>
      <c r="Q2194" s="3"/>
    </row>
    <row r="2195" spans="2:17" x14ac:dyDescent="0.2">
      <c r="B2195" s="3"/>
      <c r="F2195" s="3"/>
      <c r="G2195" s="3"/>
      <c r="I2195" s="3"/>
      <c r="J2195" s="3"/>
      <c r="K2195" s="3"/>
      <c r="L2195" s="3"/>
      <c r="M2195" s="3"/>
      <c r="N2195" s="3"/>
      <c r="O2195" s="3"/>
      <c r="P2195" s="3"/>
      <c r="Q2195" s="3"/>
    </row>
    <row r="2196" spans="2:17" x14ac:dyDescent="0.2">
      <c r="B2196" s="3"/>
      <c r="F2196" s="3"/>
      <c r="G2196" s="3"/>
      <c r="I2196" s="3"/>
      <c r="J2196" s="3"/>
      <c r="K2196" s="3"/>
      <c r="L2196" s="3"/>
      <c r="M2196" s="3"/>
      <c r="N2196" s="3"/>
      <c r="O2196" s="3"/>
      <c r="P2196" s="3"/>
      <c r="Q2196" s="3"/>
    </row>
    <row r="2197" spans="2:17" x14ac:dyDescent="0.2">
      <c r="B2197" s="3"/>
      <c r="F2197" s="3"/>
      <c r="G2197" s="3"/>
      <c r="I2197" s="3"/>
      <c r="J2197" s="3"/>
      <c r="K2197" s="3"/>
      <c r="L2197" s="3"/>
      <c r="M2197" s="3"/>
      <c r="N2197" s="3"/>
      <c r="O2197" s="3"/>
      <c r="P2197" s="3"/>
      <c r="Q2197" s="3"/>
    </row>
    <row r="2198" spans="2:17" x14ac:dyDescent="0.2">
      <c r="B2198" s="3"/>
      <c r="F2198" s="3"/>
      <c r="G2198" s="3"/>
      <c r="I2198" s="3"/>
      <c r="J2198" s="3"/>
      <c r="K2198" s="3"/>
      <c r="L2198" s="3"/>
      <c r="M2198" s="3"/>
      <c r="N2198" s="3"/>
      <c r="O2198" s="3"/>
      <c r="P2198" s="3"/>
      <c r="Q2198" s="3"/>
    </row>
    <row r="2199" spans="2:17" x14ac:dyDescent="0.2">
      <c r="B2199" s="3"/>
      <c r="F2199" s="3"/>
      <c r="G2199" s="3"/>
      <c r="I2199" s="3"/>
      <c r="J2199" s="3"/>
      <c r="K2199" s="3"/>
      <c r="L2199" s="3"/>
      <c r="M2199" s="3"/>
      <c r="N2199" s="3"/>
      <c r="O2199" s="3"/>
      <c r="P2199" s="3"/>
      <c r="Q2199" s="3"/>
    </row>
    <row r="2200" spans="2:17" x14ac:dyDescent="0.2">
      <c r="B2200" s="3"/>
      <c r="F2200" s="3"/>
      <c r="G2200" s="3"/>
      <c r="I2200" s="3"/>
      <c r="J2200" s="3"/>
      <c r="K2200" s="3"/>
      <c r="L2200" s="3"/>
      <c r="M2200" s="3"/>
      <c r="N2200" s="3"/>
      <c r="O2200" s="3"/>
      <c r="P2200" s="3"/>
      <c r="Q2200" s="3"/>
    </row>
    <row r="2201" spans="2:17" x14ac:dyDescent="0.2">
      <c r="B2201" s="3"/>
      <c r="F2201" s="3"/>
      <c r="G2201" s="3"/>
      <c r="I2201" s="3"/>
      <c r="J2201" s="3"/>
      <c r="K2201" s="3"/>
      <c r="L2201" s="3"/>
      <c r="M2201" s="3"/>
      <c r="N2201" s="3"/>
      <c r="O2201" s="3"/>
      <c r="P2201" s="3"/>
      <c r="Q2201" s="3"/>
    </row>
    <row r="2202" spans="2:17" x14ac:dyDescent="0.2">
      <c r="B2202" s="3"/>
      <c r="F2202" s="3"/>
      <c r="G2202" s="3"/>
      <c r="I2202" s="3"/>
      <c r="J2202" s="3"/>
      <c r="K2202" s="3"/>
      <c r="L2202" s="3"/>
      <c r="M2202" s="3"/>
      <c r="N2202" s="3"/>
      <c r="O2202" s="3"/>
      <c r="P2202" s="3"/>
      <c r="Q2202" s="3"/>
    </row>
    <row r="2203" spans="2:17" x14ac:dyDescent="0.2">
      <c r="B2203" s="3"/>
      <c r="F2203" s="3"/>
      <c r="G2203" s="3"/>
      <c r="I2203" s="3"/>
      <c r="J2203" s="3"/>
      <c r="K2203" s="3"/>
      <c r="L2203" s="3"/>
      <c r="M2203" s="3"/>
      <c r="N2203" s="3"/>
      <c r="O2203" s="3"/>
      <c r="P2203" s="3"/>
      <c r="Q2203" s="3"/>
    </row>
    <row r="2204" spans="2:17" x14ac:dyDescent="0.2">
      <c r="B2204" s="3"/>
      <c r="F2204" s="3"/>
      <c r="G2204" s="3"/>
      <c r="I2204" s="3"/>
      <c r="J2204" s="3"/>
      <c r="K2204" s="3"/>
      <c r="L2204" s="3"/>
      <c r="M2204" s="3"/>
      <c r="N2204" s="3"/>
      <c r="O2204" s="3"/>
      <c r="P2204" s="3"/>
      <c r="Q2204" s="3"/>
    </row>
    <row r="2205" spans="2:17" x14ac:dyDescent="0.2">
      <c r="B2205" s="3"/>
      <c r="F2205" s="3"/>
      <c r="G2205" s="3"/>
      <c r="I2205" s="3"/>
      <c r="J2205" s="3"/>
      <c r="K2205" s="3"/>
      <c r="L2205" s="3"/>
      <c r="M2205" s="3"/>
      <c r="N2205" s="3"/>
      <c r="O2205" s="3"/>
      <c r="P2205" s="3"/>
      <c r="Q2205" s="3"/>
    </row>
    <row r="2206" spans="2:17" x14ac:dyDescent="0.2">
      <c r="B2206" s="3"/>
      <c r="F2206" s="3"/>
      <c r="G2206" s="3"/>
      <c r="I2206" s="3"/>
      <c r="J2206" s="3"/>
      <c r="K2206" s="3"/>
      <c r="L2206" s="3"/>
      <c r="M2206" s="3"/>
      <c r="N2206" s="3"/>
      <c r="O2206" s="3"/>
      <c r="P2206" s="3"/>
      <c r="Q2206" s="3"/>
    </row>
    <row r="2207" spans="2:17" x14ac:dyDescent="0.2">
      <c r="B2207" s="3"/>
      <c r="F2207" s="3"/>
      <c r="G2207" s="3"/>
      <c r="I2207" s="3"/>
      <c r="J2207" s="3"/>
      <c r="K2207" s="3"/>
      <c r="L2207" s="3"/>
      <c r="M2207" s="3"/>
      <c r="N2207" s="3"/>
      <c r="O2207" s="3"/>
      <c r="P2207" s="3"/>
      <c r="Q2207" s="3"/>
    </row>
    <row r="2208" spans="2:17" x14ac:dyDescent="0.2">
      <c r="B2208" s="3"/>
      <c r="F2208" s="3"/>
      <c r="G2208" s="3"/>
      <c r="I2208" s="3"/>
      <c r="J2208" s="3"/>
      <c r="K2208" s="3"/>
      <c r="L2208" s="3"/>
      <c r="M2208" s="3"/>
      <c r="N2208" s="3"/>
      <c r="O2208" s="3"/>
      <c r="P2208" s="3"/>
      <c r="Q2208" s="3"/>
    </row>
    <row r="2209" spans="2:17" x14ac:dyDescent="0.2">
      <c r="B2209" s="3"/>
      <c r="F2209" s="3"/>
      <c r="G2209" s="3"/>
      <c r="I2209" s="3"/>
      <c r="J2209" s="3"/>
      <c r="K2209" s="3"/>
      <c r="L2209" s="3"/>
      <c r="M2209" s="3"/>
      <c r="N2209" s="3"/>
      <c r="O2209" s="3"/>
      <c r="P2209" s="3"/>
      <c r="Q2209" s="3"/>
    </row>
    <row r="2210" spans="2:17" x14ac:dyDescent="0.2">
      <c r="B2210" s="3"/>
      <c r="F2210" s="3"/>
      <c r="G2210" s="3"/>
      <c r="I2210" s="3"/>
      <c r="J2210" s="3"/>
      <c r="K2210" s="3"/>
      <c r="L2210" s="3"/>
      <c r="M2210" s="3"/>
      <c r="N2210" s="3"/>
      <c r="O2210" s="3"/>
      <c r="P2210" s="3"/>
      <c r="Q2210" s="3"/>
    </row>
    <row r="2211" spans="2:17" x14ac:dyDescent="0.2">
      <c r="B2211" s="3"/>
      <c r="F2211" s="3"/>
      <c r="G2211" s="3"/>
      <c r="I2211" s="3"/>
      <c r="J2211" s="3"/>
      <c r="K2211" s="3"/>
      <c r="L2211" s="3"/>
      <c r="M2211" s="3"/>
      <c r="N2211" s="3"/>
      <c r="O2211" s="3"/>
      <c r="P2211" s="3"/>
      <c r="Q2211" s="3"/>
    </row>
    <row r="2212" spans="2:17" x14ac:dyDescent="0.2">
      <c r="B2212" s="3"/>
      <c r="F2212" s="3"/>
      <c r="G2212" s="3"/>
      <c r="I2212" s="3"/>
      <c r="J2212" s="3"/>
      <c r="K2212" s="3"/>
      <c r="L2212" s="3"/>
      <c r="M2212" s="3"/>
      <c r="N2212" s="3"/>
      <c r="O2212" s="3"/>
      <c r="P2212" s="3"/>
      <c r="Q2212" s="3"/>
    </row>
    <row r="2213" spans="2:17" x14ac:dyDescent="0.2">
      <c r="B2213" s="3"/>
      <c r="F2213" s="3"/>
      <c r="G2213" s="3"/>
      <c r="I2213" s="3"/>
      <c r="J2213" s="3"/>
      <c r="K2213" s="3"/>
      <c r="L2213" s="3"/>
      <c r="M2213" s="3"/>
      <c r="N2213" s="3"/>
      <c r="O2213" s="3"/>
      <c r="P2213" s="3"/>
      <c r="Q2213" s="3"/>
    </row>
    <row r="2214" spans="2:17" x14ac:dyDescent="0.2">
      <c r="B2214" s="3"/>
      <c r="F2214" s="3"/>
      <c r="G2214" s="3"/>
      <c r="I2214" s="3"/>
      <c r="J2214" s="3"/>
      <c r="K2214" s="3"/>
      <c r="L2214" s="3"/>
      <c r="M2214" s="3"/>
      <c r="N2214" s="3"/>
      <c r="O2214" s="3"/>
      <c r="P2214" s="3"/>
      <c r="Q2214" s="3"/>
    </row>
    <row r="2215" spans="2:17" x14ac:dyDescent="0.2">
      <c r="B2215" s="3"/>
      <c r="F2215" s="3"/>
      <c r="G2215" s="3"/>
      <c r="I2215" s="3"/>
      <c r="J2215" s="3"/>
      <c r="K2215" s="3"/>
      <c r="L2215" s="3"/>
      <c r="M2215" s="3"/>
      <c r="N2215" s="3"/>
      <c r="O2215" s="3"/>
      <c r="P2215" s="3"/>
      <c r="Q2215" s="3"/>
    </row>
    <row r="2216" spans="2:17" x14ac:dyDescent="0.2">
      <c r="B2216" s="3"/>
      <c r="F2216" s="3"/>
      <c r="G2216" s="3"/>
      <c r="I2216" s="3"/>
      <c r="J2216" s="3"/>
      <c r="K2216" s="3"/>
      <c r="L2216" s="3"/>
      <c r="M2216" s="3"/>
      <c r="N2216" s="3"/>
      <c r="O2216" s="3"/>
      <c r="P2216" s="3"/>
      <c r="Q2216" s="3"/>
    </row>
    <row r="2217" spans="2:17" x14ac:dyDescent="0.2">
      <c r="B2217" s="3"/>
      <c r="F2217" s="3"/>
      <c r="G2217" s="3"/>
      <c r="I2217" s="3"/>
      <c r="J2217" s="3"/>
      <c r="K2217" s="3"/>
      <c r="L2217" s="3"/>
      <c r="M2217" s="3"/>
      <c r="N2217" s="3"/>
      <c r="O2217" s="3"/>
      <c r="P2217" s="3"/>
      <c r="Q2217" s="3"/>
    </row>
    <row r="2218" spans="2:17" x14ac:dyDescent="0.2">
      <c r="B2218" s="3"/>
      <c r="F2218" s="3"/>
      <c r="G2218" s="3"/>
      <c r="I2218" s="3"/>
      <c r="J2218" s="3"/>
      <c r="K2218" s="3"/>
      <c r="L2218" s="3"/>
      <c r="M2218" s="3"/>
      <c r="N2218" s="3"/>
      <c r="O2218" s="3"/>
      <c r="P2218" s="3"/>
      <c r="Q2218" s="3"/>
    </row>
    <row r="2219" spans="2:17" x14ac:dyDescent="0.2">
      <c r="B2219" s="3"/>
      <c r="F2219" s="3"/>
      <c r="G2219" s="3"/>
      <c r="I2219" s="3"/>
      <c r="J2219" s="3"/>
      <c r="K2219" s="3"/>
      <c r="L2219" s="3"/>
      <c r="M2219" s="3"/>
      <c r="N2219" s="3"/>
      <c r="O2219" s="3"/>
      <c r="P2219" s="3"/>
      <c r="Q2219" s="3"/>
    </row>
    <row r="2220" spans="2:17" x14ac:dyDescent="0.2">
      <c r="B2220" s="3"/>
      <c r="F2220" s="3"/>
      <c r="G2220" s="3"/>
      <c r="I2220" s="3"/>
      <c r="J2220" s="3"/>
      <c r="K2220" s="3"/>
      <c r="L2220" s="3"/>
      <c r="M2220" s="3"/>
      <c r="N2220" s="3"/>
      <c r="O2220" s="3"/>
      <c r="P2220" s="3"/>
      <c r="Q2220" s="3"/>
    </row>
    <row r="2221" spans="2:17" x14ac:dyDescent="0.2">
      <c r="B2221" s="3"/>
      <c r="F2221" s="3"/>
      <c r="G2221" s="3"/>
      <c r="I2221" s="3"/>
      <c r="J2221" s="3"/>
      <c r="K2221" s="3"/>
      <c r="L2221" s="3"/>
      <c r="M2221" s="3"/>
      <c r="N2221" s="3"/>
      <c r="O2221" s="3"/>
      <c r="P2221" s="3"/>
      <c r="Q2221" s="3"/>
    </row>
    <row r="2222" spans="2:17" x14ac:dyDescent="0.2">
      <c r="B2222" s="3"/>
      <c r="F2222" s="3"/>
      <c r="G2222" s="3"/>
      <c r="I2222" s="3"/>
      <c r="J2222" s="3"/>
      <c r="K2222" s="3"/>
      <c r="L2222" s="3"/>
      <c r="M2222" s="3"/>
      <c r="N2222" s="3"/>
      <c r="O2222" s="3"/>
      <c r="P2222" s="3"/>
      <c r="Q2222" s="3"/>
    </row>
    <row r="2223" spans="2:17" x14ac:dyDescent="0.2">
      <c r="B2223" s="3"/>
      <c r="F2223" s="3"/>
      <c r="G2223" s="3"/>
      <c r="I2223" s="3"/>
      <c r="J2223" s="3"/>
      <c r="K2223" s="3"/>
      <c r="L2223" s="3"/>
      <c r="M2223" s="3"/>
      <c r="N2223" s="3"/>
      <c r="O2223" s="3"/>
      <c r="P2223" s="3"/>
      <c r="Q2223" s="3"/>
    </row>
    <row r="2224" spans="2:17" x14ac:dyDescent="0.2">
      <c r="B2224" s="3"/>
      <c r="F2224" s="3"/>
      <c r="G2224" s="3"/>
      <c r="I2224" s="3"/>
      <c r="J2224" s="3"/>
      <c r="K2224" s="3"/>
      <c r="L2224" s="3"/>
      <c r="M2224" s="3"/>
      <c r="N2224" s="3"/>
      <c r="O2224" s="3"/>
      <c r="P2224" s="3"/>
      <c r="Q2224" s="3"/>
    </row>
    <row r="2225" spans="2:17" x14ac:dyDescent="0.2">
      <c r="B2225" s="3"/>
      <c r="F2225" s="3"/>
      <c r="G2225" s="3"/>
      <c r="I2225" s="3"/>
      <c r="J2225" s="3"/>
      <c r="K2225" s="3"/>
      <c r="L2225" s="3"/>
      <c r="M2225" s="3"/>
      <c r="N2225" s="3"/>
      <c r="O2225" s="3"/>
      <c r="P2225" s="3"/>
      <c r="Q2225" s="3"/>
    </row>
    <row r="2226" spans="2:17" x14ac:dyDescent="0.2">
      <c r="B2226" s="3"/>
      <c r="F2226" s="3"/>
      <c r="G2226" s="3"/>
      <c r="I2226" s="3"/>
      <c r="J2226" s="3"/>
      <c r="K2226" s="3"/>
      <c r="L2226" s="3"/>
      <c r="M2226" s="3"/>
      <c r="N2226" s="3"/>
      <c r="O2226" s="3"/>
      <c r="P2226" s="3"/>
      <c r="Q2226" s="3"/>
    </row>
    <row r="2227" spans="2:17" x14ac:dyDescent="0.2">
      <c r="B2227" s="3"/>
      <c r="F2227" s="3"/>
      <c r="G2227" s="3"/>
      <c r="I2227" s="3"/>
      <c r="J2227" s="3"/>
      <c r="K2227" s="3"/>
      <c r="L2227" s="3"/>
      <c r="M2227" s="3"/>
      <c r="N2227" s="3"/>
      <c r="O2227" s="3"/>
      <c r="P2227" s="3"/>
      <c r="Q2227" s="3"/>
    </row>
    <row r="2228" spans="2:17" x14ac:dyDescent="0.2">
      <c r="B2228" s="3"/>
      <c r="F2228" s="3"/>
      <c r="G2228" s="3"/>
      <c r="I2228" s="3"/>
      <c r="J2228" s="3"/>
      <c r="K2228" s="3"/>
      <c r="L2228" s="3"/>
      <c r="M2228" s="3"/>
      <c r="N2228" s="3"/>
      <c r="O2228" s="3"/>
      <c r="P2228" s="3"/>
      <c r="Q2228" s="3"/>
    </row>
    <row r="2229" spans="2:17" x14ac:dyDescent="0.2">
      <c r="B2229" s="3"/>
      <c r="F2229" s="3"/>
      <c r="G2229" s="3"/>
      <c r="I2229" s="3"/>
      <c r="J2229" s="3"/>
      <c r="K2229" s="3"/>
      <c r="L2229" s="3"/>
      <c r="M2229" s="3"/>
      <c r="N2229" s="3"/>
      <c r="O2229" s="3"/>
      <c r="P2229" s="3"/>
      <c r="Q2229" s="3"/>
    </row>
    <row r="2230" spans="2:17" x14ac:dyDescent="0.2">
      <c r="B2230" s="3"/>
      <c r="F2230" s="3"/>
      <c r="G2230" s="3"/>
      <c r="I2230" s="3"/>
      <c r="J2230" s="3"/>
      <c r="K2230" s="3"/>
      <c r="L2230" s="3"/>
      <c r="M2230" s="3"/>
      <c r="N2230" s="3"/>
      <c r="O2230" s="3"/>
      <c r="P2230" s="3"/>
      <c r="Q2230" s="3"/>
    </row>
    <row r="2231" spans="2:17" x14ac:dyDescent="0.2">
      <c r="B2231" s="3"/>
      <c r="F2231" s="3"/>
      <c r="G2231" s="3"/>
      <c r="I2231" s="3"/>
      <c r="J2231" s="3"/>
      <c r="K2231" s="3"/>
      <c r="L2231" s="3"/>
      <c r="M2231" s="3"/>
      <c r="N2231" s="3"/>
      <c r="O2231" s="3"/>
      <c r="P2231" s="3"/>
      <c r="Q2231" s="3"/>
    </row>
    <row r="2232" spans="2:17" x14ac:dyDescent="0.2">
      <c r="B2232" s="3"/>
      <c r="F2232" s="3"/>
      <c r="G2232" s="3"/>
      <c r="I2232" s="3"/>
      <c r="J2232" s="3"/>
      <c r="K2232" s="3"/>
      <c r="L2232" s="3"/>
      <c r="M2232" s="3"/>
      <c r="N2232" s="3"/>
      <c r="O2232" s="3"/>
      <c r="P2232" s="3"/>
      <c r="Q2232" s="3"/>
    </row>
    <row r="2233" spans="2:17" x14ac:dyDescent="0.2">
      <c r="B2233" s="3"/>
      <c r="F2233" s="3"/>
      <c r="G2233" s="3"/>
      <c r="I2233" s="3"/>
      <c r="J2233" s="3"/>
      <c r="K2233" s="3"/>
      <c r="L2233" s="3"/>
      <c r="M2233" s="3"/>
      <c r="N2233" s="3"/>
      <c r="O2233" s="3"/>
      <c r="P2233" s="3"/>
      <c r="Q2233" s="3"/>
    </row>
    <row r="2234" spans="2:17" x14ac:dyDescent="0.2">
      <c r="B2234" s="3"/>
      <c r="F2234" s="3"/>
      <c r="G2234" s="3"/>
      <c r="I2234" s="3"/>
      <c r="J2234" s="3"/>
      <c r="K2234" s="3"/>
      <c r="L2234" s="3"/>
      <c r="M2234" s="3"/>
      <c r="N2234" s="3"/>
      <c r="O2234" s="3"/>
      <c r="P2234" s="3"/>
      <c r="Q2234" s="3"/>
    </row>
    <row r="2235" spans="2:17" x14ac:dyDescent="0.2">
      <c r="B2235" s="3"/>
      <c r="F2235" s="3"/>
      <c r="G2235" s="3"/>
      <c r="I2235" s="3"/>
      <c r="J2235" s="3"/>
      <c r="K2235" s="3"/>
      <c r="L2235" s="3"/>
      <c r="M2235" s="3"/>
      <c r="N2235" s="3"/>
      <c r="O2235" s="3"/>
      <c r="P2235" s="3"/>
      <c r="Q2235" s="3"/>
    </row>
    <row r="2236" spans="2:17" x14ac:dyDescent="0.2">
      <c r="B2236" s="3"/>
      <c r="F2236" s="3"/>
      <c r="G2236" s="3"/>
      <c r="I2236" s="3"/>
      <c r="J2236" s="3"/>
      <c r="K2236" s="3"/>
      <c r="L2236" s="3"/>
      <c r="M2236" s="3"/>
      <c r="N2236" s="3"/>
      <c r="O2236" s="3"/>
      <c r="P2236" s="3"/>
      <c r="Q2236" s="3"/>
    </row>
    <row r="2237" spans="2:17" x14ac:dyDescent="0.2">
      <c r="B2237" s="3"/>
      <c r="F2237" s="3"/>
      <c r="G2237" s="3"/>
      <c r="I2237" s="3"/>
      <c r="J2237" s="3"/>
      <c r="K2237" s="3"/>
      <c r="L2237" s="3"/>
      <c r="M2237" s="3"/>
      <c r="N2237" s="3"/>
      <c r="O2237" s="3"/>
      <c r="P2237" s="3"/>
      <c r="Q2237" s="3"/>
    </row>
    <row r="2238" spans="2:17" x14ac:dyDescent="0.2">
      <c r="B2238" s="3"/>
      <c r="F2238" s="3"/>
      <c r="G2238" s="3"/>
      <c r="I2238" s="3"/>
      <c r="J2238" s="3"/>
      <c r="K2238" s="3"/>
      <c r="L2238" s="3"/>
      <c r="M2238" s="3"/>
      <c r="N2238" s="3"/>
      <c r="O2238" s="3"/>
      <c r="P2238" s="3"/>
      <c r="Q2238" s="3"/>
    </row>
    <row r="2239" spans="2:17" x14ac:dyDescent="0.2">
      <c r="B2239" s="3"/>
      <c r="F2239" s="3"/>
      <c r="G2239" s="3"/>
      <c r="I2239" s="3"/>
      <c r="J2239" s="3"/>
      <c r="K2239" s="3"/>
      <c r="L2239" s="3"/>
      <c r="M2239" s="3"/>
      <c r="N2239" s="3"/>
      <c r="O2239" s="3"/>
      <c r="P2239" s="3"/>
      <c r="Q2239" s="3"/>
    </row>
    <row r="2240" spans="2:17" x14ac:dyDescent="0.2">
      <c r="B2240" s="3"/>
      <c r="F2240" s="3"/>
      <c r="G2240" s="3"/>
      <c r="I2240" s="3"/>
      <c r="J2240" s="3"/>
      <c r="K2240" s="3"/>
      <c r="L2240" s="3"/>
      <c r="M2240" s="3"/>
      <c r="N2240" s="3"/>
      <c r="O2240" s="3"/>
      <c r="P2240" s="3"/>
      <c r="Q2240" s="3"/>
    </row>
    <row r="2241" spans="2:17" x14ac:dyDescent="0.2">
      <c r="B2241" s="3"/>
      <c r="F2241" s="3"/>
      <c r="G2241" s="3"/>
      <c r="I2241" s="3"/>
      <c r="J2241" s="3"/>
      <c r="K2241" s="3"/>
      <c r="L2241" s="3"/>
      <c r="M2241" s="3"/>
      <c r="N2241" s="3"/>
      <c r="O2241" s="3"/>
      <c r="P2241" s="3"/>
      <c r="Q2241" s="3"/>
    </row>
    <row r="2242" spans="2:17" x14ac:dyDescent="0.2">
      <c r="B2242" s="3"/>
      <c r="F2242" s="3"/>
      <c r="G2242" s="3"/>
      <c r="I2242" s="3"/>
      <c r="J2242" s="3"/>
      <c r="K2242" s="3"/>
      <c r="L2242" s="3"/>
      <c r="M2242" s="3"/>
      <c r="N2242" s="3"/>
      <c r="O2242" s="3"/>
      <c r="P2242" s="3"/>
      <c r="Q2242" s="3"/>
    </row>
    <row r="2243" spans="2:17" x14ac:dyDescent="0.2">
      <c r="B2243" s="3"/>
      <c r="F2243" s="3"/>
      <c r="G2243" s="3"/>
      <c r="I2243" s="3"/>
      <c r="J2243" s="3"/>
      <c r="K2243" s="3"/>
      <c r="L2243" s="3"/>
      <c r="M2243" s="3"/>
      <c r="N2243" s="3"/>
      <c r="O2243" s="3"/>
      <c r="P2243" s="3"/>
      <c r="Q2243" s="3"/>
    </row>
    <row r="2244" spans="2:17" x14ac:dyDescent="0.2">
      <c r="B2244" s="3"/>
      <c r="F2244" s="3"/>
      <c r="G2244" s="3"/>
      <c r="I2244" s="3"/>
      <c r="J2244" s="3"/>
      <c r="K2244" s="3"/>
      <c r="L2244" s="3"/>
      <c r="M2244" s="3"/>
      <c r="N2244" s="3"/>
      <c r="O2244" s="3"/>
      <c r="P2244" s="3"/>
      <c r="Q2244" s="3"/>
    </row>
    <row r="2245" spans="2:17" x14ac:dyDescent="0.2">
      <c r="B2245" s="3"/>
      <c r="F2245" s="3"/>
      <c r="G2245" s="3"/>
      <c r="I2245" s="3"/>
      <c r="J2245" s="3"/>
      <c r="K2245" s="3"/>
      <c r="L2245" s="3"/>
      <c r="M2245" s="3"/>
      <c r="N2245" s="3"/>
      <c r="O2245" s="3"/>
      <c r="P2245" s="3"/>
      <c r="Q2245" s="3"/>
    </row>
    <row r="2246" spans="2:17" x14ac:dyDescent="0.2">
      <c r="B2246" s="3"/>
      <c r="F2246" s="3"/>
      <c r="G2246" s="3"/>
      <c r="I2246" s="3"/>
      <c r="J2246" s="3"/>
      <c r="K2246" s="3"/>
      <c r="L2246" s="3"/>
      <c r="M2246" s="3"/>
      <c r="N2246" s="3"/>
      <c r="O2246" s="3"/>
      <c r="P2246" s="3"/>
      <c r="Q2246" s="3"/>
    </row>
    <row r="2247" spans="2:17" x14ac:dyDescent="0.2">
      <c r="B2247" s="3"/>
      <c r="F2247" s="3"/>
      <c r="G2247" s="3"/>
      <c r="I2247" s="3"/>
      <c r="J2247" s="3"/>
      <c r="K2247" s="3"/>
      <c r="L2247" s="3"/>
      <c r="M2247" s="3"/>
      <c r="N2247" s="3"/>
      <c r="O2247" s="3"/>
      <c r="P2247" s="3"/>
      <c r="Q2247" s="3"/>
    </row>
    <row r="2248" spans="2:17" x14ac:dyDescent="0.2">
      <c r="B2248" s="3"/>
      <c r="F2248" s="3"/>
      <c r="G2248" s="3"/>
      <c r="I2248" s="3"/>
      <c r="J2248" s="3"/>
      <c r="K2248" s="3"/>
      <c r="L2248" s="3"/>
      <c r="M2248" s="3"/>
      <c r="N2248" s="3"/>
      <c r="O2248" s="3"/>
      <c r="P2248" s="3"/>
      <c r="Q2248" s="3"/>
    </row>
    <row r="2249" spans="2:17" x14ac:dyDescent="0.2">
      <c r="B2249" s="3"/>
      <c r="F2249" s="3"/>
      <c r="G2249" s="3"/>
      <c r="I2249" s="3"/>
      <c r="J2249" s="3"/>
      <c r="K2249" s="3"/>
      <c r="L2249" s="3"/>
      <c r="M2249" s="3"/>
      <c r="N2249" s="3"/>
      <c r="O2249" s="3"/>
      <c r="P2249" s="3"/>
      <c r="Q2249" s="3"/>
    </row>
    <row r="2250" spans="2:17" x14ac:dyDescent="0.2">
      <c r="B2250" s="3"/>
      <c r="F2250" s="3"/>
      <c r="G2250" s="3"/>
      <c r="I2250" s="3"/>
      <c r="J2250" s="3"/>
      <c r="K2250" s="3"/>
      <c r="L2250" s="3"/>
      <c r="M2250" s="3"/>
      <c r="N2250" s="3"/>
      <c r="O2250" s="3"/>
      <c r="P2250" s="3"/>
      <c r="Q2250" s="3"/>
    </row>
    <row r="2251" spans="2:17" x14ac:dyDescent="0.2">
      <c r="B2251" s="3"/>
      <c r="F2251" s="3"/>
      <c r="G2251" s="3"/>
      <c r="I2251" s="3"/>
      <c r="J2251" s="3"/>
      <c r="K2251" s="3"/>
      <c r="L2251" s="3"/>
      <c r="M2251" s="3"/>
      <c r="N2251" s="3"/>
      <c r="O2251" s="3"/>
      <c r="P2251" s="3"/>
      <c r="Q2251" s="3"/>
    </row>
    <row r="2252" spans="2:17" x14ac:dyDescent="0.2">
      <c r="B2252" s="3"/>
      <c r="F2252" s="3"/>
      <c r="G2252" s="3"/>
      <c r="I2252" s="3"/>
      <c r="J2252" s="3"/>
      <c r="K2252" s="3"/>
      <c r="L2252" s="3"/>
      <c r="M2252" s="3"/>
      <c r="N2252" s="3"/>
      <c r="O2252" s="3"/>
      <c r="P2252" s="3"/>
      <c r="Q2252" s="3"/>
    </row>
    <row r="2253" spans="2:17" x14ac:dyDescent="0.2">
      <c r="B2253" s="3"/>
      <c r="F2253" s="3"/>
      <c r="G2253" s="3"/>
      <c r="I2253" s="3"/>
      <c r="J2253" s="3"/>
      <c r="K2253" s="3"/>
      <c r="L2253" s="3"/>
      <c r="M2253" s="3"/>
      <c r="N2253" s="3"/>
      <c r="O2253" s="3"/>
      <c r="P2253" s="3"/>
      <c r="Q2253" s="3"/>
    </row>
    <row r="2254" spans="2:17" x14ac:dyDescent="0.2">
      <c r="B2254" s="3"/>
      <c r="F2254" s="3"/>
      <c r="G2254" s="3"/>
      <c r="I2254" s="3"/>
      <c r="J2254" s="3"/>
      <c r="K2254" s="3"/>
      <c r="L2254" s="3"/>
      <c r="M2254" s="3"/>
      <c r="N2254" s="3"/>
      <c r="O2254" s="3"/>
      <c r="P2254" s="3"/>
      <c r="Q2254" s="3"/>
    </row>
    <row r="2255" spans="2:17" x14ac:dyDescent="0.2">
      <c r="B2255" s="3"/>
      <c r="F2255" s="3"/>
      <c r="G2255" s="3"/>
      <c r="I2255" s="3"/>
      <c r="J2255" s="3"/>
      <c r="K2255" s="3"/>
      <c r="L2255" s="3"/>
      <c r="M2255" s="3"/>
      <c r="N2255" s="3"/>
      <c r="O2255" s="3"/>
      <c r="P2255" s="3"/>
      <c r="Q2255" s="3"/>
    </row>
    <row r="2256" spans="2:17" x14ac:dyDescent="0.2">
      <c r="B2256" s="3"/>
      <c r="F2256" s="3"/>
      <c r="G2256" s="3"/>
      <c r="I2256" s="3"/>
      <c r="J2256" s="3"/>
      <c r="K2256" s="3"/>
      <c r="L2256" s="3"/>
      <c r="M2256" s="3"/>
      <c r="N2256" s="3"/>
      <c r="O2256" s="3"/>
      <c r="P2256" s="3"/>
      <c r="Q2256" s="3"/>
    </row>
    <row r="2257" spans="2:17" x14ac:dyDescent="0.2">
      <c r="B2257" s="3"/>
      <c r="F2257" s="3"/>
      <c r="G2257" s="3"/>
      <c r="I2257" s="3"/>
      <c r="J2257" s="3"/>
      <c r="K2257" s="3"/>
      <c r="L2257" s="3"/>
      <c r="M2257" s="3"/>
      <c r="N2257" s="3"/>
      <c r="O2257" s="3"/>
      <c r="P2257" s="3"/>
      <c r="Q2257" s="3"/>
    </row>
    <row r="2258" spans="2:17" x14ac:dyDescent="0.2">
      <c r="B2258" s="3"/>
      <c r="F2258" s="3"/>
      <c r="G2258" s="3"/>
      <c r="I2258" s="3"/>
      <c r="J2258" s="3"/>
      <c r="K2258" s="3"/>
      <c r="L2258" s="3"/>
      <c r="M2258" s="3"/>
      <c r="N2258" s="3"/>
      <c r="O2258" s="3"/>
      <c r="P2258" s="3"/>
      <c r="Q2258" s="3"/>
    </row>
    <row r="2259" spans="2:17" x14ac:dyDescent="0.2">
      <c r="B2259" s="3"/>
      <c r="F2259" s="3"/>
      <c r="G2259" s="3"/>
      <c r="I2259" s="3"/>
      <c r="J2259" s="3"/>
      <c r="K2259" s="3"/>
      <c r="L2259" s="3"/>
      <c r="M2259" s="3"/>
      <c r="N2259" s="3"/>
      <c r="O2259" s="3"/>
      <c r="P2259" s="3"/>
      <c r="Q2259" s="3"/>
    </row>
    <row r="2260" spans="2:17" x14ac:dyDescent="0.2">
      <c r="B2260" s="3"/>
      <c r="F2260" s="3"/>
      <c r="G2260" s="3"/>
      <c r="I2260" s="3"/>
      <c r="J2260" s="3"/>
      <c r="K2260" s="3"/>
      <c r="L2260" s="3"/>
      <c r="M2260" s="3"/>
      <c r="N2260" s="3"/>
      <c r="O2260" s="3"/>
      <c r="P2260" s="3"/>
      <c r="Q2260" s="3"/>
    </row>
    <row r="2261" spans="2:17" x14ac:dyDescent="0.2">
      <c r="B2261" s="3"/>
      <c r="F2261" s="3"/>
      <c r="G2261" s="3"/>
      <c r="I2261" s="3"/>
      <c r="J2261" s="3"/>
      <c r="K2261" s="3"/>
      <c r="L2261" s="3"/>
      <c r="M2261" s="3"/>
      <c r="N2261" s="3"/>
      <c r="O2261" s="3"/>
      <c r="P2261" s="3"/>
      <c r="Q2261" s="3"/>
    </row>
    <row r="2262" spans="2:17" x14ac:dyDescent="0.2">
      <c r="B2262" s="3"/>
      <c r="F2262" s="3"/>
      <c r="G2262" s="3"/>
      <c r="I2262" s="3"/>
      <c r="J2262" s="3"/>
      <c r="K2262" s="3"/>
      <c r="L2262" s="3"/>
      <c r="M2262" s="3"/>
      <c r="N2262" s="3"/>
      <c r="O2262" s="3"/>
      <c r="P2262" s="3"/>
      <c r="Q2262" s="3"/>
    </row>
    <row r="2263" spans="2:17" x14ac:dyDescent="0.2">
      <c r="B2263" s="3"/>
      <c r="F2263" s="3"/>
      <c r="G2263" s="3"/>
      <c r="I2263" s="3"/>
      <c r="J2263" s="3"/>
      <c r="K2263" s="3"/>
      <c r="L2263" s="3"/>
      <c r="M2263" s="3"/>
      <c r="N2263" s="3"/>
      <c r="O2263" s="3"/>
      <c r="P2263" s="3"/>
      <c r="Q2263" s="3"/>
    </row>
    <row r="2264" spans="2:17" x14ac:dyDescent="0.2">
      <c r="B2264" s="3"/>
      <c r="F2264" s="3"/>
      <c r="G2264" s="3"/>
      <c r="I2264" s="3"/>
      <c r="J2264" s="3"/>
      <c r="K2264" s="3"/>
      <c r="L2264" s="3"/>
      <c r="M2264" s="3"/>
      <c r="N2264" s="3"/>
      <c r="O2264" s="3"/>
      <c r="P2264" s="3"/>
      <c r="Q2264" s="3"/>
    </row>
    <row r="2265" spans="2:17" x14ac:dyDescent="0.2">
      <c r="B2265" s="3"/>
      <c r="F2265" s="3"/>
      <c r="G2265" s="3"/>
      <c r="I2265" s="3"/>
      <c r="J2265" s="3"/>
      <c r="K2265" s="3"/>
      <c r="L2265" s="3"/>
      <c r="M2265" s="3"/>
      <c r="N2265" s="3"/>
      <c r="O2265" s="3"/>
      <c r="P2265" s="3"/>
      <c r="Q2265" s="3"/>
    </row>
    <row r="2266" spans="2:17" x14ac:dyDescent="0.2">
      <c r="B2266" s="3"/>
      <c r="F2266" s="3"/>
      <c r="G2266" s="3"/>
      <c r="I2266" s="3"/>
      <c r="J2266" s="3"/>
      <c r="K2266" s="3"/>
      <c r="L2266" s="3"/>
      <c r="M2266" s="3"/>
      <c r="N2266" s="3"/>
      <c r="O2266" s="3"/>
      <c r="P2266" s="3"/>
      <c r="Q2266" s="3"/>
    </row>
    <row r="2267" spans="2:17" x14ac:dyDescent="0.2">
      <c r="B2267" s="3"/>
      <c r="F2267" s="3"/>
      <c r="G2267" s="3"/>
      <c r="I2267" s="3"/>
      <c r="J2267" s="3"/>
      <c r="K2267" s="3"/>
      <c r="L2267" s="3"/>
      <c r="M2267" s="3"/>
      <c r="N2267" s="3"/>
      <c r="O2267" s="3"/>
      <c r="P2267" s="3"/>
      <c r="Q2267" s="3"/>
    </row>
    <row r="2268" spans="2:17" x14ac:dyDescent="0.2">
      <c r="B2268" s="3"/>
      <c r="F2268" s="3"/>
      <c r="G2268" s="3"/>
      <c r="I2268" s="3"/>
      <c r="J2268" s="3"/>
      <c r="K2268" s="3"/>
      <c r="L2268" s="3"/>
      <c r="M2268" s="3"/>
      <c r="N2268" s="3"/>
      <c r="O2268" s="3"/>
      <c r="P2268" s="3"/>
      <c r="Q2268" s="3"/>
    </row>
    <row r="2269" spans="2:17" x14ac:dyDescent="0.2">
      <c r="B2269" s="3"/>
      <c r="F2269" s="3"/>
      <c r="G2269" s="3"/>
      <c r="I2269" s="3"/>
      <c r="J2269" s="3"/>
      <c r="K2269" s="3"/>
      <c r="L2269" s="3"/>
      <c r="M2269" s="3"/>
      <c r="N2269" s="3"/>
      <c r="O2269" s="3"/>
      <c r="P2269" s="3"/>
      <c r="Q2269" s="3"/>
    </row>
    <row r="2270" spans="2:17" x14ac:dyDescent="0.2">
      <c r="B2270" s="3"/>
      <c r="F2270" s="3"/>
      <c r="G2270" s="3"/>
      <c r="I2270" s="3"/>
      <c r="J2270" s="3"/>
      <c r="K2270" s="3"/>
      <c r="L2270" s="3"/>
      <c r="M2270" s="3"/>
      <c r="N2270" s="3"/>
      <c r="O2270" s="3"/>
      <c r="P2270" s="3"/>
      <c r="Q2270" s="3"/>
    </row>
    <row r="2271" spans="2:17" x14ac:dyDescent="0.2">
      <c r="B2271" s="3"/>
      <c r="F2271" s="3"/>
      <c r="G2271" s="3"/>
      <c r="I2271" s="3"/>
      <c r="J2271" s="3"/>
      <c r="K2271" s="3"/>
      <c r="L2271" s="3"/>
      <c r="M2271" s="3"/>
      <c r="N2271" s="3"/>
      <c r="O2271" s="3"/>
      <c r="P2271" s="3"/>
      <c r="Q2271" s="3"/>
    </row>
    <row r="2272" spans="2:17" x14ac:dyDescent="0.2">
      <c r="B2272" s="3"/>
      <c r="F2272" s="3"/>
      <c r="G2272" s="3"/>
      <c r="I2272" s="3"/>
      <c r="J2272" s="3"/>
      <c r="K2272" s="3"/>
      <c r="L2272" s="3"/>
      <c r="M2272" s="3"/>
      <c r="N2272" s="3"/>
      <c r="O2272" s="3"/>
      <c r="P2272" s="3"/>
      <c r="Q2272" s="3"/>
    </row>
    <row r="2273" spans="2:17" x14ac:dyDescent="0.2">
      <c r="B2273" s="3"/>
      <c r="F2273" s="3"/>
      <c r="G2273" s="3"/>
      <c r="I2273" s="3"/>
      <c r="J2273" s="3"/>
      <c r="K2273" s="3"/>
      <c r="L2273" s="3"/>
      <c r="M2273" s="3"/>
      <c r="N2273" s="3"/>
      <c r="O2273" s="3"/>
      <c r="P2273" s="3"/>
      <c r="Q2273" s="3"/>
    </row>
    <row r="2274" spans="2:17" x14ac:dyDescent="0.2">
      <c r="B2274" s="3"/>
      <c r="F2274" s="3"/>
      <c r="G2274" s="3"/>
      <c r="I2274" s="3"/>
      <c r="J2274" s="3"/>
      <c r="K2274" s="3"/>
      <c r="L2274" s="3"/>
      <c r="M2274" s="3"/>
      <c r="N2274" s="3"/>
      <c r="O2274" s="3"/>
      <c r="P2274" s="3"/>
      <c r="Q2274" s="3"/>
    </row>
    <row r="2275" spans="2:17" x14ac:dyDescent="0.2">
      <c r="B2275" s="3"/>
      <c r="F2275" s="3"/>
      <c r="G2275" s="3"/>
      <c r="I2275" s="3"/>
      <c r="J2275" s="3"/>
      <c r="K2275" s="3"/>
      <c r="L2275" s="3"/>
      <c r="M2275" s="3"/>
      <c r="N2275" s="3"/>
      <c r="O2275" s="3"/>
      <c r="P2275" s="3"/>
      <c r="Q2275" s="3"/>
    </row>
    <row r="2276" spans="2:17" x14ac:dyDescent="0.2">
      <c r="B2276" s="3"/>
      <c r="F2276" s="3"/>
      <c r="G2276" s="3"/>
      <c r="I2276" s="3"/>
      <c r="J2276" s="3"/>
      <c r="K2276" s="3"/>
      <c r="L2276" s="3"/>
      <c r="M2276" s="3"/>
      <c r="N2276" s="3"/>
      <c r="O2276" s="3"/>
      <c r="P2276" s="3"/>
      <c r="Q2276" s="3"/>
    </row>
    <row r="2277" spans="2:17" x14ac:dyDescent="0.2">
      <c r="B2277" s="3"/>
      <c r="F2277" s="3"/>
      <c r="G2277" s="3"/>
      <c r="I2277" s="3"/>
      <c r="J2277" s="3"/>
      <c r="K2277" s="3"/>
      <c r="L2277" s="3"/>
      <c r="M2277" s="3"/>
      <c r="N2277" s="3"/>
      <c r="O2277" s="3"/>
      <c r="P2277" s="3"/>
      <c r="Q2277" s="3"/>
    </row>
    <row r="2278" spans="2:17" x14ac:dyDescent="0.2">
      <c r="B2278" s="3"/>
      <c r="F2278" s="3"/>
      <c r="G2278" s="3"/>
      <c r="I2278" s="3"/>
      <c r="J2278" s="3"/>
      <c r="K2278" s="3"/>
      <c r="L2278" s="3"/>
      <c r="M2278" s="3"/>
      <c r="N2278" s="3"/>
      <c r="O2278" s="3"/>
      <c r="P2278" s="3"/>
      <c r="Q2278" s="3"/>
    </row>
    <row r="2279" spans="2:17" x14ac:dyDescent="0.2">
      <c r="B2279" s="3"/>
      <c r="F2279" s="3"/>
      <c r="G2279" s="3"/>
      <c r="I2279" s="3"/>
      <c r="J2279" s="3"/>
      <c r="K2279" s="3"/>
      <c r="L2279" s="3"/>
      <c r="M2279" s="3"/>
      <c r="N2279" s="3"/>
      <c r="O2279" s="3"/>
      <c r="P2279" s="3"/>
      <c r="Q2279" s="3"/>
    </row>
    <row r="2280" spans="2:17" x14ac:dyDescent="0.2">
      <c r="B2280" s="3"/>
      <c r="F2280" s="3"/>
      <c r="G2280" s="3"/>
      <c r="I2280" s="3"/>
      <c r="J2280" s="3"/>
      <c r="K2280" s="3"/>
      <c r="L2280" s="3"/>
      <c r="M2280" s="3"/>
      <c r="N2280" s="3"/>
      <c r="O2280" s="3"/>
      <c r="P2280" s="3"/>
      <c r="Q2280" s="3"/>
    </row>
    <row r="2281" spans="2:17" x14ac:dyDescent="0.2">
      <c r="B2281" s="3"/>
      <c r="F2281" s="3"/>
      <c r="G2281" s="3"/>
      <c r="I2281" s="3"/>
      <c r="J2281" s="3"/>
      <c r="K2281" s="3"/>
      <c r="L2281" s="3"/>
      <c r="M2281" s="3"/>
      <c r="N2281" s="3"/>
      <c r="O2281" s="3"/>
      <c r="P2281" s="3"/>
      <c r="Q2281" s="3"/>
    </row>
    <row r="2282" spans="2:17" x14ac:dyDescent="0.2">
      <c r="B2282" s="3"/>
      <c r="F2282" s="3"/>
      <c r="G2282" s="3"/>
      <c r="I2282" s="3"/>
      <c r="J2282" s="3"/>
      <c r="K2282" s="3"/>
      <c r="L2282" s="3"/>
      <c r="M2282" s="3"/>
      <c r="N2282" s="3"/>
      <c r="O2282" s="3"/>
      <c r="P2282" s="3"/>
      <c r="Q2282" s="3"/>
    </row>
    <row r="2283" spans="2:17" x14ac:dyDescent="0.2">
      <c r="B2283" s="3"/>
      <c r="F2283" s="3"/>
      <c r="G2283" s="3"/>
      <c r="I2283" s="3"/>
      <c r="J2283" s="3"/>
      <c r="K2283" s="3"/>
      <c r="L2283" s="3"/>
      <c r="M2283" s="3"/>
      <c r="N2283" s="3"/>
      <c r="O2283" s="3"/>
      <c r="P2283" s="3"/>
      <c r="Q2283" s="3"/>
    </row>
    <row r="2284" spans="2:17" x14ac:dyDescent="0.2">
      <c r="B2284" s="3"/>
      <c r="F2284" s="3"/>
      <c r="G2284" s="3"/>
      <c r="I2284" s="3"/>
      <c r="J2284" s="3"/>
      <c r="K2284" s="3"/>
      <c r="L2284" s="3"/>
      <c r="M2284" s="3"/>
      <c r="N2284" s="3"/>
      <c r="O2284" s="3"/>
      <c r="P2284" s="3"/>
      <c r="Q2284" s="3"/>
    </row>
    <row r="2285" spans="2:17" x14ac:dyDescent="0.2">
      <c r="B2285" s="3"/>
      <c r="F2285" s="3"/>
      <c r="G2285" s="3"/>
      <c r="I2285" s="3"/>
      <c r="J2285" s="3"/>
      <c r="K2285" s="3"/>
      <c r="L2285" s="3"/>
      <c r="M2285" s="3"/>
      <c r="N2285" s="3"/>
      <c r="O2285" s="3"/>
      <c r="P2285" s="3"/>
      <c r="Q2285" s="3"/>
    </row>
    <row r="2286" spans="2:17" x14ac:dyDescent="0.2">
      <c r="B2286" s="3"/>
      <c r="F2286" s="3"/>
      <c r="G2286" s="3"/>
      <c r="I2286" s="3"/>
      <c r="J2286" s="3"/>
      <c r="K2286" s="3"/>
      <c r="L2286" s="3"/>
      <c r="M2286" s="3"/>
      <c r="N2286" s="3"/>
      <c r="O2286" s="3"/>
      <c r="P2286" s="3"/>
      <c r="Q2286" s="3"/>
    </row>
    <row r="2287" spans="2:17" x14ac:dyDescent="0.2">
      <c r="B2287" s="3"/>
      <c r="F2287" s="3"/>
      <c r="G2287" s="3"/>
      <c r="I2287" s="3"/>
      <c r="J2287" s="3"/>
      <c r="K2287" s="3"/>
      <c r="L2287" s="3"/>
      <c r="M2287" s="3"/>
      <c r="N2287" s="3"/>
      <c r="O2287" s="3"/>
      <c r="P2287" s="3"/>
      <c r="Q2287" s="3"/>
    </row>
    <row r="2288" spans="2:17" x14ac:dyDescent="0.2">
      <c r="B2288" s="3"/>
      <c r="F2288" s="3"/>
      <c r="G2288" s="3"/>
      <c r="I2288" s="3"/>
      <c r="J2288" s="3"/>
      <c r="K2288" s="3"/>
      <c r="L2288" s="3"/>
      <c r="M2288" s="3"/>
      <c r="N2288" s="3"/>
      <c r="O2288" s="3"/>
      <c r="P2288" s="3"/>
      <c r="Q2288" s="3"/>
    </row>
    <row r="2289" spans="2:17" x14ac:dyDescent="0.2">
      <c r="B2289" s="3"/>
      <c r="F2289" s="3"/>
      <c r="G2289" s="3"/>
      <c r="I2289" s="3"/>
      <c r="J2289" s="3"/>
      <c r="K2289" s="3"/>
      <c r="L2289" s="3"/>
      <c r="M2289" s="3"/>
      <c r="N2289" s="3"/>
      <c r="O2289" s="3"/>
      <c r="P2289" s="3"/>
      <c r="Q2289" s="3"/>
    </row>
    <row r="2290" spans="2:17" x14ac:dyDescent="0.2">
      <c r="B2290" s="3"/>
      <c r="F2290" s="3"/>
      <c r="G2290" s="3"/>
      <c r="I2290" s="3"/>
      <c r="J2290" s="3"/>
      <c r="K2290" s="3"/>
      <c r="L2290" s="3"/>
      <c r="M2290" s="3"/>
      <c r="N2290" s="3"/>
      <c r="O2290" s="3"/>
      <c r="P2290" s="3"/>
      <c r="Q2290" s="3"/>
    </row>
    <row r="2291" spans="2:17" x14ac:dyDescent="0.2">
      <c r="B2291" s="3"/>
      <c r="F2291" s="3"/>
      <c r="G2291" s="3"/>
      <c r="I2291" s="3"/>
      <c r="J2291" s="3"/>
      <c r="K2291" s="3"/>
      <c r="L2291" s="3"/>
      <c r="M2291" s="3"/>
      <c r="N2291" s="3"/>
      <c r="O2291" s="3"/>
      <c r="P2291" s="3"/>
      <c r="Q2291" s="3"/>
    </row>
    <row r="2292" spans="2:17" x14ac:dyDescent="0.2">
      <c r="B2292" s="3"/>
      <c r="F2292" s="3"/>
      <c r="G2292" s="3"/>
      <c r="I2292" s="3"/>
      <c r="J2292" s="3"/>
      <c r="K2292" s="3"/>
      <c r="L2292" s="3"/>
      <c r="M2292" s="3"/>
      <c r="N2292" s="3"/>
      <c r="O2292" s="3"/>
      <c r="P2292" s="3"/>
      <c r="Q2292" s="3"/>
    </row>
    <row r="2293" spans="2:17" x14ac:dyDescent="0.2">
      <c r="B2293" s="3"/>
      <c r="F2293" s="3"/>
      <c r="G2293" s="3"/>
      <c r="I2293" s="3"/>
      <c r="J2293" s="3"/>
      <c r="K2293" s="3"/>
      <c r="L2293" s="3"/>
      <c r="M2293" s="3"/>
      <c r="N2293" s="3"/>
      <c r="O2293" s="3"/>
      <c r="P2293" s="3"/>
      <c r="Q2293" s="3"/>
    </row>
    <row r="2294" spans="2:17" x14ac:dyDescent="0.2">
      <c r="B2294" s="3"/>
      <c r="F2294" s="3"/>
      <c r="G2294" s="3"/>
      <c r="I2294" s="3"/>
      <c r="J2294" s="3"/>
      <c r="K2294" s="3"/>
      <c r="L2294" s="3"/>
      <c r="M2294" s="3"/>
      <c r="N2294" s="3"/>
      <c r="O2294" s="3"/>
      <c r="P2294" s="3"/>
      <c r="Q2294" s="3"/>
    </row>
    <row r="2295" spans="2:17" x14ac:dyDescent="0.2">
      <c r="B2295" s="3"/>
      <c r="F2295" s="3"/>
      <c r="G2295" s="3"/>
      <c r="I2295" s="3"/>
      <c r="J2295" s="3"/>
      <c r="K2295" s="3"/>
      <c r="L2295" s="3"/>
      <c r="M2295" s="3"/>
      <c r="N2295" s="3"/>
      <c r="O2295" s="3"/>
      <c r="P2295" s="3"/>
      <c r="Q2295" s="3"/>
    </row>
    <row r="2296" spans="2:17" x14ac:dyDescent="0.2">
      <c r="B2296" s="3"/>
      <c r="F2296" s="3"/>
      <c r="G2296" s="3"/>
      <c r="I2296" s="3"/>
      <c r="J2296" s="3"/>
      <c r="K2296" s="3"/>
      <c r="L2296" s="3"/>
      <c r="M2296" s="3"/>
      <c r="N2296" s="3"/>
      <c r="O2296" s="3"/>
      <c r="P2296" s="3"/>
      <c r="Q2296" s="3"/>
    </row>
    <row r="2297" spans="2:17" x14ac:dyDescent="0.2">
      <c r="B2297" s="3"/>
      <c r="F2297" s="3"/>
      <c r="G2297" s="3"/>
      <c r="I2297" s="3"/>
      <c r="J2297" s="3"/>
      <c r="K2297" s="3"/>
      <c r="L2297" s="3"/>
      <c r="M2297" s="3"/>
      <c r="N2297" s="3"/>
      <c r="O2297" s="3"/>
      <c r="P2297" s="3"/>
      <c r="Q2297" s="3"/>
    </row>
    <row r="2298" spans="2:17" x14ac:dyDescent="0.2">
      <c r="B2298" s="3"/>
      <c r="F2298" s="3"/>
      <c r="G2298" s="3"/>
      <c r="I2298" s="3"/>
      <c r="J2298" s="3"/>
      <c r="K2298" s="3"/>
      <c r="L2298" s="3"/>
      <c r="M2298" s="3"/>
      <c r="N2298" s="3"/>
      <c r="O2298" s="3"/>
      <c r="P2298" s="3"/>
      <c r="Q2298" s="3"/>
    </row>
    <row r="2299" spans="2:17" x14ac:dyDescent="0.2">
      <c r="B2299" s="3"/>
      <c r="F2299" s="3"/>
      <c r="G2299" s="3"/>
      <c r="I2299" s="3"/>
      <c r="J2299" s="3"/>
      <c r="K2299" s="3"/>
      <c r="L2299" s="3"/>
      <c r="M2299" s="3"/>
      <c r="N2299" s="3"/>
      <c r="O2299" s="3"/>
      <c r="P2299" s="3"/>
      <c r="Q2299" s="3"/>
    </row>
    <row r="2300" spans="2:17" x14ac:dyDescent="0.2">
      <c r="B2300" s="3"/>
      <c r="F2300" s="3"/>
      <c r="G2300" s="3"/>
      <c r="I2300" s="3"/>
      <c r="J2300" s="3"/>
      <c r="K2300" s="3"/>
      <c r="L2300" s="3"/>
      <c r="M2300" s="3"/>
      <c r="N2300" s="3"/>
      <c r="O2300" s="3"/>
      <c r="P2300" s="3"/>
      <c r="Q2300" s="3"/>
    </row>
    <row r="2301" spans="2:17" x14ac:dyDescent="0.2">
      <c r="B2301" s="3"/>
      <c r="F2301" s="3"/>
      <c r="G2301" s="3"/>
      <c r="I2301" s="3"/>
      <c r="J2301" s="3"/>
      <c r="K2301" s="3"/>
      <c r="L2301" s="3"/>
      <c r="M2301" s="3"/>
      <c r="N2301" s="3"/>
      <c r="O2301" s="3"/>
      <c r="P2301" s="3"/>
      <c r="Q2301" s="3"/>
    </row>
    <row r="2302" spans="2:17" x14ac:dyDescent="0.2">
      <c r="B2302" s="3"/>
      <c r="F2302" s="3"/>
      <c r="G2302" s="3"/>
      <c r="I2302" s="3"/>
      <c r="J2302" s="3"/>
      <c r="K2302" s="3"/>
      <c r="L2302" s="3"/>
      <c r="M2302" s="3"/>
      <c r="N2302" s="3"/>
      <c r="O2302" s="3"/>
      <c r="P2302" s="3"/>
      <c r="Q2302" s="3"/>
    </row>
    <row r="2303" spans="2:17" x14ac:dyDescent="0.2">
      <c r="B2303" s="3"/>
      <c r="F2303" s="3"/>
      <c r="G2303" s="3"/>
      <c r="I2303" s="3"/>
      <c r="J2303" s="3"/>
      <c r="K2303" s="3"/>
      <c r="L2303" s="3"/>
      <c r="M2303" s="3"/>
      <c r="N2303" s="3"/>
      <c r="O2303" s="3"/>
      <c r="P2303" s="3"/>
      <c r="Q2303" s="3"/>
    </row>
    <row r="2304" spans="2:17" x14ac:dyDescent="0.2">
      <c r="B2304" s="3"/>
      <c r="F2304" s="3"/>
      <c r="G2304" s="3"/>
      <c r="I2304" s="3"/>
      <c r="J2304" s="3"/>
      <c r="K2304" s="3"/>
      <c r="L2304" s="3"/>
      <c r="M2304" s="3"/>
      <c r="N2304" s="3"/>
      <c r="O2304" s="3"/>
      <c r="P2304" s="3"/>
      <c r="Q2304" s="3"/>
    </row>
    <row r="2305" spans="2:17" x14ac:dyDescent="0.2">
      <c r="B2305" s="3"/>
      <c r="F2305" s="3"/>
      <c r="G2305" s="3"/>
      <c r="I2305" s="3"/>
      <c r="J2305" s="3"/>
      <c r="K2305" s="3"/>
      <c r="L2305" s="3"/>
      <c r="M2305" s="3"/>
      <c r="N2305" s="3"/>
      <c r="O2305" s="3"/>
      <c r="P2305" s="3"/>
      <c r="Q2305" s="3"/>
    </row>
    <row r="2306" spans="2:17" x14ac:dyDescent="0.2">
      <c r="B2306" s="3"/>
      <c r="F2306" s="3"/>
      <c r="G2306" s="3"/>
      <c r="I2306" s="3"/>
      <c r="J2306" s="3"/>
      <c r="K2306" s="3"/>
      <c r="L2306" s="3"/>
      <c r="M2306" s="3"/>
      <c r="N2306" s="3"/>
      <c r="O2306" s="3"/>
      <c r="P2306" s="3"/>
      <c r="Q2306" s="3"/>
    </row>
    <row r="2307" spans="2:17" x14ac:dyDescent="0.2">
      <c r="B2307" s="3"/>
      <c r="F2307" s="3"/>
      <c r="G2307" s="3"/>
      <c r="I2307" s="3"/>
      <c r="J2307" s="3"/>
      <c r="K2307" s="3"/>
      <c r="L2307" s="3"/>
      <c r="M2307" s="3"/>
      <c r="N2307" s="3"/>
      <c r="O2307" s="3"/>
      <c r="P2307" s="3"/>
      <c r="Q2307" s="3"/>
    </row>
    <row r="2308" spans="2:17" x14ac:dyDescent="0.2">
      <c r="B2308" s="3"/>
      <c r="F2308" s="3"/>
      <c r="G2308" s="3"/>
      <c r="I2308" s="3"/>
      <c r="J2308" s="3"/>
      <c r="K2308" s="3"/>
      <c r="L2308" s="3"/>
      <c r="M2308" s="3"/>
      <c r="N2308" s="3"/>
      <c r="O2308" s="3"/>
      <c r="P2308" s="3"/>
      <c r="Q2308" s="3"/>
    </row>
    <row r="2309" spans="2:17" x14ac:dyDescent="0.2">
      <c r="B2309" s="3"/>
      <c r="F2309" s="3"/>
      <c r="G2309" s="3"/>
      <c r="I2309" s="3"/>
      <c r="J2309" s="3"/>
      <c r="K2309" s="3"/>
      <c r="L2309" s="3"/>
      <c r="M2309" s="3"/>
      <c r="N2309" s="3"/>
      <c r="O2309" s="3"/>
      <c r="P2309" s="3"/>
      <c r="Q2309" s="3"/>
    </row>
    <row r="2310" spans="2:17" x14ac:dyDescent="0.2">
      <c r="B2310" s="3"/>
      <c r="F2310" s="3"/>
      <c r="G2310" s="3"/>
      <c r="I2310" s="3"/>
      <c r="J2310" s="3"/>
      <c r="K2310" s="3"/>
      <c r="L2310" s="3"/>
      <c r="M2310" s="3"/>
      <c r="N2310" s="3"/>
      <c r="O2310" s="3"/>
      <c r="P2310" s="3"/>
      <c r="Q2310" s="3"/>
    </row>
    <row r="2311" spans="2:17" x14ac:dyDescent="0.2">
      <c r="B2311" s="3"/>
      <c r="F2311" s="3"/>
      <c r="G2311" s="3"/>
      <c r="I2311" s="3"/>
      <c r="J2311" s="3"/>
      <c r="K2311" s="3"/>
      <c r="L2311" s="3"/>
      <c r="M2311" s="3"/>
      <c r="N2311" s="3"/>
      <c r="O2311" s="3"/>
      <c r="P2311" s="3"/>
      <c r="Q2311" s="3"/>
    </row>
    <row r="2312" spans="2:17" x14ac:dyDescent="0.2">
      <c r="B2312" s="3"/>
      <c r="F2312" s="3"/>
      <c r="G2312" s="3"/>
      <c r="I2312" s="3"/>
      <c r="J2312" s="3"/>
      <c r="K2312" s="3"/>
      <c r="L2312" s="3"/>
      <c r="M2312" s="3"/>
      <c r="N2312" s="3"/>
      <c r="O2312" s="3"/>
      <c r="P2312" s="3"/>
      <c r="Q2312" s="3"/>
    </row>
    <row r="2313" spans="2:17" x14ac:dyDescent="0.2">
      <c r="B2313" s="3"/>
      <c r="F2313" s="3"/>
      <c r="G2313" s="3"/>
      <c r="I2313" s="3"/>
      <c r="J2313" s="3"/>
      <c r="K2313" s="3"/>
      <c r="L2313" s="3"/>
      <c r="M2313" s="3"/>
      <c r="N2313" s="3"/>
      <c r="O2313" s="3"/>
      <c r="P2313" s="3"/>
      <c r="Q2313" s="3"/>
    </row>
    <row r="2314" spans="2:17" x14ac:dyDescent="0.2">
      <c r="B2314" s="3"/>
      <c r="F2314" s="3"/>
      <c r="G2314" s="3"/>
      <c r="I2314" s="3"/>
      <c r="J2314" s="3"/>
      <c r="K2314" s="3"/>
      <c r="L2314" s="3"/>
      <c r="M2314" s="3"/>
      <c r="N2314" s="3"/>
      <c r="O2314" s="3"/>
      <c r="P2314" s="3"/>
      <c r="Q2314" s="3"/>
    </row>
    <row r="2315" spans="2:17" x14ac:dyDescent="0.2">
      <c r="B2315" s="3"/>
      <c r="F2315" s="3"/>
      <c r="G2315" s="3"/>
      <c r="I2315" s="3"/>
      <c r="J2315" s="3"/>
      <c r="K2315" s="3"/>
      <c r="L2315" s="3"/>
      <c r="M2315" s="3"/>
      <c r="N2315" s="3"/>
      <c r="O2315" s="3"/>
      <c r="P2315" s="3"/>
      <c r="Q2315" s="3"/>
    </row>
    <row r="2316" spans="2:17" x14ac:dyDescent="0.2">
      <c r="B2316" s="3"/>
      <c r="F2316" s="3"/>
      <c r="G2316" s="3"/>
      <c r="I2316" s="3"/>
      <c r="J2316" s="3"/>
      <c r="K2316" s="3"/>
      <c r="L2316" s="3"/>
      <c r="M2316" s="3"/>
      <c r="N2316" s="3"/>
      <c r="O2316" s="3"/>
      <c r="P2316" s="3"/>
      <c r="Q2316" s="3"/>
    </row>
    <row r="2317" spans="2:17" x14ac:dyDescent="0.2">
      <c r="B2317" s="3"/>
      <c r="F2317" s="3"/>
      <c r="G2317" s="3"/>
      <c r="I2317" s="3"/>
      <c r="J2317" s="3"/>
      <c r="K2317" s="3"/>
      <c r="L2317" s="3"/>
      <c r="M2317" s="3"/>
      <c r="N2317" s="3"/>
      <c r="O2317" s="3"/>
      <c r="P2317" s="3"/>
      <c r="Q2317" s="3"/>
    </row>
    <row r="2318" spans="2:17" x14ac:dyDescent="0.2">
      <c r="B2318" s="3"/>
      <c r="F2318" s="3"/>
      <c r="G2318" s="3"/>
      <c r="I2318" s="3"/>
      <c r="J2318" s="3"/>
      <c r="K2318" s="3"/>
      <c r="L2318" s="3"/>
      <c r="M2318" s="3"/>
      <c r="N2318" s="3"/>
      <c r="O2318" s="3"/>
      <c r="P2318" s="3"/>
      <c r="Q2318" s="3"/>
    </row>
    <row r="2319" spans="2:17" x14ac:dyDescent="0.2">
      <c r="B2319" s="3"/>
      <c r="F2319" s="3"/>
      <c r="G2319" s="3"/>
      <c r="I2319" s="3"/>
      <c r="J2319" s="3"/>
      <c r="K2319" s="3"/>
      <c r="L2319" s="3"/>
      <c r="M2319" s="3"/>
      <c r="N2319" s="3"/>
      <c r="O2319" s="3"/>
      <c r="P2319" s="3"/>
      <c r="Q2319" s="3"/>
    </row>
    <row r="2320" spans="2:17" x14ac:dyDescent="0.2">
      <c r="B2320" s="3"/>
      <c r="F2320" s="3"/>
      <c r="G2320" s="3"/>
      <c r="I2320" s="3"/>
      <c r="J2320" s="3"/>
      <c r="K2320" s="3"/>
      <c r="L2320" s="3"/>
      <c r="M2320" s="3"/>
      <c r="N2320" s="3"/>
      <c r="O2320" s="3"/>
      <c r="P2320" s="3"/>
      <c r="Q2320" s="3"/>
    </row>
    <row r="2321" spans="2:17" x14ac:dyDescent="0.2">
      <c r="B2321" s="3"/>
      <c r="F2321" s="3"/>
      <c r="G2321" s="3"/>
      <c r="I2321" s="3"/>
      <c r="J2321" s="3"/>
      <c r="K2321" s="3"/>
      <c r="L2321" s="3"/>
      <c r="M2321" s="3"/>
      <c r="N2321" s="3"/>
      <c r="O2321" s="3"/>
      <c r="P2321" s="3"/>
      <c r="Q2321" s="3"/>
    </row>
    <row r="2322" spans="2:17" x14ac:dyDescent="0.2">
      <c r="B2322" s="3"/>
      <c r="F2322" s="3"/>
      <c r="G2322" s="3"/>
      <c r="I2322" s="3"/>
      <c r="J2322" s="3"/>
      <c r="K2322" s="3"/>
      <c r="L2322" s="3"/>
      <c r="M2322" s="3"/>
      <c r="N2322" s="3"/>
      <c r="O2322" s="3"/>
      <c r="P2322" s="3"/>
      <c r="Q2322" s="3"/>
    </row>
    <row r="2323" spans="2:17" x14ac:dyDescent="0.2">
      <c r="B2323" s="3"/>
      <c r="F2323" s="3"/>
      <c r="G2323" s="3"/>
      <c r="I2323" s="3"/>
      <c r="J2323" s="3"/>
      <c r="K2323" s="3"/>
      <c r="L2323" s="3"/>
      <c r="M2323" s="3"/>
      <c r="N2323" s="3"/>
      <c r="O2323" s="3"/>
      <c r="P2323" s="3"/>
      <c r="Q2323" s="3"/>
    </row>
    <row r="2324" spans="2:17" x14ac:dyDescent="0.2">
      <c r="B2324" s="3"/>
      <c r="F2324" s="3"/>
      <c r="G2324" s="3"/>
      <c r="I2324" s="3"/>
      <c r="J2324" s="3"/>
      <c r="K2324" s="3"/>
      <c r="L2324" s="3"/>
      <c r="M2324" s="3"/>
      <c r="N2324" s="3"/>
      <c r="O2324" s="3"/>
      <c r="P2324" s="3"/>
      <c r="Q2324" s="3"/>
    </row>
    <row r="2325" spans="2:17" x14ac:dyDescent="0.2">
      <c r="B2325" s="3"/>
      <c r="F2325" s="3"/>
      <c r="G2325" s="3"/>
      <c r="I2325" s="3"/>
      <c r="J2325" s="3"/>
      <c r="K2325" s="3"/>
      <c r="L2325" s="3"/>
      <c r="M2325" s="3"/>
      <c r="N2325" s="3"/>
      <c r="O2325" s="3"/>
      <c r="P2325" s="3"/>
      <c r="Q2325" s="3"/>
    </row>
    <row r="2326" spans="2:17" x14ac:dyDescent="0.2">
      <c r="B2326" s="3"/>
      <c r="F2326" s="3"/>
      <c r="G2326" s="3"/>
      <c r="I2326" s="3"/>
      <c r="J2326" s="3"/>
      <c r="K2326" s="3"/>
      <c r="L2326" s="3"/>
      <c r="M2326" s="3"/>
      <c r="N2326" s="3"/>
      <c r="O2326" s="3"/>
      <c r="P2326" s="3"/>
      <c r="Q2326" s="3"/>
    </row>
    <row r="2327" spans="2:17" x14ac:dyDescent="0.2">
      <c r="B2327" s="3"/>
      <c r="F2327" s="3"/>
      <c r="G2327" s="3"/>
      <c r="I2327" s="3"/>
      <c r="J2327" s="3"/>
      <c r="K2327" s="3"/>
      <c r="L2327" s="3"/>
      <c r="M2327" s="3"/>
      <c r="N2327" s="3"/>
      <c r="O2327" s="3"/>
      <c r="P2327" s="3"/>
      <c r="Q2327" s="3"/>
    </row>
    <row r="2328" spans="2:17" x14ac:dyDescent="0.2">
      <c r="B2328" s="3"/>
      <c r="F2328" s="3"/>
      <c r="G2328" s="3"/>
      <c r="I2328" s="3"/>
      <c r="J2328" s="3"/>
      <c r="K2328" s="3"/>
      <c r="L2328" s="3"/>
      <c r="M2328" s="3"/>
      <c r="N2328" s="3"/>
      <c r="O2328" s="3"/>
      <c r="P2328" s="3"/>
      <c r="Q2328" s="3"/>
    </row>
    <row r="2329" spans="2:17" x14ac:dyDescent="0.2">
      <c r="B2329" s="3"/>
      <c r="F2329" s="3"/>
      <c r="G2329" s="3"/>
      <c r="I2329" s="3"/>
      <c r="J2329" s="3"/>
      <c r="K2329" s="3"/>
      <c r="L2329" s="3"/>
      <c r="M2329" s="3"/>
      <c r="N2329" s="3"/>
      <c r="O2329" s="3"/>
      <c r="P2329" s="3"/>
      <c r="Q2329" s="3"/>
    </row>
    <row r="2330" spans="2:17" x14ac:dyDescent="0.2">
      <c r="B2330" s="3"/>
      <c r="F2330" s="3"/>
      <c r="G2330" s="3"/>
      <c r="I2330" s="3"/>
      <c r="J2330" s="3"/>
      <c r="K2330" s="3"/>
      <c r="L2330" s="3"/>
      <c r="M2330" s="3"/>
      <c r="N2330" s="3"/>
      <c r="O2330" s="3"/>
      <c r="P2330" s="3"/>
      <c r="Q2330" s="3"/>
    </row>
    <row r="2331" spans="2:17" x14ac:dyDescent="0.2">
      <c r="B2331" s="3"/>
      <c r="F2331" s="3"/>
      <c r="G2331" s="3"/>
      <c r="I2331" s="3"/>
      <c r="J2331" s="3"/>
      <c r="K2331" s="3"/>
      <c r="L2331" s="3"/>
      <c r="M2331" s="3"/>
      <c r="N2331" s="3"/>
      <c r="O2331" s="3"/>
      <c r="P2331" s="3"/>
      <c r="Q2331" s="3"/>
    </row>
    <row r="2332" spans="2:17" x14ac:dyDescent="0.2">
      <c r="B2332" s="3"/>
      <c r="F2332" s="3"/>
      <c r="G2332" s="3"/>
      <c r="I2332" s="3"/>
      <c r="J2332" s="3"/>
      <c r="K2332" s="3"/>
      <c r="L2332" s="3"/>
      <c r="M2332" s="3"/>
      <c r="N2332" s="3"/>
      <c r="O2332" s="3"/>
      <c r="P2332" s="3"/>
      <c r="Q2332" s="3"/>
    </row>
    <row r="2333" spans="2:17" x14ac:dyDescent="0.2">
      <c r="B2333" s="3"/>
      <c r="F2333" s="3"/>
      <c r="G2333" s="3"/>
      <c r="I2333" s="3"/>
      <c r="J2333" s="3"/>
      <c r="K2333" s="3"/>
      <c r="L2333" s="3"/>
      <c r="M2333" s="3"/>
      <c r="N2333" s="3"/>
      <c r="O2333" s="3"/>
      <c r="P2333" s="3"/>
      <c r="Q2333" s="3"/>
    </row>
    <row r="2334" spans="2:17" x14ac:dyDescent="0.2">
      <c r="B2334" s="3"/>
      <c r="F2334" s="3"/>
      <c r="G2334" s="3"/>
      <c r="I2334" s="3"/>
      <c r="J2334" s="3"/>
      <c r="K2334" s="3"/>
      <c r="L2334" s="3"/>
      <c r="M2334" s="3"/>
      <c r="N2334" s="3"/>
      <c r="O2334" s="3"/>
      <c r="P2334" s="3"/>
      <c r="Q2334" s="3"/>
    </row>
    <row r="2335" spans="2:17" x14ac:dyDescent="0.2">
      <c r="B2335" s="3"/>
      <c r="F2335" s="3"/>
      <c r="G2335" s="3"/>
      <c r="I2335" s="3"/>
      <c r="J2335" s="3"/>
      <c r="K2335" s="3"/>
      <c r="L2335" s="3"/>
      <c r="M2335" s="3"/>
      <c r="N2335" s="3"/>
      <c r="O2335" s="3"/>
      <c r="P2335" s="3"/>
      <c r="Q2335" s="3"/>
    </row>
    <row r="2336" spans="2:17" x14ac:dyDescent="0.2">
      <c r="B2336" s="3"/>
      <c r="F2336" s="3"/>
      <c r="G2336" s="3"/>
      <c r="I2336" s="3"/>
      <c r="J2336" s="3"/>
      <c r="K2336" s="3"/>
      <c r="L2336" s="3"/>
      <c r="M2336" s="3"/>
      <c r="N2336" s="3"/>
      <c r="O2336" s="3"/>
      <c r="P2336" s="3"/>
      <c r="Q2336" s="3"/>
    </row>
    <row r="2337" spans="2:17" x14ac:dyDescent="0.2">
      <c r="B2337" s="3"/>
      <c r="F2337" s="3"/>
      <c r="G2337" s="3"/>
      <c r="I2337" s="3"/>
      <c r="J2337" s="3"/>
      <c r="K2337" s="3"/>
      <c r="L2337" s="3"/>
      <c r="M2337" s="3"/>
      <c r="N2337" s="3"/>
      <c r="O2337" s="3"/>
      <c r="P2337" s="3"/>
      <c r="Q2337" s="3"/>
    </row>
    <row r="2338" spans="2:17" x14ac:dyDescent="0.2">
      <c r="B2338" s="3"/>
      <c r="F2338" s="3"/>
      <c r="G2338" s="3"/>
      <c r="I2338" s="3"/>
      <c r="J2338" s="3"/>
      <c r="K2338" s="3"/>
      <c r="L2338" s="3"/>
      <c r="M2338" s="3"/>
      <c r="N2338" s="3"/>
      <c r="O2338" s="3"/>
      <c r="P2338" s="3"/>
      <c r="Q2338" s="3"/>
    </row>
    <row r="2339" spans="2:17" x14ac:dyDescent="0.2">
      <c r="B2339" s="3"/>
      <c r="F2339" s="3"/>
      <c r="G2339" s="3"/>
      <c r="I2339" s="3"/>
      <c r="J2339" s="3"/>
      <c r="K2339" s="3"/>
      <c r="L2339" s="3"/>
      <c r="M2339" s="3"/>
      <c r="N2339" s="3"/>
      <c r="O2339" s="3"/>
      <c r="P2339" s="3"/>
      <c r="Q2339" s="3"/>
    </row>
    <row r="2340" spans="2:17" x14ac:dyDescent="0.2">
      <c r="B2340" s="3"/>
      <c r="F2340" s="3"/>
      <c r="G2340" s="3"/>
      <c r="I2340" s="3"/>
      <c r="J2340" s="3"/>
      <c r="K2340" s="3"/>
      <c r="L2340" s="3"/>
      <c r="M2340" s="3"/>
      <c r="N2340" s="3"/>
      <c r="O2340" s="3"/>
      <c r="P2340" s="3"/>
      <c r="Q2340" s="3"/>
    </row>
    <row r="2341" spans="2:17" x14ac:dyDescent="0.2">
      <c r="B2341" s="3"/>
      <c r="F2341" s="3"/>
      <c r="G2341" s="3"/>
      <c r="I2341" s="3"/>
      <c r="J2341" s="3"/>
      <c r="K2341" s="3"/>
      <c r="L2341" s="3"/>
      <c r="M2341" s="3"/>
      <c r="N2341" s="3"/>
      <c r="O2341" s="3"/>
      <c r="P2341" s="3"/>
      <c r="Q2341" s="3"/>
    </row>
    <row r="2342" spans="2:17" x14ac:dyDescent="0.2">
      <c r="B2342" s="3"/>
      <c r="F2342" s="3"/>
      <c r="G2342" s="3"/>
      <c r="I2342" s="3"/>
      <c r="J2342" s="3"/>
      <c r="K2342" s="3"/>
      <c r="L2342" s="3"/>
      <c r="M2342" s="3"/>
      <c r="N2342" s="3"/>
      <c r="O2342" s="3"/>
      <c r="P2342" s="3"/>
      <c r="Q2342" s="3"/>
    </row>
    <row r="2343" spans="2:17" x14ac:dyDescent="0.2">
      <c r="B2343" s="3"/>
      <c r="F2343" s="3"/>
      <c r="G2343" s="3"/>
      <c r="I2343" s="3"/>
      <c r="J2343" s="3"/>
      <c r="K2343" s="3"/>
      <c r="L2343" s="3"/>
      <c r="M2343" s="3"/>
      <c r="N2343" s="3"/>
      <c r="O2343" s="3"/>
      <c r="P2343" s="3"/>
      <c r="Q2343" s="3"/>
    </row>
    <row r="2344" spans="2:17" x14ac:dyDescent="0.2">
      <c r="B2344" s="3"/>
      <c r="F2344" s="3"/>
      <c r="G2344" s="3"/>
      <c r="I2344" s="3"/>
      <c r="J2344" s="3"/>
      <c r="K2344" s="3"/>
      <c r="L2344" s="3"/>
      <c r="M2344" s="3"/>
      <c r="N2344" s="3"/>
      <c r="O2344" s="3"/>
      <c r="P2344" s="3"/>
      <c r="Q2344" s="3"/>
    </row>
    <row r="2345" spans="2:17" x14ac:dyDescent="0.2">
      <c r="B2345" s="3"/>
      <c r="F2345" s="3"/>
      <c r="G2345" s="3"/>
      <c r="I2345" s="3"/>
      <c r="J2345" s="3"/>
      <c r="K2345" s="3"/>
      <c r="L2345" s="3"/>
      <c r="M2345" s="3"/>
      <c r="N2345" s="3"/>
      <c r="O2345" s="3"/>
      <c r="P2345" s="3"/>
      <c r="Q2345" s="3"/>
    </row>
    <row r="2346" spans="2:17" x14ac:dyDescent="0.2">
      <c r="B2346" s="3"/>
      <c r="F2346" s="3"/>
      <c r="G2346" s="3"/>
      <c r="I2346" s="3"/>
      <c r="J2346" s="3"/>
      <c r="K2346" s="3"/>
      <c r="L2346" s="3"/>
      <c r="M2346" s="3"/>
      <c r="N2346" s="3"/>
      <c r="O2346" s="3"/>
      <c r="P2346" s="3"/>
      <c r="Q2346" s="3"/>
    </row>
    <row r="2347" spans="2:17" x14ac:dyDescent="0.2">
      <c r="B2347" s="3"/>
      <c r="F2347" s="3"/>
      <c r="G2347" s="3"/>
      <c r="I2347" s="3"/>
      <c r="J2347" s="3"/>
      <c r="K2347" s="3"/>
      <c r="L2347" s="3"/>
      <c r="M2347" s="3"/>
      <c r="N2347" s="3"/>
      <c r="O2347" s="3"/>
      <c r="P2347" s="3"/>
      <c r="Q2347" s="3"/>
    </row>
    <row r="2348" spans="2:17" x14ac:dyDescent="0.2">
      <c r="B2348" s="3"/>
      <c r="F2348" s="3"/>
      <c r="G2348" s="3"/>
      <c r="I2348" s="3"/>
      <c r="J2348" s="3"/>
      <c r="K2348" s="3"/>
      <c r="L2348" s="3"/>
      <c r="M2348" s="3"/>
      <c r="N2348" s="3"/>
      <c r="O2348" s="3"/>
      <c r="P2348" s="3"/>
      <c r="Q2348" s="3"/>
    </row>
    <row r="2349" spans="2:17" x14ac:dyDescent="0.2">
      <c r="B2349" s="3"/>
      <c r="F2349" s="3"/>
      <c r="G2349" s="3"/>
      <c r="I2349" s="3"/>
      <c r="J2349" s="3"/>
      <c r="K2349" s="3"/>
      <c r="L2349" s="3"/>
      <c r="M2349" s="3"/>
      <c r="N2349" s="3"/>
      <c r="O2349" s="3"/>
      <c r="P2349" s="3"/>
      <c r="Q2349" s="3"/>
    </row>
    <row r="2350" spans="2:17" x14ac:dyDescent="0.2">
      <c r="B2350" s="3"/>
      <c r="F2350" s="3"/>
      <c r="G2350" s="3"/>
      <c r="I2350" s="3"/>
      <c r="J2350" s="3"/>
      <c r="K2350" s="3"/>
      <c r="L2350" s="3"/>
      <c r="M2350" s="3"/>
      <c r="N2350" s="3"/>
      <c r="O2350" s="3"/>
      <c r="P2350" s="3"/>
      <c r="Q2350" s="3"/>
    </row>
    <row r="2351" spans="2:17" x14ac:dyDescent="0.2">
      <c r="B2351" s="3"/>
      <c r="F2351" s="3"/>
      <c r="G2351" s="3"/>
      <c r="I2351" s="3"/>
      <c r="J2351" s="3"/>
      <c r="K2351" s="3"/>
      <c r="L2351" s="3"/>
      <c r="M2351" s="3"/>
      <c r="N2351" s="3"/>
      <c r="O2351" s="3"/>
      <c r="P2351" s="3"/>
      <c r="Q2351" s="3"/>
    </row>
    <row r="2352" spans="2:17" x14ac:dyDescent="0.2">
      <c r="B2352" s="3"/>
      <c r="F2352" s="3"/>
      <c r="G2352" s="3"/>
      <c r="I2352" s="3"/>
      <c r="J2352" s="3"/>
      <c r="K2352" s="3"/>
      <c r="L2352" s="3"/>
      <c r="M2352" s="3"/>
      <c r="N2352" s="3"/>
      <c r="O2352" s="3"/>
      <c r="P2352" s="3"/>
      <c r="Q2352" s="3"/>
    </row>
    <row r="2353" spans="2:17" x14ac:dyDescent="0.2">
      <c r="B2353" s="3"/>
      <c r="F2353" s="3"/>
      <c r="G2353" s="3"/>
      <c r="I2353" s="3"/>
      <c r="J2353" s="3"/>
      <c r="K2353" s="3"/>
      <c r="L2353" s="3"/>
      <c r="M2353" s="3"/>
      <c r="N2353" s="3"/>
      <c r="O2353" s="3"/>
      <c r="P2353" s="3"/>
      <c r="Q2353" s="3"/>
    </row>
    <row r="2354" spans="2:17" x14ac:dyDescent="0.2">
      <c r="B2354" s="3"/>
      <c r="F2354" s="3"/>
      <c r="G2354" s="3"/>
      <c r="I2354" s="3"/>
      <c r="J2354" s="3"/>
      <c r="K2354" s="3"/>
      <c r="L2354" s="3"/>
      <c r="M2354" s="3"/>
      <c r="N2354" s="3"/>
      <c r="O2354" s="3"/>
      <c r="P2354" s="3"/>
      <c r="Q2354" s="3"/>
    </row>
    <row r="2355" spans="2:17" x14ac:dyDescent="0.2">
      <c r="B2355" s="3"/>
      <c r="F2355" s="3"/>
      <c r="G2355" s="3"/>
      <c r="I2355" s="3"/>
      <c r="J2355" s="3"/>
      <c r="K2355" s="3"/>
      <c r="L2355" s="3"/>
      <c r="M2355" s="3"/>
      <c r="N2355" s="3"/>
      <c r="O2355" s="3"/>
      <c r="P2355" s="3"/>
      <c r="Q2355" s="3"/>
    </row>
    <row r="2356" spans="2:17" x14ac:dyDescent="0.2">
      <c r="B2356" s="3"/>
      <c r="F2356" s="3"/>
      <c r="G2356" s="3"/>
      <c r="I2356" s="3"/>
      <c r="J2356" s="3"/>
      <c r="K2356" s="3"/>
      <c r="L2356" s="3"/>
      <c r="M2356" s="3"/>
      <c r="N2356" s="3"/>
      <c r="O2356" s="3"/>
      <c r="P2356" s="3"/>
      <c r="Q2356" s="3"/>
    </row>
    <row r="2357" spans="2:17" x14ac:dyDescent="0.2">
      <c r="B2357" s="3"/>
      <c r="F2357" s="3"/>
      <c r="G2357" s="3"/>
      <c r="I2357" s="3"/>
      <c r="J2357" s="3"/>
      <c r="K2357" s="3"/>
      <c r="L2357" s="3"/>
      <c r="M2357" s="3"/>
      <c r="N2357" s="3"/>
      <c r="O2357" s="3"/>
      <c r="P2357" s="3"/>
      <c r="Q2357" s="3"/>
    </row>
    <row r="2358" spans="2:17" x14ac:dyDescent="0.2">
      <c r="B2358" s="3"/>
      <c r="F2358" s="3"/>
      <c r="G2358" s="3"/>
      <c r="I2358" s="3"/>
      <c r="J2358" s="3"/>
      <c r="K2358" s="3"/>
      <c r="L2358" s="3"/>
      <c r="M2358" s="3"/>
      <c r="N2358" s="3"/>
      <c r="O2358" s="3"/>
      <c r="P2358" s="3"/>
      <c r="Q2358" s="3"/>
    </row>
    <row r="2359" spans="2:17" x14ac:dyDescent="0.2">
      <c r="B2359" s="3"/>
      <c r="F2359" s="3"/>
      <c r="G2359" s="3"/>
      <c r="I2359" s="3"/>
      <c r="J2359" s="3"/>
      <c r="K2359" s="3"/>
      <c r="L2359" s="3"/>
      <c r="M2359" s="3"/>
      <c r="N2359" s="3"/>
      <c r="O2359" s="3"/>
      <c r="P2359" s="3"/>
      <c r="Q2359" s="3"/>
    </row>
    <row r="2360" spans="2:17" x14ac:dyDescent="0.2">
      <c r="B2360" s="3"/>
      <c r="F2360" s="3"/>
      <c r="G2360" s="3"/>
      <c r="I2360" s="3"/>
      <c r="J2360" s="3"/>
      <c r="K2360" s="3"/>
      <c r="L2360" s="3"/>
      <c r="M2360" s="3"/>
      <c r="N2360" s="3"/>
      <c r="O2360" s="3"/>
      <c r="P2360" s="3"/>
      <c r="Q2360" s="3"/>
    </row>
    <row r="2361" spans="2:17" x14ac:dyDescent="0.2">
      <c r="B2361" s="3"/>
      <c r="F2361" s="3"/>
      <c r="G2361" s="3"/>
      <c r="I2361" s="3"/>
      <c r="J2361" s="3"/>
      <c r="K2361" s="3"/>
      <c r="L2361" s="3"/>
      <c r="M2361" s="3"/>
      <c r="N2361" s="3"/>
      <c r="O2361" s="3"/>
      <c r="P2361" s="3"/>
      <c r="Q2361" s="3"/>
    </row>
    <row r="2362" spans="2:17" x14ac:dyDescent="0.2">
      <c r="B2362" s="3"/>
      <c r="F2362" s="3"/>
      <c r="G2362" s="3"/>
      <c r="I2362" s="3"/>
      <c r="J2362" s="3"/>
      <c r="K2362" s="3"/>
      <c r="L2362" s="3"/>
      <c r="M2362" s="3"/>
      <c r="N2362" s="3"/>
      <c r="O2362" s="3"/>
      <c r="P2362" s="3"/>
      <c r="Q2362" s="3"/>
    </row>
    <row r="2363" spans="2:17" x14ac:dyDescent="0.2">
      <c r="B2363" s="3"/>
      <c r="F2363" s="3"/>
      <c r="G2363" s="3"/>
      <c r="I2363" s="3"/>
      <c r="J2363" s="3"/>
      <c r="K2363" s="3"/>
      <c r="L2363" s="3"/>
      <c r="M2363" s="3"/>
      <c r="N2363" s="3"/>
      <c r="O2363" s="3"/>
      <c r="P2363" s="3"/>
      <c r="Q2363" s="3"/>
    </row>
    <row r="2364" spans="2:17" x14ac:dyDescent="0.2">
      <c r="B2364" s="3"/>
      <c r="F2364" s="3"/>
      <c r="G2364" s="3"/>
      <c r="I2364" s="3"/>
      <c r="J2364" s="3"/>
      <c r="K2364" s="3"/>
      <c r="L2364" s="3"/>
      <c r="M2364" s="3"/>
      <c r="N2364" s="3"/>
      <c r="O2364" s="3"/>
      <c r="P2364" s="3"/>
      <c r="Q2364" s="3"/>
    </row>
    <row r="2365" spans="2:17" x14ac:dyDescent="0.2">
      <c r="B2365" s="3"/>
      <c r="F2365" s="3"/>
      <c r="G2365" s="3"/>
      <c r="I2365" s="3"/>
      <c r="J2365" s="3"/>
      <c r="K2365" s="3"/>
      <c r="L2365" s="3"/>
      <c r="M2365" s="3"/>
      <c r="N2365" s="3"/>
      <c r="O2365" s="3"/>
      <c r="P2365" s="3"/>
      <c r="Q2365" s="3"/>
    </row>
    <row r="2366" spans="2:17" x14ac:dyDescent="0.2">
      <c r="B2366" s="3"/>
      <c r="F2366" s="3"/>
      <c r="G2366" s="3"/>
      <c r="I2366" s="3"/>
      <c r="J2366" s="3"/>
      <c r="K2366" s="3"/>
      <c r="L2366" s="3"/>
      <c r="M2366" s="3"/>
      <c r="N2366" s="3"/>
      <c r="O2366" s="3"/>
      <c r="P2366" s="3"/>
      <c r="Q2366" s="3"/>
    </row>
    <row r="2367" spans="2:17" x14ac:dyDescent="0.2">
      <c r="B2367" s="3"/>
      <c r="F2367" s="3"/>
      <c r="G2367" s="3"/>
      <c r="I2367" s="3"/>
      <c r="J2367" s="3"/>
      <c r="K2367" s="3"/>
      <c r="L2367" s="3"/>
      <c r="M2367" s="3"/>
      <c r="N2367" s="3"/>
      <c r="O2367" s="3"/>
      <c r="P2367" s="3"/>
      <c r="Q2367" s="3"/>
    </row>
    <row r="2368" spans="2:17" x14ac:dyDescent="0.2">
      <c r="B2368" s="3"/>
      <c r="F2368" s="3"/>
      <c r="G2368" s="3"/>
      <c r="I2368" s="3"/>
      <c r="J2368" s="3"/>
      <c r="K2368" s="3"/>
      <c r="L2368" s="3"/>
      <c r="M2368" s="3"/>
      <c r="N2368" s="3"/>
      <c r="O2368" s="3"/>
      <c r="P2368" s="3"/>
      <c r="Q2368" s="3"/>
    </row>
    <row r="2369" spans="2:17" x14ac:dyDescent="0.2">
      <c r="B2369" s="3"/>
      <c r="F2369" s="3"/>
      <c r="G2369" s="3"/>
      <c r="I2369" s="3"/>
      <c r="J2369" s="3"/>
      <c r="K2369" s="3"/>
      <c r="L2369" s="3"/>
      <c r="M2369" s="3"/>
      <c r="N2369" s="3"/>
      <c r="O2369" s="3"/>
      <c r="P2369" s="3"/>
      <c r="Q2369" s="3"/>
    </row>
    <row r="2370" spans="2:17" x14ac:dyDescent="0.2">
      <c r="B2370" s="3"/>
      <c r="F2370" s="3"/>
      <c r="G2370" s="3"/>
      <c r="I2370" s="3"/>
      <c r="J2370" s="3"/>
      <c r="K2370" s="3"/>
      <c r="L2370" s="3"/>
      <c r="M2370" s="3"/>
      <c r="N2370" s="3"/>
      <c r="O2370" s="3"/>
      <c r="P2370" s="3"/>
      <c r="Q2370" s="3"/>
    </row>
    <row r="2371" spans="2:17" x14ac:dyDescent="0.2">
      <c r="B2371" s="3"/>
      <c r="F2371" s="3"/>
      <c r="G2371" s="3"/>
      <c r="I2371" s="3"/>
      <c r="J2371" s="3"/>
      <c r="K2371" s="3"/>
      <c r="L2371" s="3"/>
      <c r="M2371" s="3"/>
      <c r="N2371" s="3"/>
      <c r="O2371" s="3"/>
      <c r="P2371" s="3"/>
      <c r="Q2371" s="3"/>
    </row>
    <row r="2372" spans="2:17" x14ac:dyDescent="0.2">
      <c r="B2372" s="3"/>
      <c r="F2372" s="3"/>
      <c r="G2372" s="3"/>
      <c r="I2372" s="3"/>
      <c r="J2372" s="3"/>
      <c r="K2372" s="3"/>
      <c r="L2372" s="3"/>
      <c r="M2372" s="3"/>
      <c r="N2372" s="3"/>
      <c r="O2372" s="3"/>
      <c r="P2372" s="3"/>
      <c r="Q2372" s="3"/>
    </row>
    <row r="2373" spans="2:17" x14ac:dyDescent="0.2">
      <c r="B2373" s="3"/>
      <c r="F2373" s="3"/>
      <c r="G2373" s="3"/>
      <c r="I2373" s="3"/>
      <c r="J2373" s="3"/>
      <c r="K2373" s="3"/>
      <c r="L2373" s="3"/>
      <c r="M2373" s="3"/>
      <c r="N2373" s="3"/>
      <c r="O2373" s="3"/>
      <c r="P2373" s="3"/>
      <c r="Q2373" s="3"/>
    </row>
    <row r="2374" spans="2:17" x14ac:dyDescent="0.2">
      <c r="B2374" s="3"/>
      <c r="F2374" s="3"/>
      <c r="G2374" s="3"/>
      <c r="I2374" s="3"/>
      <c r="J2374" s="3"/>
      <c r="K2374" s="3"/>
      <c r="L2374" s="3"/>
      <c r="M2374" s="3"/>
      <c r="N2374" s="3"/>
      <c r="O2374" s="3"/>
      <c r="P2374" s="3"/>
      <c r="Q2374" s="3"/>
    </row>
    <row r="2375" spans="2:17" x14ac:dyDescent="0.2">
      <c r="B2375" s="3"/>
      <c r="F2375" s="3"/>
      <c r="G2375" s="3"/>
      <c r="I2375" s="3"/>
      <c r="J2375" s="3"/>
      <c r="K2375" s="3"/>
      <c r="L2375" s="3"/>
      <c r="M2375" s="3"/>
      <c r="N2375" s="3"/>
      <c r="O2375" s="3"/>
      <c r="P2375" s="3"/>
      <c r="Q2375" s="3"/>
    </row>
    <row r="2376" spans="2:17" x14ac:dyDescent="0.2">
      <c r="B2376" s="3"/>
      <c r="F2376" s="3"/>
      <c r="G2376" s="3"/>
      <c r="I2376" s="3"/>
      <c r="J2376" s="3"/>
      <c r="K2376" s="3"/>
      <c r="L2376" s="3"/>
      <c r="M2376" s="3"/>
      <c r="N2376" s="3"/>
      <c r="O2376" s="3"/>
      <c r="P2376" s="3"/>
      <c r="Q2376" s="3"/>
    </row>
    <row r="2377" spans="2:17" x14ac:dyDescent="0.2">
      <c r="B2377" s="3"/>
      <c r="F2377" s="3"/>
      <c r="G2377" s="3"/>
      <c r="I2377" s="3"/>
      <c r="J2377" s="3"/>
      <c r="K2377" s="3"/>
      <c r="L2377" s="3"/>
      <c r="M2377" s="3"/>
      <c r="N2377" s="3"/>
      <c r="O2377" s="3"/>
      <c r="P2377" s="3"/>
      <c r="Q2377" s="3"/>
    </row>
    <row r="2378" spans="2:17" x14ac:dyDescent="0.2">
      <c r="B2378" s="3"/>
      <c r="F2378" s="3"/>
      <c r="G2378" s="3"/>
      <c r="I2378" s="3"/>
      <c r="J2378" s="3"/>
      <c r="K2378" s="3"/>
      <c r="L2378" s="3"/>
      <c r="M2378" s="3"/>
      <c r="N2378" s="3"/>
      <c r="O2378" s="3"/>
      <c r="P2378" s="3"/>
      <c r="Q2378" s="3"/>
    </row>
    <row r="2379" spans="2:17" x14ac:dyDescent="0.2">
      <c r="B2379" s="3"/>
      <c r="F2379" s="3"/>
      <c r="G2379" s="3"/>
      <c r="I2379" s="3"/>
      <c r="J2379" s="3"/>
      <c r="K2379" s="3"/>
      <c r="L2379" s="3"/>
      <c r="M2379" s="3"/>
      <c r="N2379" s="3"/>
      <c r="O2379" s="3"/>
      <c r="P2379" s="3"/>
      <c r="Q2379" s="3"/>
    </row>
    <row r="2380" spans="2:17" x14ac:dyDescent="0.2">
      <c r="B2380" s="3"/>
      <c r="F2380" s="3"/>
      <c r="G2380" s="3"/>
      <c r="I2380" s="3"/>
      <c r="J2380" s="3"/>
      <c r="K2380" s="3"/>
      <c r="L2380" s="3"/>
      <c r="M2380" s="3"/>
      <c r="N2380" s="3"/>
      <c r="O2380" s="3"/>
      <c r="P2380" s="3"/>
      <c r="Q2380" s="3"/>
    </row>
    <row r="2381" spans="2:17" x14ac:dyDescent="0.2">
      <c r="B2381" s="3"/>
      <c r="F2381" s="3"/>
      <c r="G2381" s="3"/>
      <c r="I2381" s="3"/>
      <c r="J2381" s="3"/>
      <c r="K2381" s="3"/>
      <c r="L2381" s="3"/>
      <c r="M2381" s="3"/>
      <c r="N2381" s="3"/>
      <c r="O2381" s="3"/>
      <c r="P2381" s="3"/>
      <c r="Q2381" s="3"/>
    </row>
    <row r="2382" spans="2:17" x14ac:dyDescent="0.2">
      <c r="B2382" s="3"/>
      <c r="F2382" s="3"/>
      <c r="G2382" s="3"/>
      <c r="I2382" s="3"/>
      <c r="J2382" s="3"/>
      <c r="K2382" s="3"/>
      <c r="L2382" s="3"/>
      <c r="M2382" s="3"/>
      <c r="N2382" s="3"/>
      <c r="O2382" s="3"/>
      <c r="P2382" s="3"/>
      <c r="Q2382" s="3"/>
    </row>
    <row r="2383" spans="2:17" x14ac:dyDescent="0.2">
      <c r="B2383" s="3"/>
      <c r="F2383" s="3"/>
      <c r="G2383" s="3"/>
      <c r="I2383" s="3"/>
      <c r="J2383" s="3"/>
      <c r="K2383" s="3"/>
      <c r="L2383" s="3"/>
      <c r="M2383" s="3"/>
      <c r="N2383" s="3"/>
      <c r="O2383" s="3"/>
      <c r="P2383" s="3"/>
      <c r="Q2383" s="3"/>
    </row>
    <row r="2384" spans="2:17" x14ac:dyDescent="0.2">
      <c r="B2384" s="3"/>
      <c r="F2384" s="3"/>
      <c r="G2384" s="3"/>
      <c r="I2384" s="3"/>
      <c r="J2384" s="3"/>
      <c r="K2384" s="3"/>
      <c r="L2384" s="3"/>
      <c r="M2384" s="3"/>
      <c r="N2384" s="3"/>
      <c r="O2384" s="3"/>
      <c r="P2384" s="3"/>
      <c r="Q2384" s="3"/>
    </row>
    <row r="2385" spans="2:17" x14ac:dyDescent="0.2">
      <c r="B2385" s="3"/>
      <c r="F2385" s="3"/>
      <c r="G2385" s="3"/>
      <c r="I2385" s="3"/>
      <c r="J2385" s="3"/>
      <c r="K2385" s="3"/>
      <c r="L2385" s="3"/>
      <c r="M2385" s="3"/>
      <c r="N2385" s="3"/>
      <c r="O2385" s="3"/>
      <c r="P2385" s="3"/>
      <c r="Q2385" s="3"/>
    </row>
    <row r="2386" spans="2:17" x14ac:dyDescent="0.2">
      <c r="B2386" s="3"/>
      <c r="F2386" s="3"/>
      <c r="G2386" s="3"/>
      <c r="I2386" s="3"/>
      <c r="J2386" s="3"/>
      <c r="K2386" s="3"/>
      <c r="L2386" s="3"/>
      <c r="M2386" s="3"/>
      <c r="N2386" s="3"/>
      <c r="O2386" s="3"/>
      <c r="P2386" s="3"/>
      <c r="Q2386" s="3"/>
    </row>
    <row r="2387" spans="2:17" x14ac:dyDescent="0.2">
      <c r="B2387" s="3"/>
      <c r="F2387" s="3"/>
      <c r="G2387" s="3"/>
      <c r="I2387" s="3"/>
      <c r="J2387" s="3"/>
      <c r="K2387" s="3"/>
      <c r="L2387" s="3"/>
      <c r="M2387" s="3"/>
      <c r="N2387" s="3"/>
      <c r="O2387" s="3"/>
      <c r="P2387" s="3"/>
      <c r="Q2387" s="3"/>
    </row>
    <row r="2388" spans="2:17" x14ac:dyDescent="0.2">
      <c r="B2388" s="3"/>
      <c r="F2388" s="3"/>
      <c r="G2388" s="3"/>
      <c r="I2388" s="3"/>
      <c r="J2388" s="3"/>
      <c r="K2388" s="3"/>
      <c r="L2388" s="3"/>
      <c r="M2388" s="3"/>
      <c r="N2388" s="3"/>
      <c r="O2388" s="3"/>
      <c r="P2388" s="3"/>
      <c r="Q2388" s="3"/>
    </row>
    <row r="2389" spans="2:17" x14ac:dyDescent="0.2">
      <c r="B2389" s="3"/>
      <c r="F2389" s="3"/>
      <c r="G2389" s="3"/>
      <c r="I2389" s="3"/>
      <c r="J2389" s="3"/>
      <c r="K2389" s="3"/>
      <c r="L2389" s="3"/>
      <c r="M2389" s="3"/>
      <c r="N2389" s="3"/>
      <c r="O2389" s="3"/>
      <c r="P2389" s="3"/>
      <c r="Q2389" s="3"/>
    </row>
    <row r="2390" spans="2:17" x14ac:dyDescent="0.2">
      <c r="B2390" s="3"/>
      <c r="F2390" s="3"/>
      <c r="G2390" s="3"/>
      <c r="I2390" s="3"/>
      <c r="J2390" s="3"/>
      <c r="K2390" s="3"/>
      <c r="L2390" s="3"/>
      <c r="M2390" s="3"/>
      <c r="N2390" s="3"/>
      <c r="O2390" s="3"/>
      <c r="P2390" s="3"/>
      <c r="Q2390" s="3"/>
    </row>
    <row r="2391" spans="2:17" x14ac:dyDescent="0.2">
      <c r="B2391" s="3"/>
      <c r="F2391" s="3"/>
      <c r="G2391" s="3"/>
      <c r="I2391" s="3"/>
      <c r="J2391" s="3"/>
      <c r="K2391" s="3"/>
      <c r="L2391" s="3"/>
      <c r="M2391" s="3"/>
      <c r="N2391" s="3"/>
      <c r="O2391" s="3"/>
      <c r="P2391" s="3"/>
      <c r="Q2391" s="3"/>
    </row>
    <row r="2392" spans="2:17" x14ac:dyDescent="0.2">
      <c r="B2392" s="3"/>
      <c r="F2392" s="3"/>
      <c r="G2392" s="3"/>
      <c r="I2392" s="3"/>
      <c r="J2392" s="3"/>
      <c r="K2392" s="3"/>
      <c r="L2392" s="3"/>
      <c r="M2392" s="3"/>
      <c r="N2392" s="3"/>
      <c r="O2392" s="3"/>
      <c r="P2392" s="3"/>
      <c r="Q2392" s="3"/>
    </row>
    <row r="2393" spans="2:17" x14ac:dyDescent="0.2">
      <c r="B2393" s="3"/>
      <c r="F2393" s="3"/>
      <c r="G2393" s="3"/>
      <c r="I2393" s="3"/>
      <c r="J2393" s="3"/>
      <c r="K2393" s="3"/>
      <c r="L2393" s="3"/>
      <c r="M2393" s="3"/>
      <c r="N2393" s="3"/>
      <c r="O2393" s="3"/>
      <c r="P2393" s="3"/>
      <c r="Q2393" s="3"/>
    </row>
    <row r="2394" spans="2:17" x14ac:dyDescent="0.2">
      <c r="B2394" s="3"/>
      <c r="F2394" s="3"/>
      <c r="G2394" s="3"/>
      <c r="I2394" s="3"/>
      <c r="J2394" s="3"/>
      <c r="K2394" s="3"/>
      <c r="L2394" s="3"/>
      <c r="M2394" s="3"/>
      <c r="N2394" s="3"/>
      <c r="O2394" s="3"/>
      <c r="P2394" s="3"/>
      <c r="Q2394" s="3"/>
    </row>
    <row r="2395" spans="2:17" x14ac:dyDescent="0.2">
      <c r="B2395" s="3"/>
      <c r="F2395" s="3"/>
      <c r="G2395" s="3"/>
      <c r="I2395" s="3"/>
      <c r="J2395" s="3"/>
      <c r="K2395" s="3"/>
      <c r="L2395" s="3"/>
      <c r="M2395" s="3"/>
      <c r="N2395" s="3"/>
      <c r="O2395" s="3"/>
      <c r="P2395" s="3"/>
      <c r="Q2395" s="3"/>
    </row>
    <row r="2396" spans="2:17" x14ac:dyDescent="0.2">
      <c r="B2396" s="3"/>
      <c r="F2396" s="3"/>
      <c r="G2396" s="3"/>
      <c r="I2396" s="3"/>
      <c r="J2396" s="3"/>
      <c r="K2396" s="3"/>
      <c r="L2396" s="3"/>
      <c r="M2396" s="3"/>
      <c r="N2396" s="3"/>
      <c r="O2396" s="3"/>
      <c r="P2396" s="3"/>
      <c r="Q2396" s="3"/>
    </row>
    <row r="2397" spans="2:17" x14ac:dyDescent="0.2">
      <c r="B2397" s="3"/>
      <c r="F2397" s="3"/>
      <c r="G2397" s="3"/>
      <c r="I2397" s="3"/>
      <c r="J2397" s="3"/>
      <c r="K2397" s="3"/>
      <c r="L2397" s="3"/>
      <c r="M2397" s="3"/>
      <c r="N2397" s="3"/>
      <c r="O2397" s="3"/>
      <c r="P2397" s="3"/>
      <c r="Q2397" s="3"/>
    </row>
    <row r="2398" spans="2:17" x14ac:dyDescent="0.2">
      <c r="B2398" s="3"/>
      <c r="F2398" s="3"/>
      <c r="G2398" s="3"/>
      <c r="I2398" s="3"/>
      <c r="J2398" s="3"/>
      <c r="K2398" s="3"/>
      <c r="L2398" s="3"/>
      <c r="M2398" s="3"/>
      <c r="N2398" s="3"/>
      <c r="O2398" s="3"/>
      <c r="P2398" s="3"/>
      <c r="Q2398" s="3"/>
    </row>
    <row r="2399" spans="2:17" x14ac:dyDescent="0.2">
      <c r="B2399" s="3"/>
      <c r="F2399" s="3"/>
      <c r="G2399" s="3"/>
      <c r="I2399" s="3"/>
      <c r="J2399" s="3"/>
      <c r="K2399" s="3"/>
      <c r="L2399" s="3"/>
      <c r="M2399" s="3"/>
      <c r="N2399" s="3"/>
      <c r="O2399" s="3"/>
      <c r="P2399" s="3"/>
      <c r="Q2399" s="3"/>
    </row>
    <row r="2400" spans="2:17" x14ac:dyDescent="0.2">
      <c r="B2400" s="3"/>
      <c r="F2400" s="3"/>
      <c r="G2400" s="3"/>
      <c r="I2400" s="3"/>
      <c r="J2400" s="3"/>
      <c r="K2400" s="3"/>
      <c r="L2400" s="3"/>
      <c r="M2400" s="3"/>
      <c r="N2400" s="3"/>
      <c r="O2400" s="3"/>
      <c r="P2400" s="3"/>
      <c r="Q2400" s="3"/>
    </row>
    <row r="2401" spans="2:17" x14ac:dyDescent="0.2">
      <c r="B2401" s="3"/>
      <c r="F2401" s="3"/>
      <c r="G2401" s="3"/>
      <c r="I2401" s="3"/>
      <c r="J2401" s="3"/>
      <c r="K2401" s="3"/>
      <c r="L2401" s="3"/>
      <c r="M2401" s="3"/>
      <c r="N2401" s="3"/>
      <c r="O2401" s="3"/>
      <c r="P2401" s="3"/>
      <c r="Q2401" s="3"/>
    </row>
    <row r="2402" spans="2:17" x14ac:dyDescent="0.2">
      <c r="B2402" s="3"/>
      <c r="F2402" s="3"/>
      <c r="G2402" s="3"/>
      <c r="I2402" s="3"/>
      <c r="J2402" s="3"/>
      <c r="K2402" s="3"/>
      <c r="L2402" s="3"/>
      <c r="M2402" s="3"/>
      <c r="N2402" s="3"/>
      <c r="O2402" s="3"/>
      <c r="P2402" s="3"/>
      <c r="Q2402" s="3"/>
    </row>
    <row r="2403" spans="2:17" x14ac:dyDescent="0.2">
      <c r="B2403" s="3"/>
      <c r="F2403" s="3"/>
      <c r="G2403" s="3"/>
      <c r="I2403" s="3"/>
      <c r="J2403" s="3"/>
      <c r="K2403" s="3"/>
      <c r="L2403" s="3"/>
      <c r="M2403" s="3"/>
      <c r="N2403" s="3"/>
      <c r="O2403" s="3"/>
      <c r="P2403" s="3"/>
      <c r="Q2403" s="3"/>
    </row>
    <row r="2404" spans="2:17" x14ac:dyDescent="0.2">
      <c r="B2404" s="3"/>
      <c r="F2404" s="3"/>
      <c r="G2404" s="3"/>
      <c r="I2404" s="3"/>
      <c r="J2404" s="3"/>
      <c r="K2404" s="3"/>
      <c r="L2404" s="3"/>
      <c r="M2404" s="3"/>
      <c r="N2404" s="3"/>
      <c r="O2404" s="3"/>
      <c r="P2404" s="3"/>
      <c r="Q2404" s="3"/>
    </row>
    <row r="2405" spans="2:17" x14ac:dyDescent="0.2">
      <c r="B2405" s="3"/>
      <c r="F2405" s="3"/>
      <c r="G2405" s="3"/>
      <c r="I2405" s="3"/>
      <c r="J2405" s="3"/>
      <c r="K2405" s="3"/>
      <c r="L2405" s="3"/>
      <c r="M2405" s="3"/>
      <c r="N2405" s="3"/>
      <c r="O2405" s="3"/>
      <c r="P2405" s="3"/>
      <c r="Q2405" s="3"/>
    </row>
    <row r="2406" spans="2:17" x14ac:dyDescent="0.2">
      <c r="B2406" s="3"/>
      <c r="F2406" s="3"/>
      <c r="G2406" s="3"/>
      <c r="I2406" s="3"/>
      <c r="J2406" s="3"/>
      <c r="K2406" s="3"/>
      <c r="L2406" s="3"/>
      <c r="M2406" s="3"/>
      <c r="N2406" s="3"/>
      <c r="O2406" s="3"/>
      <c r="P2406" s="3"/>
      <c r="Q2406" s="3"/>
    </row>
    <row r="2407" spans="2:17" x14ac:dyDescent="0.2">
      <c r="B2407" s="3"/>
      <c r="F2407" s="3"/>
      <c r="G2407" s="3"/>
      <c r="I2407" s="3"/>
      <c r="J2407" s="3"/>
      <c r="K2407" s="3"/>
      <c r="L2407" s="3"/>
      <c r="M2407" s="3"/>
      <c r="N2407" s="3"/>
      <c r="O2407" s="3"/>
      <c r="P2407" s="3"/>
      <c r="Q2407" s="3"/>
    </row>
    <row r="2408" spans="2:17" x14ac:dyDescent="0.2">
      <c r="B2408" s="3"/>
      <c r="F2408" s="3"/>
      <c r="G2408" s="3"/>
      <c r="I2408" s="3"/>
      <c r="J2408" s="3"/>
      <c r="K2408" s="3"/>
      <c r="L2408" s="3"/>
      <c r="M2408" s="3"/>
      <c r="N2408" s="3"/>
      <c r="O2408" s="3"/>
      <c r="P2408" s="3"/>
      <c r="Q2408" s="3"/>
    </row>
    <row r="2409" spans="2:17" x14ac:dyDescent="0.2">
      <c r="B2409" s="3"/>
      <c r="F2409" s="3"/>
      <c r="G2409" s="3"/>
      <c r="I2409" s="3"/>
      <c r="J2409" s="3"/>
      <c r="K2409" s="3"/>
      <c r="L2409" s="3"/>
      <c r="M2409" s="3"/>
      <c r="N2409" s="3"/>
      <c r="O2409" s="3"/>
      <c r="P2409" s="3"/>
      <c r="Q2409" s="3"/>
    </row>
    <row r="2410" spans="2:17" x14ac:dyDescent="0.2">
      <c r="B2410" s="3"/>
      <c r="F2410" s="3"/>
      <c r="G2410" s="3"/>
      <c r="I2410" s="3"/>
      <c r="J2410" s="3"/>
      <c r="K2410" s="3"/>
      <c r="L2410" s="3"/>
      <c r="M2410" s="3"/>
      <c r="N2410" s="3"/>
      <c r="O2410" s="3"/>
      <c r="P2410" s="3"/>
      <c r="Q2410" s="3"/>
    </row>
    <row r="2411" spans="2:17" x14ac:dyDescent="0.2">
      <c r="B2411" s="3"/>
      <c r="F2411" s="3"/>
      <c r="G2411" s="3"/>
      <c r="I2411" s="3"/>
      <c r="J2411" s="3"/>
      <c r="K2411" s="3"/>
      <c r="L2411" s="3"/>
      <c r="M2411" s="3"/>
      <c r="N2411" s="3"/>
      <c r="O2411" s="3"/>
      <c r="P2411" s="3"/>
      <c r="Q2411" s="3"/>
    </row>
    <row r="2412" spans="2:17" x14ac:dyDescent="0.2">
      <c r="B2412" s="3"/>
      <c r="F2412" s="3"/>
      <c r="G2412" s="3"/>
      <c r="I2412" s="3"/>
      <c r="J2412" s="3"/>
      <c r="K2412" s="3"/>
      <c r="L2412" s="3"/>
      <c r="M2412" s="3"/>
      <c r="N2412" s="3"/>
      <c r="O2412" s="3"/>
      <c r="P2412" s="3"/>
      <c r="Q2412" s="3"/>
    </row>
    <row r="2413" spans="2:17" x14ac:dyDescent="0.2">
      <c r="B2413" s="3"/>
      <c r="F2413" s="3"/>
      <c r="G2413" s="3"/>
      <c r="I2413" s="3"/>
      <c r="J2413" s="3"/>
      <c r="K2413" s="3"/>
      <c r="L2413" s="3"/>
      <c r="M2413" s="3"/>
      <c r="N2413" s="3"/>
      <c r="O2413" s="3"/>
      <c r="P2413" s="3"/>
      <c r="Q2413" s="3"/>
    </row>
    <row r="2414" spans="2:17" x14ac:dyDescent="0.2">
      <c r="B2414" s="3"/>
      <c r="F2414" s="3"/>
      <c r="G2414" s="3"/>
      <c r="I2414" s="3"/>
      <c r="J2414" s="3"/>
      <c r="K2414" s="3"/>
      <c r="L2414" s="3"/>
      <c r="M2414" s="3"/>
      <c r="N2414" s="3"/>
      <c r="O2414" s="3"/>
      <c r="P2414" s="3"/>
      <c r="Q2414" s="3"/>
    </row>
    <row r="2415" spans="2:17" x14ac:dyDescent="0.2">
      <c r="B2415" s="3"/>
      <c r="F2415" s="3"/>
      <c r="G2415" s="3"/>
      <c r="I2415" s="3"/>
      <c r="J2415" s="3"/>
      <c r="K2415" s="3"/>
      <c r="L2415" s="3"/>
      <c r="M2415" s="3"/>
      <c r="N2415" s="3"/>
      <c r="O2415" s="3"/>
      <c r="P2415" s="3"/>
      <c r="Q2415" s="3"/>
    </row>
    <row r="2416" spans="2:17" x14ac:dyDescent="0.2">
      <c r="B2416" s="3"/>
      <c r="F2416" s="3"/>
      <c r="G2416" s="3"/>
      <c r="I2416" s="3"/>
      <c r="J2416" s="3"/>
      <c r="K2416" s="3"/>
      <c r="L2416" s="3"/>
      <c r="M2416" s="3"/>
      <c r="N2416" s="3"/>
      <c r="O2416" s="3"/>
      <c r="P2416" s="3"/>
      <c r="Q2416" s="3"/>
    </row>
    <row r="2417" spans="2:17" x14ac:dyDescent="0.2">
      <c r="B2417" s="3"/>
      <c r="F2417" s="3"/>
      <c r="G2417" s="3"/>
      <c r="I2417" s="3"/>
      <c r="J2417" s="3"/>
      <c r="K2417" s="3"/>
      <c r="L2417" s="3"/>
      <c r="M2417" s="3"/>
      <c r="N2417" s="3"/>
      <c r="O2417" s="3"/>
      <c r="P2417" s="3"/>
      <c r="Q2417" s="3"/>
    </row>
    <row r="2418" spans="2:17" x14ac:dyDescent="0.2">
      <c r="B2418" s="3"/>
      <c r="F2418" s="3"/>
      <c r="G2418" s="3"/>
      <c r="I2418" s="3"/>
      <c r="J2418" s="3"/>
      <c r="K2418" s="3"/>
      <c r="L2418" s="3"/>
      <c r="M2418" s="3"/>
      <c r="N2418" s="3"/>
      <c r="O2418" s="3"/>
      <c r="P2418" s="3"/>
      <c r="Q2418" s="3"/>
    </row>
    <row r="2419" spans="2:17" x14ac:dyDescent="0.2">
      <c r="B2419" s="3"/>
      <c r="F2419" s="3"/>
      <c r="G2419" s="3"/>
      <c r="I2419" s="3"/>
      <c r="J2419" s="3"/>
      <c r="K2419" s="3"/>
      <c r="L2419" s="3"/>
      <c r="M2419" s="3"/>
      <c r="N2419" s="3"/>
      <c r="O2419" s="3"/>
      <c r="P2419" s="3"/>
      <c r="Q2419" s="3"/>
    </row>
    <row r="2420" spans="2:17" x14ac:dyDescent="0.2">
      <c r="B2420" s="3"/>
      <c r="F2420" s="3"/>
      <c r="G2420" s="3"/>
      <c r="I2420" s="3"/>
      <c r="J2420" s="3"/>
      <c r="K2420" s="3"/>
      <c r="L2420" s="3"/>
      <c r="M2420" s="3"/>
      <c r="N2420" s="3"/>
      <c r="O2420" s="3"/>
      <c r="P2420" s="3"/>
      <c r="Q2420" s="3"/>
    </row>
    <row r="2421" spans="2:17" x14ac:dyDescent="0.2">
      <c r="B2421" s="3"/>
      <c r="F2421" s="3"/>
      <c r="G2421" s="3"/>
      <c r="I2421" s="3"/>
      <c r="J2421" s="3"/>
      <c r="K2421" s="3"/>
      <c r="L2421" s="3"/>
      <c r="M2421" s="3"/>
      <c r="N2421" s="3"/>
      <c r="O2421" s="3"/>
      <c r="P2421" s="3"/>
      <c r="Q2421" s="3"/>
    </row>
    <row r="2422" spans="2:17" x14ac:dyDescent="0.2">
      <c r="B2422" s="3"/>
      <c r="F2422" s="3"/>
      <c r="G2422" s="3"/>
      <c r="I2422" s="3"/>
      <c r="J2422" s="3"/>
      <c r="K2422" s="3"/>
      <c r="L2422" s="3"/>
      <c r="M2422" s="3"/>
      <c r="N2422" s="3"/>
      <c r="O2422" s="3"/>
      <c r="P2422" s="3"/>
      <c r="Q2422" s="3"/>
    </row>
    <row r="2423" spans="2:17" x14ac:dyDescent="0.2">
      <c r="B2423" s="3"/>
      <c r="F2423" s="3"/>
      <c r="G2423" s="3"/>
      <c r="I2423" s="3"/>
      <c r="J2423" s="3"/>
      <c r="K2423" s="3"/>
      <c r="L2423" s="3"/>
      <c r="M2423" s="3"/>
      <c r="N2423" s="3"/>
      <c r="O2423" s="3"/>
      <c r="P2423" s="3"/>
      <c r="Q2423" s="3"/>
    </row>
    <row r="2424" spans="2:17" x14ac:dyDescent="0.2">
      <c r="B2424" s="3"/>
      <c r="F2424" s="3"/>
      <c r="G2424" s="3"/>
      <c r="I2424" s="3"/>
      <c r="J2424" s="3"/>
      <c r="K2424" s="3"/>
      <c r="L2424" s="3"/>
      <c r="M2424" s="3"/>
      <c r="N2424" s="3"/>
      <c r="O2424" s="3"/>
      <c r="P2424" s="3"/>
      <c r="Q2424" s="3"/>
    </row>
    <row r="2425" spans="2:17" x14ac:dyDescent="0.2">
      <c r="B2425" s="3"/>
      <c r="F2425" s="3"/>
      <c r="G2425" s="3"/>
      <c r="I2425" s="3"/>
      <c r="J2425" s="3"/>
      <c r="K2425" s="3"/>
      <c r="L2425" s="3"/>
      <c r="M2425" s="3"/>
      <c r="N2425" s="3"/>
      <c r="O2425" s="3"/>
      <c r="P2425" s="3"/>
      <c r="Q2425" s="3"/>
    </row>
    <row r="2426" spans="2:17" x14ac:dyDescent="0.2">
      <c r="B2426" s="3"/>
      <c r="F2426" s="3"/>
      <c r="G2426" s="3"/>
      <c r="I2426" s="3"/>
      <c r="J2426" s="3"/>
      <c r="K2426" s="3"/>
      <c r="L2426" s="3"/>
      <c r="M2426" s="3"/>
      <c r="N2426" s="3"/>
      <c r="O2426" s="3"/>
      <c r="P2426" s="3"/>
      <c r="Q2426" s="3"/>
    </row>
    <row r="2427" spans="2:17" x14ac:dyDescent="0.2">
      <c r="B2427" s="3"/>
      <c r="F2427" s="3"/>
      <c r="G2427" s="3"/>
      <c r="I2427" s="3"/>
      <c r="J2427" s="3"/>
      <c r="K2427" s="3"/>
      <c r="L2427" s="3"/>
      <c r="M2427" s="3"/>
      <c r="N2427" s="3"/>
      <c r="O2427" s="3"/>
      <c r="P2427" s="3"/>
      <c r="Q2427" s="3"/>
    </row>
    <row r="2428" spans="2:17" x14ac:dyDescent="0.2">
      <c r="B2428" s="3"/>
      <c r="F2428" s="3"/>
      <c r="G2428" s="3"/>
      <c r="I2428" s="3"/>
      <c r="J2428" s="3"/>
      <c r="K2428" s="3"/>
      <c r="L2428" s="3"/>
      <c r="M2428" s="3"/>
      <c r="N2428" s="3"/>
      <c r="O2428" s="3"/>
      <c r="P2428" s="3"/>
      <c r="Q2428" s="3"/>
    </row>
    <row r="2429" spans="2:17" x14ac:dyDescent="0.2">
      <c r="B2429" s="3"/>
      <c r="F2429" s="3"/>
      <c r="G2429" s="3"/>
      <c r="I2429" s="3"/>
      <c r="J2429" s="3"/>
      <c r="K2429" s="3"/>
      <c r="L2429" s="3"/>
      <c r="M2429" s="3"/>
      <c r="N2429" s="3"/>
      <c r="O2429" s="3"/>
      <c r="P2429" s="3"/>
      <c r="Q2429" s="3"/>
    </row>
    <row r="2430" spans="2:17" x14ac:dyDescent="0.2">
      <c r="B2430" s="3"/>
      <c r="F2430" s="3"/>
      <c r="G2430" s="3"/>
      <c r="I2430" s="3"/>
      <c r="J2430" s="3"/>
      <c r="K2430" s="3"/>
      <c r="L2430" s="3"/>
      <c r="M2430" s="3"/>
      <c r="N2430" s="3"/>
      <c r="O2430" s="3"/>
      <c r="P2430" s="3"/>
      <c r="Q2430" s="3"/>
    </row>
    <row r="2431" spans="2:17" x14ac:dyDescent="0.2">
      <c r="B2431" s="3"/>
      <c r="F2431" s="3"/>
      <c r="G2431" s="3"/>
      <c r="I2431" s="3"/>
      <c r="J2431" s="3"/>
      <c r="K2431" s="3"/>
      <c r="L2431" s="3"/>
      <c r="M2431" s="3"/>
      <c r="N2431" s="3"/>
      <c r="O2431" s="3"/>
      <c r="P2431" s="3"/>
      <c r="Q2431" s="3"/>
    </row>
    <row r="2432" spans="2:17" x14ac:dyDescent="0.2">
      <c r="B2432" s="3"/>
      <c r="F2432" s="3"/>
      <c r="G2432" s="3"/>
      <c r="I2432" s="3"/>
      <c r="J2432" s="3"/>
      <c r="K2432" s="3"/>
      <c r="L2432" s="3"/>
      <c r="M2432" s="3"/>
      <c r="N2432" s="3"/>
      <c r="O2432" s="3"/>
      <c r="P2432" s="3"/>
      <c r="Q2432" s="3"/>
    </row>
    <row r="2433" spans="2:17" x14ac:dyDescent="0.2">
      <c r="B2433" s="3"/>
      <c r="F2433" s="3"/>
      <c r="G2433" s="3"/>
      <c r="I2433" s="3"/>
      <c r="J2433" s="3"/>
      <c r="K2433" s="3"/>
      <c r="L2433" s="3"/>
      <c r="M2433" s="3"/>
      <c r="N2433" s="3"/>
      <c r="O2433" s="3"/>
      <c r="P2433" s="3"/>
      <c r="Q2433" s="3"/>
    </row>
    <row r="2434" spans="2:17" x14ac:dyDescent="0.2">
      <c r="B2434" s="3"/>
      <c r="F2434" s="3"/>
      <c r="G2434" s="3"/>
      <c r="I2434" s="3"/>
      <c r="J2434" s="3"/>
      <c r="K2434" s="3"/>
      <c r="L2434" s="3"/>
      <c r="M2434" s="3"/>
      <c r="N2434" s="3"/>
      <c r="O2434" s="3"/>
      <c r="P2434" s="3"/>
      <c r="Q2434" s="3"/>
    </row>
    <row r="2435" spans="2:17" x14ac:dyDescent="0.2">
      <c r="B2435" s="3"/>
      <c r="F2435" s="3"/>
      <c r="G2435" s="3"/>
      <c r="I2435" s="3"/>
      <c r="J2435" s="3"/>
      <c r="K2435" s="3"/>
      <c r="L2435" s="3"/>
      <c r="M2435" s="3"/>
      <c r="N2435" s="3"/>
      <c r="O2435" s="3"/>
      <c r="P2435" s="3"/>
      <c r="Q2435" s="3"/>
    </row>
    <row r="2436" spans="2:17" x14ac:dyDescent="0.2">
      <c r="B2436" s="3"/>
      <c r="F2436" s="3"/>
      <c r="G2436" s="3"/>
      <c r="I2436" s="3"/>
      <c r="J2436" s="3"/>
      <c r="K2436" s="3"/>
      <c r="L2436" s="3"/>
      <c r="M2436" s="3"/>
      <c r="N2436" s="3"/>
      <c r="O2436" s="3"/>
      <c r="P2436" s="3"/>
      <c r="Q2436" s="3"/>
    </row>
    <row r="2437" spans="2:17" x14ac:dyDescent="0.2">
      <c r="B2437" s="3"/>
      <c r="F2437" s="3"/>
      <c r="G2437" s="3"/>
      <c r="I2437" s="3"/>
      <c r="J2437" s="3"/>
      <c r="K2437" s="3"/>
      <c r="L2437" s="3"/>
      <c r="M2437" s="3"/>
      <c r="N2437" s="3"/>
      <c r="O2437" s="3"/>
      <c r="P2437" s="3"/>
      <c r="Q2437" s="3"/>
    </row>
    <row r="2438" spans="2:17" x14ac:dyDescent="0.2">
      <c r="B2438" s="3"/>
      <c r="F2438" s="3"/>
      <c r="G2438" s="3"/>
      <c r="I2438" s="3"/>
      <c r="J2438" s="3"/>
      <c r="K2438" s="3"/>
      <c r="L2438" s="3"/>
      <c r="M2438" s="3"/>
      <c r="N2438" s="3"/>
      <c r="O2438" s="3"/>
      <c r="P2438" s="3"/>
      <c r="Q2438" s="3"/>
    </row>
    <row r="2439" spans="2:17" x14ac:dyDescent="0.2">
      <c r="B2439" s="3"/>
      <c r="F2439" s="3"/>
      <c r="G2439" s="3"/>
      <c r="I2439" s="3"/>
      <c r="J2439" s="3"/>
      <c r="K2439" s="3"/>
      <c r="L2439" s="3"/>
      <c r="M2439" s="3"/>
      <c r="N2439" s="3"/>
      <c r="O2439" s="3"/>
      <c r="P2439" s="3"/>
      <c r="Q2439" s="3"/>
    </row>
    <row r="2440" spans="2:17" x14ac:dyDescent="0.2">
      <c r="B2440" s="3"/>
      <c r="F2440" s="3"/>
      <c r="G2440" s="3"/>
      <c r="I2440" s="3"/>
      <c r="J2440" s="3"/>
      <c r="K2440" s="3"/>
      <c r="L2440" s="3"/>
      <c r="M2440" s="3"/>
      <c r="N2440" s="3"/>
      <c r="O2440" s="3"/>
      <c r="P2440" s="3"/>
      <c r="Q2440" s="3"/>
    </row>
    <row r="2441" spans="2:17" x14ac:dyDescent="0.2">
      <c r="B2441" s="3"/>
      <c r="F2441" s="3"/>
      <c r="G2441" s="3"/>
      <c r="I2441" s="3"/>
      <c r="J2441" s="3"/>
      <c r="K2441" s="3"/>
      <c r="L2441" s="3"/>
      <c r="M2441" s="3"/>
      <c r="N2441" s="3"/>
      <c r="O2441" s="3"/>
      <c r="P2441" s="3"/>
      <c r="Q2441" s="3"/>
    </row>
    <row r="2442" spans="2:17" x14ac:dyDescent="0.2">
      <c r="B2442" s="3"/>
      <c r="F2442" s="3"/>
      <c r="G2442" s="3"/>
      <c r="I2442" s="3"/>
      <c r="J2442" s="3"/>
      <c r="K2442" s="3"/>
      <c r="L2442" s="3"/>
      <c r="M2442" s="3"/>
      <c r="N2442" s="3"/>
      <c r="O2442" s="3"/>
      <c r="P2442" s="3"/>
      <c r="Q2442" s="3"/>
    </row>
    <row r="2443" spans="2:17" x14ac:dyDescent="0.2">
      <c r="B2443" s="3"/>
      <c r="F2443" s="3"/>
      <c r="G2443" s="3"/>
      <c r="I2443" s="3"/>
      <c r="J2443" s="3"/>
      <c r="K2443" s="3"/>
      <c r="L2443" s="3"/>
      <c r="M2443" s="3"/>
      <c r="N2443" s="3"/>
      <c r="O2443" s="3"/>
      <c r="P2443" s="3"/>
      <c r="Q2443" s="3"/>
    </row>
    <row r="2444" spans="2:17" x14ac:dyDescent="0.2">
      <c r="B2444" s="3"/>
      <c r="F2444" s="3"/>
      <c r="G2444" s="3"/>
      <c r="I2444" s="3"/>
      <c r="J2444" s="3"/>
      <c r="K2444" s="3"/>
      <c r="L2444" s="3"/>
      <c r="M2444" s="3"/>
      <c r="N2444" s="3"/>
      <c r="O2444" s="3"/>
      <c r="P2444" s="3"/>
      <c r="Q2444" s="3"/>
    </row>
    <row r="2445" spans="2:17" x14ac:dyDescent="0.2">
      <c r="B2445" s="3"/>
      <c r="F2445" s="3"/>
      <c r="G2445" s="3"/>
      <c r="I2445" s="3"/>
      <c r="J2445" s="3"/>
      <c r="K2445" s="3"/>
      <c r="L2445" s="3"/>
      <c r="M2445" s="3"/>
      <c r="N2445" s="3"/>
      <c r="O2445" s="3"/>
      <c r="P2445" s="3"/>
      <c r="Q2445" s="3"/>
    </row>
    <row r="2446" spans="2:17" x14ac:dyDescent="0.2">
      <c r="B2446" s="3"/>
      <c r="F2446" s="3"/>
      <c r="G2446" s="3"/>
      <c r="I2446" s="3"/>
      <c r="J2446" s="3"/>
      <c r="K2446" s="3"/>
      <c r="L2446" s="3"/>
      <c r="M2446" s="3"/>
      <c r="N2446" s="3"/>
      <c r="O2446" s="3"/>
      <c r="P2446" s="3"/>
      <c r="Q2446" s="3"/>
    </row>
    <row r="2447" spans="2:17" x14ac:dyDescent="0.2">
      <c r="B2447" s="3"/>
      <c r="F2447" s="3"/>
      <c r="G2447" s="3"/>
      <c r="I2447" s="3"/>
      <c r="J2447" s="3"/>
      <c r="K2447" s="3"/>
      <c r="L2447" s="3"/>
      <c r="M2447" s="3"/>
      <c r="N2447" s="3"/>
      <c r="O2447" s="3"/>
      <c r="P2447" s="3"/>
      <c r="Q2447" s="3"/>
    </row>
    <row r="2448" spans="2:17" x14ac:dyDescent="0.2">
      <c r="B2448" s="3"/>
      <c r="F2448" s="3"/>
      <c r="G2448" s="3"/>
      <c r="I2448" s="3"/>
      <c r="J2448" s="3"/>
      <c r="K2448" s="3"/>
      <c r="L2448" s="3"/>
      <c r="M2448" s="3"/>
      <c r="N2448" s="3"/>
      <c r="O2448" s="3"/>
      <c r="P2448" s="3"/>
      <c r="Q2448" s="3"/>
    </row>
    <row r="2449" spans="2:17" x14ac:dyDescent="0.2">
      <c r="B2449" s="3"/>
      <c r="F2449" s="3"/>
      <c r="G2449" s="3"/>
      <c r="I2449" s="3"/>
      <c r="J2449" s="3"/>
      <c r="K2449" s="3"/>
      <c r="L2449" s="3"/>
      <c r="M2449" s="3"/>
      <c r="N2449" s="3"/>
      <c r="O2449" s="3"/>
      <c r="P2449" s="3"/>
      <c r="Q2449" s="3"/>
    </row>
    <row r="2450" spans="2:17" x14ac:dyDescent="0.2">
      <c r="B2450" s="3"/>
      <c r="F2450" s="3"/>
      <c r="G2450" s="3"/>
      <c r="I2450" s="3"/>
      <c r="J2450" s="3"/>
      <c r="K2450" s="3"/>
      <c r="L2450" s="3"/>
      <c r="M2450" s="3"/>
      <c r="N2450" s="3"/>
      <c r="O2450" s="3"/>
      <c r="P2450" s="3"/>
      <c r="Q2450" s="3"/>
    </row>
    <row r="2451" spans="2:17" x14ac:dyDescent="0.2">
      <c r="B2451" s="3"/>
      <c r="F2451" s="3"/>
      <c r="G2451" s="3"/>
      <c r="I2451" s="3"/>
      <c r="J2451" s="3"/>
      <c r="K2451" s="3"/>
      <c r="L2451" s="3"/>
      <c r="M2451" s="3"/>
      <c r="N2451" s="3"/>
      <c r="O2451" s="3"/>
      <c r="P2451" s="3"/>
      <c r="Q2451" s="3"/>
    </row>
    <row r="2452" spans="2:17" x14ac:dyDescent="0.2">
      <c r="B2452" s="3"/>
      <c r="F2452" s="3"/>
      <c r="G2452" s="3"/>
      <c r="I2452" s="3"/>
      <c r="J2452" s="3"/>
      <c r="K2452" s="3"/>
      <c r="L2452" s="3"/>
      <c r="M2452" s="3"/>
      <c r="N2452" s="3"/>
      <c r="O2452" s="3"/>
      <c r="P2452" s="3"/>
      <c r="Q2452" s="3"/>
    </row>
    <row r="2453" spans="2:17" x14ac:dyDescent="0.2">
      <c r="B2453" s="3"/>
      <c r="F2453" s="3"/>
      <c r="G2453" s="3"/>
      <c r="I2453" s="3"/>
      <c r="J2453" s="3"/>
      <c r="K2453" s="3"/>
      <c r="L2453" s="3"/>
      <c r="M2453" s="3"/>
      <c r="N2453" s="3"/>
      <c r="O2453" s="3"/>
      <c r="P2453" s="3"/>
      <c r="Q2453" s="3"/>
    </row>
    <row r="2454" spans="2:17" x14ac:dyDescent="0.2">
      <c r="B2454" s="3"/>
      <c r="F2454" s="3"/>
      <c r="G2454" s="3"/>
      <c r="I2454" s="3"/>
      <c r="J2454" s="3"/>
      <c r="K2454" s="3"/>
      <c r="L2454" s="3"/>
      <c r="M2454" s="3"/>
      <c r="N2454" s="3"/>
      <c r="O2454" s="3"/>
      <c r="P2454" s="3"/>
      <c r="Q2454" s="3"/>
    </row>
    <row r="2455" spans="2:17" x14ac:dyDescent="0.2">
      <c r="B2455" s="3"/>
      <c r="F2455" s="3"/>
      <c r="G2455" s="3"/>
      <c r="I2455" s="3"/>
      <c r="J2455" s="3"/>
      <c r="K2455" s="3"/>
      <c r="L2455" s="3"/>
      <c r="M2455" s="3"/>
      <c r="N2455" s="3"/>
      <c r="O2455" s="3"/>
      <c r="P2455" s="3"/>
      <c r="Q2455" s="3"/>
    </row>
    <row r="2456" spans="2:17" x14ac:dyDescent="0.2">
      <c r="B2456" s="3"/>
      <c r="F2456" s="3"/>
      <c r="G2456" s="3"/>
      <c r="I2456" s="3"/>
      <c r="J2456" s="3"/>
      <c r="K2456" s="3"/>
      <c r="L2456" s="3"/>
      <c r="M2456" s="3"/>
      <c r="N2456" s="3"/>
      <c r="O2456" s="3"/>
      <c r="P2456" s="3"/>
      <c r="Q2456" s="3"/>
    </row>
    <row r="2457" spans="2:17" x14ac:dyDescent="0.2">
      <c r="B2457" s="3"/>
      <c r="F2457" s="3"/>
      <c r="G2457" s="3"/>
      <c r="I2457" s="3"/>
      <c r="J2457" s="3"/>
      <c r="K2457" s="3"/>
      <c r="L2457" s="3"/>
      <c r="M2457" s="3"/>
      <c r="N2457" s="3"/>
      <c r="O2457" s="3"/>
      <c r="P2457" s="3"/>
      <c r="Q2457" s="3"/>
    </row>
    <row r="2458" spans="2:17" x14ac:dyDescent="0.2">
      <c r="B2458" s="3"/>
      <c r="F2458" s="3"/>
      <c r="G2458" s="3"/>
      <c r="I2458" s="3"/>
      <c r="J2458" s="3"/>
      <c r="K2458" s="3"/>
      <c r="L2458" s="3"/>
      <c r="M2458" s="3"/>
      <c r="N2458" s="3"/>
      <c r="O2458" s="3"/>
      <c r="P2458" s="3"/>
      <c r="Q2458" s="3"/>
    </row>
    <row r="2459" spans="2:17" x14ac:dyDescent="0.2">
      <c r="B2459" s="3"/>
      <c r="F2459" s="3"/>
      <c r="G2459" s="3"/>
      <c r="I2459" s="3"/>
      <c r="J2459" s="3"/>
      <c r="K2459" s="3"/>
      <c r="L2459" s="3"/>
      <c r="M2459" s="3"/>
      <c r="N2459" s="3"/>
      <c r="O2459" s="3"/>
      <c r="P2459" s="3"/>
      <c r="Q2459" s="3"/>
    </row>
    <row r="2460" spans="2:17" x14ac:dyDescent="0.2">
      <c r="B2460" s="3"/>
      <c r="F2460" s="3"/>
      <c r="G2460" s="3"/>
      <c r="I2460" s="3"/>
      <c r="J2460" s="3"/>
      <c r="K2460" s="3"/>
      <c r="L2460" s="3"/>
      <c r="M2460" s="3"/>
      <c r="N2460" s="3"/>
      <c r="O2460" s="3"/>
      <c r="P2460" s="3"/>
      <c r="Q2460" s="3"/>
    </row>
    <row r="2461" spans="2:17" x14ac:dyDescent="0.2">
      <c r="B2461" s="3"/>
      <c r="F2461" s="3"/>
      <c r="G2461" s="3"/>
      <c r="I2461" s="3"/>
      <c r="J2461" s="3"/>
      <c r="K2461" s="3"/>
      <c r="L2461" s="3"/>
      <c r="M2461" s="3"/>
      <c r="N2461" s="3"/>
      <c r="O2461" s="3"/>
      <c r="P2461" s="3"/>
      <c r="Q2461" s="3"/>
    </row>
    <row r="2462" spans="2:17" x14ac:dyDescent="0.2">
      <c r="B2462" s="3"/>
      <c r="F2462" s="3"/>
      <c r="G2462" s="3"/>
      <c r="I2462" s="3"/>
      <c r="J2462" s="3"/>
      <c r="K2462" s="3"/>
      <c r="L2462" s="3"/>
      <c r="M2462" s="3"/>
      <c r="N2462" s="3"/>
      <c r="O2462" s="3"/>
      <c r="P2462" s="3"/>
      <c r="Q2462" s="3"/>
    </row>
    <row r="2463" spans="2:17" x14ac:dyDescent="0.2">
      <c r="B2463" s="3"/>
      <c r="F2463" s="3"/>
      <c r="G2463" s="3"/>
      <c r="I2463" s="3"/>
      <c r="J2463" s="3"/>
      <c r="K2463" s="3"/>
      <c r="L2463" s="3"/>
      <c r="M2463" s="3"/>
      <c r="N2463" s="3"/>
      <c r="O2463" s="3"/>
      <c r="P2463" s="3"/>
      <c r="Q2463" s="3"/>
    </row>
    <row r="2464" spans="2:17" x14ac:dyDescent="0.2">
      <c r="B2464" s="3"/>
      <c r="F2464" s="3"/>
      <c r="G2464" s="3"/>
      <c r="I2464" s="3"/>
      <c r="J2464" s="3"/>
      <c r="K2464" s="3"/>
      <c r="L2464" s="3"/>
      <c r="M2464" s="3"/>
      <c r="N2464" s="3"/>
      <c r="O2464" s="3"/>
      <c r="P2464" s="3"/>
      <c r="Q2464" s="3"/>
    </row>
    <row r="2465" spans="2:17" x14ac:dyDescent="0.2">
      <c r="B2465" s="3"/>
      <c r="F2465" s="3"/>
      <c r="G2465" s="3"/>
      <c r="I2465" s="3"/>
      <c r="J2465" s="3"/>
      <c r="K2465" s="3"/>
      <c r="L2465" s="3"/>
      <c r="M2465" s="3"/>
      <c r="N2465" s="3"/>
      <c r="O2465" s="3"/>
      <c r="P2465" s="3"/>
      <c r="Q2465" s="3"/>
    </row>
    <row r="2466" spans="2:17" x14ac:dyDescent="0.2">
      <c r="B2466" s="3"/>
      <c r="F2466" s="3"/>
      <c r="G2466" s="3"/>
      <c r="I2466" s="3"/>
      <c r="J2466" s="3"/>
      <c r="K2466" s="3"/>
      <c r="L2466" s="3"/>
      <c r="M2466" s="3"/>
      <c r="N2466" s="3"/>
      <c r="O2466" s="3"/>
      <c r="P2466" s="3"/>
      <c r="Q2466" s="3"/>
    </row>
    <row r="2467" spans="2:17" x14ac:dyDescent="0.2">
      <c r="B2467" s="3"/>
      <c r="F2467" s="3"/>
      <c r="G2467" s="3"/>
      <c r="I2467" s="3"/>
      <c r="J2467" s="3"/>
      <c r="K2467" s="3"/>
      <c r="L2467" s="3"/>
      <c r="M2467" s="3"/>
      <c r="N2467" s="3"/>
      <c r="O2467" s="3"/>
      <c r="P2467" s="3"/>
      <c r="Q2467" s="3"/>
    </row>
    <row r="2468" spans="2:17" x14ac:dyDescent="0.2">
      <c r="B2468" s="3"/>
      <c r="F2468" s="3"/>
      <c r="G2468" s="3"/>
      <c r="I2468" s="3"/>
      <c r="J2468" s="3"/>
      <c r="K2468" s="3"/>
      <c r="L2468" s="3"/>
      <c r="M2468" s="3"/>
      <c r="N2468" s="3"/>
      <c r="O2468" s="3"/>
      <c r="P2468" s="3"/>
      <c r="Q2468" s="3"/>
    </row>
    <row r="2469" spans="2:17" x14ac:dyDescent="0.2">
      <c r="B2469" s="3"/>
      <c r="F2469" s="3"/>
      <c r="G2469" s="3"/>
      <c r="I2469" s="3"/>
      <c r="J2469" s="3"/>
      <c r="K2469" s="3"/>
      <c r="L2469" s="3"/>
      <c r="M2469" s="3"/>
      <c r="N2469" s="3"/>
      <c r="O2469" s="3"/>
      <c r="P2469" s="3"/>
      <c r="Q2469" s="3"/>
    </row>
    <row r="2470" spans="2:17" x14ac:dyDescent="0.2">
      <c r="B2470" s="3"/>
      <c r="F2470" s="3"/>
      <c r="G2470" s="3"/>
      <c r="I2470" s="3"/>
      <c r="J2470" s="3"/>
      <c r="K2470" s="3"/>
      <c r="L2470" s="3"/>
      <c r="M2470" s="3"/>
      <c r="N2470" s="3"/>
      <c r="O2470" s="3"/>
      <c r="P2470" s="3"/>
      <c r="Q2470" s="3"/>
    </row>
    <row r="2471" spans="2:17" x14ac:dyDescent="0.2">
      <c r="B2471" s="3"/>
      <c r="F2471" s="3"/>
      <c r="G2471" s="3"/>
      <c r="I2471" s="3"/>
      <c r="J2471" s="3"/>
      <c r="K2471" s="3"/>
      <c r="L2471" s="3"/>
      <c r="M2471" s="3"/>
      <c r="N2471" s="3"/>
      <c r="O2471" s="3"/>
      <c r="P2471" s="3"/>
      <c r="Q2471" s="3"/>
    </row>
    <row r="2472" spans="2:17" x14ac:dyDescent="0.2">
      <c r="B2472" s="3"/>
      <c r="F2472" s="3"/>
      <c r="G2472" s="3"/>
      <c r="I2472" s="3"/>
      <c r="J2472" s="3"/>
      <c r="K2472" s="3"/>
      <c r="L2472" s="3"/>
      <c r="M2472" s="3"/>
      <c r="N2472" s="3"/>
      <c r="O2472" s="3"/>
      <c r="P2472" s="3"/>
      <c r="Q2472" s="3"/>
    </row>
    <row r="2473" spans="2:17" x14ac:dyDescent="0.2">
      <c r="B2473" s="3"/>
      <c r="F2473" s="3"/>
      <c r="G2473" s="3"/>
      <c r="I2473" s="3"/>
      <c r="J2473" s="3"/>
      <c r="K2473" s="3"/>
      <c r="L2473" s="3"/>
      <c r="M2473" s="3"/>
      <c r="N2473" s="3"/>
      <c r="O2473" s="3"/>
      <c r="P2473" s="3"/>
      <c r="Q2473" s="3"/>
    </row>
    <row r="2474" spans="2:17" x14ac:dyDescent="0.2">
      <c r="B2474" s="3"/>
      <c r="F2474" s="3"/>
      <c r="G2474" s="3"/>
      <c r="I2474" s="3"/>
      <c r="J2474" s="3"/>
      <c r="K2474" s="3"/>
      <c r="L2474" s="3"/>
      <c r="M2474" s="3"/>
      <c r="N2474" s="3"/>
      <c r="O2474" s="3"/>
      <c r="P2474" s="3"/>
      <c r="Q2474" s="3"/>
    </row>
    <row r="2475" spans="2:17" x14ac:dyDescent="0.2">
      <c r="B2475" s="3"/>
      <c r="F2475" s="3"/>
      <c r="G2475" s="3"/>
      <c r="I2475" s="3"/>
      <c r="J2475" s="3"/>
      <c r="K2475" s="3"/>
      <c r="L2475" s="3"/>
      <c r="M2475" s="3"/>
      <c r="N2475" s="3"/>
      <c r="O2475" s="3"/>
      <c r="P2475" s="3"/>
      <c r="Q2475" s="3"/>
    </row>
    <row r="2476" spans="2:17" x14ac:dyDescent="0.2">
      <c r="B2476" s="3"/>
      <c r="F2476" s="3"/>
      <c r="G2476" s="3"/>
      <c r="I2476" s="3"/>
      <c r="J2476" s="3"/>
      <c r="K2476" s="3"/>
      <c r="L2476" s="3"/>
      <c r="M2476" s="3"/>
      <c r="N2476" s="3"/>
      <c r="O2476" s="3"/>
      <c r="P2476" s="3"/>
      <c r="Q2476" s="3"/>
    </row>
    <row r="2477" spans="2:17" x14ac:dyDescent="0.2">
      <c r="B2477" s="3"/>
      <c r="F2477" s="3"/>
      <c r="G2477" s="3"/>
      <c r="I2477" s="3"/>
      <c r="J2477" s="3"/>
      <c r="K2477" s="3"/>
      <c r="L2477" s="3"/>
      <c r="M2477" s="3"/>
      <c r="N2477" s="3"/>
      <c r="O2477" s="3"/>
      <c r="P2477" s="3"/>
      <c r="Q2477" s="3"/>
    </row>
    <row r="2478" spans="2:17" x14ac:dyDescent="0.2">
      <c r="B2478" s="3"/>
      <c r="F2478" s="3"/>
      <c r="G2478" s="3"/>
      <c r="I2478" s="3"/>
      <c r="J2478" s="3"/>
      <c r="K2478" s="3"/>
      <c r="L2478" s="3"/>
      <c r="M2478" s="3"/>
      <c r="N2478" s="3"/>
      <c r="O2478" s="3"/>
      <c r="P2478" s="3"/>
      <c r="Q2478" s="3"/>
    </row>
    <row r="2479" spans="2:17" x14ac:dyDescent="0.2">
      <c r="B2479" s="3"/>
      <c r="F2479" s="3"/>
      <c r="G2479" s="3"/>
      <c r="I2479" s="3"/>
      <c r="J2479" s="3"/>
      <c r="K2479" s="3"/>
      <c r="L2479" s="3"/>
      <c r="M2479" s="3"/>
      <c r="N2479" s="3"/>
      <c r="O2479" s="3"/>
      <c r="P2479" s="3"/>
      <c r="Q2479" s="3"/>
    </row>
    <row r="2480" spans="2:17" x14ac:dyDescent="0.2">
      <c r="B2480" s="3"/>
      <c r="F2480" s="3"/>
      <c r="G2480" s="3"/>
      <c r="I2480" s="3"/>
      <c r="J2480" s="3"/>
      <c r="K2480" s="3"/>
      <c r="L2480" s="3"/>
      <c r="M2480" s="3"/>
      <c r="N2480" s="3"/>
      <c r="O2480" s="3"/>
      <c r="P2480" s="3"/>
      <c r="Q2480" s="3"/>
    </row>
    <row r="2481" spans="2:17" x14ac:dyDescent="0.2">
      <c r="B2481" s="3"/>
      <c r="F2481" s="3"/>
      <c r="G2481" s="3"/>
      <c r="I2481" s="3"/>
      <c r="J2481" s="3"/>
      <c r="K2481" s="3"/>
      <c r="L2481" s="3"/>
      <c r="M2481" s="3"/>
      <c r="N2481" s="3"/>
      <c r="O2481" s="3"/>
      <c r="P2481" s="3"/>
      <c r="Q2481" s="3"/>
    </row>
    <row r="2482" spans="2:17" x14ac:dyDescent="0.2">
      <c r="B2482" s="3"/>
      <c r="F2482" s="3"/>
      <c r="G2482" s="3"/>
      <c r="I2482" s="3"/>
      <c r="J2482" s="3"/>
      <c r="K2482" s="3"/>
      <c r="L2482" s="3"/>
      <c r="M2482" s="3"/>
      <c r="N2482" s="3"/>
      <c r="O2482" s="3"/>
      <c r="P2482" s="3"/>
      <c r="Q2482" s="3"/>
    </row>
    <row r="2483" spans="2:17" x14ac:dyDescent="0.2">
      <c r="B2483" s="3"/>
      <c r="F2483" s="3"/>
      <c r="G2483" s="3"/>
      <c r="I2483" s="3"/>
      <c r="J2483" s="3"/>
      <c r="K2483" s="3"/>
      <c r="L2483" s="3"/>
      <c r="M2483" s="3"/>
      <c r="N2483" s="3"/>
      <c r="O2483" s="3"/>
      <c r="P2483" s="3"/>
      <c r="Q2483" s="3"/>
    </row>
    <row r="2484" spans="2:17" x14ac:dyDescent="0.2">
      <c r="B2484" s="3"/>
      <c r="F2484" s="3"/>
      <c r="G2484" s="3"/>
      <c r="I2484" s="3"/>
      <c r="J2484" s="3"/>
      <c r="K2484" s="3"/>
      <c r="L2484" s="3"/>
      <c r="M2484" s="3"/>
      <c r="N2484" s="3"/>
      <c r="O2484" s="3"/>
      <c r="P2484" s="3"/>
      <c r="Q2484" s="3"/>
    </row>
    <row r="2485" spans="2:17" x14ac:dyDescent="0.2">
      <c r="B2485" s="3"/>
      <c r="F2485" s="3"/>
      <c r="G2485" s="3"/>
      <c r="I2485" s="3"/>
      <c r="J2485" s="3"/>
      <c r="K2485" s="3"/>
      <c r="L2485" s="3"/>
      <c r="M2485" s="3"/>
      <c r="N2485" s="3"/>
      <c r="O2485" s="3"/>
      <c r="P2485" s="3"/>
      <c r="Q2485" s="3"/>
    </row>
    <row r="2486" spans="2:17" x14ac:dyDescent="0.2">
      <c r="B2486" s="3"/>
      <c r="F2486" s="3"/>
      <c r="G2486" s="3"/>
      <c r="I2486" s="3"/>
      <c r="J2486" s="3"/>
      <c r="K2486" s="3"/>
      <c r="L2486" s="3"/>
      <c r="M2486" s="3"/>
      <c r="N2486" s="3"/>
      <c r="O2486" s="3"/>
      <c r="P2486" s="3"/>
      <c r="Q2486" s="3"/>
    </row>
    <row r="2487" spans="2:17" x14ac:dyDescent="0.2">
      <c r="B2487" s="3"/>
      <c r="F2487" s="3"/>
      <c r="G2487" s="3"/>
      <c r="I2487" s="3"/>
      <c r="J2487" s="3"/>
      <c r="K2487" s="3"/>
      <c r="L2487" s="3"/>
      <c r="M2487" s="3"/>
      <c r="N2487" s="3"/>
      <c r="O2487" s="3"/>
      <c r="P2487" s="3"/>
      <c r="Q2487" s="3"/>
    </row>
    <row r="2488" spans="2:17" x14ac:dyDescent="0.2">
      <c r="B2488" s="3"/>
      <c r="F2488" s="3"/>
      <c r="G2488" s="3"/>
      <c r="I2488" s="3"/>
      <c r="J2488" s="3"/>
      <c r="K2488" s="3"/>
      <c r="L2488" s="3"/>
      <c r="M2488" s="3"/>
      <c r="N2488" s="3"/>
      <c r="O2488" s="3"/>
      <c r="P2488" s="3"/>
      <c r="Q2488" s="3"/>
    </row>
    <row r="2489" spans="2:17" x14ac:dyDescent="0.2">
      <c r="B2489" s="3"/>
      <c r="F2489" s="3"/>
      <c r="G2489" s="3"/>
      <c r="I2489" s="3"/>
      <c r="J2489" s="3"/>
      <c r="K2489" s="3"/>
      <c r="L2489" s="3"/>
      <c r="M2489" s="3"/>
      <c r="N2489" s="3"/>
      <c r="O2489" s="3"/>
      <c r="P2489" s="3"/>
      <c r="Q2489" s="3"/>
    </row>
    <row r="2490" spans="2:17" x14ac:dyDescent="0.2">
      <c r="B2490" s="3"/>
      <c r="F2490" s="3"/>
      <c r="G2490" s="3"/>
      <c r="I2490" s="3"/>
      <c r="J2490" s="3"/>
      <c r="K2490" s="3"/>
      <c r="L2490" s="3"/>
      <c r="M2490" s="3"/>
      <c r="N2490" s="3"/>
      <c r="O2490" s="3"/>
      <c r="P2490" s="3"/>
      <c r="Q2490" s="3"/>
    </row>
    <row r="2491" spans="2:17" x14ac:dyDescent="0.2">
      <c r="B2491" s="3"/>
      <c r="F2491" s="3"/>
      <c r="G2491" s="3"/>
      <c r="I2491" s="3"/>
      <c r="J2491" s="3"/>
      <c r="K2491" s="3"/>
      <c r="L2491" s="3"/>
      <c r="M2491" s="3"/>
      <c r="N2491" s="3"/>
      <c r="O2491" s="3"/>
      <c r="P2491" s="3"/>
      <c r="Q2491" s="3"/>
    </row>
    <row r="2492" spans="2:17" x14ac:dyDescent="0.2">
      <c r="B2492" s="3"/>
      <c r="F2492" s="3"/>
      <c r="G2492" s="3"/>
      <c r="I2492" s="3"/>
      <c r="J2492" s="3"/>
      <c r="K2492" s="3"/>
      <c r="L2492" s="3"/>
      <c r="M2492" s="3"/>
      <c r="N2492" s="3"/>
      <c r="O2492" s="3"/>
      <c r="P2492" s="3"/>
      <c r="Q2492" s="3"/>
    </row>
    <row r="2493" spans="2:17" x14ac:dyDescent="0.2">
      <c r="B2493" s="3"/>
      <c r="F2493" s="3"/>
      <c r="G2493" s="3"/>
      <c r="I2493" s="3"/>
      <c r="J2493" s="3"/>
      <c r="K2493" s="3"/>
      <c r="L2493" s="3"/>
      <c r="M2493" s="3"/>
      <c r="N2493" s="3"/>
      <c r="O2493" s="3"/>
      <c r="P2493" s="3"/>
      <c r="Q2493" s="3"/>
    </row>
    <row r="2494" spans="2:17" x14ac:dyDescent="0.2">
      <c r="B2494" s="3"/>
      <c r="F2494" s="3"/>
      <c r="G2494" s="3"/>
      <c r="I2494" s="3"/>
      <c r="J2494" s="3"/>
      <c r="K2494" s="3"/>
      <c r="L2494" s="3"/>
      <c r="M2494" s="3"/>
      <c r="N2494" s="3"/>
      <c r="O2494" s="3"/>
      <c r="P2494" s="3"/>
      <c r="Q2494" s="3"/>
    </row>
    <row r="2495" spans="2:17" x14ac:dyDescent="0.2">
      <c r="B2495" s="3"/>
      <c r="F2495" s="3"/>
      <c r="G2495" s="3"/>
      <c r="I2495" s="3"/>
      <c r="J2495" s="3"/>
      <c r="K2495" s="3"/>
      <c r="L2495" s="3"/>
      <c r="M2495" s="3"/>
      <c r="N2495" s="3"/>
      <c r="O2495" s="3"/>
      <c r="P2495" s="3"/>
      <c r="Q2495" s="3"/>
    </row>
    <row r="2496" spans="2:17" x14ac:dyDescent="0.2">
      <c r="B2496" s="3"/>
      <c r="F2496" s="3"/>
      <c r="G2496" s="3"/>
      <c r="I2496" s="3"/>
      <c r="J2496" s="3"/>
      <c r="K2496" s="3"/>
      <c r="L2496" s="3"/>
      <c r="M2496" s="3"/>
      <c r="N2496" s="3"/>
      <c r="O2496" s="3"/>
      <c r="P2496" s="3"/>
      <c r="Q2496" s="3"/>
    </row>
    <row r="2497" spans="2:17" x14ac:dyDescent="0.2">
      <c r="B2497" s="3"/>
      <c r="F2497" s="3"/>
      <c r="G2497" s="3"/>
      <c r="I2497" s="3"/>
      <c r="J2497" s="3"/>
      <c r="K2497" s="3"/>
      <c r="L2497" s="3"/>
      <c r="M2497" s="3"/>
      <c r="N2497" s="3"/>
      <c r="O2497" s="3"/>
      <c r="P2497" s="3"/>
      <c r="Q2497" s="3"/>
    </row>
    <row r="2498" spans="2:17" x14ac:dyDescent="0.2">
      <c r="B2498" s="3"/>
      <c r="F2498" s="3"/>
      <c r="G2498" s="3"/>
      <c r="I2498" s="3"/>
      <c r="J2498" s="3"/>
      <c r="K2498" s="3"/>
      <c r="L2498" s="3"/>
      <c r="M2498" s="3"/>
      <c r="N2498" s="3"/>
      <c r="O2498" s="3"/>
      <c r="P2498" s="3"/>
      <c r="Q2498" s="3"/>
    </row>
    <row r="2499" spans="2:17" x14ac:dyDescent="0.2">
      <c r="B2499" s="3"/>
      <c r="F2499" s="3"/>
      <c r="G2499" s="3"/>
      <c r="I2499" s="3"/>
      <c r="J2499" s="3"/>
      <c r="K2499" s="3"/>
      <c r="L2499" s="3"/>
      <c r="M2499" s="3"/>
      <c r="N2499" s="3"/>
      <c r="O2499" s="3"/>
      <c r="P2499" s="3"/>
      <c r="Q2499" s="3"/>
    </row>
    <row r="2500" spans="2:17" x14ac:dyDescent="0.2">
      <c r="B2500" s="3"/>
      <c r="F2500" s="3"/>
      <c r="G2500" s="3"/>
      <c r="I2500" s="3"/>
      <c r="J2500" s="3"/>
      <c r="K2500" s="3"/>
      <c r="L2500" s="3"/>
      <c r="M2500" s="3"/>
      <c r="N2500" s="3"/>
      <c r="O2500" s="3"/>
      <c r="P2500" s="3"/>
      <c r="Q2500" s="3"/>
    </row>
    <row r="2501" spans="2:17" x14ac:dyDescent="0.2">
      <c r="B2501" s="3"/>
      <c r="F2501" s="3"/>
      <c r="G2501" s="3"/>
      <c r="I2501" s="3"/>
      <c r="J2501" s="3"/>
      <c r="K2501" s="3"/>
      <c r="L2501" s="3"/>
      <c r="M2501" s="3"/>
      <c r="N2501" s="3"/>
      <c r="O2501" s="3"/>
      <c r="P2501" s="3"/>
      <c r="Q2501" s="3"/>
    </row>
    <row r="2502" spans="2:17" x14ac:dyDescent="0.2">
      <c r="B2502" s="3"/>
      <c r="F2502" s="3"/>
      <c r="G2502" s="3"/>
      <c r="I2502" s="3"/>
      <c r="J2502" s="3"/>
      <c r="K2502" s="3"/>
      <c r="L2502" s="3"/>
      <c r="M2502" s="3"/>
      <c r="N2502" s="3"/>
      <c r="O2502" s="3"/>
      <c r="P2502" s="3"/>
      <c r="Q2502" s="3"/>
    </row>
    <row r="2503" spans="2:17" x14ac:dyDescent="0.2">
      <c r="B2503" s="3"/>
      <c r="F2503" s="3"/>
      <c r="G2503" s="3"/>
      <c r="I2503" s="3"/>
      <c r="J2503" s="3"/>
      <c r="K2503" s="3"/>
      <c r="L2503" s="3"/>
      <c r="M2503" s="3"/>
      <c r="N2503" s="3"/>
      <c r="O2503" s="3"/>
      <c r="P2503" s="3"/>
      <c r="Q2503" s="3"/>
    </row>
    <row r="2504" spans="2:17" x14ac:dyDescent="0.2">
      <c r="B2504" s="3"/>
      <c r="F2504" s="3"/>
      <c r="G2504" s="3"/>
      <c r="I2504" s="3"/>
      <c r="J2504" s="3"/>
      <c r="K2504" s="3"/>
      <c r="L2504" s="3"/>
      <c r="M2504" s="3"/>
      <c r="N2504" s="3"/>
      <c r="O2504" s="3"/>
      <c r="P2504" s="3"/>
      <c r="Q2504" s="3"/>
    </row>
    <row r="2505" spans="2:17" x14ac:dyDescent="0.2">
      <c r="B2505" s="3"/>
      <c r="F2505" s="3"/>
      <c r="G2505" s="3"/>
      <c r="I2505" s="3"/>
      <c r="J2505" s="3"/>
      <c r="K2505" s="3"/>
      <c r="L2505" s="3"/>
      <c r="M2505" s="3"/>
      <c r="N2505" s="3"/>
      <c r="O2505" s="3"/>
      <c r="P2505" s="3"/>
      <c r="Q2505" s="3"/>
    </row>
    <row r="2506" spans="2:17" x14ac:dyDescent="0.2">
      <c r="B2506" s="3"/>
      <c r="F2506" s="3"/>
      <c r="G2506" s="3"/>
      <c r="I2506" s="3"/>
      <c r="J2506" s="3"/>
      <c r="K2506" s="3"/>
      <c r="L2506" s="3"/>
      <c r="M2506" s="3"/>
      <c r="N2506" s="3"/>
      <c r="O2506" s="3"/>
      <c r="P2506" s="3"/>
      <c r="Q2506" s="3"/>
    </row>
    <row r="2507" spans="2:17" x14ac:dyDescent="0.2">
      <c r="B2507" s="3"/>
      <c r="F2507" s="3"/>
      <c r="G2507" s="3"/>
      <c r="I2507" s="3"/>
      <c r="J2507" s="3"/>
      <c r="K2507" s="3"/>
      <c r="L2507" s="3"/>
      <c r="M2507" s="3"/>
      <c r="N2507" s="3"/>
      <c r="O2507" s="3"/>
      <c r="P2507" s="3"/>
      <c r="Q2507" s="3"/>
    </row>
    <row r="2508" spans="2:17" x14ac:dyDescent="0.2">
      <c r="B2508" s="3"/>
      <c r="F2508" s="3"/>
      <c r="G2508" s="3"/>
      <c r="I2508" s="3"/>
      <c r="J2508" s="3"/>
      <c r="K2508" s="3"/>
      <c r="L2508" s="3"/>
      <c r="M2508" s="3"/>
      <c r="N2508" s="3"/>
      <c r="O2508" s="3"/>
      <c r="P2508" s="3"/>
      <c r="Q2508" s="3"/>
    </row>
    <row r="2509" spans="2:17" x14ac:dyDescent="0.2">
      <c r="B2509" s="3"/>
      <c r="F2509" s="3"/>
      <c r="G2509" s="3"/>
      <c r="I2509" s="3"/>
      <c r="J2509" s="3"/>
      <c r="K2509" s="3"/>
      <c r="L2509" s="3"/>
      <c r="M2509" s="3"/>
      <c r="N2509" s="3"/>
      <c r="O2509" s="3"/>
      <c r="P2509" s="3"/>
      <c r="Q2509" s="3"/>
    </row>
    <row r="2510" spans="2:17" x14ac:dyDescent="0.2">
      <c r="B2510" s="3"/>
      <c r="F2510" s="3"/>
      <c r="G2510" s="3"/>
      <c r="I2510" s="3"/>
      <c r="J2510" s="3"/>
      <c r="K2510" s="3"/>
      <c r="L2510" s="3"/>
      <c r="M2510" s="3"/>
      <c r="N2510" s="3"/>
      <c r="O2510" s="3"/>
      <c r="P2510" s="3"/>
      <c r="Q2510" s="3"/>
    </row>
    <row r="2511" spans="2:17" x14ac:dyDescent="0.2">
      <c r="B2511" s="3"/>
      <c r="F2511" s="3"/>
      <c r="G2511" s="3"/>
      <c r="I2511" s="3"/>
      <c r="J2511" s="3"/>
      <c r="K2511" s="3"/>
      <c r="L2511" s="3"/>
      <c r="M2511" s="3"/>
      <c r="N2511" s="3"/>
      <c r="O2511" s="3"/>
      <c r="P2511" s="3"/>
      <c r="Q2511" s="3"/>
    </row>
    <row r="2512" spans="2:17" x14ac:dyDescent="0.2">
      <c r="B2512" s="3"/>
      <c r="F2512" s="3"/>
      <c r="G2512" s="3"/>
      <c r="I2512" s="3"/>
      <c r="J2512" s="3"/>
      <c r="K2512" s="3"/>
      <c r="L2512" s="3"/>
      <c r="M2512" s="3"/>
      <c r="N2512" s="3"/>
      <c r="O2512" s="3"/>
      <c r="P2512" s="3"/>
      <c r="Q2512" s="3"/>
    </row>
    <row r="2513" spans="2:17" x14ac:dyDescent="0.2">
      <c r="B2513" s="3"/>
      <c r="F2513" s="3"/>
      <c r="G2513" s="3"/>
      <c r="I2513" s="3"/>
      <c r="J2513" s="3"/>
      <c r="K2513" s="3"/>
      <c r="L2513" s="3"/>
      <c r="M2513" s="3"/>
      <c r="N2513" s="3"/>
      <c r="O2513" s="3"/>
      <c r="P2513" s="3"/>
      <c r="Q2513" s="3"/>
    </row>
    <row r="2514" spans="2:17" x14ac:dyDescent="0.2">
      <c r="B2514" s="3"/>
      <c r="F2514" s="3"/>
      <c r="G2514" s="3"/>
      <c r="I2514" s="3"/>
      <c r="J2514" s="3"/>
      <c r="K2514" s="3"/>
      <c r="L2514" s="3"/>
      <c r="M2514" s="3"/>
      <c r="N2514" s="3"/>
      <c r="O2514" s="3"/>
      <c r="P2514" s="3"/>
      <c r="Q2514" s="3"/>
    </row>
    <row r="2515" spans="2:17" x14ac:dyDescent="0.2">
      <c r="B2515" s="3"/>
      <c r="F2515" s="3"/>
      <c r="G2515" s="3"/>
      <c r="I2515" s="3"/>
      <c r="J2515" s="3"/>
      <c r="K2515" s="3"/>
      <c r="L2515" s="3"/>
      <c r="M2515" s="3"/>
      <c r="N2515" s="3"/>
      <c r="O2515" s="3"/>
      <c r="P2515" s="3"/>
      <c r="Q2515" s="3"/>
    </row>
    <row r="2516" spans="2:17" x14ac:dyDescent="0.2">
      <c r="B2516" s="3"/>
      <c r="F2516" s="3"/>
      <c r="G2516" s="3"/>
      <c r="I2516" s="3"/>
      <c r="J2516" s="3"/>
      <c r="K2516" s="3"/>
      <c r="L2516" s="3"/>
      <c r="M2516" s="3"/>
      <c r="N2516" s="3"/>
      <c r="O2516" s="3"/>
      <c r="P2516" s="3"/>
      <c r="Q2516" s="3"/>
    </row>
    <row r="2517" spans="2:17" x14ac:dyDescent="0.2">
      <c r="B2517" s="3"/>
      <c r="F2517" s="3"/>
      <c r="G2517" s="3"/>
      <c r="I2517" s="3"/>
      <c r="J2517" s="3"/>
      <c r="K2517" s="3"/>
      <c r="L2517" s="3"/>
      <c r="M2517" s="3"/>
      <c r="N2517" s="3"/>
      <c r="O2517" s="3"/>
      <c r="P2517" s="3"/>
      <c r="Q2517" s="3"/>
    </row>
    <row r="2518" spans="2:17" x14ac:dyDescent="0.2">
      <c r="B2518" s="3"/>
      <c r="F2518" s="3"/>
      <c r="G2518" s="3"/>
      <c r="I2518" s="3"/>
      <c r="J2518" s="3"/>
      <c r="K2518" s="3"/>
      <c r="L2518" s="3"/>
      <c r="M2518" s="3"/>
      <c r="N2518" s="3"/>
      <c r="O2518" s="3"/>
      <c r="P2518" s="3"/>
      <c r="Q2518" s="3"/>
    </row>
    <row r="2519" spans="2:17" x14ac:dyDescent="0.2">
      <c r="B2519" s="3"/>
      <c r="F2519" s="3"/>
      <c r="G2519" s="3"/>
      <c r="I2519" s="3"/>
      <c r="J2519" s="3"/>
      <c r="K2519" s="3"/>
      <c r="L2519" s="3"/>
      <c r="M2519" s="3"/>
      <c r="N2519" s="3"/>
      <c r="O2519" s="3"/>
      <c r="P2519" s="3"/>
      <c r="Q2519" s="3"/>
    </row>
    <row r="2520" spans="2:17" x14ac:dyDescent="0.2">
      <c r="B2520" s="3"/>
      <c r="F2520" s="3"/>
      <c r="G2520" s="3"/>
      <c r="I2520" s="3"/>
      <c r="J2520" s="3"/>
      <c r="K2520" s="3"/>
      <c r="L2520" s="3"/>
      <c r="M2520" s="3"/>
      <c r="N2520" s="3"/>
      <c r="O2520" s="3"/>
      <c r="P2520" s="3"/>
      <c r="Q2520" s="3"/>
    </row>
    <row r="2521" spans="2:17" x14ac:dyDescent="0.2">
      <c r="B2521" s="3"/>
      <c r="F2521" s="3"/>
      <c r="G2521" s="3"/>
      <c r="I2521" s="3"/>
      <c r="J2521" s="3"/>
      <c r="K2521" s="3"/>
      <c r="L2521" s="3"/>
      <c r="M2521" s="3"/>
      <c r="N2521" s="3"/>
      <c r="O2521" s="3"/>
      <c r="P2521" s="3"/>
      <c r="Q2521" s="3"/>
    </row>
    <row r="2522" spans="2:17" x14ac:dyDescent="0.2">
      <c r="B2522" s="3"/>
      <c r="F2522" s="3"/>
      <c r="G2522" s="3"/>
      <c r="I2522" s="3"/>
      <c r="J2522" s="3"/>
      <c r="K2522" s="3"/>
      <c r="L2522" s="3"/>
      <c r="M2522" s="3"/>
      <c r="N2522" s="3"/>
      <c r="O2522" s="3"/>
      <c r="P2522" s="3"/>
      <c r="Q2522" s="3"/>
    </row>
    <row r="2523" spans="2:17" x14ac:dyDescent="0.2">
      <c r="B2523" s="3"/>
      <c r="F2523" s="3"/>
      <c r="G2523" s="3"/>
      <c r="I2523" s="3"/>
      <c r="J2523" s="3"/>
      <c r="K2523" s="3"/>
      <c r="L2523" s="3"/>
      <c r="M2523" s="3"/>
      <c r="N2523" s="3"/>
      <c r="O2523" s="3"/>
      <c r="P2523" s="3"/>
      <c r="Q2523" s="3"/>
    </row>
    <row r="2524" spans="2:17" x14ac:dyDescent="0.2">
      <c r="B2524" s="3"/>
      <c r="F2524" s="3"/>
      <c r="G2524" s="3"/>
      <c r="I2524" s="3"/>
      <c r="J2524" s="3"/>
      <c r="K2524" s="3"/>
      <c r="L2524" s="3"/>
      <c r="M2524" s="3"/>
      <c r="N2524" s="3"/>
      <c r="O2524" s="3"/>
      <c r="P2524" s="3"/>
      <c r="Q2524" s="3"/>
    </row>
    <row r="2525" spans="2:17" x14ac:dyDescent="0.2">
      <c r="B2525" s="3"/>
      <c r="F2525" s="3"/>
      <c r="G2525" s="3"/>
      <c r="I2525" s="3"/>
      <c r="J2525" s="3"/>
      <c r="K2525" s="3"/>
      <c r="L2525" s="3"/>
      <c r="M2525" s="3"/>
      <c r="N2525" s="3"/>
      <c r="O2525" s="3"/>
      <c r="P2525" s="3"/>
      <c r="Q2525" s="3"/>
    </row>
    <row r="2526" spans="2:17" x14ac:dyDescent="0.2">
      <c r="B2526" s="3"/>
      <c r="F2526" s="3"/>
      <c r="G2526" s="3"/>
      <c r="I2526" s="3"/>
      <c r="J2526" s="3"/>
      <c r="K2526" s="3"/>
      <c r="L2526" s="3"/>
      <c r="M2526" s="3"/>
      <c r="N2526" s="3"/>
      <c r="O2526" s="3"/>
      <c r="P2526" s="3"/>
      <c r="Q2526" s="3"/>
    </row>
    <row r="2527" spans="2:17" x14ac:dyDescent="0.2">
      <c r="B2527" s="3"/>
      <c r="F2527" s="3"/>
      <c r="G2527" s="3"/>
      <c r="I2527" s="3"/>
      <c r="J2527" s="3"/>
      <c r="K2527" s="3"/>
      <c r="L2527" s="3"/>
      <c r="M2527" s="3"/>
      <c r="N2527" s="3"/>
      <c r="O2527" s="3"/>
      <c r="P2527" s="3"/>
      <c r="Q2527" s="3"/>
    </row>
    <row r="2528" spans="2:17" x14ac:dyDescent="0.2">
      <c r="B2528" s="3"/>
      <c r="F2528" s="3"/>
      <c r="G2528" s="3"/>
      <c r="I2528" s="3"/>
      <c r="J2528" s="3"/>
      <c r="K2528" s="3"/>
      <c r="L2528" s="3"/>
      <c r="M2528" s="3"/>
      <c r="N2528" s="3"/>
      <c r="O2528" s="3"/>
      <c r="P2528" s="3"/>
      <c r="Q2528" s="3"/>
    </row>
    <row r="2529" spans="2:17" x14ac:dyDescent="0.2">
      <c r="B2529" s="3"/>
      <c r="F2529" s="3"/>
      <c r="G2529" s="3"/>
      <c r="I2529" s="3"/>
      <c r="J2529" s="3"/>
      <c r="K2529" s="3"/>
      <c r="L2529" s="3"/>
      <c r="M2529" s="3"/>
      <c r="N2529" s="3"/>
      <c r="O2529" s="3"/>
      <c r="P2529" s="3"/>
      <c r="Q2529" s="3"/>
    </row>
    <row r="2530" spans="2:17" x14ac:dyDescent="0.2">
      <c r="B2530" s="3"/>
      <c r="F2530" s="3"/>
      <c r="G2530" s="3"/>
      <c r="I2530" s="3"/>
      <c r="J2530" s="3"/>
      <c r="K2530" s="3"/>
      <c r="L2530" s="3"/>
      <c r="M2530" s="3"/>
      <c r="N2530" s="3"/>
      <c r="O2530" s="3"/>
      <c r="P2530" s="3"/>
      <c r="Q2530" s="3"/>
    </row>
    <row r="2531" spans="2:17" x14ac:dyDescent="0.2">
      <c r="B2531" s="3"/>
      <c r="F2531" s="3"/>
      <c r="G2531" s="3"/>
      <c r="I2531" s="3"/>
      <c r="J2531" s="3"/>
      <c r="K2531" s="3"/>
      <c r="L2531" s="3"/>
      <c r="M2531" s="3"/>
      <c r="N2531" s="3"/>
      <c r="O2531" s="3"/>
      <c r="P2531" s="3"/>
      <c r="Q2531" s="3"/>
    </row>
    <row r="2532" spans="2:17" x14ac:dyDescent="0.2">
      <c r="B2532" s="3"/>
      <c r="F2532" s="3"/>
      <c r="G2532" s="3"/>
      <c r="I2532" s="3"/>
      <c r="J2532" s="3"/>
      <c r="K2532" s="3"/>
      <c r="L2532" s="3"/>
      <c r="M2532" s="3"/>
      <c r="N2532" s="3"/>
      <c r="O2532" s="3"/>
      <c r="P2532" s="3"/>
      <c r="Q2532" s="3"/>
    </row>
    <row r="2533" spans="2:17" x14ac:dyDescent="0.2">
      <c r="B2533" s="3"/>
      <c r="F2533" s="3"/>
      <c r="G2533" s="3"/>
      <c r="I2533" s="3"/>
      <c r="J2533" s="3"/>
      <c r="K2533" s="3"/>
      <c r="L2533" s="3"/>
      <c r="M2533" s="3"/>
      <c r="N2533" s="3"/>
      <c r="O2533" s="3"/>
      <c r="P2533" s="3"/>
      <c r="Q2533" s="3"/>
    </row>
    <row r="2534" spans="2:17" x14ac:dyDescent="0.2">
      <c r="B2534" s="3"/>
      <c r="F2534" s="3"/>
      <c r="G2534" s="3"/>
      <c r="I2534" s="3"/>
      <c r="J2534" s="3"/>
      <c r="K2534" s="3"/>
      <c r="L2534" s="3"/>
      <c r="M2534" s="3"/>
      <c r="N2534" s="3"/>
      <c r="O2534" s="3"/>
      <c r="P2534" s="3"/>
      <c r="Q2534" s="3"/>
    </row>
    <row r="2535" spans="2:17" x14ac:dyDescent="0.2">
      <c r="B2535" s="3"/>
      <c r="F2535" s="3"/>
      <c r="G2535" s="3"/>
      <c r="I2535" s="3"/>
      <c r="J2535" s="3"/>
      <c r="K2535" s="3"/>
      <c r="L2535" s="3"/>
      <c r="M2535" s="3"/>
      <c r="N2535" s="3"/>
      <c r="O2535" s="3"/>
      <c r="P2535" s="3"/>
      <c r="Q2535" s="3"/>
    </row>
    <row r="2536" spans="2:17" x14ac:dyDescent="0.2">
      <c r="B2536" s="3"/>
      <c r="F2536" s="3"/>
      <c r="G2536" s="3"/>
      <c r="I2536" s="3"/>
      <c r="J2536" s="3"/>
      <c r="K2536" s="3"/>
      <c r="L2536" s="3"/>
      <c r="M2536" s="3"/>
      <c r="N2536" s="3"/>
      <c r="O2536" s="3"/>
      <c r="P2536" s="3"/>
      <c r="Q2536" s="3"/>
    </row>
    <row r="2537" spans="2:17" x14ac:dyDescent="0.2">
      <c r="B2537" s="3"/>
      <c r="F2537" s="3"/>
      <c r="G2537" s="3"/>
      <c r="I2537" s="3"/>
      <c r="J2537" s="3"/>
      <c r="K2537" s="3"/>
      <c r="L2537" s="3"/>
      <c r="M2537" s="3"/>
      <c r="N2537" s="3"/>
      <c r="O2537" s="3"/>
      <c r="P2537" s="3"/>
      <c r="Q2537" s="3"/>
    </row>
    <row r="2538" spans="2:17" x14ac:dyDescent="0.2">
      <c r="B2538" s="3"/>
      <c r="F2538" s="3"/>
      <c r="G2538" s="3"/>
      <c r="I2538" s="3"/>
      <c r="J2538" s="3"/>
      <c r="K2538" s="3"/>
      <c r="L2538" s="3"/>
      <c r="M2538" s="3"/>
      <c r="N2538" s="3"/>
      <c r="O2538" s="3"/>
      <c r="P2538" s="3"/>
      <c r="Q2538" s="3"/>
    </row>
    <row r="2539" spans="2:17" x14ac:dyDescent="0.2">
      <c r="B2539" s="3"/>
      <c r="F2539" s="3"/>
      <c r="G2539" s="3"/>
      <c r="I2539" s="3"/>
      <c r="J2539" s="3"/>
      <c r="K2539" s="3"/>
      <c r="L2539" s="3"/>
      <c r="M2539" s="3"/>
      <c r="N2539" s="3"/>
      <c r="O2539" s="3"/>
      <c r="P2539" s="3"/>
      <c r="Q2539" s="3"/>
    </row>
    <row r="2540" spans="2:17" x14ac:dyDescent="0.2">
      <c r="B2540" s="3"/>
      <c r="F2540" s="3"/>
      <c r="G2540" s="3"/>
      <c r="I2540" s="3"/>
      <c r="J2540" s="3"/>
      <c r="K2540" s="3"/>
      <c r="L2540" s="3"/>
      <c r="M2540" s="3"/>
      <c r="N2540" s="3"/>
      <c r="O2540" s="3"/>
      <c r="P2540" s="3"/>
      <c r="Q2540" s="3"/>
    </row>
    <row r="2541" spans="2:17" x14ac:dyDescent="0.2">
      <c r="B2541" s="3"/>
      <c r="F2541" s="3"/>
      <c r="G2541" s="3"/>
      <c r="I2541" s="3"/>
      <c r="J2541" s="3"/>
      <c r="K2541" s="3"/>
      <c r="L2541" s="3"/>
      <c r="M2541" s="3"/>
      <c r="N2541" s="3"/>
      <c r="O2541" s="3"/>
      <c r="P2541" s="3"/>
      <c r="Q2541" s="3"/>
    </row>
    <row r="2542" spans="2:17" x14ac:dyDescent="0.2">
      <c r="B2542" s="3"/>
      <c r="F2542" s="3"/>
      <c r="G2542" s="3"/>
      <c r="I2542" s="3"/>
      <c r="J2542" s="3"/>
      <c r="K2542" s="3"/>
      <c r="L2542" s="3"/>
      <c r="M2542" s="3"/>
      <c r="N2542" s="3"/>
      <c r="O2542" s="3"/>
      <c r="P2542" s="3"/>
      <c r="Q2542" s="3"/>
    </row>
    <row r="2543" spans="2:17" x14ac:dyDescent="0.2">
      <c r="B2543" s="3"/>
      <c r="F2543" s="3"/>
      <c r="G2543" s="3"/>
      <c r="I2543" s="3"/>
      <c r="J2543" s="3"/>
      <c r="K2543" s="3"/>
      <c r="L2543" s="3"/>
      <c r="M2543" s="3"/>
      <c r="N2543" s="3"/>
      <c r="O2543" s="3"/>
      <c r="P2543" s="3"/>
      <c r="Q2543" s="3"/>
    </row>
    <row r="2544" spans="2:17" x14ac:dyDescent="0.2">
      <c r="B2544" s="3"/>
      <c r="F2544" s="3"/>
      <c r="G2544" s="3"/>
      <c r="I2544" s="3"/>
      <c r="J2544" s="3"/>
      <c r="K2544" s="3"/>
      <c r="L2544" s="3"/>
      <c r="M2544" s="3"/>
      <c r="N2544" s="3"/>
      <c r="O2544" s="3"/>
      <c r="P2544" s="3"/>
      <c r="Q2544" s="3"/>
    </row>
    <row r="2545" spans="2:17" x14ac:dyDescent="0.2">
      <c r="B2545" s="3"/>
      <c r="F2545" s="3"/>
      <c r="G2545" s="3"/>
      <c r="I2545" s="3"/>
      <c r="J2545" s="3"/>
      <c r="K2545" s="3"/>
      <c r="L2545" s="3"/>
      <c r="M2545" s="3"/>
      <c r="N2545" s="3"/>
      <c r="O2545" s="3"/>
      <c r="P2545" s="3"/>
      <c r="Q2545" s="3"/>
    </row>
    <row r="2546" spans="2:17" x14ac:dyDescent="0.2">
      <c r="B2546" s="3"/>
      <c r="F2546" s="3"/>
      <c r="G2546" s="3"/>
      <c r="I2546" s="3"/>
      <c r="J2546" s="3"/>
      <c r="K2546" s="3"/>
      <c r="L2546" s="3"/>
      <c r="M2546" s="3"/>
      <c r="N2546" s="3"/>
      <c r="O2546" s="3"/>
      <c r="P2546" s="3"/>
      <c r="Q2546" s="3"/>
    </row>
    <row r="2547" spans="2:17" x14ac:dyDescent="0.2">
      <c r="B2547" s="3"/>
      <c r="F2547" s="3"/>
      <c r="G2547" s="3"/>
      <c r="I2547" s="3"/>
      <c r="J2547" s="3"/>
      <c r="K2547" s="3"/>
      <c r="L2547" s="3"/>
      <c r="M2547" s="3"/>
      <c r="N2547" s="3"/>
      <c r="O2547" s="3"/>
      <c r="P2547" s="3"/>
      <c r="Q2547" s="3"/>
    </row>
    <row r="2548" spans="2:17" x14ac:dyDescent="0.2">
      <c r="B2548" s="3"/>
      <c r="F2548" s="3"/>
      <c r="G2548" s="3"/>
      <c r="I2548" s="3"/>
      <c r="J2548" s="3"/>
      <c r="K2548" s="3"/>
      <c r="L2548" s="3"/>
      <c r="M2548" s="3"/>
      <c r="N2548" s="3"/>
      <c r="O2548" s="3"/>
      <c r="P2548" s="3"/>
      <c r="Q2548" s="3"/>
    </row>
    <row r="2549" spans="2:17" x14ac:dyDescent="0.2">
      <c r="B2549" s="3"/>
      <c r="F2549" s="3"/>
      <c r="G2549" s="3"/>
      <c r="I2549" s="3"/>
      <c r="J2549" s="3"/>
      <c r="K2549" s="3"/>
      <c r="L2549" s="3"/>
      <c r="M2549" s="3"/>
      <c r="N2549" s="3"/>
      <c r="O2549" s="3"/>
      <c r="P2549" s="3"/>
      <c r="Q2549" s="3"/>
    </row>
    <row r="2550" spans="2:17" x14ac:dyDescent="0.2">
      <c r="B2550" s="3"/>
      <c r="F2550" s="3"/>
      <c r="G2550" s="3"/>
      <c r="I2550" s="3"/>
      <c r="J2550" s="3"/>
      <c r="K2550" s="3"/>
      <c r="L2550" s="3"/>
      <c r="M2550" s="3"/>
      <c r="N2550" s="3"/>
      <c r="O2550" s="3"/>
      <c r="P2550" s="3"/>
      <c r="Q2550" s="3"/>
    </row>
    <row r="2551" spans="2:17" x14ac:dyDescent="0.2">
      <c r="B2551" s="3"/>
      <c r="F2551" s="3"/>
      <c r="G2551" s="3"/>
      <c r="I2551" s="3"/>
      <c r="J2551" s="3"/>
      <c r="K2551" s="3"/>
      <c r="L2551" s="3"/>
      <c r="M2551" s="3"/>
      <c r="N2551" s="3"/>
      <c r="O2551" s="3"/>
      <c r="P2551" s="3"/>
      <c r="Q2551" s="3"/>
    </row>
    <row r="2552" spans="2:17" x14ac:dyDescent="0.2">
      <c r="B2552" s="3"/>
      <c r="F2552" s="3"/>
      <c r="G2552" s="3"/>
      <c r="I2552" s="3"/>
      <c r="J2552" s="3"/>
      <c r="K2552" s="3"/>
      <c r="L2552" s="3"/>
      <c r="M2552" s="3"/>
      <c r="N2552" s="3"/>
      <c r="O2552" s="3"/>
      <c r="P2552" s="3"/>
      <c r="Q2552" s="3"/>
    </row>
    <row r="2553" spans="2:17" x14ac:dyDescent="0.2">
      <c r="B2553" s="3"/>
      <c r="F2553" s="3"/>
      <c r="G2553" s="3"/>
      <c r="I2553" s="3"/>
      <c r="J2553" s="3"/>
      <c r="K2553" s="3"/>
      <c r="L2553" s="3"/>
      <c r="M2553" s="3"/>
      <c r="N2553" s="3"/>
      <c r="O2553" s="3"/>
      <c r="P2553" s="3"/>
      <c r="Q2553" s="3"/>
    </row>
    <row r="2554" spans="2:17" x14ac:dyDescent="0.2">
      <c r="B2554" s="3"/>
      <c r="F2554" s="3"/>
      <c r="G2554" s="3"/>
      <c r="I2554" s="3"/>
      <c r="J2554" s="3"/>
      <c r="K2554" s="3"/>
      <c r="L2554" s="3"/>
      <c r="M2554" s="3"/>
      <c r="N2554" s="3"/>
      <c r="O2554" s="3"/>
      <c r="P2554" s="3"/>
      <c r="Q2554" s="3"/>
    </row>
    <row r="2555" spans="2:17" x14ac:dyDescent="0.2">
      <c r="B2555" s="3"/>
      <c r="F2555" s="3"/>
      <c r="G2555" s="3"/>
      <c r="I2555" s="3"/>
      <c r="J2555" s="3"/>
      <c r="K2555" s="3"/>
      <c r="L2555" s="3"/>
      <c r="M2555" s="3"/>
      <c r="N2555" s="3"/>
      <c r="O2555" s="3"/>
      <c r="P2555" s="3"/>
      <c r="Q2555" s="3"/>
    </row>
    <row r="2556" spans="2:17" x14ac:dyDescent="0.2">
      <c r="B2556" s="3"/>
      <c r="F2556" s="3"/>
      <c r="G2556" s="3"/>
      <c r="I2556" s="3"/>
      <c r="J2556" s="3"/>
      <c r="K2556" s="3"/>
      <c r="L2556" s="3"/>
      <c r="M2556" s="3"/>
      <c r="N2556" s="3"/>
      <c r="O2556" s="3"/>
      <c r="P2556" s="3"/>
      <c r="Q2556" s="3"/>
    </row>
    <row r="2557" spans="2:17" x14ac:dyDescent="0.2">
      <c r="B2557" s="3"/>
      <c r="F2557" s="3"/>
      <c r="G2557" s="3"/>
      <c r="I2557" s="3"/>
      <c r="J2557" s="3"/>
      <c r="K2557" s="3"/>
      <c r="L2557" s="3"/>
      <c r="M2557" s="3"/>
      <c r="N2557" s="3"/>
      <c r="O2557" s="3"/>
      <c r="P2557" s="3"/>
      <c r="Q2557" s="3"/>
    </row>
    <row r="2558" spans="2:17" x14ac:dyDescent="0.2">
      <c r="B2558" s="3"/>
      <c r="F2558" s="3"/>
      <c r="G2558" s="3"/>
      <c r="I2558" s="3"/>
      <c r="J2558" s="3"/>
      <c r="K2558" s="3"/>
      <c r="L2558" s="3"/>
      <c r="M2558" s="3"/>
      <c r="N2558" s="3"/>
      <c r="O2558" s="3"/>
      <c r="P2558" s="3"/>
      <c r="Q2558" s="3"/>
    </row>
    <row r="2559" spans="2:17" x14ac:dyDescent="0.2">
      <c r="B2559" s="3"/>
      <c r="F2559" s="3"/>
      <c r="G2559" s="3"/>
      <c r="I2559" s="3"/>
      <c r="J2559" s="3"/>
      <c r="K2559" s="3"/>
      <c r="L2559" s="3"/>
      <c r="M2559" s="3"/>
      <c r="N2559" s="3"/>
      <c r="O2559" s="3"/>
      <c r="P2559" s="3"/>
      <c r="Q2559" s="3"/>
    </row>
    <row r="2560" spans="2:17" x14ac:dyDescent="0.2">
      <c r="B2560" s="3"/>
      <c r="F2560" s="3"/>
      <c r="G2560" s="3"/>
      <c r="I2560" s="3"/>
      <c r="J2560" s="3"/>
      <c r="K2560" s="3"/>
      <c r="L2560" s="3"/>
      <c r="M2560" s="3"/>
      <c r="N2560" s="3"/>
      <c r="O2560" s="3"/>
      <c r="P2560" s="3"/>
      <c r="Q2560" s="3"/>
    </row>
    <row r="2561" spans="2:17" x14ac:dyDescent="0.2">
      <c r="B2561" s="3"/>
      <c r="F2561" s="3"/>
      <c r="G2561" s="3"/>
      <c r="I2561" s="3"/>
      <c r="J2561" s="3"/>
      <c r="K2561" s="3"/>
      <c r="L2561" s="3"/>
      <c r="M2561" s="3"/>
      <c r="N2561" s="3"/>
      <c r="O2561" s="3"/>
      <c r="P2561" s="3"/>
      <c r="Q2561" s="3"/>
    </row>
    <row r="2562" spans="2:17" x14ac:dyDescent="0.2">
      <c r="B2562" s="3"/>
      <c r="F2562" s="3"/>
      <c r="G2562" s="3"/>
      <c r="I2562" s="3"/>
      <c r="J2562" s="3"/>
      <c r="K2562" s="3"/>
      <c r="L2562" s="3"/>
      <c r="M2562" s="3"/>
      <c r="N2562" s="3"/>
      <c r="O2562" s="3"/>
      <c r="P2562" s="3"/>
      <c r="Q2562" s="3"/>
    </row>
    <row r="2563" spans="2:17" x14ac:dyDescent="0.2">
      <c r="B2563" s="3"/>
      <c r="F2563" s="3"/>
      <c r="G2563" s="3"/>
      <c r="I2563" s="3"/>
      <c r="J2563" s="3"/>
      <c r="K2563" s="3"/>
      <c r="L2563" s="3"/>
      <c r="M2563" s="3"/>
      <c r="N2563" s="3"/>
      <c r="O2563" s="3"/>
      <c r="P2563" s="3"/>
      <c r="Q2563" s="3"/>
    </row>
    <row r="2564" spans="2:17" x14ac:dyDescent="0.2">
      <c r="B2564" s="3"/>
      <c r="F2564" s="3"/>
      <c r="G2564" s="3"/>
      <c r="I2564" s="3"/>
      <c r="J2564" s="3"/>
      <c r="K2564" s="3"/>
      <c r="L2564" s="3"/>
      <c r="M2564" s="3"/>
      <c r="N2564" s="3"/>
      <c r="O2564" s="3"/>
      <c r="P2564" s="3"/>
      <c r="Q2564" s="3"/>
    </row>
    <row r="2565" spans="2:17" x14ac:dyDescent="0.2">
      <c r="B2565" s="3"/>
      <c r="F2565" s="3"/>
      <c r="G2565" s="3"/>
      <c r="I2565" s="3"/>
      <c r="J2565" s="3"/>
      <c r="K2565" s="3"/>
      <c r="L2565" s="3"/>
      <c r="M2565" s="3"/>
      <c r="N2565" s="3"/>
      <c r="O2565" s="3"/>
      <c r="P2565" s="3"/>
      <c r="Q2565" s="3"/>
    </row>
    <row r="2566" spans="2:17" x14ac:dyDescent="0.2">
      <c r="B2566" s="3"/>
      <c r="F2566" s="3"/>
      <c r="G2566" s="3"/>
      <c r="I2566" s="3"/>
      <c r="J2566" s="3"/>
      <c r="K2566" s="3"/>
      <c r="L2566" s="3"/>
      <c r="M2566" s="3"/>
      <c r="N2566" s="3"/>
      <c r="O2566" s="3"/>
      <c r="P2566" s="3"/>
      <c r="Q2566" s="3"/>
    </row>
    <row r="2567" spans="2:17" x14ac:dyDescent="0.2">
      <c r="B2567" s="3"/>
      <c r="F2567" s="3"/>
      <c r="G2567" s="3"/>
      <c r="I2567" s="3"/>
      <c r="J2567" s="3"/>
      <c r="K2567" s="3"/>
      <c r="L2567" s="3"/>
      <c r="M2567" s="3"/>
      <c r="N2567" s="3"/>
      <c r="O2567" s="3"/>
      <c r="P2567" s="3"/>
      <c r="Q2567" s="3"/>
    </row>
    <row r="2568" spans="2:17" x14ac:dyDescent="0.2">
      <c r="B2568" s="3"/>
      <c r="F2568" s="3"/>
      <c r="G2568" s="3"/>
      <c r="I2568" s="3"/>
      <c r="J2568" s="3"/>
      <c r="K2568" s="3"/>
      <c r="L2568" s="3"/>
      <c r="M2568" s="3"/>
      <c r="N2568" s="3"/>
      <c r="O2568" s="3"/>
      <c r="P2568" s="3"/>
      <c r="Q2568" s="3"/>
    </row>
    <row r="2569" spans="2:17" x14ac:dyDescent="0.2">
      <c r="B2569" s="3"/>
      <c r="F2569" s="3"/>
      <c r="G2569" s="3"/>
      <c r="I2569" s="3"/>
      <c r="J2569" s="3"/>
      <c r="K2569" s="3"/>
      <c r="L2569" s="3"/>
      <c r="M2569" s="3"/>
      <c r="N2569" s="3"/>
      <c r="O2569" s="3"/>
      <c r="P2569" s="3"/>
      <c r="Q2569" s="3"/>
    </row>
    <row r="2570" spans="2:17" x14ac:dyDescent="0.2">
      <c r="B2570" s="3"/>
      <c r="F2570" s="3"/>
      <c r="G2570" s="3"/>
      <c r="I2570" s="3"/>
      <c r="J2570" s="3"/>
      <c r="K2570" s="3"/>
      <c r="L2570" s="3"/>
      <c r="M2570" s="3"/>
      <c r="N2570" s="3"/>
      <c r="O2570" s="3"/>
      <c r="P2570" s="3"/>
      <c r="Q2570" s="3"/>
    </row>
    <row r="2571" spans="2:17" x14ac:dyDescent="0.2">
      <c r="B2571" s="3"/>
      <c r="F2571" s="3"/>
      <c r="G2571" s="3"/>
      <c r="I2571" s="3"/>
      <c r="J2571" s="3"/>
      <c r="K2571" s="3"/>
      <c r="L2571" s="3"/>
      <c r="M2571" s="3"/>
      <c r="N2571" s="3"/>
      <c r="O2571" s="3"/>
      <c r="P2571" s="3"/>
      <c r="Q2571" s="3"/>
    </row>
    <row r="2572" spans="2:17" x14ac:dyDescent="0.2">
      <c r="B2572" s="3"/>
      <c r="F2572" s="3"/>
      <c r="G2572" s="3"/>
      <c r="I2572" s="3"/>
      <c r="J2572" s="3"/>
      <c r="K2572" s="3"/>
      <c r="L2572" s="3"/>
      <c r="M2572" s="3"/>
      <c r="N2572" s="3"/>
      <c r="O2572" s="3"/>
      <c r="P2572" s="3"/>
      <c r="Q2572" s="3"/>
    </row>
    <row r="2573" spans="2:17" x14ac:dyDescent="0.2">
      <c r="B2573" s="3"/>
      <c r="F2573" s="3"/>
      <c r="G2573" s="3"/>
      <c r="I2573" s="3"/>
      <c r="J2573" s="3"/>
      <c r="K2573" s="3"/>
      <c r="L2573" s="3"/>
      <c r="M2573" s="3"/>
      <c r="N2573" s="3"/>
      <c r="O2573" s="3"/>
      <c r="P2573" s="3"/>
      <c r="Q2573" s="3"/>
    </row>
    <row r="2574" spans="2:17" x14ac:dyDescent="0.2">
      <c r="B2574" s="3"/>
      <c r="F2574" s="3"/>
      <c r="G2574" s="3"/>
      <c r="I2574" s="3"/>
      <c r="J2574" s="3"/>
      <c r="K2574" s="3"/>
      <c r="L2574" s="3"/>
      <c r="M2574" s="3"/>
      <c r="N2574" s="3"/>
      <c r="O2574" s="3"/>
      <c r="P2574" s="3"/>
      <c r="Q2574" s="3"/>
    </row>
    <row r="2575" spans="2:17" x14ac:dyDescent="0.2">
      <c r="B2575" s="3"/>
      <c r="F2575" s="3"/>
      <c r="G2575" s="3"/>
      <c r="I2575" s="3"/>
      <c r="J2575" s="3"/>
      <c r="K2575" s="3"/>
      <c r="L2575" s="3"/>
      <c r="M2575" s="3"/>
      <c r="N2575" s="3"/>
      <c r="O2575" s="3"/>
      <c r="P2575" s="3"/>
      <c r="Q2575" s="3"/>
    </row>
    <row r="2576" spans="2:17" x14ac:dyDescent="0.2">
      <c r="B2576" s="3"/>
      <c r="F2576" s="3"/>
      <c r="G2576" s="3"/>
      <c r="I2576" s="3"/>
      <c r="J2576" s="3"/>
      <c r="K2576" s="3"/>
      <c r="L2576" s="3"/>
      <c r="M2576" s="3"/>
      <c r="N2576" s="3"/>
      <c r="O2576" s="3"/>
      <c r="P2576" s="3"/>
      <c r="Q2576" s="3"/>
    </row>
    <row r="2577" spans="2:17" x14ac:dyDescent="0.2">
      <c r="B2577" s="3"/>
      <c r="F2577" s="3"/>
      <c r="G2577" s="3"/>
      <c r="I2577" s="3"/>
      <c r="J2577" s="3"/>
      <c r="K2577" s="3"/>
      <c r="L2577" s="3"/>
      <c r="M2577" s="3"/>
      <c r="N2577" s="3"/>
      <c r="O2577" s="3"/>
      <c r="P2577" s="3"/>
      <c r="Q2577" s="3"/>
    </row>
    <row r="2578" spans="2:17" x14ac:dyDescent="0.2">
      <c r="B2578" s="3"/>
      <c r="F2578" s="3"/>
      <c r="G2578" s="3"/>
      <c r="I2578" s="3"/>
      <c r="J2578" s="3"/>
      <c r="K2578" s="3"/>
      <c r="L2578" s="3"/>
      <c r="M2578" s="3"/>
      <c r="N2578" s="3"/>
      <c r="O2578" s="3"/>
      <c r="P2578" s="3"/>
      <c r="Q2578" s="3"/>
    </row>
    <row r="2579" spans="2:17" x14ac:dyDescent="0.2">
      <c r="B2579" s="3"/>
      <c r="F2579" s="3"/>
      <c r="G2579" s="3"/>
      <c r="I2579" s="3"/>
      <c r="J2579" s="3"/>
      <c r="K2579" s="3"/>
      <c r="L2579" s="3"/>
      <c r="M2579" s="3"/>
      <c r="N2579" s="3"/>
      <c r="O2579" s="3"/>
      <c r="P2579" s="3"/>
      <c r="Q2579" s="3"/>
    </row>
    <row r="2580" spans="2:17" x14ac:dyDescent="0.2">
      <c r="B2580" s="3"/>
      <c r="F2580" s="3"/>
      <c r="G2580" s="3"/>
      <c r="I2580" s="3"/>
      <c r="J2580" s="3"/>
      <c r="K2580" s="3"/>
      <c r="L2580" s="3"/>
      <c r="M2580" s="3"/>
      <c r="N2580" s="3"/>
      <c r="O2580" s="3"/>
      <c r="P2580" s="3"/>
      <c r="Q2580" s="3"/>
    </row>
    <row r="2581" spans="2:17" x14ac:dyDescent="0.2">
      <c r="B2581" s="3"/>
      <c r="F2581" s="3"/>
      <c r="G2581" s="3"/>
      <c r="I2581" s="3"/>
      <c r="J2581" s="3"/>
      <c r="K2581" s="3"/>
      <c r="L2581" s="3"/>
      <c r="M2581" s="3"/>
      <c r="N2581" s="3"/>
      <c r="O2581" s="3"/>
      <c r="P2581" s="3"/>
      <c r="Q2581" s="3"/>
    </row>
    <row r="2582" spans="2:17" x14ac:dyDescent="0.2">
      <c r="B2582" s="3"/>
      <c r="F2582" s="3"/>
      <c r="G2582" s="3"/>
      <c r="I2582" s="3"/>
      <c r="J2582" s="3"/>
      <c r="K2582" s="3"/>
      <c r="L2582" s="3"/>
      <c r="M2582" s="3"/>
      <c r="N2582" s="3"/>
      <c r="O2582" s="3"/>
      <c r="P2582" s="3"/>
      <c r="Q2582" s="3"/>
    </row>
    <row r="2583" spans="2:17" x14ac:dyDescent="0.2">
      <c r="B2583" s="3"/>
      <c r="F2583" s="3"/>
      <c r="G2583" s="3"/>
      <c r="I2583" s="3"/>
      <c r="J2583" s="3"/>
      <c r="K2583" s="3"/>
      <c r="L2583" s="3"/>
      <c r="M2583" s="3"/>
      <c r="N2583" s="3"/>
      <c r="O2583" s="3"/>
      <c r="P2583" s="3"/>
      <c r="Q2583" s="3"/>
    </row>
    <row r="2584" spans="2:17" x14ac:dyDescent="0.2">
      <c r="B2584" s="3"/>
      <c r="F2584" s="3"/>
      <c r="G2584" s="3"/>
      <c r="I2584" s="3"/>
      <c r="J2584" s="3"/>
      <c r="K2584" s="3"/>
      <c r="L2584" s="3"/>
      <c r="M2584" s="3"/>
      <c r="N2584" s="3"/>
      <c r="O2584" s="3"/>
      <c r="P2584" s="3"/>
      <c r="Q2584" s="3"/>
    </row>
    <row r="2585" spans="2:17" x14ac:dyDescent="0.2">
      <c r="B2585" s="3"/>
      <c r="F2585" s="3"/>
      <c r="G2585" s="3"/>
      <c r="I2585" s="3"/>
      <c r="J2585" s="3"/>
      <c r="K2585" s="3"/>
      <c r="L2585" s="3"/>
      <c r="M2585" s="3"/>
      <c r="N2585" s="3"/>
      <c r="O2585" s="3"/>
      <c r="P2585" s="3"/>
      <c r="Q2585" s="3"/>
    </row>
    <row r="2586" spans="2:17" x14ac:dyDescent="0.2">
      <c r="B2586" s="3"/>
      <c r="F2586" s="3"/>
      <c r="G2586" s="3"/>
      <c r="I2586" s="3"/>
      <c r="J2586" s="3"/>
      <c r="K2586" s="3"/>
      <c r="L2586" s="3"/>
      <c r="M2586" s="3"/>
      <c r="N2586" s="3"/>
      <c r="O2586" s="3"/>
      <c r="P2586" s="3"/>
      <c r="Q2586" s="3"/>
    </row>
    <row r="2587" spans="2:17" x14ac:dyDescent="0.2">
      <c r="B2587" s="3"/>
      <c r="F2587" s="3"/>
      <c r="G2587" s="3"/>
      <c r="I2587" s="3"/>
      <c r="J2587" s="3"/>
      <c r="K2587" s="3"/>
      <c r="L2587" s="3"/>
      <c r="M2587" s="3"/>
      <c r="N2587" s="3"/>
      <c r="O2587" s="3"/>
      <c r="P2587" s="3"/>
      <c r="Q2587" s="3"/>
    </row>
    <row r="2588" spans="2:17" x14ac:dyDescent="0.2">
      <c r="B2588" s="3"/>
      <c r="F2588" s="3"/>
      <c r="G2588" s="3"/>
      <c r="I2588" s="3"/>
      <c r="J2588" s="3"/>
      <c r="K2588" s="3"/>
      <c r="L2588" s="3"/>
      <c r="M2588" s="3"/>
      <c r="N2588" s="3"/>
      <c r="O2588" s="3"/>
      <c r="P2588" s="3"/>
      <c r="Q2588" s="3"/>
    </row>
    <row r="2589" spans="2:17" x14ac:dyDescent="0.2">
      <c r="B2589" s="3"/>
      <c r="F2589" s="3"/>
      <c r="G2589" s="3"/>
      <c r="I2589" s="3"/>
      <c r="J2589" s="3"/>
      <c r="K2589" s="3"/>
      <c r="L2589" s="3"/>
      <c r="M2589" s="3"/>
      <c r="N2589" s="3"/>
      <c r="O2589" s="3"/>
      <c r="P2589" s="3"/>
      <c r="Q2589" s="3"/>
    </row>
    <row r="2590" spans="2:17" x14ac:dyDescent="0.2">
      <c r="B2590" s="3"/>
      <c r="F2590" s="3"/>
      <c r="G2590" s="3"/>
      <c r="I2590" s="3"/>
      <c r="J2590" s="3"/>
      <c r="K2590" s="3"/>
      <c r="L2590" s="3"/>
      <c r="M2590" s="3"/>
      <c r="N2590" s="3"/>
      <c r="O2590" s="3"/>
      <c r="P2590" s="3"/>
      <c r="Q2590" s="3"/>
    </row>
    <row r="2591" spans="2:17" x14ac:dyDescent="0.2">
      <c r="B2591" s="3"/>
      <c r="F2591" s="3"/>
      <c r="G2591" s="3"/>
      <c r="I2591" s="3"/>
      <c r="J2591" s="3"/>
      <c r="K2591" s="3"/>
      <c r="L2591" s="3"/>
      <c r="M2591" s="3"/>
      <c r="N2591" s="3"/>
      <c r="O2591" s="3"/>
      <c r="P2591" s="3"/>
      <c r="Q2591" s="3"/>
    </row>
    <row r="2592" spans="2:17" x14ac:dyDescent="0.2">
      <c r="B2592" s="3"/>
      <c r="F2592" s="3"/>
      <c r="G2592" s="3"/>
      <c r="I2592" s="3"/>
      <c r="J2592" s="3"/>
      <c r="K2592" s="3"/>
      <c r="L2592" s="3"/>
      <c r="M2592" s="3"/>
      <c r="N2592" s="3"/>
      <c r="O2592" s="3"/>
      <c r="P2592" s="3"/>
      <c r="Q2592" s="3"/>
    </row>
    <row r="2593" spans="2:17" x14ac:dyDescent="0.2">
      <c r="B2593" s="3"/>
      <c r="F2593" s="3"/>
      <c r="G2593" s="3"/>
      <c r="I2593" s="3"/>
      <c r="J2593" s="3"/>
      <c r="K2593" s="3"/>
      <c r="L2593" s="3"/>
      <c r="M2593" s="3"/>
      <c r="N2593" s="3"/>
      <c r="O2593" s="3"/>
      <c r="P2593" s="3"/>
      <c r="Q2593" s="3"/>
    </row>
    <row r="2594" spans="2:17" x14ac:dyDescent="0.2">
      <c r="B2594" s="3"/>
      <c r="F2594" s="3"/>
      <c r="G2594" s="3"/>
      <c r="I2594" s="3"/>
      <c r="J2594" s="3"/>
      <c r="K2594" s="3"/>
      <c r="L2594" s="3"/>
      <c r="M2594" s="3"/>
      <c r="N2594" s="3"/>
      <c r="O2594" s="3"/>
      <c r="P2594" s="3"/>
      <c r="Q2594" s="3"/>
    </row>
    <row r="2595" spans="2:17" x14ac:dyDescent="0.2">
      <c r="B2595" s="3"/>
      <c r="F2595" s="3"/>
      <c r="G2595" s="3"/>
      <c r="I2595" s="3"/>
      <c r="J2595" s="3"/>
      <c r="K2595" s="3"/>
      <c r="L2595" s="3"/>
      <c r="M2595" s="3"/>
      <c r="N2595" s="3"/>
      <c r="O2595" s="3"/>
      <c r="P2595" s="3"/>
      <c r="Q2595" s="3"/>
    </row>
    <row r="2596" spans="2:17" x14ac:dyDescent="0.2">
      <c r="B2596" s="3"/>
      <c r="F2596" s="3"/>
      <c r="G2596" s="3"/>
      <c r="I2596" s="3"/>
      <c r="J2596" s="3"/>
      <c r="K2596" s="3"/>
      <c r="L2596" s="3"/>
      <c r="M2596" s="3"/>
      <c r="N2596" s="3"/>
      <c r="O2596" s="3"/>
      <c r="P2596" s="3"/>
      <c r="Q2596" s="3"/>
    </row>
    <row r="2597" spans="2:17" x14ac:dyDescent="0.2">
      <c r="B2597" s="3"/>
      <c r="F2597" s="3"/>
      <c r="G2597" s="3"/>
      <c r="I2597" s="3"/>
      <c r="J2597" s="3"/>
      <c r="K2597" s="3"/>
      <c r="L2597" s="3"/>
      <c r="M2597" s="3"/>
      <c r="N2597" s="3"/>
      <c r="O2597" s="3"/>
      <c r="P2597" s="3"/>
      <c r="Q2597" s="3"/>
    </row>
    <row r="2598" spans="2:17" x14ac:dyDescent="0.2">
      <c r="B2598" s="3"/>
      <c r="F2598" s="3"/>
      <c r="G2598" s="3"/>
      <c r="I2598" s="3"/>
      <c r="J2598" s="3"/>
      <c r="K2598" s="3"/>
      <c r="L2598" s="3"/>
      <c r="M2598" s="3"/>
      <c r="N2598" s="3"/>
      <c r="O2598" s="3"/>
      <c r="P2598" s="3"/>
      <c r="Q2598" s="3"/>
    </row>
    <row r="2599" spans="2:17" x14ac:dyDescent="0.2">
      <c r="B2599" s="3"/>
      <c r="F2599" s="3"/>
      <c r="G2599" s="3"/>
      <c r="I2599" s="3"/>
      <c r="J2599" s="3"/>
      <c r="K2599" s="3"/>
      <c r="L2599" s="3"/>
      <c r="M2599" s="3"/>
      <c r="N2599" s="3"/>
      <c r="O2599" s="3"/>
      <c r="P2599" s="3"/>
      <c r="Q2599" s="3"/>
    </row>
    <row r="2600" spans="2:17" x14ac:dyDescent="0.2">
      <c r="B2600" s="3"/>
      <c r="F2600" s="3"/>
      <c r="G2600" s="3"/>
      <c r="I2600" s="3"/>
      <c r="J2600" s="3"/>
      <c r="K2600" s="3"/>
      <c r="L2600" s="3"/>
      <c r="M2600" s="3"/>
      <c r="N2600" s="3"/>
      <c r="O2600" s="3"/>
      <c r="P2600" s="3"/>
      <c r="Q2600" s="3"/>
    </row>
    <row r="2601" spans="2:17" x14ac:dyDescent="0.2">
      <c r="B2601" s="3"/>
      <c r="F2601" s="3"/>
      <c r="G2601" s="3"/>
      <c r="I2601" s="3"/>
      <c r="J2601" s="3"/>
      <c r="K2601" s="3"/>
      <c r="L2601" s="3"/>
      <c r="M2601" s="3"/>
      <c r="N2601" s="3"/>
      <c r="O2601" s="3"/>
      <c r="P2601" s="3"/>
      <c r="Q2601" s="3"/>
    </row>
    <row r="2602" spans="2:17" x14ac:dyDescent="0.2">
      <c r="B2602" s="3"/>
      <c r="F2602" s="3"/>
      <c r="G2602" s="3"/>
      <c r="I2602" s="3"/>
      <c r="J2602" s="3"/>
      <c r="K2602" s="3"/>
      <c r="L2602" s="3"/>
      <c r="M2602" s="3"/>
      <c r="N2602" s="3"/>
      <c r="O2602" s="3"/>
      <c r="P2602" s="3"/>
      <c r="Q2602" s="3"/>
    </row>
    <row r="2603" spans="2:17" x14ac:dyDescent="0.2">
      <c r="B2603" s="3"/>
      <c r="F2603" s="3"/>
      <c r="G2603" s="3"/>
      <c r="I2603" s="3"/>
      <c r="J2603" s="3"/>
      <c r="K2603" s="3"/>
      <c r="L2603" s="3"/>
      <c r="M2603" s="3"/>
      <c r="N2603" s="3"/>
      <c r="O2603" s="3"/>
      <c r="P2603" s="3"/>
      <c r="Q2603" s="3"/>
    </row>
    <row r="2604" spans="2:17" x14ac:dyDescent="0.2">
      <c r="B2604" s="3"/>
      <c r="F2604" s="3"/>
      <c r="G2604" s="3"/>
      <c r="I2604" s="3"/>
      <c r="J2604" s="3"/>
      <c r="K2604" s="3"/>
      <c r="L2604" s="3"/>
      <c r="M2604" s="3"/>
      <c r="N2604" s="3"/>
      <c r="O2604" s="3"/>
      <c r="P2604" s="3"/>
      <c r="Q2604" s="3"/>
    </row>
    <row r="2605" spans="2:17" x14ac:dyDescent="0.2">
      <c r="B2605" s="3"/>
      <c r="F2605" s="3"/>
      <c r="G2605" s="3"/>
      <c r="I2605" s="3"/>
      <c r="J2605" s="3"/>
      <c r="K2605" s="3"/>
      <c r="L2605" s="3"/>
      <c r="M2605" s="3"/>
      <c r="N2605" s="3"/>
      <c r="O2605" s="3"/>
      <c r="P2605" s="3"/>
      <c r="Q2605" s="3"/>
    </row>
    <row r="2606" spans="2:17" x14ac:dyDescent="0.2">
      <c r="B2606" s="3"/>
      <c r="F2606" s="3"/>
      <c r="G2606" s="3"/>
      <c r="I2606" s="3"/>
      <c r="J2606" s="3"/>
      <c r="K2606" s="3"/>
      <c r="L2606" s="3"/>
      <c r="M2606" s="3"/>
      <c r="N2606" s="3"/>
      <c r="O2606" s="3"/>
      <c r="P2606" s="3"/>
      <c r="Q2606" s="3"/>
    </row>
    <row r="2607" spans="2:17" x14ac:dyDescent="0.2">
      <c r="B2607" s="3"/>
      <c r="F2607" s="3"/>
      <c r="G2607" s="3"/>
      <c r="I2607" s="3"/>
      <c r="J2607" s="3"/>
      <c r="K2607" s="3"/>
      <c r="L2607" s="3"/>
      <c r="M2607" s="3"/>
      <c r="N2607" s="3"/>
      <c r="O2607" s="3"/>
      <c r="P2607" s="3"/>
      <c r="Q2607" s="3"/>
    </row>
    <row r="2608" spans="2:17" x14ac:dyDescent="0.2">
      <c r="B2608" s="3"/>
      <c r="F2608" s="3"/>
      <c r="G2608" s="3"/>
      <c r="I2608" s="3"/>
      <c r="J2608" s="3"/>
      <c r="K2608" s="3"/>
      <c r="L2608" s="3"/>
      <c r="M2608" s="3"/>
      <c r="N2608" s="3"/>
      <c r="O2608" s="3"/>
      <c r="P2608" s="3"/>
      <c r="Q2608" s="3"/>
    </row>
    <row r="2609" spans="2:17" x14ac:dyDescent="0.2">
      <c r="B2609" s="3"/>
      <c r="F2609" s="3"/>
      <c r="G2609" s="3"/>
      <c r="I2609" s="3"/>
      <c r="J2609" s="3"/>
      <c r="K2609" s="3"/>
      <c r="L2609" s="3"/>
      <c r="M2609" s="3"/>
      <c r="N2609" s="3"/>
      <c r="O2609" s="3"/>
      <c r="P2609" s="3"/>
      <c r="Q2609" s="3"/>
    </row>
    <row r="2610" spans="2:17" x14ac:dyDescent="0.2">
      <c r="B2610" s="3"/>
      <c r="F2610" s="3"/>
      <c r="G2610" s="3"/>
      <c r="I2610" s="3"/>
      <c r="J2610" s="3"/>
      <c r="K2610" s="3"/>
      <c r="L2610" s="3"/>
      <c r="M2610" s="3"/>
      <c r="N2610" s="3"/>
      <c r="O2610" s="3"/>
      <c r="P2610" s="3"/>
      <c r="Q2610" s="3"/>
    </row>
    <row r="2611" spans="2:17" x14ac:dyDescent="0.2">
      <c r="B2611" s="3"/>
      <c r="F2611" s="3"/>
      <c r="G2611" s="3"/>
      <c r="I2611" s="3"/>
      <c r="J2611" s="3"/>
      <c r="K2611" s="3"/>
      <c r="L2611" s="3"/>
      <c r="M2611" s="3"/>
      <c r="N2611" s="3"/>
      <c r="O2611" s="3"/>
      <c r="P2611" s="3"/>
      <c r="Q2611" s="3"/>
    </row>
    <row r="2612" spans="2:17" x14ac:dyDescent="0.2">
      <c r="B2612" s="3"/>
      <c r="F2612" s="3"/>
      <c r="G2612" s="3"/>
      <c r="I2612" s="3"/>
      <c r="J2612" s="3"/>
      <c r="K2612" s="3"/>
      <c r="L2612" s="3"/>
      <c r="M2612" s="3"/>
      <c r="N2612" s="3"/>
      <c r="O2612" s="3"/>
      <c r="P2612" s="3"/>
      <c r="Q2612" s="3"/>
    </row>
    <row r="2613" spans="2:17" x14ac:dyDescent="0.2">
      <c r="B2613" s="3"/>
      <c r="F2613" s="3"/>
      <c r="G2613" s="3"/>
      <c r="I2613" s="3"/>
      <c r="J2613" s="3"/>
      <c r="K2613" s="3"/>
      <c r="L2613" s="3"/>
      <c r="M2613" s="3"/>
      <c r="N2613" s="3"/>
      <c r="O2613" s="3"/>
      <c r="P2613" s="3"/>
      <c r="Q2613" s="3"/>
    </row>
    <row r="2614" spans="2:17" x14ac:dyDescent="0.2">
      <c r="B2614" s="3"/>
      <c r="F2614" s="3"/>
      <c r="G2614" s="3"/>
      <c r="I2614" s="3"/>
      <c r="J2614" s="3"/>
      <c r="K2614" s="3"/>
      <c r="L2614" s="3"/>
      <c r="M2614" s="3"/>
      <c r="N2614" s="3"/>
      <c r="O2614" s="3"/>
      <c r="P2614" s="3"/>
      <c r="Q2614" s="3"/>
    </row>
    <row r="2615" spans="2:17" x14ac:dyDescent="0.2">
      <c r="B2615" s="3"/>
      <c r="F2615" s="3"/>
      <c r="G2615" s="3"/>
      <c r="I2615" s="3"/>
      <c r="J2615" s="3"/>
      <c r="K2615" s="3"/>
      <c r="L2615" s="3"/>
      <c r="M2615" s="3"/>
      <c r="N2615" s="3"/>
      <c r="O2615" s="3"/>
      <c r="P2615" s="3"/>
      <c r="Q2615" s="3"/>
    </row>
    <row r="2616" spans="2:17" x14ac:dyDescent="0.2">
      <c r="B2616" s="3"/>
      <c r="F2616" s="3"/>
      <c r="G2616" s="3"/>
      <c r="I2616" s="3"/>
      <c r="J2616" s="3"/>
      <c r="K2616" s="3"/>
      <c r="L2616" s="3"/>
      <c r="M2616" s="3"/>
      <c r="N2616" s="3"/>
      <c r="O2616" s="3"/>
      <c r="P2616" s="3"/>
      <c r="Q2616" s="3"/>
    </row>
    <row r="2617" spans="2:17" x14ac:dyDescent="0.2">
      <c r="B2617" s="3"/>
      <c r="F2617" s="3"/>
      <c r="G2617" s="3"/>
      <c r="I2617" s="3"/>
      <c r="J2617" s="3"/>
      <c r="K2617" s="3"/>
      <c r="L2617" s="3"/>
      <c r="M2617" s="3"/>
      <c r="N2617" s="3"/>
      <c r="O2617" s="3"/>
      <c r="P2617" s="3"/>
      <c r="Q2617" s="3"/>
    </row>
    <row r="2618" spans="2:17" x14ac:dyDescent="0.2">
      <c r="B2618" s="3"/>
      <c r="F2618" s="3"/>
      <c r="G2618" s="3"/>
      <c r="I2618" s="3"/>
      <c r="J2618" s="3"/>
      <c r="K2618" s="3"/>
      <c r="L2618" s="3"/>
      <c r="M2618" s="3"/>
      <c r="N2618" s="3"/>
      <c r="O2618" s="3"/>
      <c r="P2618" s="3"/>
      <c r="Q2618" s="3"/>
    </row>
    <row r="2619" spans="2:17" x14ac:dyDescent="0.2">
      <c r="B2619" s="3"/>
      <c r="F2619" s="3"/>
      <c r="G2619" s="3"/>
      <c r="I2619" s="3"/>
      <c r="J2619" s="3"/>
      <c r="K2619" s="3"/>
      <c r="L2619" s="3"/>
      <c r="M2619" s="3"/>
      <c r="N2619" s="3"/>
      <c r="O2619" s="3"/>
      <c r="P2619" s="3"/>
      <c r="Q2619" s="3"/>
    </row>
    <row r="2620" spans="2:17" x14ac:dyDescent="0.2">
      <c r="B2620" s="3"/>
      <c r="F2620" s="3"/>
      <c r="G2620" s="3"/>
      <c r="I2620" s="3"/>
      <c r="J2620" s="3"/>
      <c r="K2620" s="3"/>
      <c r="L2620" s="3"/>
      <c r="M2620" s="3"/>
      <c r="N2620" s="3"/>
      <c r="O2620" s="3"/>
      <c r="P2620" s="3"/>
      <c r="Q2620" s="3"/>
    </row>
    <row r="2621" spans="2:17" x14ac:dyDescent="0.2">
      <c r="B2621" s="3"/>
      <c r="F2621" s="3"/>
      <c r="G2621" s="3"/>
      <c r="I2621" s="3"/>
      <c r="J2621" s="3"/>
      <c r="K2621" s="3"/>
      <c r="L2621" s="3"/>
      <c r="M2621" s="3"/>
      <c r="N2621" s="3"/>
      <c r="O2621" s="3"/>
      <c r="P2621" s="3"/>
      <c r="Q2621" s="3"/>
    </row>
    <row r="2622" spans="2:17" x14ac:dyDescent="0.2">
      <c r="B2622" s="3"/>
      <c r="F2622" s="3"/>
      <c r="G2622" s="3"/>
      <c r="I2622" s="3"/>
      <c r="J2622" s="3"/>
      <c r="K2622" s="3"/>
      <c r="L2622" s="3"/>
      <c r="M2622" s="3"/>
      <c r="N2622" s="3"/>
      <c r="O2622" s="3"/>
      <c r="P2622" s="3"/>
      <c r="Q2622" s="3"/>
    </row>
    <row r="2623" spans="2:17" x14ac:dyDescent="0.2">
      <c r="B2623" s="3"/>
      <c r="F2623" s="3"/>
      <c r="G2623" s="3"/>
      <c r="I2623" s="3"/>
      <c r="J2623" s="3"/>
      <c r="K2623" s="3"/>
      <c r="L2623" s="3"/>
      <c r="M2623" s="3"/>
      <c r="N2623" s="3"/>
      <c r="O2623" s="3"/>
      <c r="P2623" s="3"/>
      <c r="Q2623" s="3"/>
    </row>
    <row r="2624" spans="2:17" x14ac:dyDescent="0.2">
      <c r="B2624" s="3"/>
      <c r="F2624" s="3"/>
      <c r="G2624" s="3"/>
      <c r="I2624" s="3"/>
      <c r="J2624" s="3"/>
      <c r="K2624" s="3"/>
      <c r="L2624" s="3"/>
      <c r="M2624" s="3"/>
      <c r="N2624" s="3"/>
      <c r="O2624" s="3"/>
      <c r="P2624" s="3"/>
      <c r="Q2624" s="3"/>
    </row>
    <row r="2625" spans="2:17" x14ac:dyDescent="0.2">
      <c r="B2625" s="3"/>
      <c r="F2625" s="3"/>
      <c r="G2625" s="3"/>
      <c r="I2625" s="3"/>
      <c r="J2625" s="3"/>
      <c r="K2625" s="3"/>
      <c r="L2625" s="3"/>
      <c r="M2625" s="3"/>
      <c r="N2625" s="3"/>
      <c r="O2625" s="3"/>
      <c r="P2625" s="3"/>
      <c r="Q2625" s="3"/>
    </row>
    <row r="2626" spans="2:17" x14ac:dyDescent="0.2">
      <c r="B2626" s="3"/>
      <c r="F2626" s="3"/>
      <c r="G2626" s="3"/>
      <c r="I2626" s="3"/>
      <c r="J2626" s="3"/>
      <c r="K2626" s="3"/>
      <c r="L2626" s="3"/>
      <c r="M2626" s="3"/>
      <c r="N2626" s="3"/>
      <c r="O2626" s="3"/>
      <c r="P2626" s="3"/>
      <c r="Q2626" s="3"/>
    </row>
    <row r="2627" spans="2:17" x14ac:dyDescent="0.2">
      <c r="B2627" s="3"/>
      <c r="F2627" s="3"/>
      <c r="G2627" s="3"/>
      <c r="I2627" s="3"/>
      <c r="J2627" s="3"/>
      <c r="K2627" s="3"/>
      <c r="L2627" s="3"/>
      <c r="M2627" s="3"/>
      <c r="N2627" s="3"/>
      <c r="O2627" s="3"/>
      <c r="P2627" s="3"/>
      <c r="Q2627" s="3"/>
    </row>
    <row r="2628" spans="2:17" x14ac:dyDescent="0.2">
      <c r="B2628" s="3"/>
      <c r="F2628" s="3"/>
      <c r="G2628" s="3"/>
      <c r="I2628" s="3"/>
      <c r="J2628" s="3"/>
      <c r="K2628" s="3"/>
      <c r="L2628" s="3"/>
      <c r="M2628" s="3"/>
      <c r="N2628" s="3"/>
      <c r="O2628" s="3"/>
      <c r="P2628" s="3"/>
      <c r="Q2628" s="3"/>
    </row>
    <row r="2629" spans="2:17" x14ac:dyDescent="0.2">
      <c r="B2629" s="3"/>
      <c r="F2629" s="3"/>
      <c r="G2629" s="3"/>
      <c r="I2629" s="3"/>
      <c r="J2629" s="3"/>
      <c r="K2629" s="3"/>
      <c r="L2629" s="3"/>
      <c r="M2629" s="3"/>
      <c r="N2629" s="3"/>
      <c r="O2629" s="3"/>
      <c r="P2629" s="3"/>
      <c r="Q2629" s="3"/>
    </row>
    <row r="2630" spans="2:17" x14ac:dyDescent="0.2">
      <c r="B2630" s="3"/>
      <c r="F2630" s="3"/>
      <c r="G2630" s="3"/>
      <c r="I2630" s="3"/>
      <c r="J2630" s="3"/>
      <c r="K2630" s="3"/>
      <c r="L2630" s="3"/>
      <c r="M2630" s="3"/>
      <c r="N2630" s="3"/>
      <c r="O2630" s="3"/>
      <c r="P2630" s="3"/>
      <c r="Q2630" s="3"/>
    </row>
    <row r="2631" spans="2:17" x14ac:dyDescent="0.2">
      <c r="B2631" s="3"/>
      <c r="F2631" s="3"/>
      <c r="G2631" s="3"/>
      <c r="I2631" s="3"/>
      <c r="J2631" s="3"/>
      <c r="K2631" s="3"/>
      <c r="L2631" s="3"/>
      <c r="M2631" s="3"/>
      <c r="N2631" s="3"/>
      <c r="O2631" s="3"/>
      <c r="P2631" s="3"/>
      <c r="Q2631" s="3"/>
    </row>
    <row r="2632" spans="2:17" x14ac:dyDescent="0.2">
      <c r="B2632" s="3"/>
      <c r="F2632" s="3"/>
      <c r="G2632" s="3"/>
      <c r="I2632" s="3"/>
      <c r="J2632" s="3"/>
      <c r="K2632" s="3"/>
      <c r="L2632" s="3"/>
      <c r="M2632" s="3"/>
      <c r="N2632" s="3"/>
      <c r="O2632" s="3"/>
      <c r="P2632" s="3"/>
      <c r="Q2632" s="3"/>
    </row>
    <row r="2633" spans="2:17" x14ac:dyDescent="0.2">
      <c r="B2633" s="3"/>
      <c r="F2633" s="3"/>
      <c r="G2633" s="3"/>
      <c r="I2633" s="3"/>
      <c r="J2633" s="3"/>
      <c r="K2633" s="3"/>
      <c r="L2633" s="3"/>
      <c r="M2633" s="3"/>
      <c r="N2633" s="3"/>
      <c r="O2633" s="3"/>
      <c r="P2633" s="3"/>
      <c r="Q2633" s="3"/>
    </row>
    <row r="2634" spans="2:17" x14ac:dyDescent="0.2">
      <c r="B2634" s="3"/>
      <c r="F2634" s="3"/>
      <c r="G2634" s="3"/>
      <c r="I2634" s="3"/>
      <c r="J2634" s="3"/>
      <c r="K2634" s="3"/>
      <c r="L2634" s="3"/>
      <c r="M2634" s="3"/>
      <c r="N2634" s="3"/>
      <c r="O2634" s="3"/>
      <c r="P2634" s="3"/>
      <c r="Q2634" s="3"/>
    </row>
    <row r="2635" spans="2:17" x14ac:dyDescent="0.2">
      <c r="B2635" s="3"/>
      <c r="F2635" s="3"/>
      <c r="G2635" s="3"/>
      <c r="I2635" s="3"/>
      <c r="J2635" s="3"/>
      <c r="K2635" s="3"/>
      <c r="L2635" s="3"/>
      <c r="M2635" s="3"/>
      <c r="N2635" s="3"/>
      <c r="O2635" s="3"/>
      <c r="P2635" s="3"/>
      <c r="Q2635" s="3"/>
    </row>
    <row r="2636" spans="2:17" x14ac:dyDescent="0.2">
      <c r="B2636" s="3"/>
      <c r="F2636" s="3"/>
      <c r="G2636" s="3"/>
      <c r="I2636" s="3"/>
      <c r="J2636" s="3"/>
      <c r="K2636" s="3"/>
      <c r="L2636" s="3"/>
      <c r="M2636" s="3"/>
      <c r="N2636" s="3"/>
      <c r="O2636" s="3"/>
      <c r="P2636" s="3"/>
      <c r="Q2636" s="3"/>
    </row>
    <row r="2637" spans="2:17" x14ac:dyDescent="0.2">
      <c r="B2637" s="3"/>
      <c r="F2637" s="3"/>
      <c r="G2637" s="3"/>
      <c r="I2637" s="3"/>
      <c r="J2637" s="3"/>
      <c r="K2637" s="3"/>
      <c r="L2637" s="3"/>
      <c r="M2637" s="3"/>
      <c r="N2637" s="3"/>
      <c r="O2637" s="3"/>
      <c r="P2637" s="3"/>
      <c r="Q2637" s="3"/>
    </row>
    <row r="2638" spans="2:17" x14ac:dyDescent="0.2">
      <c r="B2638" s="3"/>
      <c r="F2638" s="3"/>
      <c r="G2638" s="3"/>
      <c r="I2638" s="3"/>
      <c r="J2638" s="3"/>
      <c r="K2638" s="3"/>
      <c r="L2638" s="3"/>
      <c r="M2638" s="3"/>
      <c r="N2638" s="3"/>
      <c r="O2638" s="3"/>
      <c r="P2638" s="3"/>
      <c r="Q2638" s="3"/>
    </row>
    <row r="2639" spans="2:17" x14ac:dyDescent="0.2">
      <c r="B2639" s="3"/>
      <c r="F2639" s="3"/>
      <c r="G2639" s="3"/>
      <c r="I2639" s="3"/>
      <c r="J2639" s="3"/>
      <c r="K2639" s="3"/>
      <c r="L2639" s="3"/>
      <c r="M2639" s="3"/>
      <c r="N2639" s="3"/>
      <c r="O2639" s="3"/>
      <c r="P2639" s="3"/>
      <c r="Q2639" s="3"/>
    </row>
    <row r="2640" spans="2:17" x14ac:dyDescent="0.2">
      <c r="B2640" s="3"/>
      <c r="F2640" s="3"/>
      <c r="G2640" s="3"/>
      <c r="I2640" s="3"/>
      <c r="J2640" s="3"/>
      <c r="K2640" s="3"/>
      <c r="L2640" s="3"/>
      <c r="M2640" s="3"/>
      <c r="N2640" s="3"/>
      <c r="O2640" s="3"/>
      <c r="P2640" s="3"/>
      <c r="Q2640" s="3"/>
    </row>
    <row r="2641" spans="2:17" x14ac:dyDescent="0.2">
      <c r="B2641" s="3"/>
      <c r="F2641" s="3"/>
      <c r="G2641" s="3"/>
      <c r="I2641" s="3"/>
      <c r="J2641" s="3"/>
      <c r="K2641" s="3"/>
      <c r="L2641" s="3"/>
      <c r="M2641" s="3"/>
      <c r="N2641" s="3"/>
      <c r="O2641" s="3"/>
      <c r="P2641" s="3"/>
      <c r="Q2641" s="3"/>
    </row>
    <row r="2642" spans="2:17" x14ac:dyDescent="0.2">
      <c r="B2642" s="3"/>
      <c r="F2642" s="3"/>
      <c r="G2642" s="3"/>
      <c r="I2642" s="3"/>
      <c r="J2642" s="3"/>
      <c r="K2642" s="3"/>
      <c r="L2642" s="3"/>
      <c r="M2642" s="3"/>
      <c r="N2642" s="3"/>
      <c r="O2642" s="3"/>
      <c r="P2642" s="3"/>
      <c r="Q2642" s="3"/>
    </row>
    <row r="2643" spans="2:17" x14ac:dyDescent="0.2">
      <c r="B2643" s="3"/>
      <c r="F2643" s="3"/>
      <c r="G2643" s="3"/>
      <c r="I2643" s="3"/>
      <c r="J2643" s="3"/>
      <c r="K2643" s="3"/>
      <c r="L2643" s="3"/>
      <c r="M2643" s="3"/>
      <c r="N2643" s="3"/>
      <c r="O2643" s="3"/>
      <c r="P2643" s="3"/>
      <c r="Q2643" s="3"/>
    </row>
    <row r="2644" spans="2:17" x14ac:dyDescent="0.2">
      <c r="B2644" s="3"/>
      <c r="F2644" s="3"/>
      <c r="G2644" s="3"/>
      <c r="I2644" s="3"/>
      <c r="J2644" s="3"/>
      <c r="K2644" s="3"/>
      <c r="L2644" s="3"/>
      <c r="M2644" s="3"/>
      <c r="N2644" s="3"/>
      <c r="O2644" s="3"/>
      <c r="P2644" s="3"/>
      <c r="Q2644" s="3"/>
    </row>
    <row r="2645" spans="2:17" x14ac:dyDescent="0.2">
      <c r="B2645" s="3"/>
      <c r="F2645" s="3"/>
      <c r="G2645" s="3"/>
      <c r="I2645" s="3"/>
      <c r="J2645" s="3"/>
      <c r="K2645" s="3"/>
      <c r="L2645" s="3"/>
      <c r="M2645" s="3"/>
      <c r="N2645" s="3"/>
      <c r="O2645" s="3"/>
      <c r="P2645" s="3"/>
      <c r="Q2645" s="3"/>
    </row>
    <row r="2646" spans="2:17" x14ac:dyDescent="0.2">
      <c r="B2646" s="3"/>
      <c r="F2646" s="3"/>
      <c r="G2646" s="3"/>
      <c r="I2646" s="3"/>
      <c r="J2646" s="3"/>
      <c r="K2646" s="3"/>
      <c r="L2646" s="3"/>
      <c r="M2646" s="3"/>
      <c r="N2646" s="3"/>
      <c r="O2646" s="3"/>
      <c r="P2646" s="3"/>
      <c r="Q2646" s="3"/>
    </row>
    <row r="2647" spans="2:17" x14ac:dyDescent="0.2">
      <c r="B2647" s="3"/>
      <c r="F2647" s="3"/>
      <c r="G2647" s="3"/>
      <c r="I2647" s="3"/>
      <c r="J2647" s="3"/>
      <c r="K2647" s="3"/>
      <c r="L2647" s="3"/>
      <c r="M2647" s="3"/>
      <c r="N2647" s="3"/>
      <c r="O2647" s="3"/>
      <c r="P2647" s="3"/>
      <c r="Q2647" s="3"/>
    </row>
    <row r="2648" spans="2:17" x14ac:dyDescent="0.2">
      <c r="B2648" s="3"/>
      <c r="F2648" s="3"/>
      <c r="G2648" s="3"/>
      <c r="I2648" s="3"/>
      <c r="J2648" s="3"/>
      <c r="K2648" s="3"/>
      <c r="L2648" s="3"/>
      <c r="M2648" s="3"/>
      <c r="N2648" s="3"/>
      <c r="O2648" s="3"/>
      <c r="P2648" s="3"/>
      <c r="Q2648" s="3"/>
    </row>
    <row r="2649" spans="2:17" x14ac:dyDescent="0.2">
      <c r="B2649" s="3"/>
      <c r="F2649" s="3"/>
      <c r="G2649" s="3"/>
      <c r="I2649" s="3"/>
      <c r="J2649" s="3"/>
      <c r="K2649" s="3"/>
      <c r="L2649" s="3"/>
      <c r="M2649" s="3"/>
      <c r="N2649" s="3"/>
      <c r="O2649" s="3"/>
      <c r="P2649" s="3"/>
      <c r="Q2649" s="3"/>
    </row>
    <row r="2650" spans="2:17" x14ac:dyDescent="0.2">
      <c r="B2650" s="3"/>
      <c r="F2650" s="3"/>
      <c r="G2650" s="3"/>
      <c r="I2650" s="3"/>
      <c r="J2650" s="3"/>
      <c r="K2650" s="3"/>
      <c r="L2650" s="3"/>
      <c r="M2650" s="3"/>
      <c r="N2650" s="3"/>
      <c r="O2650" s="3"/>
      <c r="P2650" s="3"/>
      <c r="Q2650" s="3"/>
    </row>
    <row r="2651" spans="2:17" x14ac:dyDescent="0.2">
      <c r="B2651" s="3"/>
      <c r="F2651" s="3"/>
      <c r="G2651" s="3"/>
      <c r="I2651" s="3"/>
      <c r="J2651" s="3"/>
      <c r="K2651" s="3"/>
      <c r="L2651" s="3"/>
      <c r="M2651" s="3"/>
      <c r="N2651" s="3"/>
      <c r="O2651" s="3"/>
      <c r="P2651" s="3"/>
      <c r="Q2651" s="3"/>
    </row>
    <row r="2652" spans="2:17" x14ac:dyDescent="0.2">
      <c r="B2652" s="3"/>
      <c r="F2652" s="3"/>
      <c r="G2652" s="3"/>
      <c r="I2652" s="3"/>
      <c r="J2652" s="3"/>
      <c r="K2652" s="3"/>
      <c r="L2652" s="3"/>
      <c r="M2652" s="3"/>
      <c r="N2652" s="3"/>
      <c r="O2652" s="3"/>
      <c r="P2652" s="3"/>
      <c r="Q2652" s="3"/>
    </row>
    <row r="2653" spans="2:17" x14ac:dyDescent="0.2">
      <c r="B2653" s="3"/>
      <c r="F2653" s="3"/>
      <c r="G2653" s="3"/>
      <c r="I2653" s="3"/>
      <c r="J2653" s="3"/>
      <c r="K2653" s="3"/>
      <c r="L2653" s="3"/>
      <c r="M2653" s="3"/>
      <c r="N2653" s="3"/>
      <c r="O2653" s="3"/>
      <c r="P2653" s="3"/>
      <c r="Q2653" s="3"/>
    </row>
    <row r="2654" spans="2:17" x14ac:dyDescent="0.2">
      <c r="B2654" s="3"/>
      <c r="F2654" s="3"/>
      <c r="G2654" s="3"/>
      <c r="I2654" s="3"/>
      <c r="J2654" s="3"/>
      <c r="K2654" s="3"/>
      <c r="L2654" s="3"/>
      <c r="M2654" s="3"/>
      <c r="N2654" s="3"/>
      <c r="O2654" s="3"/>
      <c r="P2654" s="3"/>
      <c r="Q2654" s="3"/>
    </row>
    <row r="2655" spans="2:17" x14ac:dyDescent="0.2">
      <c r="B2655" s="3"/>
      <c r="F2655" s="3"/>
      <c r="G2655" s="3"/>
      <c r="I2655" s="3"/>
      <c r="J2655" s="3"/>
      <c r="K2655" s="3"/>
      <c r="L2655" s="3"/>
      <c r="M2655" s="3"/>
      <c r="N2655" s="3"/>
      <c r="O2655" s="3"/>
      <c r="P2655" s="3"/>
      <c r="Q2655" s="3"/>
    </row>
    <row r="2656" spans="2:17" x14ac:dyDescent="0.2">
      <c r="B2656" s="3"/>
      <c r="F2656" s="3"/>
      <c r="G2656" s="3"/>
      <c r="I2656" s="3"/>
      <c r="J2656" s="3"/>
      <c r="K2656" s="3"/>
      <c r="L2656" s="3"/>
      <c r="M2656" s="3"/>
      <c r="N2656" s="3"/>
      <c r="O2656" s="3"/>
      <c r="P2656" s="3"/>
      <c r="Q2656" s="3"/>
    </row>
    <row r="2657" spans="2:17" x14ac:dyDescent="0.2">
      <c r="B2657" s="3"/>
      <c r="F2657" s="3"/>
      <c r="G2657" s="3"/>
      <c r="I2657" s="3"/>
      <c r="J2657" s="3"/>
      <c r="K2657" s="3"/>
      <c r="L2657" s="3"/>
      <c r="M2657" s="3"/>
      <c r="N2657" s="3"/>
      <c r="O2657" s="3"/>
      <c r="P2657" s="3"/>
      <c r="Q2657" s="3"/>
    </row>
    <row r="2658" spans="2:17" x14ac:dyDescent="0.2">
      <c r="B2658" s="3"/>
      <c r="F2658" s="3"/>
      <c r="G2658" s="3"/>
      <c r="I2658" s="3"/>
      <c r="J2658" s="3"/>
      <c r="K2658" s="3"/>
      <c r="L2658" s="3"/>
      <c r="M2658" s="3"/>
      <c r="N2658" s="3"/>
      <c r="O2658" s="3"/>
      <c r="P2658" s="3"/>
      <c r="Q2658" s="3"/>
    </row>
    <row r="2659" spans="2:17" x14ac:dyDescent="0.2">
      <c r="B2659" s="3"/>
      <c r="F2659" s="3"/>
      <c r="G2659" s="3"/>
      <c r="I2659" s="3"/>
      <c r="J2659" s="3"/>
      <c r="K2659" s="3"/>
      <c r="L2659" s="3"/>
      <c r="M2659" s="3"/>
      <c r="N2659" s="3"/>
      <c r="O2659" s="3"/>
      <c r="P2659" s="3"/>
      <c r="Q2659" s="3"/>
    </row>
    <row r="2660" spans="2:17" x14ac:dyDescent="0.2">
      <c r="B2660" s="3"/>
      <c r="F2660" s="3"/>
      <c r="G2660" s="3"/>
      <c r="I2660" s="3"/>
      <c r="J2660" s="3"/>
      <c r="K2660" s="3"/>
      <c r="L2660" s="3"/>
      <c r="M2660" s="3"/>
      <c r="N2660" s="3"/>
      <c r="O2660" s="3"/>
      <c r="P2660" s="3"/>
      <c r="Q2660" s="3"/>
    </row>
    <row r="2661" spans="2:17" x14ac:dyDescent="0.2">
      <c r="B2661" s="3"/>
      <c r="F2661" s="3"/>
      <c r="G2661" s="3"/>
      <c r="I2661" s="3"/>
      <c r="J2661" s="3"/>
      <c r="K2661" s="3"/>
      <c r="L2661" s="3"/>
      <c r="M2661" s="3"/>
      <c r="N2661" s="3"/>
      <c r="O2661" s="3"/>
      <c r="P2661" s="3"/>
      <c r="Q2661" s="3"/>
    </row>
    <row r="2662" spans="2:17" x14ac:dyDescent="0.2">
      <c r="B2662" s="3"/>
      <c r="F2662" s="3"/>
      <c r="G2662" s="3"/>
      <c r="I2662" s="3"/>
      <c r="J2662" s="3"/>
      <c r="K2662" s="3"/>
      <c r="L2662" s="3"/>
      <c r="M2662" s="3"/>
      <c r="N2662" s="3"/>
      <c r="O2662" s="3"/>
      <c r="P2662" s="3"/>
      <c r="Q2662" s="3"/>
    </row>
    <row r="2663" spans="2:17" x14ac:dyDescent="0.2">
      <c r="B2663" s="3"/>
      <c r="F2663" s="3"/>
      <c r="G2663" s="3"/>
      <c r="I2663" s="3"/>
      <c r="J2663" s="3"/>
      <c r="K2663" s="3"/>
      <c r="L2663" s="3"/>
      <c r="M2663" s="3"/>
      <c r="N2663" s="3"/>
      <c r="O2663" s="3"/>
      <c r="P2663" s="3"/>
      <c r="Q2663" s="3"/>
    </row>
    <row r="2664" spans="2:17" x14ac:dyDescent="0.2">
      <c r="B2664" s="3"/>
      <c r="F2664" s="3"/>
      <c r="G2664" s="3"/>
      <c r="I2664" s="3"/>
      <c r="J2664" s="3"/>
      <c r="K2664" s="3"/>
      <c r="L2664" s="3"/>
      <c r="M2664" s="3"/>
      <c r="N2664" s="3"/>
      <c r="O2664" s="3"/>
      <c r="P2664" s="3"/>
      <c r="Q2664" s="3"/>
    </row>
    <row r="2665" spans="2:17" x14ac:dyDescent="0.2">
      <c r="B2665" s="3"/>
      <c r="F2665" s="3"/>
      <c r="G2665" s="3"/>
      <c r="I2665" s="3"/>
      <c r="J2665" s="3"/>
      <c r="K2665" s="3"/>
      <c r="L2665" s="3"/>
      <c r="M2665" s="3"/>
      <c r="N2665" s="3"/>
      <c r="O2665" s="3"/>
      <c r="P2665" s="3"/>
      <c r="Q2665" s="3"/>
    </row>
    <row r="2666" spans="2:17" x14ac:dyDescent="0.2">
      <c r="B2666" s="3"/>
      <c r="F2666" s="3"/>
      <c r="G2666" s="3"/>
      <c r="I2666" s="3"/>
      <c r="J2666" s="3"/>
      <c r="K2666" s="3"/>
      <c r="L2666" s="3"/>
      <c r="M2666" s="3"/>
      <c r="N2666" s="3"/>
      <c r="O2666" s="3"/>
      <c r="P2666" s="3"/>
      <c r="Q2666" s="3"/>
    </row>
    <row r="2667" spans="2:17" x14ac:dyDescent="0.2">
      <c r="B2667" s="3"/>
      <c r="F2667" s="3"/>
      <c r="G2667" s="3"/>
      <c r="I2667" s="3"/>
      <c r="J2667" s="3"/>
      <c r="K2667" s="3"/>
      <c r="L2667" s="3"/>
      <c r="M2667" s="3"/>
      <c r="N2667" s="3"/>
      <c r="O2667" s="3"/>
      <c r="P2667" s="3"/>
      <c r="Q2667" s="3"/>
    </row>
    <row r="2668" spans="2:17" x14ac:dyDescent="0.2">
      <c r="B2668" s="3"/>
      <c r="F2668" s="3"/>
      <c r="G2668" s="3"/>
      <c r="I2668" s="3"/>
      <c r="J2668" s="3"/>
      <c r="K2668" s="3"/>
      <c r="L2668" s="3"/>
      <c r="M2668" s="3"/>
      <c r="N2668" s="3"/>
      <c r="O2668" s="3"/>
      <c r="P2668" s="3"/>
      <c r="Q2668" s="3"/>
    </row>
    <row r="2669" spans="2:17" x14ac:dyDescent="0.2">
      <c r="B2669" s="3"/>
      <c r="F2669" s="3"/>
      <c r="G2669" s="3"/>
      <c r="I2669" s="3"/>
      <c r="J2669" s="3"/>
      <c r="K2669" s="3"/>
      <c r="L2669" s="3"/>
      <c r="M2669" s="3"/>
      <c r="N2669" s="3"/>
      <c r="O2669" s="3"/>
      <c r="P2669" s="3"/>
      <c r="Q2669" s="3"/>
    </row>
    <row r="2670" spans="2:17" x14ac:dyDescent="0.2">
      <c r="B2670" s="3"/>
      <c r="F2670" s="3"/>
      <c r="G2670" s="3"/>
      <c r="I2670" s="3"/>
      <c r="J2670" s="3"/>
      <c r="K2670" s="3"/>
      <c r="L2670" s="3"/>
      <c r="M2670" s="3"/>
      <c r="N2670" s="3"/>
      <c r="O2670" s="3"/>
      <c r="P2670" s="3"/>
      <c r="Q2670" s="3"/>
    </row>
    <row r="2671" spans="2:17" x14ac:dyDescent="0.2">
      <c r="B2671" s="3"/>
      <c r="F2671" s="3"/>
      <c r="G2671" s="3"/>
      <c r="I2671" s="3"/>
      <c r="J2671" s="3"/>
      <c r="K2671" s="3"/>
      <c r="L2671" s="3"/>
      <c r="M2671" s="3"/>
      <c r="N2671" s="3"/>
      <c r="O2671" s="3"/>
      <c r="P2671" s="3"/>
      <c r="Q2671" s="3"/>
    </row>
    <row r="2672" spans="2:17" x14ac:dyDescent="0.2">
      <c r="B2672" s="3"/>
      <c r="F2672" s="3"/>
      <c r="G2672" s="3"/>
      <c r="I2672" s="3"/>
      <c r="J2672" s="3"/>
      <c r="K2672" s="3"/>
      <c r="L2672" s="3"/>
      <c r="M2672" s="3"/>
      <c r="N2672" s="3"/>
      <c r="O2672" s="3"/>
      <c r="P2672" s="3"/>
      <c r="Q2672" s="3"/>
    </row>
    <row r="2673" spans="2:17" x14ac:dyDescent="0.2">
      <c r="B2673" s="3"/>
      <c r="F2673" s="3"/>
      <c r="G2673" s="3"/>
      <c r="I2673" s="3"/>
      <c r="J2673" s="3"/>
      <c r="K2673" s="3"/>
      <c r="L2673" s="3"/>
      <c r="M2673" s="3"/>
      <c r="N2673" s="3"/>
      <c r="O2673" s="3"/>
      <c r="P2673" s="3"/>
      <c r="Q2673" s="3"/>
    </row>
    <row r="2674" spans="2:17" x14ac:dyDescent="0.2">
      <c r="B2674" s="3"/>
      <c r="F2674" s="3"/>
      <c r="G2674" s="3"/>
      <c r="I2674" s="3"/>
      <c r="J2674" s="3"/>
      <c r="K2674" s="3"/>
      <c r="L2674" s="3"/>
      <c r="M2674" s="3"/>
      <c r="N2674" s="3"/>
      <c r="O2674" s="3"/>
      <c r="P2674" s="3"/>
      <c r="Q2674" s="3"/>
    </row>
    <row r="2675" spans="2:17" x14ac:dyDescent="0.2">
      <c r="B2675" s="3"/>
      <c r="F2675" s="3"/>
      <c r="G2675" s="3"/>
      <c r="I2675" s="3"/>
      <c r="J2675" s="3"/>
      <c r="K2675" s="3"/>
      <c r="L2675" s="3"/>
      <c r="M2675" s="3"/>
      <c r="N2675" s="3"/>
      <c r="O2675" s="3"/>
      <c r="P2675" s="3"/>
      <c r="Q2675" s="3"/>
    </row>
    <row r="2676" spans="2:17" x14ac:dyDescent="0.2">
      <c r="B2676" s="3"/>
      <c r="F2676" s="3"/>
      <c r="G2676" s="3"/>
      <c r="I2676" s="3"/>
      <c r="J2676" s="3"/>
      <c r="K2676" s="3"/>
      <c r="L2676" s="3"/>
      <c r="M2676" s="3"/>
      <c r="N2676" s="3"/>
      <c r="O2676" s="3"/>
      <c r="P2676" s="3"/>
      <c r="Q2676" s="3"/>
    </row>
    <row r="2677" spans="2:17" x14ac:dyDescent="0.2">
      <c r="B2677" s="3"/>
      <c r="F2677" s="3"/>
      <c r="G2677" s="3"/>
      <c r="I2677" s="3"/>
      <c r="J2677" s="3"/>
      <c r="K2677" s="3"/>
      <c r="L2677" s="3"/>
      <c r="M2677" s="3"/>
      <c r="N2677" s="3"/>
      <c r="O2677" s="3"/>
      <c r="P2677" s="3"/>
      <c r="Q2677" s="3"/>
    </row>
    <row r="2678" spans="2:17" x14ac:dyDescent="0.2">
      <c r="B2678" s="3"/>
      <c r="F2678" s="3"/>
      <c r="G2678" s="3"/>
      <c r="I2678" s="3"/>
      <c r="J2678" s="3"/>
      <c r="K2678" s="3"/>
      <c r="L2678" s="3"/>
      <c r="M2678" s="3"/>
      <c r="N2678" s="3"/>
      <c r="O2678" s="3"/>
      <c r="P2678" s="3"/>
      <c r="Q2678" s="3"/>
    </row>
    <row r="2679" spans="2:17" x14ac:dyDescent="0.2">
      <c r="B2679" s="3"/>
      <c r="F2679" s="3"/>
      <c r="G2679" s="3"/>
      <c r="I2679" s="3"/>
      <c r="J2679" s="3"/>
      <c r="K2679" s="3"/>
      <c r="L2679" s="3"/>
      <c r="M2679" s="3"/>
      <c r="N2679" s="3"/>
      <c r="O2679" s="3"/>
      <c r="P2679" s="3"/>
      <c r="Q2679" s="3"/>
    </row>
    <row r="2680" spans="2:17" x14ac:dyDescent="0.2">
      <c r="B2680" s="3"/>
      <c r="F2680" s="3"/>
      <c r="G2680" s="3"/>
      <c r="I2680" s="3"/>
      <c r="J2680" s="3"/>
      <c r="K2680" s="3"/>
      <c r="L2680" s="3"/>
      <c r="M2680" s="3"/>
      <c r="N2680" s="3"/>
      <c r="O2680" s="3"/>
      <c r="P2680" s="3"/>
      <c r="Q2680" s="3"/>
    </row>
    <row r="2681" spans="2:17" x14ac:dyDescent="0.2">
      <c r="B2681" s="3"/>
      <c r="F2681" s="3"/>
      <c r="G2681" s="3"/>
      <c r="I2681" s="3"/>
      <c r="J2681" s="3"/>
      <c r="K2681" s="3"/>
      <c r="L2681" s="3"/>
      <c r="M2681" s="3"/>
      <c r="N2681" s="3"/>
      <c r="O2681" s="3"/>
      <c r="P2681" s="3"/>
      <c r="Q2681" s="3"/>
    </row>
    <row r="2682" spans="2:17" x14ac:dyDescent="0.2">
      <c r="B2682" s="3"/>
      <c r="F2682" s="3"/>
      <c r="G2682" s="3"/>
      <c r="I2682" s="3"/>
      <c r="J2682" s="3"/>
      <c r="K2682" s="3"/>
      <c r="L2682" s="3"/>
      <c r="M2682" s="3"/>
      <c r="N2682" s="3"/>
      <c r="O2682" s="3"/>
      <c r="P2682" s="3"/>
      <c r="Q2682" s="3"/>
    </row>
    <row r="2683" spans="2:17" x14ac:dyDescent="0.2">
      <c r="B2683" s="3"/>
      <c r="F2683" s="3"/>
      <c r="G2683" s="3"/>
      <c r="I2683" s="3"/>
      <c r="J2683" s="3"/>
      <c r="K2683" s="3"/>
      <c r="L2683" s="3"/>
      <c r="M2683" s="3"/>
      <c r="N2683" s="3"/>
      <c r="O2683" s="3"/>
      <c r="P2683" s="3"/>
      <c r="Q2683" s="3"/>
    </row>
    <row r="2684" spans="2:17" x14ac:dyDescent="0.2">
      <c r="B2684" s="3"/>
      <c r="F2684" s="3"/>
      <c r="G2684" s="3"/>
      <c r="I2684" s="3"/>
      <c r="J2684" s="3"/>
      <c r="K2684" s="3"/>
      <c r="L2684" s="3"/>
      <c r="M2684" s="3"/>
      <c r="N2684" s="3"/>
      <c r="O2684" s="3"/>
      <c r="P2684" s="3"/>
      <c r="Q2684" s="3"/>
    </row>
    <row r="2685" spans="2:17" x14ac:dyDescent="0.2">
      <c r="B2685" s="3"/>
      <c r="F2685" s="3"/>
      <c r="G2685" s="3"/>
      <c r="I2685" s="3"/>
      <c r="J2685" s="3"/>
      <c r="K2685" s="3"/>
      <c r="L2685" s="3"/>
      <c r="M2685" s="3"/>
      <c r="N2685" s="3"/>
      <c r="O2685" s="3"/>
      <c r="P2685" s="3"/>
      <c r="Q2685" s="3"/>
    </row>
    <row r="2686" spans="2:17" x14ac:dyDescent="0.2">
      <c r="B2686" s="3"/>
      <c r="F2686" s="3"/>
      <c r="G2686" s="3"/>
      <c r="I2686" s="3"/>
      <c r="J2686" s="3"/>
      <c r="K2686" s="3"/>
      <c r="L2686" s="3"/>
      <c r="M2686" s="3"/>
      <c r="N2686" s="3"/>
      <c r="O2686" s="3"/>
      <c r="P2686" s="3"/>
      <c r="Q2686" s="3"/>
    </row>
    <row r="2687" spans="2:17" x14ac:dyDescent="0.2">
      <c r="B2687" s="3"/>
      <c r="F2687" s="3"/>
      <c r="G2687" s="3"/>
      <c r="I2687" s="3"/>
      <c r="J2687" s="3"/>
      <c r="K2687" s="3"/>
      <c r="L2687" s="3"/>
      <c r="M2687" s="3"/>
      <c r="N2687" s="3"/>
      <c r="O2687" s="3"/>
      <c r="P2687" s="3"/>
      <c r="Q2687" s="3"/>
    </row>
    <row r="2688" spans="2:17" x14ac:dyDescent="0.2">
      <c r="B2688" s="3"/>
      <c r="F2688" s="3"/>
      <c r="G2688" s="3"/>
      <c r="I2688" s="3"/>
      <c r="J2688" s="3"/>
      <c r="K2688" s="3"/>
      <c r="L2688" s="3"/>
      <c r="M2688" s="3"/>
      <c r="N2688" s="3"/>
      <c r="O2688" s="3"/>
      <c r="P2688" s="3"/>
      <c r="Q2688" s="3"/>
    </row>
    <row r="2689" spans="2:17" x14ac:dyDescent="0.2">
      <c r="B2689" s="3"/>
      <c r="F2689" s="3"/>
      <c r="G2689" s="3"/>
      <c r="I2689" s="3"/>
      <c r="J2689" s="3"/>
      <c r="K2689" s="3"/>
      <c r="L2689" s="3"/>
      <c r="M2689" s="3"/>
      <c r="N2689" s="3"/>
      <c r="O2689" s="3"/>
      <c r="P2689" s="3"/>
      <c r="Q2689" s="3"/>
    </row>
    <row r="2690" spans="2:17" x14ac:dyDescent="0.2">
      <c r="B2690" s="3"/>
      <c r="F2690" s="3"/>
      <c r="G2690" s="3"/>
      <c r="I2690" s="3"/>
      <c r="J2690" s="3"/>
      <c r="K2690" s="3"/>
      <c r="L2690" s="3"/>
      <c r="M2690" s="3"/>
      <c r="N2690" s="3"/>
      <c r="O2690" s="3"/>
      <c r="P2690" s="3"/>
      <c r="Q2690" s="3"/>
    </row>
    <row r="2691" spans="2:17" x14ac:dyDescent="0.2">
      <c r="B2691" s="3"/>
      <c r="F2691" s="3"/>
      <c r="G2691" s="3"/>
      <c r="I2691" s="3"/>
      <c r="J2691" s="3"/>
      <c r="K2691" s="3"/>
      <c r="L2691" s="3"/>
      <c r="M2691" s="3"/>
      <c r="N2691" s="3"/>
      <c r="O2691" s="3"/>
      <c r="P2691" s="3"/>
      <c r="Q2691" s="3"/>
    </row>
    <row r="2692" spans="2:17" x14ac:dyDescent="0.2">
      <c r="B2692" s="3"/>
      <c r="F2692" s="3"/>
      <c r="G2692" s="3"/>
      <c r="I2692" s="3"/>
      <c r="J2692" s="3"/>
      <c r="K2692" s="3"/>
      <c r="L2692" s="3"/>
      <c r="M2692" s="3"/>
      <c r="N2692" s="3"/>
      <c r="O2692" s="3"/>
      <c r="P2692" s="3"/>
      <c r="Q2692" s="3"/>
    </row>
    <row r="2693" spans="2:17" x14ac:dyDescent="0.2">
      <c r="B2693" s="3"/>
      <c r="F2693" s="3"/>
      <c r="G2693" s="3"/>
      <c r="I2693" s="3"/>
      <c r="J2693" s="3"/>
      <c r="K2693" s="3"/>
      <c r="L2693" s="3"/>
      <c r="M2693" s="3"/>
      <c r="N2693" s="3"/>
      <c r="O2693" s="3"/>
      <c r="P2693" s="3"/>
      <c r="Q2693" s="3"/>
    </row>
    <row r="2694" spans="2:17" x14ac:dyDescent="0.2">
      <c r="B2694" s="3"/>
      <c r="F2694" s="3"/>
      <c r="G2694" s="3"/>
      <c r="I2694" s="3"/>
      <c r="J2694" s="3"/>
      <c r="K2694" s="3"/>
      <c r="L2694" s="3"/>
      <c r="M2694" s="3"/>
      <c r="N2694" s="3"/>
      <c r="O2694" s="3"/>
      <c r="P2694" s="3"/>
      <c r="Q2694" s="3"/>
    </row>
    <row r="2695" spans="2:17" x14ac:dyDescent="0.2">
      <c r="B2695" s="3"/>
      <c r="F2695" s="3"/>
      <c r="G2695" s="3"/>
      <c r="I2695" s="3"/>
      <c r="J2695" s="3"/>
      <c r="K2695" s="3"/>
      <c r="L2695" s="3"/>
      <c r="M2695" s="3"/>
      <c r="N2695" s="3"/>
      <c r="O2695" s="3"/>
      <c r="P2695" s="3"/>
      <c r="Q2695" s="3"/>
    </row>
    <row r="2696" spans="2:17" x14ac:dyDescent="0.2">
      <c r="B2696" s="3"/>
      <c r="F2696" s="3"/>
      <c r="G2696" s="3"/>
      <c r="I2696" s="3"/>
      <c r="J2696" s="3"/>
      <c r="K2696" s="3"/>
      <c r="L2696" s="3"/>
      <c r="M2696" s="3"/>
      <c r="N2696" s="3"/>
      <c r="O2696" s="3"/>
      <c r="P2696" s="3"/>
      <c r="Q2696" s="3"/>
    </row>
    <row r="2697" spans="2:17" x14ac:dyDescent="0.2">
      <c r="B2697" s="3"/>
      <c r="F2697" s="3"/>
      <c r="G2697" s="3"/>
      <c r="I2697" s="3"/>
      <c r="J2697" s="3"/>
      <c r="K2697" s="3"/>
      <c r="L2697" s="3"/>
      <c r="M2697" s="3"/>
      <c r="N2697" s="3"/>
      <c r="O2697" s="3"/>
      <c r="P2697" s="3"/>
      <c r="Q2697" s="3"/>
    </row>
    <row r="2698" spans="2:17" x14ac:dyDescent="0.2">
      <c r="B2698" s="3"/>
      <c r="F2698" s="3"/>
      <c r="G2698" s="3"/>
      <c r="I2698" s="3"/>
      <c r="J2698" s="3"/>
      <c r="K2698" s="3"/>
      <c r="L2698" s="3"/>
      <c r="M2698" s="3"/>
      <c r="N2698" s="3"/>
      <c r="O2698" s="3"/>
      <c r="P2698" s="3"/>
      <c r="Q2698" s="3"/>
    </row>
    <row r="2699" spans="2:17" x14ac:dyDescent="0.2">
      <c r="B2699" s="3"/>
      <c r="F2699" s="3"/>
      <c r="G2699" s="3"/>
      <c r="I2699" s="3"/>
      <c r="J2699" s="3"/>
      <c r="K2699" s="3"/>
      <c r="L2699" s="3"/>
      <c r="M2699" s="3"/>
      <c r="N2699" s="3"/>
      <c r="O2699" s="3"/>
      <c r="P2699" s="3"/>
      <c r="Q2699" s="3"/>
    </row>
    <row r="2700" spans="2:17" x14ac:dyDescent="0.2">
      <c r="B2700" s="3"/>
      <c r="F2700" s="3"/>
      <c r="G2700" s="3"/>
      <c r="I2700" s="3"/>
      <c r="J2700" s="3"/>
      <c r="K2700" s="3"/>
      <c r="L2700" s="3"/>
      <c r="M2700" s="3"/>
      <c r="N2700" s="3"/>
      <c r="O2700" s="3"/>
      <c r="P2700" s="3"/>
      <c r="Q2700" s="3"/>
    </row>
    <row r="2701" spans="2:17" x14ac:dyDescent="0.2">
      <c r="B2701" s="3"/>
      <c r="F2701" s="3"/>
      <c r="G2701" s="3"/>
      <c r="I2701" s="3"/>
      <c r="J2701" s="3"/>
      <c r="K2701" s="3"/>
      <c r="L2701" s="3"/>
      <c r="M2701" s="3"/>
      <c r="N2701" s="3"/>
      <c r="O2701" s="3"/>
      <c r="P2701" s="3"/>
      <c r="Q2701" s="3"/>
    </row>
    <row r="2702" spans="2:17" x14ac:dyDescent="0.2">
      <c r="B2702" s="3"/>
      <c r="F2702" s="3"/>
      <c r="G2702" s="3"/>
      <c r="I2702" s="3"/>
      <c r="J2702" s="3"/>
      <c r="K2702" s="3"/>
      <c r="L2702" s="3"/>
      <c r="M2702" s="3"/>
      <c r="N2702" s="3"/>
      <c r="O2702" s="3"/>
      <c r="P2702" s="3"/>
      <c r="Q2702" s="3"/>
    </row>
    <row r="2703" spans="2:17" x14ac:dyDescent="0.2">
      <c r="B2703" s="3"/>
      <c r="F2703" s="3"/>
      <c r="G2703" s="3"/>
      <c r="I2703" s="3"/>
      <c r="J2703" s="3"/>
      <c r="K2703" s="3"/>
      <c r="L2703" s="3"/>
      <c r="M2703" s="3"/>
      <c r="N2703" s="3"/>
      <c r="O2703" s="3"/>
      <c r="P2703" s="3"/>
      <c r="Q2703" s="3"/>
    </row>
    <row r="2704" spans="2:17" x14ac:dyDescent="0.2">
      <c r="B2704" s="3"/>
      <c r="F2704" s="3"/>
      <c r="G2704" s="3"/>
      <c r="I2704" s="3"/>
      <c r="J2704" s="3"/>
      <c r="K2704" s="3"/>
      <c r="L2704" s="3"/>
      <c r="M2704" s="3"/>
      <c r="N2704" s="3"/>
      <c r="O2704" s="3"/>
      <c r="P2704" s="3"/>
      <c r="Q2704" s="3"/>
    </row>
    <row r="2705" spans="2:17" x14ac:dyDescent="0.2">
      <c r="B2705" s="3"/>
      <c r="F2705" s="3"/>
      <c r="G2705" s="3"/>
      <c r="I2705" s="3"/>
      <c r="J2705" s="3"/>
      <c r="K2705" s="3"/>
      <c r="L2705" s="3"/>
      <c r="M2705" s="3"/>
      <c r="N2705" s="3"/>
      <c r="O2705" s="3"/>
      <c r="P2705" s="3"/>
      <c r="Q2705" s="3"/>
    </row>
    <row r="2706" spans="2:17" x14ac:dyDescent="0.2">
      <c r="B2706" s="3"/>
      <c r="F2706" s="3"/>
      <c r="G2706" s="3"/>
      <c r="I2706" s="3"/>
      <c r="J2706" s="3"/>
      <c r="K2706" s="3"/>
      <c r="L2706" s="3"/>
      <c r="M2706" s="3"/>
      <c r="N2706" s="3"/>
      <c r="O2706" s="3"/>
      <c r="P2706" s="3"/>
      <c r="Q2706" s="3"/>
    </row>
    <row r="2707" spans="2:17" x14ac:dyDescent="0.2">
      <c r="B2707" s="3"/>
      <c r="F2707" s="3"/>
      <c r="G2707" s="3"/>
      <c r="I2707" s="3"/>
      <c r="J2707" s="3"/>
      <c r="K2707" s="3"/>
      <c r="L2707" s="3"/>
      <c r="M2707" s="3"/>
      <c r="N2707" s="3"/>
      <c r="O2707" s="3"/>
      <c r="P2707" s="3"/>
      <c r="Q2707" s="3"/>
    </row>
    <row r="2708" spans="2:17" x14ac:dyDescent="0.2">
      <c r="B2708" s="3"/>
      <c r="F2708" s="3"/>
      <c r="G2708" s="3"/>
      <c r="I2708" s="3"/>
      <c r="J2708" s="3"/>
      <c r="K2708" s="3"/>
      <c r="L2708" s="3"/>
      <c r="M2708" s="3"/>
      <c r="N2708" s="3"/>
      <c r="O2708" s="3"/>
      <c r="P2708" s="3"/>
      <c r="Q2708" s="3"/>
    </row>
    <row r="2709" spans="2:17" x14ac:dyDescent="0.2">
      <c r="B2709" s="3"/>
      <c r="F2709" s="3"/>
      <c r="G2709" s="3"/>
      <c r="I2709" s="3"/>
      <c r="J2709" s="3"/>
      <c r="K2709" s="3"/>
      <c r="L2709" s="3"/>
      <c r="M2709" s="3"/>
      <c r="N2709" s="3"/>
      <c r="O2709" s="3"/>
      <c r="P2709" s="3"/>
      <c r="Q2709" s="3"/>
    </row>
    <row r="2710" spans="2:17" x14ac:dyDescent="0.2">
      <c r="B2710" s="3"/>
      <c r="F2710" s="3"/>
      <c r="G2710" s="3"/>
      <c r="I2710" s="3"/>
      <c r="J2710" s="3"/>
      <c r="K2710" s="3"/>
      <c r="L2710" s="3"/>
      <c r="M2710" s="3"/>
      <c r="N2710" s="3"/>
      <c r="O2710" s="3"/>
      <c r="P2710" s="3"/>
      <c r="Q2710" s="3"/>
    </row>
    <row r="2711" spans="2:17" x14ac:dyDescent="0.2">
      <c r="B2711" s="3"/>
      <c r="F2711" s="3"/>
      <c r="G2711" s="3"/>
      <c r="I2711" s="3"/>
      <c r="J2711" s="3"/>
      <c r="K2711" s="3"/>
      <c r="L2711" s="3"/>
      <c r="M2711" s="3"/>
      <c r="N2711" s="3"/>
      <c r="O2711" s="3"/>
      <c r="P2711" s="3"/>
      <c r="Q2711" s="3"/>
    </row>
    <row r="2712" spans="2:17" x14ac:dyDescent="0.2">
      <c r="B2712" s="3"/>
      <c r="F2712" s="3"/>
      <c r="G2712" s="3"/>
      <c r="I2712" s="3"/>
      <c r="J2712" s="3"/>
      <c r="K2712" s="3"/>
      <c r="L2712" s="3"/>
      <c r="M2712" s="3"/>
      <c r="N2712" s="3"/>
      <c r="O2712" s="3"/>
      <c r="P2712" s="3"/>
      <c r="Q2712" s="3"/>
    </row>
    <row r="2713" spans="2:17" x14ac:dyDescent="0.2">
      <c r="B2713" s="3"/>
      <c r="F2713" s="3"/>
      <c r="G2713" s="3"/>
      <c r="I2713" s="3"/>
      <c r="J2713" s="3"/>
      <c r="K2713" s="3"/>
      <c r="L2713" s="3"/>
      <c r="M2713" s="3"/>
      <c r="N2713" s="3"/>
      <c r="O2713" s="3"/>
      <c r="P2713" s="3"/>
      <c r="Q2713" s="3"/>
    </row>
    <row r="2714" spans="2:17" x14ac:dyDescent="0.2">
      <c r="B2714" s="3"/>
      <c r="F2714" s="3"/>
      <c r="G2714" s="3"/>
      <c r="I2714" s="3"/>
      <c r="J2714" s="3"/>
      <c r="K2714" s="3"/>
      <c r="L2714" s="3"/>
      <c r="M2714" s="3"/>
      <c r="N2714" s="3"/>
      <c r="O2714" s="3"/>
      <c r="P2714" s="3"/>
      <c r="Q2714" s="3"/>
    </row>
    <row r="2715" spans="2:17" x14ac:dyDescent="0.2">
      <c r="B2715" s="3"/>
      <c r="F2715" s="3"/>
      <c r="G2715" s="3"/>
      <c r="I2715" s="3"/>
      <c r="J2715" s="3"/>
      <c r="K2715" s="3"/>
      <c r="L2715" s="3"/>
      <c r="M2715" s="3"/>
      <c r="N2715" s="3"/>
      <c r="O2715" s="3"/>
      <c r="P2715" s="3"/>
      <c r="Q2715" s="3"/>
    </row>
    <row r="2716" spans="2:17" x14ac:dyDescent="0.2">
      <c r="B2716" s="3"/>
      <c r="F2716" s="3"/>
      <c r="G2716" s="3"/>
      <c r="I2716" s="3"/>
      <c r="J2716" s="3"/>
      <c r="K2716" s="3"/>
      <c r="L2716" s="3"/>
      <c r="M2716" s="3"/>
      <c r="N2716" s="3"/>
      <c r="O2716" s="3"/>
      <c r="P2716" s="3"/>
      <c r="Q2716" s="3"/>
    </row>
    <row r="2717" spans="2:17" x14ac:dyDescent="0.2">
      <c r="B2717" s="3"/>
      <c r="F2717" s="3"/>
      <c r="G2717" s="3"/>
      <c r="I2717" s="3"/>
      <c r="J2717" s="3"/>
      <c r="K2717" s="3"/>
      <c r="L2717" s="3"/>
      <c r="M2717" s="3"/>
      <c r="N2717" s="3"/>
      <c r="O2717" s="3"/>
      <c r="P2717" s="3"/>
      <c r="Q2717" s="3"/>
    </row>
    <row r="2718" spans="2:17" x14ac:dyDescent="0.2">
      <c r="B2718" s="3"/>
      <c r="F2718" s="3"/>
      <c r="G2718" s="3"/>
      <c r="I2718" s="3"/>
      <c r="J2718" s="3"/>
      <c r="K2718" s="3"/>
      <c r="L2718" s="3"/>
      <c r="M2718" s="3"/>
      <c r="N2718" s="3"/>
      <c r="O2718" s="3"/>
      <c r="P2718" s="3"/>
      <c r="Q2718" s="3"/>
    </row>
    <row r="2719" spans="2:17" x14ac:dyDescent="0.2">
      <c r="B2719" s="3"/>
      <c r="F2719" s="3"/>
      <c r="G2719" s="3"/>
      <c r="I2719" s="3"/>
      <c r="J2719" s="3"/>
      <c r="K2719" s="3"/>
      <c r="L2719" s="3"/>
      <c r="M2719" s="3"/>
      <c r="N2719" s="3"/>
      <c r="O2719" s="3"/>
      <c r="P2719" s="3"/>
      <c r="Q2719" s="3"/>
    </row>
    <row r="2720" spans="2:17" x14ac:dyDescent="0.2">
      <c r="B2720" s="3"/>
      <c r="F2720" s="3"/>
      <c r="G2720" s="3"/>
      <c r="I2720" s="3"/>
      <c r="J2720" s="3"/>
      <c r="K2720" s="3"/>
      <c r="L2720" s="3"/>
      <c r="M2720" s="3"/>
      <c r="N2720" s="3"/>
      <c r="O2720" s="3"/>
      <c r="P2720" s="3"/>
      <c r="Q2720" s="3"/>
    </row>
    <row r="2721" spans="2:17" x14ac:dyDescent="0.2">
      <c r="B2721" s="3"/>
      <c r="F2721" s="3"/>
      <c r="G2721" s="3"/>
      <c r="I2721" s="3"/>
      <c r="J2721" s="3"/>
      <c r="K2721" s="3"/>
      <c r="L2721" s="3"/>
      <c r="M2721" s="3"/>
      <c r="N2721" s="3"/>
      <c r="O2721" s="3"/>
      <c r="P2721" s="3"/>
      <c r="Q2721" s="3"/>
    </row>
    <row r="2722" spans="2:17" x14ac:dyDescent="0.2">
      <c r="B2722" s="3"/>
      <c r="F2722" s="3"/>
      <c r="G2722" s="3"/>
      <c r="I2722" s="3"/>
      <c r="J2722" s="3"/>
      <c r="K2722" s="3"/>
      <c r="L2722" s="3"/>
      <c r="M2722" s="3"/>
      <c r="N2722" s="3"/>
      <c r="O2722" s="3"/>
      <c r="P2722" s="3"/>
      <c r="Q2722" s="3"/>
    </row>
    <row r="2723" spans="2:17" x14ac:dyDescent="0.2">
      <c r="B2723" s="3"/>
      <c r="F2723" s="3"/>
      <c r="G2723" s="3"/>
      <c r="I2723" s="3"/>
      <c r="J2723" s="3"/>
      <c r="K2723" s="3"/>
      <c r="L2723" s="3"/>
      <c r="M2723" s="3"/>
      <c r="N2723" s="3"/>
      <c r="O2723" s="3"/>
      <c r="P2723" s="3"/>
      <c r="Q2723" s="3"/>
    </row>
    <row r="2724" spans="2:17" x14ac:dyDescent="0.2">
      <c r="B2724" s="3"/>
      <c r="F2724" s="3"/>
      <c r="G2724" s="3"/>
      <c r="I2724" s="3"/>
      <c r="J2724" s="3"/>
      <c r="K2724" s="3"/>
      <c r="L2724" s="3"/>
      <c r="M2724" s="3"/>
      <c r="N2724" s="3"/>
      <c r="O2724" s="3"/>
      <c r="P2724" s="3"/>
      <c r="Q2724" s="3"/>
    </row>
    <row r="2725" spans="2:17" x14ac:dyDescent="0.2">
      <c r="B2725" s="3"/>
      <c r="F2725" s="3"/>
      <c r="G2725" s="3"/>
      <c r="I2725" s="3"/>
      <c r="J2725" s="3"/>
      <c r="K2725" s="3"/>
      <c r="L2725" s="3"/>
      <c r="M2725" s="3"/>
      <c r="N2725" s="3"/>
      <c r="O2725" s="3"/>
      <c r="P2725" s="3"/>
      <c r="Q2725" s="3"/>
    </row>
    <row r="2726" spans="2:17" x14ac:dyDescent="0.2">
      <c r="B2726" s="3"/>
      <c r="F2726" s="3"/>
      <c r="G2726" s="3"/>
      <c r="I2726" s="3"/>
      <c r="J2726" s="3"/>
      <c r="K2726" s="3"/>
      <c r="L2726" s="3"/>
      <c r="M2726" s="3"/>
      <c r="N2726" s="3"/>
      <c r="O2726" s="3"/>
      <c r="P2726" s="3"/>
      <c r="Q2726" s="3"/>
    </row>
    <row r="2727" spans="2:17" x14ac:dyDescent="0.2">
      <c r="B2727" s="3"/>
      <c r="F2727" s="3"/>
      <c r="G2727" s="3"/>
      <c r="I2727" s="3"/>
      <c r="J2727" s="3"/>
      <c r="K2727" s="3"/>
      <c r="L2727" s="3"/>
      <c r="M2727" s="3"/>
      <c r="N2727" s="3"/>
      <c r="O2727" s="3"/>
      <c r="P2727" s="3"/>
      <c r="Q2727" s="3"/>
    </row>
    <row r="2728" spans="2:17" x14ac:dyDescent="0.2">
      <c r="B2728" s="3"/>
      <c r="F2728" s="3"/>
      <c r="G2728" s="3"/>
      <c r="I2728" s="3"/>
      <c r="J2728" s="3"/>
      <c r="K2728" s="3"/>
      <c r="L2728" s="3"/>
      <c r="M2728" s="3"/>
      <c r="N2728" s="3"/>
      <c r="O2728" s="3"/>
      <c r="P2728" s="3"/>
      <c r="Q2728" s="3"/>
    </row>
    <row r="2729" spans="2:17" x14ac:dyDescent="0.2">
      <c r="B2729" s="3"/>
      <c r="F2729" s="3"/>
      <c r="G2729" s="3"/>
      <c r="I2729" s="3"/>
      <c r="J2729" s="3"/>
      <c r="K2729" s="3"/>
      <c r="L2729" s="3"/>
      <c r="M2729" s="3"/>
      <c r="N2729" s="3"/>
      <c r="O2729" s="3"/>
      <c r="P2729" s="3"/>
      <c r="Q2729" s="3"/>
    </row>
    <row r="2730" spans="2:17" x14ac:dyDescent="0.2">
      <c r="B2730" s="3"/>
      <c r="F2730" s="3"/>
      <c r="G2730" s="3"/>
      <c r="I2730" s="3"/>
      <c r="J2730" s="3"/>
      <c r="K2730" s="3"/>
      <c r="L2730" s="3"/>
      <c r="M2730" s="3"/>
      <c r="N2730" s="3"/>
      <c r="O2730" s="3"/>
      <c r="P2730" s="3"/>
      <c r="Q2730" s="3"/>
    </row>
    <row r="2731" spans="2:17" x14ac:dyDescent="0.2">
      <c r="B2731" s="3"/>
      <c r="F2731" s="3"/>
      <c r="G2731" s="3"/>
      <c r="I2731" s="3"/>
      <c r="J2731" s="3"/>
      <c r="K2731" s="3"/>
      <c r="L2731" s="3"/>
      <c r="M2731" s="3"/>
      <c r="N2731" s="3"/>
      <c r="O2731" s="3"/>
      <c r="P2731" s="3"/>
      <c r="Q2731" s="3"/>
    </row>
    <row r="2732" spans="2:17" x14ac:dyDescent="0.2">
      <c r="B2732" s="3"/>
      <c r="F2732" s="3"/>
      <c r="G2732" s="3"/>
      <c r="I2732" s="3"/>
      <c r="J2732" s="3"/>
      <c r="K2732" s="3"/>
      <c r="L2732" s="3"/>
      <c r="M2732" s="3"/>
      <c r="N2732" s="3"/>
      <c r="O2732" s="3"/>
      <c r="P2732" s="3"/>
      <c r="Q2732" s="3"/>
    </row>
    <row r="2733" spans="2:17" x14ac:dyDescent="0.2">
      <c r="B2733" s="3"/>
      <c r="F2733" s="3"/>
      <c r="G2733" s="3"/>
      <c r="I2733" s="3"/>
      <c r="J2733" s="3"/>
      <c r="K2733" s="3"/>
      <c r="L2733" s="3"/>
      <c r="M2733" s="3"/>
      <c r="N2733" s="3"/>
      <c r="O2733" s="3"/>
      <c r="P2733" s="3"/>
      <c r="Q2733" s="3"/>
    </row>
    <row r="2734" spans="2:17" x14ac:dyDescent="0.2">
      <c r="B2734" s="3"/>
      <c r="F2734" s="3"/>
      <c r="G2734" s="3"/>
      <c r="I2734" s="3"/>
      <c r="J2734" s="3"/>
      <c r="K2734" s="3"/>
      <c r="L2734" s="3"/>
      <c r="M2734" s="3"/>
      <c r="N2734" s="3"/>
      <c r="O2734" s="3"/>
      <c r="P2734" s="3"/>
      <c r="Q2734" s="3"/>
    </row>
    <row r="2735" spans="2:17" x14ac:dyDescent="0.2">
      <c r="B2735" s="3"/>
      <c r="F2735" s="3"/>
      <c r="G2735" s="3"/>
      <c r="I2735" s="3"/>
      <c r="J2735" s="3"/>
      <c r="K2735" s="3"/>
      <c r="L2735" s="3"/>
      <c r="M2735" s="3"/>
      <c r="N2735" s="3"/>
      <c r="O2735" s="3"/>
      <c r="P2735" s="3"/>
      <c r="Q2735" s="3"/>
    </row>
    <row r="2736" spans="2:17" x14ac:dyDescent="0.2">
      <c r="B2736" s="3"/>
      <c r="F2736" s="3"/>
      <c r="G2736" s="3"/>
      <c r="I2736" s="3"/>
      <c r="J2736" s="3"/>
      <c r="K2736" s="3"/>
      <c r="L2736" s="3"/>
      <c r="M2736" s="3"/>
      <c r="N2736" s="3"/>
      <c r="O2736" s="3"/>
      <c r="P2736" s="3"/>
      <c r="Q2736" s="3"/>
    </row>
    <row r="2737" spans="2:17" x14ac:dyDescent="0.2">
      <c r="B2737" s="3"/>
      <c r="F2737" s="3"/>
      <c r="G2737" s="3"/>
      <c r="I2737" s="3"/>
      <c r="J2737" s="3"/>
      <c r="K2737" s="3"/>
      <c r="L2737" s="3"/>
      <c r="M2737" s="3"/>
      <c r="N2737" s="3"/>
      <c r="O2737" s="3"/>
      <c r="P2737" s="3"/>
      <c r="Q2737" s="3"/>
    </row>
    <row r="2738" spans="2:17" x14ac:dyDescent="0.2">
      <c r="B2738" s="3"/>
      <c r="F2738" s="3"/>
      <c r="G2738" s="3"/>
      <c r="I2738" s="3"/>
      <c r="J2738" s="3"/>
      <c r="K2738" s="3"/>
      <c r="L2738" s="3"/>
      <c r="M2738" s="3"/>
      <c r="N2738" s="3"/>
      <c r="O2738" s="3"/>
      <c r="P2738" s="3"/>
      <c r="Q2738" s="3"/>
    </row>
    <row r="2739" spans="2:17" x14ac:dyDescent="0.2">
      <c r="B2739" s="3"/>
      <c r="F2739" s="3"/>
      <c r="G2739" s="3"/>
      <c r="I2739" s="3"/>
      <c r="J2739" s="3"/>
      <c r="K2739" s="3"/>
      <c r="L2739" s="3"/>
      <c r="M2739" s="3"/>
      <c r="N2739" s="3"/>
      <c r="O2739" s="3"/>
      <c r="P2739" s="3"/>
      <c r="Q2739" s="3"/>
    </row>
    <row r="2740" spans="2:17" x14ac:dyDescent="0.2">
      <c r="B2740" s="3"/>
      <c r="F2740" s="3"/>
      <c r="G2740" s="3"/>
      <c r="I2740" s="3"/>
      <c r="J2740" s="3"/>
      <c r="K2740" s="3"/>
      <c r="L2740" s="3"/>
      <c r="M2740" s="3"/>
      <c r="N2740" s="3"/>
      <c r="O2740" s="3"/>
      <c r="P2740" s="3"/>
      <c r="Q2740" s="3"/>
    </row>
    <row r="2741" spans="2:17" x14ac:dyDescent="0.2">
      <c r="B2741" s="3"/>
      <c r="F2741" s="3"/>
      <c r="G2741" s="3"/>
      <c r="I2741" s="3"/>
      <c r="J2741" s="3"/>
      <c r="K2741" s="3"/>
      <c r="L2741" s="3"/>
      <c r="M2741" s="3"/>
      <c r="N2741" s="3"/>
      <c r="O2741" s="3"/>
      <c r="P2741" s="3"/>
      <c r="Q2741" s="3"/>
    </row>
    <row r="2742" spans="2:17" x14ac:dyDescent="0.2">
      <c r="B2742" s="3"/>
      <c r="F2742" s="3"/>
      <c r="G2742" s="3"/>
      <c r="I2742" s="3"/>
      <c r="J2742" s="3"/>
      <c r="K2742" s="3"/>
      <c r="L2742" s="3"/>
      <c r="M2742" s="3"/>
      <c r="N2742" s="3"/>
      <c r="O2742" s="3"/>
      <c r="P2742" s="3"/>
      <c r="Q2742" s="3"/>
    </row>
    <row r="2743" spans="2:17" x14ac:dyDescent="0.2">
      <c r="B2743" s="3"/>
      <c r="F2743" s="3"/>
      <c r="G2743" s="3"/>
      <c r="I2743" s="3"/>
      <c r="J2743" s="3"/>
      <c r="K2743" s="3"/>
      <c r="L2743" s="3"/>
      <c r="M2743" s="3"/>
      <c r="N2743" s="3"/>
      <c r="O2743" s="3"/>
      <c r="P2743" s="3"/>
      <c r="Q2743" s="3"/>
    </row>
    <row r="2744" spans="2:17" x14ac:dyDescent="0.2">
      <c r="B2744" s="3"/>
      <c r="F2744" s="3"/>
      <c r="G2744" s="3"/>
      <c r="I2744" s="3"/>
      <c r="J2744" s="3"/>
      <c r="K2744" s="3"/>
      <c r="L2744" s="3"/>
      <c r="M2744" s="3"/>
      <c r="N2744" s="3"/>
      <c r="O2744" s="3"/>
      <c r="P2744" s="3"/>
      <c r="Q2744" s="3"/>
    </row>
    <row r="2745" spans="2:17" x14ac:dyDescent="0.2">
      <c r="B2745" s="3"/>
      <c r="F2745" s="3"/>
      <c r="G2745" s="3"/>
      <c r="I2745" s="3"/>
      <c r="J2745" s="3"/>
      <c r="K2745" s="3"/>
      <c r="L2745" s="3"/>
      <c r="M2745" s="3"/>
      <c r="N2745" s="3"/>
      <c r="O2745" s="3"/>
      <c r="P2745" s="3"/>
      <c r="Q2745" s="3"/>
    </row>
    <row r="2746" spans="2:17" x14ac:dyDescent="0.2">
      <c r="B2746" s="3"/>
      <c r="F2746" s="3"/>
      <c r="G2746" s="3"/>
      <c r="I2746" s="3"/>
      <c r="J2746" s="3"/>
      <c r="K2746" s="3"/>
      <c r="L2746" s="3"/>
      <c r="M2746" s="3"/>
      <c r="N2746" s="3"/>
      <c r="O2746" s="3"/>
      <c r="P2746" s="3"/>
      <c r="Q2746" s="3"/>
    </row>
    <row r="2747" spans="2:17" x14ac:dyDescent="0.2">
      <c r="B2747" s="3"/>
      <c r="F2747" s="3"/>
      <c r="G2747" s="3"/>
      <c r="I2747" s="3"/>
      <c r="J2747" s="3"/>
      <c r="K2747" s="3"/>
      <c r="L2747" s="3"/>
      <c r="M2747" s="3"/>
      <c r="N2747" s="3"/>
      <c r="O2747" s="3"/>
      <c r="P2747" s="3"/>
      <c r="Q2747" s="3"/>
    </row>
    <row r="2748" spans="2:17" x14ac:dyDescent="0.2">
      <c r="B2748" s="3"/>
      <c r="F2748" s="3"/>
      <c r="G2748" s="3"/>
      <c r="I2748" s="3"/>
      <c r="J2748" s="3"/>
      <c r="K2748" s="3"/>
      <c r="L2748" s="3"/>
      <c r="M2748" s="3"/>
      <c r="N2748" s="3"/>
      <c r="O2748" s="3"/>
      <c r="P2748" s="3"/>
      <c r="Q2748" s="3"/>
    </row>
    <row r="2749" spans="2:17" x14ac:dyDescent="0.2">
      <c r="B2749" s="3"/>
      <c r="F2749" s="3"/>
      <c r="G2749" s="3"/>
      <c r="I2749" s="3"/>
      <c r="J2749" s="3"/>
      <c r="K2749" s="3"/>
      <c r="L2749" s="3"/>
      <c r="M2749" s="3"/>
      <c r="N2749" s="3"/>
      <c r="O2749" s="3"/>
      <c r="P2749" s="3"/>
      <c r="Q2749" s="3"/>
    </row>
    <row r="2750" spans="2:17" x14ac:dyDescent="0.2">
      <c r="B2750" s="3"/>
      <c r="F2750" s="3"/>
      <c r="G2750" s="3"/>
      <c r="I2750" s="3"/>
      <c r="J2750" s="3"/>
      <c r="K2750" s="3"/>
      <c r="L2750" s="3"/>
      <c r="M2750" s="3"/>
      <c r="N2750" s="3"/>
      <c r="O2750" s="3"/>
      <c r="P2750" s="3"/>
      <c r="Q2750" s="3"/>
    </row>
    <row r="2751" spans="2:17" x14ac:dyDescent="0.2">
      <c r="B2751" s="3"/>
      <c r="F2751" s="3"/>
      <c r="G2751" s="3"/>
      <c r="I2751" s="3"/>
      <c r="J2751" s="3"/>
      <c r="K2751" s="3"/>
      <c r="L2751" s="3"/>
      <c r="M2751" s="3"/>
      <c r="N2751" s="3"/>
      <c r="O2751" s="3"/>
      <c r="P2751" s="3"/>
      <c r="Q2751" s="3"/>
    </row>
    <row r="2752" spans="2:17" x14ac:dyDescent="0.2">
      <c r="B2752" s="3"/>
      <c r="F2752" s="3"/>
      <c r="G2752" s="3"/>
      <c r="I2752" s="3"/>
      <c r="J2752" s="3"/>
      <c r="K2752" s="3"/>
      <c r="L2752" s="3"/>
      <c r="M2752" s="3"/>
      <c r="N2752" s="3"/>
      <c r="O2752" s="3"/>
      <c r="P2752" s="3"/>
      <c r="Q2752" s="3"/>
    </row>
    <row r="2753" spans="2:17" x14ac:dyDescent="0.2">
      <c r="B2753" s="3"/>
      <c r="F2753" s="3"/>
      <c r="G2753" s="3"/>
      <c r="I2753" s="3"/>
      <c r="J2753" s="3"/>
      <c r="K2753" s="3"/>
      <c r="L2753" s="3"/>
      <c r="M2753" s="3"/>
      <c r="N2753" s="3"/>
      <c r="O2753" s="3"/>
      <c r="P2753" s="3"/>
      <c r="Q2753" s="3"/>
    </row>
    <row r="2754" spans="2:17" x14ac:dyDescent="0.2">
      <c r="B2754" s="3"/>
      <c r="F2754" s="3"/>
      <c r="G2754" s="3"/>
      <c r="I2754" s="3"/>
      <c r="J2754" s="3"/>
      <c r="K2754" s="3"/>
      <c r="L2754" s="3"/>
      <c r="M2754" s="3"/>
      <c r="N2754" s="3"/>
      <c r="O2754" s="3"/>
      <c r="P2754" s="3"/>
      <c r="Q2754" s="3"/>
    </row>
    <row r="2755" spans="2:17" x14ac:dyDescent="0.2">
      <c r="B2755" s="3"/>
      <c r="F2755" s="3"/>
      <c r="G2755" s="3"/>
      <c r="I2755" s="3"/>
      <c r="J2755" s="3"/>
      <c r="K2755" s="3"/>
      <c r="L2755" s="3"/>
      <c r="M2755" s="3"/>
      <c r="N2755" s="3"/>
      <c r="O2755" s="3"/>
      <c r="P2755" s="3"/>
      <c r="Q2755" s="3"/>
    </row>
    <row r="2756" spans="2:17" x14ac:dyDescent="0.2">
      <c r="B2756" s="3"/>
      <c r="F2756" s="3"/>
      <c r="G2756" s="3"/>
      <c r="I2756" s="3"/>
      <c r="J2756" s="3"/>
      <c r="K2756" s="3"/>
      <c r="L2756" s="3"/>
      <c r="M2756" s="3"/>
      <c r="N2756" s="3"/>
      <c r="O2756" s="3"/>
      <c r="P2756" s="3"/>
      <c r="Q2756" s="3"/>
    </row>
    <row r="2757" spans="2:17" x14ac:dyDescent="0.2">
      <c r="B2757" s="3"/>
      <c r="F2757" s="3"/>
      <c r="G2757" s="3"/>
      <c r="I2757" s="3"/>
      <c r="J2757" s="3"/>
      <c r="K2757" s="3"/>
      <c r="L2757" s="3"/>
      <c r="M2757" s="3"/>
      <c r="N2757" s="3"/>
      <c r="O2757" s="3"/>
      <c r="P2757" s="3"/>
      <c r="Q2757" s="3"/>
    </row>
    <row r="2758" spans="2:17" x14ac:dyDescent="0.2">
      <c r="B2758" s="3"/>
      <c r="F2758" s="3"/>
      <c r="G2758" s="3"/>
      <c r="I2758" s="3"/>
      <c r="J2758" s="3"/>
      <c r="K2758" s="3"/>
      <c r="L2758" s="3"/>
      <c r="M2758" s="3"/>
      <c r="N2758" s="3"/>
      <c r="O2758" s="3"/>
      <c r="P2758" s="3"/>
      <c r="Q2758" s="3"/>
    </row>
    <row r="2759" spans="2:17" x14ac:dyDescent="0.2">
      <c r="B2759" s="3"/>
      <c r="F2759" s="3"/>
      <c r="G2759" s="3"/>
      <c r="I2759" s="3"/>
      <c r="J2759" s="3"/>
      <c r="K2759" s="3"/>
      <c r="L2759" s="3"/>
      <c r="M2759" s="3"/>
      <c r="N2759" s="3"/>
      <c r="O2759" s="3"/>
      <c r="P2759" s="3"/>
      <c r="Q2759" s="3"/>
    </row>
    <row r="2760" spans="2:17" x14ac:dyDescent="0.2">
      <c r="B2760" s="3"/>
      <c r="F2760" s="3"/>
      <c r="G2760" s="3"/>
      <c r="I2760" s="3"/>
      <c r="J2760" s="3"/>
      <c r="K2760" s="3"/>
      <c r="L2760" s="3"/>
      <c r="M2760" s="3"/>
      <c r="N2760" s="3"/>
      <c r="O2760" s="3"/>
      <c r="P2760" s="3"/>
      <c r="Q2760" s="3"/>
    </row>
    <row r="2761" spans="2:17" x14ac:dyDescent="0.2">
      <c r="B2761" s="3"/>
      <c r="F2761" s="3"/>
      <c r="G2761" s="3"/>
      <c r="I2761" s="3"/>
      <c r="J2761" s="3"/>
      <c r="K2761" s="3"/>
      <c r="L2761" s="3"/>
      <c r="M2761" s="3"/>
      <c r="N2761" s="3"/>
      <c r="O2761" s="3"/>
      <c r="P2761" s="3"/>
      <c r="Q2761" s="3"/>
    </row>
    <row r="2762" spans="2:17" x14ac:dyDescent="0.2">
      <c r="B2762" s="3"/>
      <c r="F2762" s="3"/>
      <c r="G2762" s="3"/>
      <c r="I2762" s="3"/>
      <c r="J2762" s="3"/>
      <c r="K2762" s="3"/>
      <c r="L2762" s="3"/>
      <c r="M2762" s="3"/>
      <c r="N2762" s="3"/>
      <c r="O2762" s="3"/>
      <c r="P2762" s="3"/>
      <c r="Q2762" s="3"/>
    </row>
    <row r="2763" spans="2:17" x14ac:dyDescent="0.2">
      <c r="B2763" s="3"/>
      <c r="F2763" s="3"/>
      <c r="G2763" s="3"/>
      <c r="I2763" s="3"/>
      <c r="J2763" s="3"/>
      <c r="K2763" s="3"/>
      <c r="L2763" s="3"/>
      <c r="M2763" s="3"/>
      <c r="N2763" s="3"/>
      <c r="O2763" s="3"/>
      <c r="P2763" s="3"/>
      <c r="Q2763" s="3"/>
    </row>
    <row r="2764" spans="2:17" x14ac:dyDescent="0.2">
      <c r="B2764" s="3"/>
      <c r="F2764" s="3"/>
      <c r="G2764" s="3"/>
      <c r="I2764" s="3"/>
      <c r="J2764" s="3"/>
      <c r="K2764" s="3"/>
      <c r="L2764" s="3"/>
      <c r="M2764" s="3"/>
      <c r="N2764" s="3"/>
      <c r="O2764" s="3"/>
      <c r="P2764" s="3"/>
      <c r="Q2764" s="3"/>
    </row>
    <row r="2765" spans="2:17" x14ac:dyDescent="0.2">
      <c r="B2765" s="3"/>
      <c r="F2765" s="3"/>
      <c r="G2765" s="3"/>
      <c r="I2765" s="3"/>
      <c r="J2765" s="3"/>
      <c r="K2765" s="3"/>
      <c r="L2765" s="3"/>
      <c r="M2765" s="3"/>
      <c r="N2765" s="3"/>
      <c r="O2765" s="3"/>
      <c r="P2765" s="3"/>
      <c r="Q2765" s="3"/>
    </row>
    <row r="2766" spans="2:17" x14ac:dyDescent="0.2">
      <c r="B2766" s="3"/>
      <c r="F2766" s="3"/>
      <c r="G2766" s="3"/>
      <c r="I2766" s="3"/>
      <c r="J2766" s="3"/>
      <c r="K2766" s="3"/>
      <c r="L2766" s="3"/>
      <c r="M2766" s="3"/>
      <c r="N2766" s="3"/>
      <c r="O2766" s="3"/>
      <c r="P2766" s="3"/>
      <c r="Q2766" s="3"/>
    </row>
    <row r="2767" spans="2:17" x14ac:dyDescent="0.2">
      <c r="B2767" s="3"/>
      <c r="F2767" s="3"/>
      <c r="G2767" s="3"/>
      <c r="I2767" s="3"/>
      <c r="J2767" s="3"/>
      <c r="K2767" s="3"/>
      <c r="L2767" s="3"/>
      <c r="M2767" s="3"/>
      <c r="N2767" s="3"/>
      <c r="O2767" s="3"/>
      <c r="P2767" s="3"/>
      <c r="Q2767" s="3"/>
    </row>
    <row r="2768" spans="2:17" x14ac:dyDescent="0.2">
      <c r="B2768" s="3"/>
      <c r="F2768" s="3"/>
      <c r="G2768" s="3"/>
      <c r="I2768" s="3"/>
      <c r="J2768" s="3"/>
      <c r="K2768" s="3"/>
      <c r="L2768" s="3"/>
      <c r="M2768" s="3"/>
      <c r="N2768" s="3"/>
      <c r="O2768" s="3"/>
      <c r="P2768" s="3"/>
      <c r="Q2768" s="3"/>
    </row>
    <row r="2769" spans="2:17" x14ac:dyDescent="0.2">
      <c r="B2769" s="3"/>
      <c r="F2769" s="3"/>
      <c r="G2769" s="3"/>
      <c r="I2769" s="3"/>
      <c r="J2769" s="3"/>
      <c r="K2769" s="3"/>
      <c r="L2769" s="3"/>
      <c r="M2769" s="3"/>
      <c r="N2769" s="3"/>
      <c r="O2769" s="3"/>
      <c r="P2769" s="3"/>
      <c r="Q2769" s="3"/>
    </row>
    <row r="2770" spans="2:17" x14ac:dyDescent="0.2">
      <c r="B2770" s="3"/>
      <c r="F2770" s="3"/>
      <c r="G2770" s="3"/>
      <c r="I2770" s="3"/>
      <c r="J2770" s="3"/>
      <c r="K2770" s="3"/>
      <c r="L2770" s="3"/>
      <c r="M2770" s="3"/>
      <c r="N2770" s="3"/>
      <c r="O2770" s="3"/>
      <c r="P2770" s="3"/>
      <c r="Q2770" s="3"/>
    </row>
    <row r="2771" spans="2:17" x14ac:dyDescent="0.2">
      <c r="B2771" s="3"/>
      <c r="F2771" s="3"/>
      <c r="G2771" s="3"/>
      <c r="I2771" s="3"/>
      <c r="J2771" s="3"/>
      <c r="K2771" s="3"/>
      <c r="L2771" s="3"/>
      <c r="M2771" s="3"/>
      <c r="N2771" s="3"/>
      <c r="O2771" s="3"/>
      <c r="P2771" s="3"/>
      <c r="Q2771" s="3"/>
    </row>
    <row r="2772" spans="2:17" x14ac:dyDescent="0.2">
      <c r="B2772" s="3"/>
      <c r="F2772" s="3"/>
      <c r="G2772" s="3"/>
      <c r="I2772" s="3"/>
      <c r="J2772" s="3"/>
      <c r="K2772" s="3"/>
      <c r="L2772" s="3"/>
      <c r="M2772" s="3"/>
      <c r="N2772" s="3"/>
      <c r="O2772" s="3"/>
      <c r="P2772" s="3"/>
      <c r="Q2772" s="3"/>
    </row>
    <row r="2773" spans="2:17" x14ac:dyDescent="0.2">
      <c r="B2773" s="3"/>
      <c r="F2773" s="3"/>
      <c r="G2773" s="3"/>
      <c r="I2773" s="3"/>
      <c r="J2773" s="3"/>
      <c r="K2773" s="3"/>
      <c r="L2773" s="3"/>
      <c r="M2773" s="3"/>
      <c r="N2773" s="3"/>
      <c r="O2773" s="3"/>
      <c r="P2773" s="3"/>
      <c r="Q2773" s="3"/>
    </row>
    <row r="2774" spans="2:17" x14ac:dyDescent="0.2">
      <c r="B2774" s="3"/>
      <c r="F2774" s="3"/>
      <c r="G2774" s="3"/>
      <c r="I2774" s="3"/>
      <c r="J2774" s="3"/>
      <c r="K2774" s="3"/>
      <c r="L2774" s="3"/>
      <c r="M2774" s="3"/>
      <c r="N2774" s="3"/>
      <c r="O2774" s="3"/>
      <c r="P2774" s="3"/>
      <c r="Q2774" s="3"/>
    </row>
    <row r="2775" spans="2:17" x14ac:dyDescent="0.2">
      <c r="B2775" s="3"/>
      <c r="F2775" s="3"/>
      <c r="G2775" s="3"/>
      <c r="I2775" s="3"/>
      <c r="J2775" s="3"/>
      <c r="K2775" s="3"/>
      <c r="L2775" s="3"/>
      <c r="M2775" s="3"/>
      <c r="N2775" s="3"/>
      <c r="O2775" s="3"/>
      <c r="P2775" s="3"/>
      <c r="Q2775" s="3"/>
    </row>
    <row r="2776" spans="2:17" x14ac:dyDescent="0.2">
      <c r="B2776" s="3"/>
      <c r="F2776" s="3"/>
      <c r="G2776" s="3"/>
      <c r="I2776" s="3"/>
      <c r="J2776" s="3"/>
      <c r="K2776" s="3"/>
      <c r="L2776" s="3"/>
      <c r="M2776" s="3"/>
      <c r="N2776" s="3"/>
      <c r="O2776" s="3"/>
      <c r="P2776" s="3"/>
      <c r="Q2776" s="3"/>
    </row>
    <row r="2777" spans="2:17" x14ac:dyDescent="0.2">
      <c r="B2777" s="3"/>
      <c r="F2777" s="3"/>
      <c r="G2777" s="3"/>
      <c r="I2777" s="3"/>
      <c r="J2777" s="3"/>
      <c r="K2777" s="3"/>
      <c r="L2777" s="3"/>
      <c r="M2777" s="3"/>
      <c r="N2777" s="3"/>
      <c r="O2777" s="3"/>
      <c r="P2777" s="3"/>
      <c r="Q2777" s="3"/>
    </row>
    <row r="2778" spans="2:17" x14ac:dyDescent="0.2">
      <c r="B2778" s="3"/>
      <c r="F2778" s="3"/>
      <c r="G2778" s="3"/>
      <c r="I2778" s="3"/>
      <c r="J2778" s="3"/>
      <c r="K2778" s="3"/>
      <c r="L2778" s="3"/>
      <c r="M2778" s="3"/>
      <c r="N2778" s="3"/>
      <c r="O2778" s="3"/>
      <c r="P2778" s="3"/>
      <c r="Q2778" s="3"/>
    </row>
    <row r="2779" spans="2:17" x14ac:dyDescent="0.2">
      <c r="B2779" s="3"/>
      <c r="F2779" s="3"/>
      <c r="G2779" s="3"/>
      <c r="I2779" s="3"/>
      <c r="J2779" s="3"/>
      <c r="K2779" s="3"/>
      <c r="L2779" s="3"/>
      <c r="M2779" s="3"/>
      <c r="N2779" s="3"/>
      <c r="O2779" s="3"/>
      <c r="P2779" s="3"/>
      <c r="Q2779" s="3"/>
    </row>
    <row r="2780" spans="2:17" x14ac:dyDescent="0.2">
      <c r="B2780" s="3"/>
      <c r="F2780" s="3"/>
      <c r="G2780" s="3"/>
      <c r="I2780" s="3"/>
      <c r="J2780" s="3"/>
      <c r="K2780" s="3"/>
      <c r="L2780" s="3"/>
      <c r="M2780" s="3"/>
      <c r="N2780" s="3"/>
      <c r="O2780" s="3"/>
      <c r="P2780" s="3"/>
      <c r="Q2780" s="3"/>
    </row>
    <row r="2781" spans="2:17" x14ac:dyDescent="0.2">
      <c r="B2781" s="3"/>
      <c r="F2781" s="3"/>
      <c r="G2781" s="3"/>
      <c r="I2781" s="3"/>
      <c r="J2781" s="3"/>
      <c r="K2781" s="3"/>
      <c r="L2781" s="3"/>
      <c r="M2781" s="3"/>
      <c r="N2781" s="3"/>
      <c r="O2781" s="3"/>
      <c r="P2781" s="3"/>
      <c r="Q2781" s="3"/>
    </row>
    <row r="2782" spans="2:17" x14ac:dyDescent="0.2">
      <c r="B2782" s="3"/>
      <c r="F2782" s="3"/>
      <c r="G2782" s="3"/>
      <c r="I2782" s="3"/>
      <c r="J2782" s="3"/>
      <c r="K2782" s="3"/>
      <c r="L2782" s="3"/>
      <c r="M2782" s="3"/>
      <c r="N2782" s="3"/>
      <c r="O2782" s="3"/>
      <c r="P2782" s="3"/>
      <c r="Q2782" s="3"/>
    </row>
    <row r="2783" spans="2:17" x14ac:dyDescent="0.2">
      <c r="B2783" s="3"/>
      <c r="F2783" s="3"/>
      <c r="G2783" s="3"/>
      <c r="I2783" s="3"/>
      <c r="J2783" s="3"/>
      <c r="K2783" s="3"/>
      <c r="L2783" s="3"/>
      <c r="M2783" s="3"/>
      <c r="N2783" s="3"/>
      <c r="O2783" s="3"/>
      <c r="P2783" s="3"/>
      <c r="Q2783" s="3"/>
    </row>
    <row r="2784" spans="2:17" x14ac:dyDescent="0.2">
      <c r="B2784" s="3"/>
      <c r="F2784" s="3"/>
      <c r="G2784" s="3"/>
      <c r="I2784" s="3"/>
      <c r="J2784" s="3"/>
      <c r="K2784" s="3"/>
      <c r="L2784" s="3"/>
      <c r="M2784" s="3"/>
      <c r="N2784" s="3"/>
      <c r="O2784" s="3"/>
      <c r="P2784" s="3"/>
      <c r="Q2784" s="3"/>
    </row>
    <row r="2785" spans="2:17" x14ac:dyDescent="0.2">
      <c r="B2785" s="3"/>
      <c r="F2785" s="3"/>
      <c r="G2785" s="3"/>
      <c r="I2785" s="3"/>
      <c r="J2785" s="3"/>
      <c r="K2785" s="3"/>
      <c r="L2785" s="3"/>
      <c r="M2785" s="3"/>
      <c r="N2785" s="3"/>
      <c r="O2785" s="3"/>
      <c r="P2785" s="3"/>
      <c r="Q2785" s="3"/>
    </row>
    <row r="2786" spans="2:17" x14ac:dyDescent="0.2">
      <c r="B2786" s="3"/>
      <c r="F2786" s="3"/>
      <c r="G2786" s="3"/>
      <c r="I2786" s="3"/>
      <c r="J2786" s="3"/>
      <c r="K2786" s="3"/>
      <c r="L2786" s="3"/>
      <c r="M2786" s="3"/>
      <c r="N2786" s="3"/>
      <c r="O2786" s="3"/>
      <c r="P2786" s="3"/>
      <c r="Q2786" s="3"/>
    </row>
    <row r="2787" spans="2:17" x14ac:dyDescent="0.2">
      <c r="B2787" s="3"/>
      <c r="F2787" s="3"/>
      <c r="G2787" s="3"/>
      <c r="I2787" s="3"/>
      <c r="J2787" s="3"/>
      <c r="K2787" s="3"/>
      <c r="L2787" s="3"/>
      <c r="M2787" s="3"/>
      <c r="N2787" s="3"/>
      <c r="O2787" s="3"/>
      <c r="P2787" s="3"/>
      <c r="Q2787" s="3"/>
    </row>
    <row r="2788" spans="2:17" x14ac:dyDescent="0.2">
      <c r="B2788" s="3"/>
      <c r="F2788" s="3"/>
      <c r="G2788" s="3"/>
      <c r="I2788" s="3"/>
      <c r="J2788" s="3"/>
      <c r="K2788" s="3"/>
      <c r="L2788" s="3"/>
      <c r="M2788" s="3"/>
      <c r="N2788" s="3"/>
      <c r="O2788" s="3"/>
      <c r="P2788" s="3"/>
      <c r="Q2788" s="3"/>
    </row>
    <row r="2789" spans="2:17" x14ac:dyDescent="0.2">
      <c r="B2789" s="3"/>
      <c r="F2789" s="3"/>
      <c r="G2789" s="3"/>
      <c r="I2789" s="3"/>
      <c r="J2789" s="3"/>
      <c r="K2789" s="3"/>
      <c r="L2789" s="3"/>
      <c r="M2789" s="3"/>
      <c r="N2789" s="3"/>
      <c r="O2789" s="3"/>
      <c r="P2789" s="3"/>
      <c r="Q2789" s="3"/>
    </row>
    <row r="2790" spans="2:17" x14ac:dyDescent="0.2">
      <c r="B2790" s="3"/>
      <c r="F2790" s="3"/>
      <c r="G2790" s="3"/>
      <c r="I2790" s="3"/>
      <c r="J2790" s="3"/>
      <c r="K2790" s="3"/>
      <c r="L2790" s="3"/>
      <c r="M2790" s="3"/>
      <c r="N2790" s="3"/>
      <c r="O2790" s="3"/>
      <c r="P2790" s="3"/>
      <c r="Q2790" s="3"/>
    </row>
    <row r="2791" spans="2:17" x14ac:dyDescent="0.2">
      <c r="B2791" s="3"/>
      <c r="F2791" s="3"/>
      <c r="G2791" s="3"/>
      <c r="I2791" s="3"/>
      <c r="J2791" s="3"/>
      <c r="K2791" s="3"/>
      <c r="L2791" s="3"/>
      <c r="M2791" s="3"/>
      <c r="N2791" s="3"/>
      <c r="O2791" s="3"/>
      <c r="P2791" s="3"/>
      <c r="Q2791" s="3"/>
    </row>
    <row r="2792" spans="2:17" x14ac:dyDescent="0.2">
      <c r="B2792" s="3"/>
      <c r="F2792" s="3"/>
      <c r="G2792" s="3"/>
      <c r="I2792" s="3"/>
      <c r="J2792" s="3"/>
      <c r="K2792" s="3"/>
      <c r="L2792" s="3"/>
      <c r="M2792" s="3"/>
      <c r="N2792" s="3"/>
      <c r="O2792" s="3"/>
      <c r="P2792" s="3"/>
      <c r="Q2792" s="3"/>
    </row>
    <row r="2793" spans="2:17" x14ac:dyDescent="0.2">
      <c r="B2793" s="3"/>
      <c r="F2793" s="3"/>
      <c r="G2793" s="3"/>
      <c r="I2793" s="3"/>
      <c r="J2793" s="3"/>
      <c r="K2793" s="3"/>
      <c r="L2793" s="3"/>
      <c r="M2793" s="3"/>
      <c r="N2793" s="3"/>
      <c r="O2793" s="3"/>
      <c r="P2793" s="3"/>
      <c r="Q2793" s="3"/>
    </row>
    <row r="2794" spans="2:17" x14ac:dyDescent="0.2">
      <c r="B2794" s="3"/>
      <c r="F2794" s="3"/>
      <c r="G2794" s="3"/>
      <c r="I2794" s="3"/>
      <c r="J2794" s="3"/>
      <c r="K2794" s="3"/>
      <c r="L2794" s="3"/>
      <c r="M2794" s="3"/>
      <c r="N2794" s="3"/>
      <c r="O2794" s="3"/>
      <c r="P2794" s="3"/>
      <c r="Q2794" s="3"/>
    </row>
    <row r="2795" spans="2:17" x14ac:dyDescent="0.2">
      <c r="B2795" s="3"/>
      <c r="F2795" s="3"/>
      <c r="G2795" s="3"/>
      <c r="I2795" s="3"/>
      <c r="J2795" s="3"/>
      <c r="K2795" s="3"/>
      <c r="L2795" s="3"/>
      <c r="M2795" s="3"/>
      <c r="N2795" s="3"/>
      <c r="O2795" s="3"/>
      <c r="P2795" s="3"/>
      <c r="Q2795" s="3"/>
    </row>
    <row r="2796" spans="2:17" x14ac:dyDescent="0.2">
      <c r="B2796" s="3"/>
      <c r="F2796" s="3"/>
      <c r="G2796" s="3"/>
      <c r="I2796" s="3"/>
      <c r="J2796" s="3"/>
      <c r="K2796" s="3"/>
      <c r="L2796" s="3"/>
      <c r="M2796" s="3"/>
      <c r="N2796" s="3"/>
      <c r="O2796" s="3"/>
      <c r="P2796" s="3"/>
      <c r="Q2796" s="3"/>
    </row>
    <row r="2797" spans="2:17" x14ac:dyDescent="0.2">
      <c r="B2797" s="3"/>
      <c r="F2797" s="3"/>
      <c r="G2797" s="3"/>
      <c r="I2797" s="3"/>
      <c r="J2797" s="3"/>
      <c r="K2797" s="3"/>
      <c r="L2797" s="3"/>
      <c r="M2797" s="3"/>
      <c r="N2797" s="3"/>
      <c r="O2797" s="3"/>
      <c r="P2797" s="3"/>
      <c r="Q2797" s="3"/>
    </row>
    <row r="2798" spans="2:17" x14ac:dyDescent="0.2">
      <c r="B2798" s="3"/>
      <c r="F2798" s="3"/>
      <c r="G2798" s="3"/>
      <c r="I2798" s="3"/>
      <c r="J2798" s="3"/>
      <c r="K2798" s="3"/>
      <c r="L2798" s="3"/>
      <c r="M2798" s="3"/>
      <c r="N2798" s="3"/>
      <c r="O2798" s="3"/>
      <c r="P2798" s="3"/>
      <c r="Q2798" s="3"/>
    </row>
    <row r="2799" spans="2:17" x14ac:dyDescent="0.2">
      <c r="B2799" s="3"/>
      <c r="F2799" s="3"/>
      <c r="G2799" s="3"/>
      <c r="I2799" s="3"/>
      <c r="J2799" s="3"/>
      <c r="K2799" s="3"/>
      <c r="L2799" s="3"/>
      <c r="M2799" s="3"/>
      <c r="N2799" s="3"/>
      <c r="O2799" s="3"/>
      <c r="P2799" s="3"/>
      <c r="Q2799" s="3"/>
    </row>
    <row r="2800" spans="2:17" x14ac:dyDescent="0.2">
      <c r="B2800" s="3"/>
      <c r="F2800" s="3"/>
      <c r="G2800" s="3"/>
      <c r="I2800" s="3"/>
      <c r="J2800" s="3"/>
      <c r="K2800" s="3"/>
      <c r="L2800" s="3"/>
      <c r="M2800" s="3"/>
      <c r="N2800" s="3"/>
      <c r="O2800" s="3"/>
      <c r="P2800" s="3"/>
      <c r="Q2800" s="3"/>
    </row>
    <row r="2801" spans="2:17" x14ac:dyDescent="0.2">
      <c r="B2801" s="3"/>
      <c r="F2801" s="3"/>
      <c r="G2801" s="3"/>
      <c r="I2801" s="3"/>
      <c r="J2801" s="3"/>
      <c r="K2801" s="3"/>
      <c r="L2801" s="3"/>
      <c r="M2801" s="3"/>
      <c r="N2801" s="3"/>
      <c r="O2801" s="3"/>
      <c r="P2801" s="3"/>
      <c r="Q2801" s="3"/>
    </row>
    <row r="2802" spans="2:17" x14ac:dyDescent="0.2">
      <c r="B2802" s="3"/>
      <c r="F2802" s="3"/>
      <c r="G2802" s="3"/>
      <c r="I2802" s="3"/>
      <c r="J2802" s="3"/>
      <c r="K2802" s="3"/>
      <c r="L2802" s="3"/>
      <c r="M2802" s="3"/>
      <c r="N2802" s="3"/>
      <c r="O2802" s="3"/>
      <c r="P2802" s="3"/>
      <c r="Q2802" s="3"/>
    </row>
    <row r="2803" spans="2:17" x14ac:dyDescent="0.2">
      <c r="B2803" s="3"/>
      <c r="F2803" s="3"/>
      <c r="G2803" s="3"/>
      <c r="I2803" s="3"/>
      <c r="J2803" s="3"/>
      <c r="K2803" s="3"/>
      <c r="L2803" s="3"/>
      <c r="M2803" s="3"/>
      <c r="N2803" s="3"/>
      <c r="O2803" s="3"/>
      <c r="P2803" s="3"/>
      <c r="Q2803" s="3"/>
    </row>
    <row r="2804" spans="2:17" x14ac:dyDescent="0.2">
      <c r="B2804" s="3"/>
      <c r="F2804" s="3"/>
      <c r="G2804" s="3"/>
      <c r="I2804" s="3"/>
      <c r="J2804" s="3"/>
      <c r="K2804" s="3"/>
      <c r="L2804" s="3"/>
      <c r="M2804" s="3"/>
      <c r="N2804" s="3"/>
      <c r="O2804" s="3"/>
      <c r="P2804" s="3"/>
      <c r="Q2804" s="3"/>
    </row>
    <row r="2805" spans="2:17" x14ac:dyDescent="0.2">
      <c r="B2805" s="3"/>
      <c r="F2805" s="3"/>
      <c r="G2805" s="3"/>
      <c r="I2805" s="3"/>
      <c r="J2805" s="3"/>
      <c r="K2805" s="3"/>
      <c r="L2805" s="3"/>
      <c r="M2805" s="3"/>
      <c r="N2805" s="3"/>
      <c r="O2805" s="3"/>
      <c r="P2805" s="3"/>
      <c r="Q2805" s="3"/>
    </row>
    <row r="2806" spans="2:17" x14ac:dyDescent="0.2">
      <c r="B2806" s="3"/>
      <c r="F2806" s="3"/>
      <c r="G2806" s="3"/>
      <c r="I2806" s="3"/>
      <c r="J2806" s="3"/>
      <c r="K2806" s="3"/>
      <c r="L2806" s="3"/>
      <c r="M2806" s="3"/>
      <c r="N2806" s="3"/>
      <c r="O2806" s="3"/>
      <c r="P2806" s="3"/>
      <c r="Q2806" s="3"/>
    </row>
    <row r="2807" spans="2:17" x14ac:dyDescent="0.2">
      <c r="B2807" s="3"/>
      <c r="F2807" s="3"/>
      <c r="G2807" s="3"/>
      <c r="I2807" s="3"/>
      <c r="J2807" s="3"/>
      <c r="K2807" s="3"/>
      <c r="L2807" s="3"/>
      <c r="M2807" s="3"/>
      <c r="N2807" s="3"/>
      <c r="O2807" s="3"/>
      <c r="P2807" s="3"/>
      <c r="Q2807" s="3"/>
    </row>
    <row r="2808" spans="2:17" x14ac:dyDescent="0.2">
      <c r="B2808" s="3"/>
      <c r="F2808" s="3"/>
      <c r="G2808" s="3"/>
      <c r="I2808" s="3"/>
      <c r="J2808" s="3"/>
      <c r="K2808" s="3"/>
      <c r="L2808" s="3"/>
      <c r="M2808" s="3"/>
      <c r="N2808" s="3"/>
      <c r="O2808" s="3"/>
      <c r="P2808" s="3"/>
      <c r="Q2808" s="3"/>
    </row>
    <row r="2809" spans="2:17" x14ac:dyDescent="0.2">
      <c r="B2809" s="3"/>
      <c r="F2809" s="3"/>
      <c r="G2809" s="3"/>
      <c r="I2809" s="3"/>
      <c r="J2809" s="3"/>
      <c r="K2809" s="3"/>
      <c r="L2809" s="3"/>
      <c r="M2809" s="3"/>
      <c r="N2809" s="3"/>
      <c r="O2809" s="3"/>
      <c r="P2809" s="3"/>
      <c r="Q2809" s="3"/>
    </row>
    <row r="2810" spans="2:17" x14ac:dyDescent="0.2">
      <c r="B2810" s="3"/>
      <c r="F2810" s="3"/>
      <c r="G2810" s="3"/>
      <c r="I2810" s="3"/>
      <c r="J2810" s="3"/>
      <c r="K2810" s="3"/>
      <c r="L2810" s="3"/>
      <c r="M2810" s="3"/>
      <c r="N2810" s="3"/>
      <c r="O2810" s="3"/>
      <c r="P2810" s="3"/>
      <c r="Q2810" s="3"/>
    </row>
    <row r="2811" spans="2:17" x14ac:dyDescent="0.2">
      <c r="B2811" s="3"/>
      <c r="F2811" s="3"/>
      <c r="G2811" s="3"/>
      <c r="I2811" s="3"/>
      <c r="J2811" s="3"/>
      <c r="K2811" s="3"/>
      <c r="L2811" s="3"/>
      <c r="M2811" s="3"/>
      <c r="N2811" s="3"/>
      <c r="O2811" s="3"/>
      <c r="P2811" s="3"/>
      <c r="Q2811" s="3"/>
    </row>
    <row r="2812" spans="2:17" x14ac:dyDescent="0.2">
      <c r="B2812" s="3"/>
      <c r="F2812" s="3"/>
      <c r="G2812" s="3"/>
      <c r="I2812" s="3"/>
      <c r="J2812" s="3"/>
      <c r="K2812" s="3"/>
      <c r="L2812" s="3"/>
      <c r="M2812" s="3"/>
      <c r="N2812" s="3"/>
      <c r="O2812" s="3"/>
      <c r="P2812" s="3"/>
      <c r="Q2812" s="3"/>
    </row>
    <row r="2813" spans="2:17" x14ac:dyDescent="0.2">
      <c r="B2813" s="3"/>
      <c r="F2813" s="3"/>
      <c r="G2813" s="3"/>
      <c r="I2813" s="3"/>
      <c r="J2813" s="3"/>
      <c r="K2813" s="3"/>
      <c r="L2813" s="3"/>
      <c r="M2813" s="3"/>
      <c r="N2813" s="3"/>
      <c r="O2813" s="3"/>
      <c r="P2813" s="3"/>
      <c r="Q2813" s="3"/>
    </row>
    <row r="2814" spans="2:17" x14ac:dyDescent="0.2">
      <c r="B2814" s="3"/>
      <c r="F2814" s="3"/>
      <c r="G2814" s="3"/>
      <c r="I2814" s="3"/>
      <c r="J2814" s="3"/>
      <c r="K2814" s="3"/>
      <c r="L2814" s="3"/>
      <c r="M2814" s="3"/>
      <c r="N2814" s="3"/>
      <c r="O2814" s="3"/>
      <c r="P2814" s="3"/>
      <c r="Q2814" s="3"/>
    </row>
    <row r="2815" spans="2:17" x14ac:dyDescent="0.2">
      <c r="B2815" s="3"/>
      <c r="F2815" s="3"/>
      <c r="G2815" s="3"/>
      <c r="I2815" s="3"/>
      <c r="J2815" s="3"/>
      <c r="K2815" s="3"/>
      <c r="L2815" s="3"/>
      <c r="M2815" s="3"/>
      <c r="N2815" s="3"/>
      <c r="O2815" s="3"/>
      <c r="P2815" s="3"/>
      <c r="Q2815" s="3"/>
    </row>
    <row r="2816" spans="2:17" x14ac:dyDescent="0.2">
      <c r="B2816" s="3"/>
      <c r="F2816" s="3"/>
      <c r="G2816" s="3"/>
      <c r="I2816" s="3"/>
      <c r="J2816" s="3"/>
      <c r="K2816" s="3"/>
      <c r="L2816" s="3"/>
      <c r="M2816" s="3"/>
      <c r="N2816" s="3"/>
      <c r="O2816" s="3"/>
      <c r="P2816" s="3"/>
      <c r="Q2816" s="3"/>
    </row>
    <row r="2817" spans="2:17" x14ac:dyDescent="0.2">
      <c r="B2817" s="3"/>
      <c r="F2817" s="3"/>
      <c r="G2817" s="3"/>
      <c r="I2817" s="3"/>
      <c r="J2817" s="3"/>
      <c r="K2817" s="3"/>
      <c r="L2817" s="3"/>
      <c r="M2817" s="3"/>
      <c r="N2817" s="3"/>
      <c r="O2817" s="3"/>
      <c r="P2817" s="3"/>
      <c r="Q2817" s="3"/>
    </row>
    <row r="2818" spans="2:17" x14ac:dyDescent="0.2">
      <c r="B2818" s="3"/>
      <c r="F2818" s="3"/>
      <c r="G2818" s="3"/>
      <c r="I2818" s="3"/>
      <c r="J2818" s="3"/>
      <c r="K2818" s="3"/>
      <c r="L2818" s="3"/>
      <c r="M2818" s="3"/>
      <c r="N2818" s="3"/>
      <c r="O2818" s="3"/>
      <c r="P2818" s="3"/>
      <c r="Q2818" s="3"/>
    </row>
    <row r="2819" spans="2:17" x14ac:dyDescent="0.2">
      <c r="B2819" s="3"/>
      <c r="F2819" s="3"/>
      <c r="G2819" s="3"/>
      <c r="I2819" s="3"/>
      <c r="J2819" s="3"/>
      <c r="K2819" s="3"/>
      <c r="L2819" s="3"/>
      <c r="M2819" s="3"/>
      <c r="N2819" s="3"/>
      <c r="O2819" s="3"/>
      <c r="P2819" s="3"/>
      <c r="Q2819" s="3"/>
    </row>
    <row r="2820" spans="2:17" x14ac:dyDescent="0.2">
      <c r="B2820" s="3"/>
      <c r="F2820" s="3"/>
      <c r="G2820" s="3"/>
      <c r="I2820" s="3"/>
      <c r="J2820" s="3"/>
      <c r="K2820" s="3"/>
      <c r="L2820" s="3"/>
      <c r="M2820" s="3"/>
      <c r="N2820" s="3"/>
      <c r="O2820" s="3"/>
      <c r="P2820" s="3"/>
      <c r="Q2820" s="3"/>
    </row>
    <row r="2821" spans="2:17" x14ac:dyDescent="0.2">
      <c r="B2821" s="3"/>
      <c r="F2821" s="3"/>
      <c r="G2821" s="3"/>
      <c r="I2821" s="3"/>
      <c r="J2821" s="3"/>
      <c r="K2821" s="3"/>
      <c r="L2821" s="3"/>
      <c r="M2821" s="3"/>
      <c r="N2821" s="3"/>
      <c r="O2821" s="3"/>
      <c r="P2821" s="3"/>
      <c r="Q2821" s="3"/>
    </row>
    <row r="2822" spans="2:17" x14ac:dyDescent="0.2">
      <c r="B2822" s="3"/>
      <c r="F2822" s="3"/>
      <c r="G2822" s="3"/>
      <c r="I2822" s="3"/>
      <c r="J2822" s="3"/>
      <c r="K2822" s="3"/>
      <c r="L2822" s="3"/>
      <c r="M2822" s="3"/>
      <c r="N2822" s="3"/>
      <c r="O2822" s="3"/>
      <c r="P2822" s="3"/>
      <c r="Q2822" s="3"/>
    </row>
    <row r="2823" spans="2:17" x14ac:dyDescent="0.2">
      <c r="B2823" s="3"/>
      <c r="F2823" s="3"/>
      <c r="G2823" s="3"/>
      <c r="I2823" s="3"/>
      <c r="J2823" s="3"/>
      <c r="K2823" s="3"/>
      <c r="L2823" s="3"/>
      <c r="M2823" s="3"/>
      <c r="N2823" s="3"/>
      <c r="O2823" s="3"/>
      <c r="P2823" s="3"/>
      <c r="Q2823" s="3"/>
    </row>
    <row r="2824" spans="2:17" x14ac:dyDescent="0.2">
      <c r="B2824" s="3"/>
      <c r="F2824" s="3"/>
      <c r="G2824" s="3"/>
      <c r="I2824" s="3"/>
      <c r="J2824" s="3"/>
      <c r="K2824" s="3"/>
      <c r="L2824" s="3"/>
      <c r="M2824" s="3"/>
      <c r="N2824" s="3"/>
      <c r="O2824" s="3"/>
      <c r="P2824" s="3"/>
      <c r="Q2824" s="3"/>
    </row>
    <row r="2825" spans="2:17" x14ac:dyDescent="0.2">
      <c r="B2825" s="3"/>
      <c r="F2825" s="3"/>
      <c r="G2825" s="3"/>
      <c r="I2825" s="3"/>
      <c r="J2825" s="3"/>
      <c r="K2825" s="3"/>
      <c r="L2825" s="3"/>
      <c r="M2825" s="3"/>
      <c r="N2825" s="3"/>
      <c r="O2825" s="3"/>
      <c r="P2825" s="3"/>
      <c r="Q2825" s="3"/>
    </row>
    <row r="2826" spans="2:17" x14ac:dyDescent="0.2">
      <c r="B2826" s="3"/>
      <c r="F2826" s="3"/>
      <c r="G2826" s="3"/>
      <c r="I2826" s="3"/>
      <c r="J2826" s="3"/>
      <c r="K2826" s="3"/>
      <c r="L2826" s="3"/>
      <c r="M2826" s="3"/>
      <c r="N2826" s="3"/>
      <c r="O2826" s="3"/>
      <c r="P2826" s="3"/>
      <c r="Q2826" s="3"/>
    </row>
    <row r="2827" spans="2:17" x14ac:dyDescent="0.2">
      <c r="B2827" s="3"/>
      <c r="F2827" s="3"/>
      <c r="G2827" s="3"/>
      <c r="I2827" s="3"/>
      <c r="J2827" s="3"/>
      <c r="K2827" s="3"/>
      <c r="L2827" s="3"/>
      <c r="M2827" s="3"/>
      <c r="N2827" s="3"/>
      <c r="O2827" s="3"/>
      <c r="P2827" s="3"/>
      <c r="Q2827" s="3"/>
    </row>
    <row r="2828" spans="2:17" x14ac:dyDescent="0.2">
      <c r="B2828" s="3"/>
      <c r="F2828" s="3"/>
      <c r="G2828" s="3"/>
      <c r="I2828" s="3"/>
      <c r="J2828" s="3"/>
      <c r="K2828" s="3"/>
      <c r="L2828" s="3"/>
      <c r="M2828" s="3"/>
      <c r="N2828" s="3"/>
      <c r="O2828" s="3"/>
      <c r="P2828" s="3"/>
      <c r="Q2828" s="3"/>
    </row>
    <row r="2829" spans="2:17" x14ac:dyDescent="0.2">
      <c r="B2829" s="3"/>
      <c r="F2829" s="3"/>
      <c r="G2829" s="3"/>
      <c r="I2829" s="3"/>
      <c r="J2829" s="3"/>
      <c r="K2829" s="3"/>
      <c r="L2829" s="3"/>
      <c r="M2829" s="3"/>
      <c r="N2829" s="3"/>
      <c r="O2829" s="3"/>
      <c r="P2829" s="3"/>
      <c r="Q2829" s="3"/>
    </row>
    <row r="2830" spans="2:17" x14ac:dyDescent="0.2">
      <c r="B2830" s="3"/>
      <c r="F2830" s="3"/>
      <c r="G2830" s="3"/>
      <c r="I2830" s="3"/>
      <c r="J2830" s="3"/>
      <c r="K2830" s="3"/>
      <c r="L2830" s="3"/>
      <c r="M2830" s="3"/>
      <c r="N2830" s="3"/>
      <c r="O2830" s="3"/>
      <c r="P2830" s="3"/>
      <c r="Q2830" s="3"/>
    </row>
    <row r="2831" spans="2:17" x14ac:dyDescent="0.2">
      <c r="B2831" s="3"/>
      <c r="F2831" s="3"/>
      <c r="G2831" s="3"/>
      <c r="I2831" s="3"/>
      <c r="J2831" s="3"/>
      <c r="K2831" s="3"/>
      <c r="L2831" s="3"/>
      <c r="M2831" s="3"/>
      <c r="N2831" s="3"/>
      <c r="O2831" s="3"/>
      <c r="P2831" s="3"/>
      <c r="Q2831" s="3"/>
    </row>
    <row r="2832" spans="2:17" x14ac:dyDescent="0.2">
      <c r="B2832" s="3"/>
      <c r="F2832" s="3"/>
      <c r="G2832" s="3"/>
      <c r="I2832" s="3"/>
      <c r="J2832" s="3"/>
      <c r="K2832" s="3"/>
      <c r="L2832" s="3"/>
      <c r="M2832" s="3"/>
      <c r="N2832" s="3"/>
      <c r="O2832" s="3"/>
      <c r="P2832" s="3"/>
      <c r="Q2832" s="3"/>
    </row>
    <row r="2833" spans="2:17" x14ac:dyDescent="0.2">
      <c r="B2833" s="3"/>
      <c r="F2833" s="3"/>
      <c r="G2833" s="3"/>
      <c r="I2833" s="3"/>
      <c r="J2833" s="3"/>
      <c r="K2833" s="3"/>
      <c r="L2833" s="3"/>
      <c r="M2833" s="3"/>
      <c r="N2833" s="3"/>
      <c r="O2833" s="3"/>
      <c r="P2833" s="3"/>
      <c r="Q2833" s="3"/>
    </row>
    <row r="2834" spans="2:17" x14ac:dyDescent="0.2">
      <c r="B2834" s="3"/>
      <c r="F2834" s="3"/>
      <c r="G2834" s="3"/>
      <c r="I2834" s="3"/>
      <c r="J2834" s="3"/>
      <c r="K2834" s="3"/>
      <c r="L2834" s="3"/>
      <c r="M2834" s="3"/>
      <c r="N2834" s="3"/>
      <c r="O2834" s="3"/>
      <c r="P2834" s="3"/>
      <c r="Q2834" s="3"/>
    </row>
    <row r="2835" spans="2:17" x14ac:dyDescent="0.2">
      <c r="B2835" s="3"/>
      <c r="F2835" s="3"/>
      <c r="G2835" s="3"/>
      <c r="I2835" s="3"/>
      <c r="J2835" s="3"/>
      <c r="K2835" s="3"/>
      <c r="L2835" s="3"/>
      <c r="M2835" s="3"/>
      <c r="N2835" s="3"/>
      <c r="O2835" s="3"/>
      <c r="P2835" s="3"/>
      <c r="Q2835" s="3"/>
    </row>
    <row r="2836" spans="2:17" x14ac:dyDescent="0.2">
      <c r="B2836" s="3"/>
      <c r="F2836" s="3"/>
      <c r="G2836" s="3"/>
      <c r="I2836" s="3"/>
      <c r="J2836" s="3"/>
      <c r="K2836" s="3"/>
      <c r="L2836" s="3"/>
      <c r="M2836" s="3"/>
      <c r="N2836" s="3"/>
      <c r="O2836" s="3"/>
      <c r="P2836" s="3"/>
      <c r="Q2836" s="3"/>
    </row>
    <row r="2837" spans="2:17" x14ac:dyDescent="0.2">
      <c r="B2837" s="3"/>
      <c r="F2837" s="3"/>
      <c r="G2837" s="3"/>
      <c r="I2837" s="3"/>
      <c r="J2837" s="3"/>
      <c r="K2837" s="3"/>
      <c r="L2837" s="3"/>
      <c r="M2837" s="3"/>
      <c r="N2837" s="3"/>
      <c r="O2837" s="3"/>
      <c r="P2837" s="3"/>
      <c r="Q2837" s="3"/>
    </row>
    <row r="2838" spans="2:17" x14ac:dyDescent="0.2">
      <c r="B2838" s="3"/>
      <c r="F2838" s="3"/>
      <c r="G2838" s="3"/>
      <c r="I2838" s="3"/>
      <c r="J2838" s="3"/>
      <c r="K2838" s="3"/>
      <c r="L2838" s="3"/>
      <c r="M2838" s="3"/>
      <c r="N2838" s="3"/>
      <c r="O2838" s="3"/>
      <c r="P2838" s="3"/>
      <c r="Q2838" s="3"/>
    </row>
    <row r="2839" spans="2:17" x14ac:dyDescent="0.2">
      <c r="B2839" s="3"/>
      <c r="F2839" s="3"/>
      <c r="G2839" s="3"/>
      <c r="I2839" s="3"/>
      <c r="J2839" s="3"/>
      <c r="K2839" s="3"/>
      <c r="L2839" s="3"/>
      <c r="M2839" s="3"/>
      <c r="N2839" s="3"/>
      <c r="O2839" s="3"/>
      <c r="P2839" s="3"/>
      <c r="Q2839" s="3"/>
    </row>
    <row r="2840" spans="2:17" x14ac:dyDescent="0.2">
      <c r="B2840" s="3"/>
      <c r="F2840" s="3"/>
      <c r="G2840" s="3"/>
      <c r="I2840" s="3"/>
      <c r="J2840" s="3"/>
      <c r="K2840" s="3"/>
      <c r="L2840" s="3"/>
      <c r="M2840" s="3"/>
      <c r="N2840" s="3"/>
      <c r="O2840" s="3"/>
      <c r="P2840" s="3"/>
      <c r="Q2840" s="3"/>
    </row>
    <row r="2841" spans="2:17" x14ac:dyDescent="0.2">
      <c r="B2841" s="3"/>
      <c r="F2841" s="3"/>
      <c r="G2841" s="3"/>
      <c r="I2841" s="3"/>
      <c r="J2841" s="3"/>
      <c r="K2841" s="3"/>
      <c r="L2841" s="3"/>
      <c r="M2841" s="3"/>
      <c r="N2841" s="3"/>
      <c r="O2841" s="3"/>
      <c r="P2841" s="3"/>
      <c r="Q2841" s="3"/>
    </row>
    <row r="2842" spans="2:17" x14ac:dyDescent="0.2">
      <c r="B2842" s="3"/>
      <c r="F2842" s="3"/>
      <c r="G2842" s="3"/>
      <c r="I2842" s="3"/>
      <c r="J2842" s="3"/>
      <c r="K2842" s="3"/>
      <c r="L2842" s="3"/>
      <c r="M2842" s="3"/>
      <c r="N2842" s="3"/>
      <c r="O2842" s="3"/>
      <c r="P2842" s="3"/>
      <c r="Q2842" s="3"/>
    </row>
    <row r="2843" spans="2:17" x14ac:dyDescent="0.2">
      <c r="B2843" s="3"/>
      <c r="F2843" s="3"/>
      <c r="G2843" s="3"/>
      <c r="I2843" s="3"/>
      <c r="J2843" s="3"/>
      <c r="K2843" s="3"/>
      <c r="L2843" s="3"/>
      <c r="M2843" s="3"/>
      <c r="N2843" s="3"/>
      <c r="O2843" s="3"/>
      <c r="P2843" s="3"/>
      <c r="Q2843" s="3"/>
    </row>
    <row r="2844" spans="2:17" x14ac:dyDescent="0.2">
      <c r="B2844" s="3"/>
      <c r="F2844" s="3"/>
      <c r="G2844" s="3"/>
      <c r="I2844" s="3"/>
      <c r="J2844" s="3"/>
      <c r="K2844" s="3"/>
      <c r="L2844" s="3"/>
      <c r="M2844" s="3"/>
      <c r="N2844" s="3"/>
      <c r="O2844" s="3"/>
      <c r="P2844" s="3"/>
      <c r="Q2844" s="3"/>
    </row>
    <row r="2845" spans="2:17" x14ac:dyDescent="0.2">
      <c r="B2845" s="3"/>
      <c r="F2845" s="3"/>
      <c r="G2845" s="3"/>
      <c r="I2845" s="3"/>
      <c r="J2845" s="3"/>
      <c r="K2845" s="3"/>
      <c r="L2845" s="3"/>
      <c r="M2845" s="3"/>
      <c r="N2845" s="3"/>
      <c r="O2845" s="3"/>
      <c r="P2845" s="3"/>
      <c r="Q2845" s="3"/>
    </row>
    <row r="2846" spans="2:17" x14ac:dyDescent="0.2">
      <c r="B2846" s="3"/>
      <c r="F2846" s="3"/>
      <c r="G2846" s="3"/>
      <c r="I2846" s="3"/>
      <c r="J2846" s="3"/>
      <c r="K2846" s="3"/>
      <c r="L2846" s="3"/>
      <c r="M2846" s="3"/>
      <c r="N2846" s="3"/>
      <c r="O2846" s="3"/>
      <c r="P2846" s="3"/>
      <c r="Q2846" s="3"/>
    </row>
    <row r="2847" spans="2:17" x14ac:dyDescent="0.2">
      <c r="B2847" s="3"/>
      <c r="F2847" s="3"/>
      <c r="G2847" s="3"/>
      <c r="I2847" s="3"/>
      <c r="J2847" s="3"/>
      <c r="K2847" s="3"/>
      <c r="L2847" s="3"/>
      <c r="M2847" s="3"/>
      <c r="N2847" s="3"/>
      <c r="O2847" s="3"/>
      <c r="P2847" s="3"/>
      <c r="Q2847" s="3"/>
    </row>
    <row r="2848" spans="2:17" x14ac:dyDescent="0.2">
      <c r="B2848" s="3"/>
      <c r="F2848" s="3"/>
      <c r="G2848" s="3"/>
      <c r="I2848" s="3"/>
      <c r="J2848" s="3"/>
      <c r="K2848" s="3"/>
      <c r="L2848" s="3"/>
      <c r="M2848" s="3"/>
      <c r="N2848" s="3"/>
      <c r="O2848" s="3"/>
      <c r="P2848" s="3"/>
      <c r="Q2848" s="3"/>
    </row>
    <row r="2849" spans="2:17" x14ac:dyDescent="0.2">
      <c r="B2849" s="3"/>
      <c r="F2849" s="3"/>
      <c r="G2849" s="3"/>
      <c r="I2849" s="3"/>
      <c r="J2849" s="3"/>
      <c r="K2849" s="3"/>
      <c r="L2849" s="3"/>
      <c r="M2849" s="3"/>
      <c r="N2849" s="3"/>
      <c r="O2849" s="3"/>
      <c r="P2849" s="3"/>
      <c r="Q2849" s="3"/>
    </row>
    <row r="2850" spans="2:17" x14ac:dyDescent="0.2">
      <c r="B2850" s="3"/>
      <c r="F2850" s="3"/>
      <c r="G2850" s="3"/>
      <c r="I2850" s="3"/>
      <c r="J2850" s="3"/>
      <c r="K2850" s="3"/>
      <c r="L2850" s="3"/>
      <c r="M2850" s="3"/>
      <c r="N2850" s="3"/>
      <c r="O2850" s="3"/>
      <c r="P2850" s="3"/>
      <c r="Q2850" s="3"/>
    </row>
    <row r="2851" spans="2:17" x14ac:dyDescent="0.2">
      <c r="B2851" s="3"/>
      <c r="F2851" s="3"/>
      <c r="G2851" s="3"/>
      <c r="I2851" s="3"/>
      <c r="J2851" s="3"/>
      <c r="K2851" s="3"/>
      <c r="L2851" s="3"/>
      <c r="M2851" s="3"/>
      <c r="N2851" s="3"/>
      <c r="O2851" s="3"/>
      <c r="P2851" s="3"/>
      <c r="Q2851" s="3"/>
    </row>
    <row r="2852" spans="2:17" x14ac:dyDescent="0.2">
      <c r="B2852" s="3"/>
      <c r="F2852" s="3"/>
      <c r="G2852" s="3"/>
      <c r="I2852" s="3"/>
      <c r="J2852" s="3"/>
      <c r="K2852" s="3"/>
      <c r="L2852" s="3"/>
      <c r="M2852" s="3"/>
      <c r="N2852" s="3"/>
      <c r="O2852" s="3"/>
      <c r="P2852" s="3"/>
      <c r="Q2852" s="3"/>
    </row>
    <row r="2853" spans="2:17" x14ac:dyDescent="0.2">
      <c r="B2853" s="3"/>
      <c r="F2853" s="3"/>
      <c r="G2853" s="3"/>
      <c r="I2853" s="3"/>
      <c r="J2853" s="3"/>
      <c r="K2853" s="3"/>
      <c r="L2853" s="3"/>
      <c r="M2853" s="3"/>
      <c r="N2853" s="3"/>
      <c r="O2853" s="3"/>
      <c r="P2853" s="3"/>
      <c r="Q2853" s="3"/>
    </row>
    <row r="2854" spans="2:17" x14ac:dyDescent="0.2">
      <c r="B2854" s="3"/>
      <c r="F2854" s="3"/>
      <c r="G2854" s="3"/>
      <c r="I2854" s="3"/>
      <c r="J2854" s="3"/>
      <c r="K2854" s="3"/>
      <c r="L2854" s="3"/>
      <c r="M2854" s="3"/>
      <c r="N2854" s="3"/>
      <c r="O2854" s="3"/>
      <c r="P2854" s="3"/>
      <c r="Q2854" s="3"/>
    </row>
    <row r="2855" spans="2:17" x14ac:dyDescent="0.2">
      <c r="B2855" s="3"/>
      <c r="F2855" s="3"/>
      <c r="G2855" s="3"/>
      <c r="I2855" s="3"/>
      <c r="J2855" s="3"/>
      <c r="K2855" s="3"/>
      <c r="L2855" s="3"/>
      <c r="M2855" s="3"/>
      <c r="N2855" s="3"/>
      <c r="O2855" s="3"/>
      <c r="P2855" s="3"/>
      <c r="Q2855" s="3"/>
    </row>
    <row r="2856" spans="2:17" x14ac:dyDescent="0.2">
      <c r="B2856" s="3"/>
      <c r="F2856" s="3"/>
      <c r="G2856" s="3"/>
      <c r="I2856" s="3"/>
      <c r="J2856" s="3"/>
      <c r="K2856" s="3"/>
      <c r="L2856" s="3"/>
      <c r="M2856" s="3"/>
      <c r="N2856" s="3"/>
      <c r="O2856" s="3"/>
      <c r="P2856" s="3"/>
      <c r="Q2856" s="3"/>
    </row>
    <row r="2857" spans="2:17" x14ac:dyDescent="0.2">
      <c r="B2857" s="3"/>
      <c r="F2857" s="3"/>
      <c r="G2857" s="3"/>
      <c r="I2857" s="3"/>
      <c r="J2857" s="3"/>
      <c r="K2857" s="3"/>
      <c r="L2857" s="3"/>
      <c r="M2857" s="3"/>
      <c r="N2857" s="3"/>
      <c r="O2857" s="3"/>
      <c r="P2857" s="3"/>
      <c r="Q2857" s="3"/>
    </row>
    <row r="2858" spans="2:17" x14ac:dyDescent="0.2">
      <c r="B2858" s="3"/>
      <c r="F2858" s="3"/>
      <c r="G2858" s="3"/>
      <c r="I2858" s="3"/>
      <c r="J2858" s="3"/>
      <c r="K2858" s="3"/>
      <c r="L2858" s="3"/>
      <c r="M2858" s="3"/>
      <c r="N2858" s="3"/>
      <c r="O2858" s="3"/>
      <c r="P2858" s="3"/>
      <c r="Q2858" s="3"/>
    </row>
    <row r="2859" spans="2:17" x14ac:dyDescent="0.2">
      <c r="B2859" s="3"/>
      <c r="F2859" s="3"/>
      <c r="G2859" s="3"/>
      <c r="I2859" s="3"/>
      <c r="J2859" s="3"/>
      <c r="K2859" s="3"/>
      <c r="L2859" s="3"/>
      <c r="M2859" s="3"/>
      <c r="N2859" s="3"/>
      <c r="O2859" s="3"/>
      <c r="P2859" s="3"/>
      <c r="Q2859" s="3"/>
    </row>
    <row r="2860" spans="2:17" x14ac:dyDescent="0.2">
      <c r="B2860" s="3"/>
      <c r="F2860" s="3"/>
      <c r="G2860" s="3"/>
      <c r="I2860" s="3"/>
      <c r="J2860" s="3"/>
      <c r="K2860" s="3"/>
      <c r="L2860" s="3"/>
      <c r="M2860" s="3"/>
      <c r="N2860" s="3"/>
      <c r="O2860" s="3"/>
      <c r="P2860" s="3"/>
      <c r="Q2860" s="3"/>
    </row>
    <row r="2861" spans="2:17" x14ac:dyDescent="0.2">
      <c r="B2861" s="3"/>
      <c r="F2861" s="3"/>
      <c r="G2861" s="3"/>
      <c r="I2861" s="3"/>
      <c r="J2861" s="3"/>
      <c r="K2861" s="3"/>
      <c r="L2861" s="3"/>
      <c r="M2861" s="3"/>
      <c r="N2861" s="3"/>
      <c r="O2861" s="3"/>
      <c r="P2861" s="3"/>
      <c r="Q2861" s="3"/>
    </row>
    <row r="2862" spans="2:17" x14ac:dyDescent="0.2">
      <c r="B2862" s="3"/>
      <c r="F2862" s="3"/>
      <c r="G2862" s="3"/>
      <c r="I2862" s="3"/>
      <c r="J2862" s="3"/>
      <c r="K2862" s="3"/>
      <c r="L2862" s="3"/>
      <c r="M2862" s="3"/>
      <c r="N2862" s="3"/>
      <c r="O2862" s="3"/>
      <c r="P2862" s="3"/>
      <c r="Q2862" s="3"/>
    </row>
    <row r="2863" spans="2:17" x14ac:dyDescent="0.2">
      <c r="B2863" s="3"/>
      <c r="F2863" s="3"/>
      <c r="G2863" s="3"/>
      <c r="I2863" s="3"/>
      <c r="J2863" s="3"/>
      <c r="K2863" s="3"/>
      <c r="L2863" s="3"/>
      <c r="M2863" s="3"/>
      <c r="N2863" s="3"/>
      <c r="O2863" s="3"/>
      <c r="P2863" s="3"/>
      <c r="Q2863" s="3"/>
    </row>
    <row r="2864" spans="2:17" x14ac:dyDescent="0.2">
      <c r="B2864" s="3"/>
      <c r="F2864" s="3"/>
      <c r="G2864" s="3"/>
      <c r="I2864" s="3"/>
      <c r="J2864" s="3"/>
      <c r="K2864" s="3"/>
      <c r="L2864" s="3"/>
      <c r="M2864" s="3"/>
      <c r="N2864" s="3"/>
      <c r="O2864" s="3"/>
      <c r="P2864" s="3"/>
      <c r="Q2864" s="3"/>
    </row>
    <row r="2865" spans="2:17" x14ac:dyDescent="0.2">
      <c r="B2865" s="3"/>
      <c r="F2865" s="3"/>
      <c r="G2865" s="3"/>
      <c r="I2865" s="3"/>
      <c r="J2865" s="3"/>
      <c r="K2865" s="3"/>
      <c r="L2865" s="3"/>
      <c r="M2865" s="3"/>
      <c r="N2865" s="3"/>
      <c r="O2865" s="3"/>
      <c r="P2865" s="3"/>
      <c r="Q2865" s="3"/>
    </row>
    <row r="2866" spans="2:17" x14ac:dyDescent="0.2">
      <c r="B2866" s="3"/>
      <c r="F2866" s="3"/>
      <c r="G2866" s="3"/>
      <c r="I2866" s="3"/>
      <c r="J2866" s="3"/>
      <c r="K2866" s="3"/>
      <c r="L2866" s="3"/>
      <c r="M2866" s="3"/>
      <c r="N2866" s="3"/>
      <c r="O2866" s="3"/>
      <c r="P2866" s="3"/>
      <c r="Q2866" s="3"/>
    </row>
    <row r="2867" spans="2:17" x14ac:dyDescent="0.2">
      <c r="B2867" s="3"/>
      <c r="F2867" s="3"/>
      <c r="G2867" s="3"/>
      <c r="I2867" s="3"/>
      <c r="J2867" s="3"/>
      <c r="K2867" s="3"/>
      <c r="L2867" s="3"/>
      <c r="M2867" s="3"/>
      <c r="N2867" s="3"/>
      <c r="O2867" s="3"/>
      <c r="P2867" s="3"/>
      <c r="Q2867" s="3"/>
    </row>
    <row r="2868" spans="2:17" x14ac:dyDescent="0.2">
      <c r="B2868" s="3"/>
      <c r="F2868" s="3"/>
      <c r="G2868" s="3"/>
      <c r="I2868" s="3"/>
      <c r="J2868" s="3"/>
      <c r="K2868" s="3"/>
      <c r="L2868" s="3"/>
      <c r="M2868" s="3"/>
      <c r="N2868" s="3"/>
      <c r="O2868" s="3"/>
      <c r="P2868" s="3"/>
      <c r="Q2868" s="3"/>
    </row>
    <row r="2869" spans="2:17" x14ac:dyDescent="0.2">
      <c r="B2869" s="3"/>
      <c r="F2869" s="3"/>
      <c r="G2869" s="3"/>
      <c r="I2869" s="3"/>
      <c r="J2869" s="3"/>
      <c r="K2869" s="3"/>
      <c r="L2869" s="3"/>
      <c r="M2869" s="3"/>
      <c r="N2869" s="3"/>
      <c r="O2869" s="3"/>
      <c r="P2869" s="3"/>
      <c r="Q2869" s="3"/>
    </row>
    <row r="2870" spans="2:17" x14ac:dyDescent="0.2">
      <c r="B2870" s="3"/>
      <c r="F2870" s="3"/>
      <c r="G2870" s="3"/>
      <c r="I2870" s="3"/>
      <c r="J2870" s="3"/>
      <c r="K2870" s="3"/>
      <c r="L2870" s="3"/>
      <c r="M2870" s="3"/>
      <c r="N2870" s="3"/>
      <c r="O2870" s="3"/>
      <c r="P2870" s="3"/>
      <c r="Q2870" s="3"/>
    </row>
    <row r="2871" spans="2:17" x14ac:dyDescent="0.2">
      <c r="B2871" s="3"/>
      <c r="F2871" s="3"/>
      <c r="G2871" s="3"/>
      <c r="I2871" s="3"/>
      <c r="J2871" s="3"/>
      <c r="K2871" s="3"/>
      <c r="L2871" s="3"/>
      <c r="M2871" s="3"/>
      <c r="N2871" s="3"/>
      <c r="O2871" s="3"/>
      <c r="P2871" s="3"/>
      <c r="Q2871" s="3"/>
    </row>
    <row r="2872" spans="2:17" x14ac:dyDescent="0.2">
      <c r="B2872" s="3"/>
      <c r="F2872" s="3"/>
      <c r="G2872" s="3"/>
      <c r="I2872" s="3"/>
      <c r="J2872" s="3"/>
      <c r="K2872" s="3"/>
      <c r="L2872" s="3"/>
      <c r="M2872" s="3"/>
      <c r="N2872" s="3"/>
      <c r="O2872" s="3"/>
      <c r="P2872" s="3"/>
      <c r="Q2872" s="3"/>
    </row>
    <row r="2873" spans="2:17" x14ac:dyDescent="0.2">
      <c r="B2873" s="3"/>
      <c r="F2873" s="3"/>
      <c r="G2873" s="3"/>
      <c r="I2873" s="3"/>
      <c r="J2873" s="3"/>
      <c r="K2873" s="3"/>
      <c r="L2873" s="3"/>
      <c r="M2873" s="3"/>
      <c r="N2873" s="3"/>
      <c r="O2873" s="3"/>
      <c r="P2873" s="3"/>
      <c r="Q2873" s="3"/>
    </row>
    <row r="2874" spans="2:17" x14ac:dyDescent="0.2">
      <c r="B2874" s="3"/>
      <c r="F2874" s="3"/>
      <c r="G2874" s="3"/>
      <c r="I2874" s="3"/>
      <c r="J2874" s="3"/>
      <c r="K2874" s="3"/>
      <c r="L2874" s="3"/>
      <c r="M2874" s="3"/>
      <c r="N2874" s="3"/>
      <c r="O2874" s="3"/>
      <c r="P2874" s="3"/>
      <c r="Q2874" s="3"/>
    </row>
    <row r="2875" spans="2:17" x14ac:dyDescent="0.2">
      <c r="B2875" s="3"/>
      <c r="F2875" s="3"/>
      <c r="G2875" s="3"/>
      <c r="I2875" s="3"/>
      <c r="J2875" s="3"/>
      <c r="K2875" s="3"/>
      <c r="L2875" s="3"/>
      <c r="M2875" s="3"/>
      <c r="N2875" s="3"/>
      <c r="O2875" s="3"/>
      <c r="P2875" s="3"/>
      <c r="Q2875" s="3"/>
    </row>
    <row r="2876" spans="2:17" x14ac:dyDescent="0.2">
      <c r="B2876" s="3"/>
      <c r="F2876" s="3"/>
      <c r="G2876" s="3"/>
      <c r="I2876" s="3"/>
      <c r="J2876" s="3"/>
      <c r="K2876" s="3"/>
      <c r="L2876" s="3"/>
      <c r="M2876" s="3"/>
      <c r="N2876" s="3"/>
      <c r="O2876" s="3"/>
      <c r="P2876" s="3"/>
      <c r="Q2876" s="3"/>
    </row>
    <row r="2877" spans="2:17" x14ac:dyDescent="0.2">
      <c r="B2877" s="3"/>
      <c r="F2877" s="3"/>
      <c r="G2877" s="3"/>
      <c r="I2877" s="3"/>
      <c r="J2877" s="3"/>
      <c r="K2877" s="3"/>
      <c r="L2877" s="3"/>
      <c r="M2877" s="3"/>
      <c r="N2877" s="3"/>
      <c r="O2877" s="3"/>
      <c r="P2877" s="3"/>
      <c r="Q2877" s="3"/>
    </row>
    <row r="2878" spans="2:17" x14ac:dyDescent="0.2">
      <c r="B2878" s="3"/>
      <c r="F2878" s="3"/>
      <c r="G2878" s="3"/>
      <c r="I2878" s="3"/>
      <c r="J2878" s="3"/>
      <c r="K2878" s="3"/>
      <c r="L2878" s="3"/>
      <c r="M2878" s="3"/>
      <c r="N2878" s="3"/>
      <c r="O2878" s="3"/>
      <c r="P2878" s="3"/>
      <c r="Q2878" s="3"/>
    </row>
    <row r="2879" spans="2:17" x14ac:dyDescent="0.2">
      <c r="B2879" s="3"/>
      <c r="F2879" s="3"/>
      <c r="G2879" s="3"/>
      <c r="I2879" s="3"/>
      <c r="J2879" s="3"/>
      <c r="K2879" s="3"/>
      <c r="L2879" s="3"/>
      <c r="M2879" s="3"/>
      <c r="N2879" s="3"/>
      <c r="O2879" s="3"/>
      <c r="P2879" s="3"/>
      <c r="Q2879" s="3"/>
    </row>
    <row r="2880" spans="2:17" x14ac:dyDescent="0.2">
      <c r="B2880" s="3"/>
      <c r="F2880" s="3"/>
      <c r="G2880" s="3"/>
      <c r="I2880" s="3"/>
      <c r="J2880" s="3"/>
      <c r="K2880" s="3"/>
      <c r="L2880" s="3"/>
      <c r="M2880" s="3"/>
      <c r="N2880" s="3"/>
      <c r="O2880" s="3"/>
      <c r="P2880" s="3"/>
      <c r="Q2880" s="3"/>
    </row>
    <row r="2881" spans="2:17" x14ac:dyDescent="0.2">
      <c r="B2881" s="3"/>
      <c r="F2881" s="3"/>
      <c r="G2881" s="3"/>
      <c r="I2881" s="3"/>
      <c r="J2881" s="3"/>
      <c r="K2881" s="3"/>
      <c r="L2881" s="3"/>
      <c r="M2881" s="3"/>
      <c r="N2881" s="3"/>
      <c r="O2881" s="3"/>
      <c r="P2881" s="3"/>
      <c r="Q2881" s="3"/>
    </row>
    <row r="2882" spans="2:17" x14ac:dyDescent="0.2">
      <c r="B2882" s="3"/>
      <c r="F2882" s="3"/>
      <c r="G2882" s="3"/>
      <c r="I2882" s="3"/>
      <c r="J2882" s="3"/>
      <c r="K2882" s="3"/>
      <c r="L2882" s="3"/>
      <c r="M2882" s="3"/>
      <c r="N2882" s="3"/>
      <c r="O2882" s="3"/>
      <c r="P2882" s="3"/>
      <c r="Q2882" s="3"/>
    </row>
    <row r="2883" spans="2:17" x14ac:dyDescent="0.2">
      <c r="B2883" s="3"/>
      <c r="F2883" s="3"/>
      <c r="G2883" s="3"/>
      <c r="I2883" s="3"/>
      <c r="J2883" s="3"/>
      <c r="K2883" s="3"/>
      <c r="L2883" s="3"/>
      <c r="M2883" s="3"/>
      <c r="N2883" s="3"/>
      <c r="O2883" s="3"/>
      <c r="P2883" s="3"/>
      <c r="Q2883" s="3"/>
    </row>
    <row r="2884" spans="2:17" x14ac:dyDescent="0.2">
      <c r="B2884" s="3"/>
      <c r="F2884" s="3"/>
      <c r="G2884" s="3"/>
      <c r="I2884" s="3"/>
      <c r="J2884" s="3"/>
      <c r="K2884" s="3"/>
      <c r="L2884" s="3"/>
      <c r="M2884" s="3"/>
      <c r="N2884" s="3"/>
      <c r="O2884" s="3"/>
      <c r="P2884" s="3"/>
      <c r="Q2884" s="3"/>
    </row>
    <row r="2885" spans="2:17" x14ac:dyDescent="0.2">
      <c r="B2885" s="3"/>
      <c r="F2885" s="3"/>
      <c r="G2885" s="3"/>
      <c r="I2885" s="3"/>
      <c r="J2885" s="3"/>
      <c r="K2885" s="3"/>
      <c r="L2885" s="3"/>
      <c r="M2885" s="3"/>
      <c r="N2885" s="3"/>
      <c r="O2885" s="3"/>
      <c r="P2885" s="3"/>
      <c r="Q2885" s="3"/>
    </row>
    <row r="2886" spans="2:17" x14ac:dyDescent="0.2">
      <c r="B2886" s="3"/>
      <c r="F2886" s="3"/>
      <c r="G2886" s="3"/>
      <c r="I2886" s="3"/>
      <c r="J2886" s="3"/>
      <c r="K2886" s="3"/>
      <c r="L2886" s="3"/>
      <c r="M2886" s="3"/>
      <c r="N2886" s="3"/>
      <c r="O2886" s="3"/>
      <c r="P2886" s="3"/>
      <c r="Q2886" s="3"/>
    </row>
    <row r="2887" spans="2:17" x14ac:dyDescent="0.2">
      <c r="B2887" s="3"/>
      <c r="F2887" s="3"/>
      <c r="G2887" s="3"/>
      <c r="I2887" s="3"/>
      <c r="J2887" s="3"/>
      <c r="K2887" s="3"/>
      <c r="L2887" s="3"/>
      <c r="M2887" s="3"/>
      <c r="N2887" s="3"/>
      <c r="O2887" s="3"/>
      <c r="P2887" s="3"/>
      <c r="Q2887" s="3"/>
    </row>
    <row r="2888" spans="2:17" x14ac:dyDescent="0.2">
      <c r="B2888" s="3"/>
      <c r="F2888" s="3"/>
      <c r="G2888" s="3"/>
      <c r="I2888" s="3"/>
      <c r="J2888" s="3"/>
      <c r="K2888" s="3"/>
      <c r="L2888" s="3"/>
      <c r="M2888" s="3"/>
      <c r="N2888" s="3"/>
      <c r="O2888" s="3"/>
      <c r="P2888" s="3"/>
      <c r="Q2888" s="3"/>
    </row>
    <row r="2889" spans="2:17" x14ac:dyDescent="0.2">
      <c r="B2889" s="3"/>
      <c r="F2889" s="3"/>
      <c r="G2889" s="3"/>
      <c r="I2889" s="3"/>
      <c r="J2889" s="3"/>
      <c r="K2889" s="3"/>
      <c r="L2889" s="3"/>
      <c r="M2889" s="3"/>
      <c r="N2889" s="3"/>
      <c r="O2889" s="3"/>
      <c r="P2889" s="3"/>
      <c r="Q2889" s="3"/>
    </row>
    <row r="2890" spans="2:17" x14ac:dyDescent="0.2">
      <c r="B2890" s="3"/>
      <c r="F2890" s="3"/>
      <c r="G2890" s="3"/>
      <c r="I2890" s="3"/>
      <c r="J2890" s="3"/>
      <c r="K2890" s="3"/>
      <c r="L2890" s="3"/>
      <c r="M2890" s="3"/>
      <c r="N2890" s="3"/>
      <c r="O2890" s="3"/>
      <c r="P2890" s="3"/>
      <c r="Q2890" s="3"/>
    </row>
    <row r="2891" spans="2:17" x14ac:dyDescent="0.2">
      <c r="B2891" s="3"/>
      <c r="F2891" s="3"/>
      <c r="G2891" s="3"/>
      <c r="I2891" s="3"/>
      <c r="J2891" s="3"/>
      <c r="K2891" s="3"/>
      <c r="L2891" s="3"/>
      <c r="M2891" s="3"/>
      <c r="N2891" s="3"/>
      <c r="O2891" s="3"/>
      <c r="P2891" s="3"/>
      <c r="Q2891" s="3"/>
    </row>
    <row r="2892" spans="2:17" x14ac:dyDescent="0.2">
      <c r="B2892" s="3"/>
      <c r="F2892" s="3"/>
      <c r="G2892" s="3"/>
      <c r="I2892" s="3"/>
      <c r="J2892" s="3"/>
      <c r="K2892" s="3"/>
      <c r="L2892" s="3"/>
      <c r="M2892" s="3"/>
      <c r="N2892" s="3"/>
      <c r="O2892" s="3"/>
      <c r="P2892" s="3"/>
      <c r="Q2892" s="3"/>
    </row>
    <row r="2893" spans="2:17" x14ac:dyDescent="0.2">
      <c r="B2893" s="3"/>
      <c r="F2893" s="3"/>
      <c r="G2893" s="3"/>
      <c r="I2893" s="3"/>
      <c r="J2893" s="3"/>
      <c r="K2893" s="3"/>
      <c r="L2893" s="3"/>
      <c r="M2893" s="3"/>
      <c r="N2893" s="3"/>
      <c r="O2893" s="3"/>
      <c r="P2893" s="3"/>
      <c r="Q2893" s="3"/>
    </row>
    <row r="2894" spans="2:17" x14ac:dyDescent="0.2">
      <c r="B2894" s="3"/>
      <c r="F2894" s="3"/>
      <c r="G2894" s="3"/>
      <c r="I2894" s="3"/>
      <c r="J2894" s="3"/>
      <c r="K2894" s="3"/>
      <c r="L2894" s="3"/>
      <c r="M2894" s="3"/>
      <c r="N2894" s="3"/>
      <c r="O2894" s="3"/>
      <c r="P2894" s="3"/>
      <c r="Q2894" s="3"/>
    </row>
    <row r="2895" spans="2:17" x14ac:dyDescent="0.2">
      <c r="B2895" s="3"/>
      <c r="F2895" s="3"/>
      <c r="G2895" s="3"/>
      <c r="I2895" s="3"/>
      <c r="J2895" s="3"/>
      <c r="K2895" s="3"/>
      <c r="L2895" s="3"/>
      <c r="M2895" s="3"/>
      <c r="N2895" s="3"/>
      <c r="O2895" s="3"/>
      <c r="P2895" s="3"/>
      <c r="Q2895" s="3"/>
    </row>
    <row r="2896" spans="2:17" x14ac:dyDescent="0.2">
      <c r="B2896" s="3"/>
      <c r="F2896" s="3"/>
      <c r="G2896" s="3"/>
      <c r="I2896" s="3"/>
      <c r="J2896" s="3"/>
      <c r="K2896" s="3"/>
      <c r="L2896" s="3"/>
      <c r="M2896" s="3"/>
      <c r="N2896" s="3"/>
      <c r="O2896" s="3"/>
      <c r="P2896" s="3"/>
      <c r="Q2896" s="3"/>
    </row>
    <row r="2897" spans="2:17" x14ac:dyDescent="0.2">
      <c r="B2897" s="3"/>
      <c r="F2897" s="3"/>
      <c r="G2897" s="3"/>
      <c r="I2897" s="3"/>
      <c r="J2897" s="3"/>
      <c r="K2897" s="3"/>
      <c r="L2897" s="3"/>
      <c r="M2897" s="3"/>
      <c r="N2897" s="3"/>
      <c r="O2897" s="3"/>
      <c r="P2897" s="3"/>
      <c r="Q2897" s="3"/>
    </row>
    <row r="2898" spans="2:17" x14ac:dyDescent="0.2">
      <c r="B2898" s="3"/>
      <c r="F2898" s="3"/>
      <c r="G2898" s="3"/>
      <c r="I2898" s="3"/>
      <c r="J2898" s="3"/>
      <c r="K2898" s="3"/>
      <c r="L2898" s="3"/>
      <c r="M2898" s="3"/>
      <c r="N2898" s="3"/>
      <c r="O2898" s="3"/>
      <c r="P2898" s="3"/>
      <c r="Q2898" s="3"/>
    </row>
    <row r="2899" spans="2:17" x14ac:dyDescent="0.2">
      <c r="B2899" s="3"/>
      <c r="F2899" s="3"/>
      <c r="G2899" s="3"/>
      <c r="I2899" s="3"/>
      <c r="J2899" s="3"/>
      <c r="K2899" s="3"/>
      <c r="L2899" s="3"/>
      <c r="M2899" s="3"/>
      <c r="N2899" s="3"/>
      <c r="O2899" s="3"/>
      <c r="P2899" s="3"/>
      <c r="Q2899" s="3"/>
    </row>
    <row r="2900" spans="2:17" x14ac:dyDescent="0.2">
      <c r="B2900" s="3"/>
      <c r="F2900" s="3"/>
      <c r="G2900" s="3"/>
      <c r="I2900" s="3"/>
      <c r="J2900" s="3"/>
      <c r="K2900" s="3"/>
      <c r="L2900" s="3"/>
      <c r="M2900" s="3"/>
      <c r="N2900" s="3"/>
      <c r="O2900" s="3"/>
      <c r="P2900" s="3"/>
      <c r="Q2900" s="3"/>
    </row>
    <row r="2901" spans="2:17" x14ac:dyDescent="0.2">
      <c r="B2901" s="3"/>
      <c r="F2901" s="3"/>
      <c r="G2901" s="3"/>
      <c r="I2901" s="3"/>
      <c r="J2901" s="3"/>
      <c r="K2901" s="3"/>
      <c r="L2901" s="3"/>
      <c r="M2901" s="3"/>
      <c r="N2901" s="3"/>
      <c r="O2901" s="3"/>
      <c r="P2901" s="3"/>
      <c r="Q2901" s="3"/>
    </row>
    <row r="2902" spans="2:17" x14ac:dyDescent="0.2">
      <c r="B2902" s="3"/>
      <c r="F2902" s="3"/>
      <c r="G2902" s="3"/>
      <c r="I2902" s="3"/>
      <c r="J2902" s="3"/>
      <c r="K2902" s="3"/>
      <c r="L2902" s="3"/>
      <c r="M2902" s="3"/>
      <c r="N2902" s="3"/>
      <c r="O2902" s="3"/>
      <c r="P2902" s="3"/>
      <c r="Q2902" s="3"/>
    </row>
    <row r="2903" spans="2:17" x14ac:dyDescent="0.2">
      <c r="B2903" s="3"/>
      <c r="F2903" s="3"/>
      <c r="G2903" s="3"/>
      <c r="I2903" s="3"/>
      <c r="J2903" s="3"/>
      <c r="K2903" s="3"/>
      <c r="L2903" s="3"/>
      <c r="M2903" s="3"/>
      <c r="N2903" s="3"/>
      <c r="O2903" s="3"/>
      <c r="P2903" s="3"/>
      <c r="Q2903" s="3"/>
    </row>
    <row r="2904" spans="2:17" x14ac:dyDescent="0.2">
      <c r="B2904" s="3"/>
      <c r="F2904" s="3"/>
      <c r="G2904" s="3"/>
      <c r="I2904" s="3"/>
      <c r="J2904" s="3"/>
      <c r="K2904" s="3"/>
      <c r="L2904" s="3"/>
      <c r="M2904" s="3"/>
      <c r="N2904" s="3"/>
      <c r="O2904" s="3"/>
      <c r="P2904" s="3"/>
      <c r="Q2904" s="3"/>
    </row>
    <row r="2905" spans="2:17" x14ac:dyDescent="0.2">
      <c r="B2905" s="3"/>
      <c r="F2905" s="3"/>
      <c r="G2905" s="3"/>
      <c r="I2905" s="3"/>
      <c r="J2905" s="3"/>
      <c r="K2905" s="3"/>
      <c r="L2905" s="3"/>
      <c r="M2905" s="3"/>
      <c r="N2905" s="3"/>
      <c r="O2905" s="3"/>
      <c r="P2905" s="3"/>
      <c r="Q2905" s="3"/>
    </row>
    <row r="2906" spans="2:17" x14ac:dyDescent="0.2">
      <c r="B2906" s="3"/>
      <c r="F2906" s="3"/>
      <c r="G2906" s="3"/>
      <c r="I2906" s="3"/>
      <c r="J2906" s="3"/>
      <c r="K2906" s="3"/>
      <c r="L2906" s="3"/>
      <c r="M2906" s="3"/>
      <c r="N2906" s="3"/>
      <c r="O2906" s="3"/>
      <c r="P2906" s="3"/>
      <c r="Q2906" s="3"/>
    </row>
    <row r="2907" spans="2:17" x14ac:dyDescent="0.2">
      <c r="B2907" s="3"/>
      <c r="F2907" s="3"/>
      <c r="G2907" s="3"/>
      <c r="I2907" s="3"/>
      <c r="J2907" s="3"/>
      <c r="K2907" s="3"/>
      <c r="L2907" s="3"/>
      <c r="M2907" s="3"/>
      <c r="N2907" s="3"/>
      <c r="O2907" s="3"/>
      <c r="P2907" s="3"/>
      <c r="Q2907" s="3"/>
    </row>
    <row r="2908" spans="2:17" x14ac:dyDescent="0.2">
      <c r="B2908" s="3"/>
      <c r="F2908" s="3"/>
      <c r="G2908" s="3"/>
      <c r="I2908" s="3"/>
      <c r="J2908" s="3"/>
      <c r="K2908" s="3"/>
      <c r="L2908" s="3"/>
      <c r="M2908" s="3"/>
      <c r="N2908" s="3"/>
      <c r="O2908" s="3"/>
      <c r="P2908" s="3"/>
      <c r="Q2908" s="3"/>
    </row>
    <row r="2909" spans="2:17" x14ac:dyDescent="0.2">
      <c r="B2909" s="3"/>
      <c r="F2909" s="3"/>
      <c r="G2909" s="3"/>
      <c r="I2909" s="3"/>
      <c r="J2909" s="3"/>
      <c r="K2909" s="3"/>
      <c r="L2909" s="3"/>
      <c r="M2909" s="3"/>
      <c r="N2909" s="3"/>
      <c r="O2909" s="3"/>
      <c r="P2909" s="3"/>
      <c r="Q2909" s="3"/>
    </row>
    <row r="2910" spans="2:17" x14ac:dyDescent="0.2">
      <c r="B2910" s="3"/>
      <c r="F2910" s="3"/>
      <c r="G2910" s="3"/>
      <c r="I2910" s="3"/>
      <c r="J2910" s="3"/>
      <c r="K2910" s="3"/>
      <c r="L2910" s="3"/>
      <c r="M2910" s="3"/>
      <c r="N2910" s="3"/>
      <c r="O2910" s="3"/>
      <c r="P2910" s="3"/>
      <c r="Q2910" s="3"/>
    </row>
    <row r="2911" spans="2:17" x14ac:dyDescent="0.2">
      <c r="B2911" s="3"/>
      <c r="F2911" s="3"/>
      <c r="G2911" s="3"/>
      <c r="I2911" s="3"/>
      <c r="J2911" s="3"/>
      <c r="K2911" s="3"/>
      <c r="L2911" s="3"/>
      <c r="M2911" s="3"/>
      <c r="N2911" s="3"/>
      <c r="O2911" s="3"/>
      <c r="P2911" s="3"/>
      <c r="Q2911" s="3"/>
    </row>
    <row r="2912" spans="2:17" x14ac:dyDescent="0.2">
      <c r="B2912" s="3"/>
      <c r="F2912" s="3"/>
      <c r="G2912" s="3"/>
      <c r="I2912" s="3"/>
      <c r="J2912" s="3"/>
      <c r="K2912" s="3"/>
      <c r="L2912" s="3"/>
      <c r="M2912" s="3"/>
      <c r="N2912" s="3"/>
      <c r="O2912" s="3"/>
      <c r="P2912" s="3"/>
      <c r="Q2912" s="3"/>
    </row>
    <row r="2913" spans="2:17" x14ac:dyDescent="0.2">
      <c r="B2913" s="3"/>
      <c r="F2913" s="3"/>
      <c r="G2913" s="3"/>
      <c r="I2913" s="3"/>
      <c r="J2913" s="3"/>
      <c r="K2913" s="3"/>
      <c r="L2913" s="3"/>
      <c r="M2913" s="3"/>
      <c r="N2913" s="3"/>
      <c r="O2913" s="3"/>
      <c r="P2913" s="3"/>
      <c r="Q2913" s="3"/>
    </row>
    <row r="2914" spans="2:17" x14ac:dyDescent="0.2">
      <c r="B2914" s="3"/>
      <c r="F2914" s="3"/>
      <c r="G2914" s="3"/>
      <c r="I2914" s="3"/>
      <c r="J2914" s="3"/>
      <c r="K2914" s="3"/>
      <c r="L2914" s="3"/>
      <c r="M2914" s="3"/>
      <c r="N2914" s="3"/>
      <c r="O2914" s="3"/>
      <c r="P2914" s="3"/>
      <c r="Q2914" s="3"/>
    </row>
    <row r="2915" spans="2:17" x14ac:dyDescent="0.2">
      <c r="B2915" s="3"/>
      <c r="F2915" s="3"/>
      <c r="G2915" s="3"/>
      <c r="I2915" s="3"/>
      <c r="J2915" s="3"/>
      <c r="K2915" s="3"/>
      <c r="L2915" s="3"/>
      <c r="M2915" s="3"/>
      <c r="N2915" s="3"/>
      <c r="O2915" s="3"/>
      <c r="P2915" s="3"/>
      <c r="Q2915" s="3"/>
    </row>
    <row r="2916" spans="2:17" x14ac:dyDescent="0.2">
      <c r="B2916" s="3"/>
      <c r="F2916" s="3"/>
      <c r="G2916" s="3"/>
      <c r="I2916" s="3"/>
      <c r="J2916" s="3"/>
      <c r="K2916" s="3"/>
      <c r="L2916" s="3"/>
      <c r="M2916" s="3"/>
      <c r="N2916" s="3"/>
      <c r="O2916" s="3"/>
      <c r="P2916" s="3"/>
      <c r="Q2916" s="3"/>
    </row>
    <row r="2917" spans="2:17" x14ac:dyDescent="0.2">
      <c r="B2917" s="3"/>
      <c r="F2917" s="3"/>
      <c r="G2917" s="3"/>
      <c r="I2917" s="3"/>
      <c r="J2917" s="3"/>
      <c r="K2917" s="3"/>
      <c r="L2917" s="3"/>
      <c r="M2917" s="3"/>
      <c r="N2917" s="3"/>
      <c r="O2917" s="3"/>
      <c r="P2917" s="3"/>
      <c r="Q2917" s="3"/>
    </row>
    <row r="2918" spans="2:17" x14ac:dyDescent="0.2">
      <c r="B2918" s="3"/>
      <c r="F2918" s="3"/>
      <c r="G2918" s="3"/>
      <c r="I2918" s="3"/>
      <c r="J2918" s="3"/>
      <c r="K2918" s="3"/>
      <c r="L2918" s="3"/>
      <c r="M2918" s="3"/>
      <c r="N2918" s="3"/>
      <c r="O2918" s="3"/>
      <c r="P2918" s="3"/>
      <c r="Q2918" s="3"/>
    </row>
    <row r="2919" spans="2:17" x14ac:dyDescent="0.2">
      <c r="B2919" s="3"/>
      <c r="F2919" s="3"/>
      <c r="G2919" s="3"/>
      <c r="I2919" s="3"/>
      <c r="J2919" s="3"/>
      <c r="K2919" s="3"/>
      <c r="L2919" s="3"/>
      <c r="M2919" s="3"/>
      <c r="N2919" s="3"/>
      <c r="O2919" s="3"/>
      <c r="P2919" s="3"/>
      <c r="Q2919" s="3"/>
    </row>
    <row r="2920" spans="2:17" x14ac:dyDescent="0.2">
      <c r="B2920" s="3"/>
      <c r="F2920" s="3"/>
      <c r="G2920" s="3"/>
      <c r="I2920" s="3"/>
      <c r="J2920" s="3"/>
      <c r="K2920" s="3"/>
      <c r="L2920" s="3"/>
      <c r="M2920" s="3"/>
      <c r="N2920" s="3"/>
      <c r="O2920" s="3"/>
      <c r="P2920" s="3"/>
      <c r="Q2920" s="3"/>
    </row>
    <row r="2921" spans="2:17" x14ac:dyDescent="0.2">
      <c r="B2921" s="3"/>
      <c r="F2921" s="3"/>
      <c r="G2921" s="3"/>
      <c r="I2921" s="3"/>
      <c r="J2921" s="3"/>
      <c r="K2921" s="3"/>
      <c r="L2921" s="3"/>
      <c r="M2921" s="3"/>
      <c r="N2921" s="3"/>
      <c r="O2921" s="3"/>
      <c r="P2921" s="3"/>
      <c r="Q2921" s="3"/>
    </row>
    <row r="2922" spans="2:17" x14ac:dyDescent="0.2">
      <c r="B2922" s="3"/>
      <c r="F2922" s="3"/>
      <c r="G2922" s="3"/>
      <c r="I2922" s="3"/>
      <c r="J2922" s="3"/>
      <c r="K2922" s="3"/>
      <c r="L2922" s="3"/>
      <c r="M2922" s="3"/>
      <c r="N2922" s="3"/>
      <c r="O2922" s="3"/>
      <c r="P2922" s="3"/>
      <c r="Q2922" s="3"/>
    </row>
    <row r="2923" spans="2:17" x14ac:dyDescent="0.2">
      <c r="B2923" s="3"/>
      <c r="F2923" s="3"/>
      <c r="G2923" s="3"/>
      <c r="I2923" s="3"/>
      <c r="J2923" s="3"/>
      <c r="K2923" s="3"/>
      <c r="L2923" s="3"/>
      <c r="M2923" s="3"/>
      <c r="N2923" s="3"/>
      <c r="O2923" s="3"/>
      <c r="P2923" s="3"/>
      <c r="Q2923" s="3"/>
    </row>
    <row r="2924" spans="2:17" x14ac:dyDescent="0.2">
      <c r="B2924" s="3"/>
      <c r="F2924" s="3"/>
      <c r="G2924" s="3"/>
      <c r="I2924" s="3"/>
      <c r="J2924" s="3"/>
      <c r="K2924" s="3"/>
      <c r="L2924" s="3"/>
      <c r="M2924" s="3"/>
      <c r="N2924" s="3"/>
      <c r="O2924" s="3"/>
      <c r="P2924" s="3"/>
      <c r="Q2924" s="3"/>
    </row>
    <row r="2925" spans="2:17" x14ac:dyDescent="0.2">
      <c r="B2925" s="3"/>
      <c r="F2925" s="3"/>
      <c r="G2925" s="3"/>
      <c r="I2925" s="3"/>
      <c r="J2925" s="3"/>
      <c r="K2925" s="3"/>
      <c r="L2925" s="3"/>
      <c r="M2925" s="3"/>
      <c r="N2925" s="3"/>
      <c r="O2925" s="3"/>
      <c r="P2925" s="3"/>
      <c r="Q2925" s="3"/>
    </row>
    <row r="2926" spans="2:17" x14ac:dyDescent="0.2">
      <c r="B2926" s="3"/>
      <c r="F2926" s="3"/>
      <c r="G2926" s="3"/>
      <c r="I2926" s="3"/>
      <c r="J2926" s="3"/>
      <c r="K2926" s="3"/>
      <c r="L2926" s="3"/>
      <c r="M2926" s="3"/>
      <c r="N2926" s="3"/>
      <c r="O2926" s="3"/>
      <c r="P2926" s="3"/>
      <c r="Q2926" s="3"/>
    </row>
    <row r="2927" spans="2:17" x14ac:dyDescent="0.2">
      <c r="B2927" s="3"/>
      <c r="F2927" s="3"/>
      <c r="G2927" s="3"/>
      <c r="I2927" s="3"/>
      <c r="J2927" s="3"/>
      <c r="K2927" s="3"/>
      <c r="L2927" s="3"/>
      <c r="M2927" s="3"/>
      <c r="N2927" s="3"/>
      <c r="O2927" s="3"/>
      <c r="P2927" s="3"/>
      <c r="Q2927" s="3"/>
    </row>
    <row r="2928" spans="2:17" x14ac:dyDescent="0.2">
      <c r="B2928" s="3"/>
      <c r="F2928" s="3"/>
      <c r="G2928" s="3"/>
      <c r="I2928" s="3"/>
      <c r="J2928" s="3"/>
      <c r="K2928" s="3"/>
      <c r="L2928" s="3"/>
      <c r="M2928" s="3"/>
      <c r="N2928" s="3"/>
      <c r="O2928" s="3"/>
      <c r="P2928" s="3"/>
      <c r="Q2928" s="3"/>
    </row>
    <row r="2929" spans="2:17" x14ac:dyDescent="0.2">
      <c r="B2929" s="3"/>
      <c r="F2929" s="3"/>
      <c r="G2929" s="3"/>
      <c r="I2929" s="3"/>
      <c r="J2929" s="3"/>
      <c r="K2929" s="3"/>
      <c r="L2929" s="3"/>
      <c r="M2929" s="3"/>
      <c r="N2929" s="3"/>
      <c r="O2929" s="3"/>
      <c r="P2929" s="3"/>
      <c r="Q2929" s="3"/>
    </row>
    <row r="2930" spans="2:17" x14ac:dyDescent="0.2">
      <c r="B2930" s="3"/>
      <c r="F2930" s="3"/>
      <c r="G2930" s="3"/>
      <c r="I2930" s="3"/>
      <c r="J2930" s="3"/>
      <c r="K2930" s="3"/>
      <c r="L2930" s="3"/>
      <c r="M2930" s="3"/>
      <c r="N2930" s="3"/>
      <c r="O2930" s="3"/>
      <c r="P2930" s="3"/>
      <c r="Q2930" s="3"/>
    </row>
    <row r="2931" spans="2:17" x14ac:dyDescent="0.2">
      <c r="B2931" s="3"/>
      <c r="F2931" s="3"/>
      <c r="G2931" s="3"/>
      <c r="I2931" s="3"/>
      <c r="J2931" s="3"/>
      <c r="K2931" s="3"/>
      <c r="L2931" s="3"/>
      <c r="M2931" s="3"/>
      <c r="N2931" s="3"/>
      <c r="O2931" s="3"/>
      <c r="P2931" s="3"/>
      <c r="Q2931" s="3"/>
    </row>
    <row r="2932" spans="2:17" x14ac:dyDescent="0.2">
      <c r="B2932" s="3"/>
      <c r="F2932" s="3"/>
      <c r="G2932" s="3"/>
      <c r="I2932" s="3"/>
      <c r="J2932" s="3"/>
      <c r="K2932" s="3"/>
      <c r="L2932" s="3"/>
      <c r="M2932" s="3"/>
      <c r="N2932" s="3"/>
      <c r="O2932" s="3"/>
      <c r="P2932" s="3"/>
      <c r="Q2932" s="3"/>
    </row>
    <row r="2933" spans="2:17" x14ac:dyDescent="0.2">
      <c r="B2933" s="3"/>
      <c r="F2933" s="3"/>
      <c r="G2933" s="3"/>
      <c r="I2933" s="3"/>
      <c r="J2933" s="3"/>
      <c r="K2933" s="3"/>
      <c r="L2933" s="3"/>
      <c r="M2933" s="3"/>
      <c r="N2933" s="3"/>
      <c r="O2933" s="3"/>
      <c r="P2933" s="3"/>
      <c r="Q2933" s="3"/>
    </row>
    <row r="2934" spans="2:17" x14ac:dyDescent="0.2">
      <c r="B2934" s="3"/>
      <c r="F2934" s="3"/>
      <c r="G2934" s="3"/>
      <c r="I2934" s="3"/>
      <c r="J2934" s="3"/>
      <c r="K2934" s="3"/>
      <c r="L2934" s="3"/>
      <c r="M2934" s="3"/>
      <c r="N2934" s="3"/>
      <c r="O2934" s="3"/>
      <c r="P2934" s="3"/>
      <c r="Q2934" s="3"/>
    </row>
    <row r="2935" spans="2:17" x14ac:dyDescent="0.2">
      <c r="B2935" s="3"/>
      <c r="F2935" s="3"/>
      <c r="G2935" s="3"/>
      <c r="I2935" s="3"/>
      <c r="J2935" s="3"/>
      <c r="K2935" s="3"/>
      <c r="L2935" s="3"/>
      <c r="M2935" s="3"/>
      <c r="N2935" s="3"/>
      <c r="O2935" s="3"/>
      <c r="P2935" s="3"/>
      <c r="Q2935" s="3"/>
    </row>
    <row r="2936" spans="2:17" x14ac:dyDescent="0.2">
      <c r="B2936" s="3"/>
      <c r="F2936" s="3"/>
      <c r="G2936" s="3"/>
      <c r="I2936" s="3"/>
      <c r="J2936" s="3"/>
      <c r="K2936" s="3"/>
      <c r="L2936" s="3"/>
      <c r="M2936" s="3"/>
      <c r="N2936" s="3"/>
      <c r="O2936" s="3"/>
      <c r="P2936" s="3"/>
      <c r="Q2936" s="3"/>
    </row>
    <row r="2937" spans="2:17" x14ac:dyDescent="0.2">
      <c r="B2937" s="3"/>
      <c r="F2937" s="3"/>
      <c r="G2937" s="3"/>
      <c r="I2937" s="3"/>
      <c r="J2937" s="3"/>
      <c r="K2937" s="3"/>
      <c r="L2937" s="3"/>
      <c r="M2937" s="3"/>
      <c r="N2937" s="3"/>
      <c r="O2937" s="3"/>
      <c r="P2937" s="3"/>
      <c r="Q2937" s="3"/>
    </row>
    <row r="2938" spans="2:17" x14ac:dyDescent="0.2">
      <c r="B2938" s="3"/>
      <c r="F2938" s="3"/>
      <c r="G2938" s="3"/>
      <c r="I2938" s="3"/>
      <c r="J2938" s="3"/>
      <c r="K2938" s="3"/>
      <c r="L2938" s="3"/>
      <c r="M2938" s="3"/>
      <c r="N2938" s="3"/>
      <c r="O2938" s="3"/>
      <c r="P2938" s="3"/>
      <c r="Q2938" s="3"/>
    </row>
    <row r="2939" spans="2:17" x14ac:dyDescent="0.2">
      <c r="B2939" s="3"/>
      <c r="F2939" s="3"/>
      <c r="G2939" s="3"/>
      <c r="I2939" s="3"/>
      <c r="J2939" s="3"/>
      <c r="K2939" s="3"/>
      <c r="L2939" s="3"/>
      <c r="M2939" s="3"/>
      <c r="N2939" s="3"/>
      <c r="O2939" s="3"/>
      <c r="P2939" s="3"/>
      <c r="Q2939" s="3"/>
    </row>
    <row r="2940" spans="2:17" x14ac:dyDescent="0.2">
      <c r="B2940" s="3"/>
      <c r="F2940" s="3"/>
      <c r="G2940" s="3"/>
      <c r="I2940" s="3"/>
      <c r="J2940" s="3"/>
      <c r="K2940" s="3"/>
      <c r="L2940" s="3"/>
      <c r="M2940" s="3"/>
      <c r="N2940" s="3"/>
      <c r="O2940" s="3"/>
      <c r="P2940" s="3"/>
      <c r="Q2940" s="3"/>
    </row>
    <row r="2941" spans="2:17" x14ac:dyDescent="0.2">
      <c r="B2941" s="3"/>
      <c r="F2941" s="3"/>
      <c r="G2941" s="3"/>
      <c r="I2941" s="3"/>
      <c r="J2941" s="3"/>
      <c r="K2941" s="3"/>
      <c r="L2941" s="3"/>
      <c r="M2941" s="3"/>
      <c r="N2941" s="3"/>
      <c r="O2941" s="3"/>
      <c r="P2941" s="3"/>
      <c r="Q2941" s="3"/>
    </row>
    <row r="2942" spans="2:17" x14ac:dyDescent="0.2">
      <c r="B2942" s="3"/>
      <c r="F2942" s="3"/>
      <c r="G2942" s="3"/>
      <c r="I2942" s="3"/>
      <c r="J2942" s="3"/>
      <c r="K2942" s="3"/>
      <c r="L2942" s="3"/>
      <c r="M2942" s="3"/>
      <c r="N2942" s="3"/>
      <c r="O2942" s="3"/>
      <c r="P2942" s="3"/>
      <c r="Q2942" s="3"/>
    </row>
    <row r="2943" spans="2:17" x14ac:dyDescent="0.2">
      <c r="B2943" s="3"/>
      <c r="F2943" s="3"/>
      <c r="G2943" s="3"/>
      <c r="I2943" s="3"/>
      <c r="J2943" s="3"/>
      <c r="K2943" s="3"/>
      <c r="L2943" s="3"/>
      <c r="M2943" s="3"/>
      <c r="N2943" s="3"/>
      <c r="O2943" s="3"/>
      <c r="P2943" s="3"/>
      <c r="Q2943" s="3"/>
    </row>
    <row r="2944" spans="2:17" x14ac:dyDescent="0.2">
      <c r="B2944" s="3"/>
      <c r="F2944" s="3"/>
      <c r="G2944" s="3"/>
      <c r="I2944" s="3"/>
      <c r="J2944" s="3"/>
      <c r="K2944" s="3"/>
      <c r="L2944" s="3"/>
      <c r="M2944" s="3"/>
      <c r="N2944" s="3"/>
      <c r="O2944" s="3"/>
      <c r="P2944" s="3"/>
      <c r="Q2944" s="3"/>
    </row>
    <row r="2945" spans="2:17" x14ac:dyDescent="0.2">
      <c r="B2945" s="3"/>
      <c r="F2945" s="3"/>
      <c r="G2945" s="3"/>
      <c r="I2945" s="3"/>
      <c r="J2945" s="3"/>
      <c r="K2945" s="3"/>
      <c r="L2945" s="3"/>
      <c r="M2945" s="3"/>
      <c r="N2945" s="3"/>
      <c r="O2945" s="3"/>
      <c r="P2945" s="3"/>
      <c r="Q2945" s="3"/>
    </row>
    <row r="2946" spans="2:17" x14ac:dyDescent="0.2">
      <c r="B2946" s="3"/>
      <c r="F2946" s="3"/>
      <c r="G2946" s="3"/>
      <c r="I2946" s="3"/>
      <c r="J2946" s="3"/>
      <c r="K2946" s="3"/>
      <c r="L2946" s="3"/>
      <c r="M2946" s="3"/>
      <c r="N2946" s="3"/>
      <c r="O2946" s="3"/>
      <c r="P2946" s="3"/>
      <c r="Q2946" s="3"/>
    </row>
    <row r="2947" spans="2:17" x14ac:dyDescent="0.2">
      <c r="B2947" s="3"/>
      <c r="F2947" s="3"/>
      <c r="G2947" s="3"/>
      <c r="I2947" s="3"/>
      <c r="J2947" s="3"/>
      <c r="K2947" s="3"/>
      <c r="L2947" s="3"/>
      <c r="M2947" s="3"/>
      <c r="N2947" s="3"/>
      <c r="O2947" s="3"/>
      <c r="P2947" s="3"/>
      <c r="Q2947" s="3"/>
    </row>
    <row r="2948" spans="2:17" x14ac:dyDescent="0.2">
      <c r="B2948" s="3"/>
      <c r="F2948" s="3"/>
      <c r="G2948" s="3"/>
      <c r="I2948" s="3"/>
      <c r="J2948" s="3"/>
      <c r="K2948" s="3"/>
      <c r="L2948" s="3"/>
      <c r="M2948" s="3"/>
      <c r="N2948" s="3"/>
      <c r="O2948" s="3"/>
      <c r="P2948" s="3"/>
      <c r="Q2948" s="3"/>
    </row>
    <row r="2949" spans="2:17" x14ac:dyDescent="0.2">
      <c r="B2949" s="3"/>
      <c r="F2949" s="3"/>
      <c r="G2949" s="3"/>
      <c r="I2949" s="3"/>
      <c r="J2949" s="3"/>
      <c r="K2949" s="3"/>
      <c r="L2949" s="3"/>
      <c r="M2949" s="3"/>
      <c r="N2949" s="3"/>
      <c r="O2949" s="3"/>
      <c r="P2949" s="3"/>
      <c r="Q2949" s="3"/>
    </row>
    <row r="2950" spans="2:17" x14ac:dyDescent="0.2">
      <c r="B2950" s="3"/>
      <c r="F2950" s="3"/>
      <c r="G2950" s="3"/>
      <c r="I2950" s="3"/>
      <c r="J2950" s="3"/>
      <c r="K2950" s="3"/>
      <c r="L2950" s="3"/>
      <c r="M2950" s="3"/>
      <c r="N2950" s="3"/>
      <c r="O2950" s="3"/>
      <c r="P2950" s="3"/>
      <c r="Q2950" s="3"/>
    </row>
    <row r="2951" spans="2:17" x14ac:dyDescent="0.2">
      <c r="B2951" s="3"/>
      <c r="F2951" s="3"/>
      <c r="G2951" s="3"/>
      <c r="I2951" s="3"/>
      <c r="J2951" s="3"/>
      <c r="K2951" s="3"/>
      <c r="L2951" s="3"/>
      <c r="M2951" s="3"/>
      <c r="N2951" s="3"/>
      <c r="O2951" s="3"/>
      <c r="P2951" s="3"/>
      <c r="Q2951" s="3"/>
    </row>
    <row r="2952" spans="2:17" x14ac:dyDescent="0.2">
      <c r="B2952" s="3"/>
      <c r="F2952" s="3"/>
      <c r="G2952" s="3"/>
      <c r="I2952" s="3"/>
      <c r="J2952" s="3"/>
      <c r="K2952" s="3"/>
      <c r="L2952" s="3"/>
      <c r="M2952" s="3"/>
      <c r="N2952" s="3"/>
      <c r="O2952" s="3"/>
      <c r="P2952" s="3"/>
      <c r="Q2952" s="3"/>
    </row>
    <row r="2953" spans="2:17" x14ac:dyDescent="0.2">
      <c r="B2953" s="3"/>
      <c r="F2953" s="3"/>
      <c r="G2953" s="3"/>
      <c r="I2953" s="3"/>
      <c r="J2953" s="3"/>
      <c r="K2953" s="3"/>
      <c r="L2953" s="3"/>
      <c r="M2953" s="3"/>
      <c r="N2953" s="3"/>
      <c r="O2953" s="3"/>
      <c r="P2953" s="3"/>
      <c r="Q2953" s="3"/>
    </row>
    <row r="2954" spans="2:17" x14ac:dyDescent="0.2">
      <c r="B2954" s="3"/>
      <c r="F2954" s="3"/>
      <c r="G2954" s="3"/>
      <c r="I2954" s="3"/>
      <c r="J2954" s="3"/>
      <c r="K2954" s="3"/>
      <c r="L2954" s="3"/>
      <c r="M2954" s="3"/>
      <c r="N2954" s="3"/>
      <c r="O2954" s="3"/>
      <c r="P2954" s="3"/>
      <c r="Q2954" s="3"/>
    </row>
    <row r="2955" spans="2:17" x14ac:dyDescent="0.2">
      <c r="B2955" s="3"/>
      <c r="F2955" s="3"/>
      <c r="G2955" s="3"/>
      <c r="I2955" s="3"/>
      <c r="J2955" s="3"/>
      <c r="K2955" s="3"/>
      <c r="L2955" s="3"/>
      <c r="M2955" s="3"/>
      <c r="N2955" s="3"/>
      <c r="O2955" s="3"/>
      <c r="P2955" s="3"/>
      <c r="Q2955" s="3"/>
    </row>
    <row r="2956" spans="2:17" x14ac:dyDescent="0.2">
      <c r="B2956" s="3"/>
      <c r="F2956" s="3"/>
      <c r="G2956" s="3"/>
      <c r="I2956" s="3"/>
      <c r="J2956" s="3"/>
      <c r="K2956" s="3"/>
      <c r="L2956" s="3"/>
      <c r="M2956" s="3"/>
      <c r="N2956" s="3"/>
      <c r="O2956" s="3"/>
      <c r="P2956" s="3"/>
      <c r="Q2956" s="3"/>
    </row>
    <row r="2957" spans="2:17" x14ac:dyDescent="0.2">
      <c r="B2957" s="3"/>
      <c r="F2957" s="3"/>
      <c r="G2957" s="3"/>
      <c r="I2957" s="3"/>
      <c r="J2957" s="3"/>
      <c r="K2957" s="3"/>
      <c r="L2957" s="3"/>
      <c r="M2957" s="3"/>
      <c r="N2957" s="3"/>
      <c r="O2957" s="3"/>
      <c r="P2957" s="3"/>
      <c r="Q2957" s="3"/>
    </row>
    <row r="2958" spans="2:17" x14ac:dyDescent="0.2">
      <c r="B2958" s="3"/>
      <c r="F2958" s="3"/>
      <c r="G2958" s="3"/>
      <c r="I2958" s="3"/>
      <c r="J2958" s="3"/>
      <c r="K2958" s="3"/>
      <c r="L2958" s="3"/>
      <c r="M2958" s="3"/>
      <c r="N2958" s="3"/>
      <c r="O2958" s="3"/>
      <c r="P2958" s="3"/>
      <c r="Q2958" s="3"/>
    </row>
    <row r="2959" spans="2:17" x14ac:dyDescent="0.2">
      <c r="B2959" s="3"/>
      <c r="F2959" s="3"/>
      <c r="G2959" s="3"/>
      <c r="I2959" s="3"/>
      <c r="J2959" s="3"/>
      <c r="K2959" s="3"/>
      <c r="L2959" s="3"/>
      <c r="M2959" s="3"/>
      <c r="N2959" s="3"/>
      <c r="O2959" s="3"/>
      <c r="P2959" s="3"/>
      <c r="Q2959" s="3"/>
    </row>
    <row r="2960" spans="2:17" x14ac:dyDescent="0.2">
      <c r="B2960" s="3"/>
      <c r="F2960" s="3"/>
      <c r="G2960" s="3"/>
      <c r="I2960" s="3"/>
      <c r="J2960" s="3"/>
      <c r="K2960" s="3"/>
      <c r="L2960" s="3"/>
      <c r="M2960" s="3"/>
      <c r="N2960" s="3"/>
      <c r="O2960" s="3"/>
      <c r="P2960" s="3"/>
      <c r="Q2960" s="3"/>
    </row>
    <row r="2961" spans="2:17" x14ac:dyDescent="0.2">
      <c r="B2961" s="3"/>
      <c r="F2961" s="3"/>
      <c r="G2961" s="3"/>
      <c r="I2961" s="3"/>
      <c r="J2961" s="3"/>
      <c r="K2961" s="3"/>
      <c r="L2961" s="3"/>
      <c r="M2961" s="3"/>
      <c r="N2961" s="3"/>
      <c r="O2961" s="3"/>
      <c r="P2961" s="3"/>
      <c r="Q2961" s="3"/>
    </row>
    <row r="2962" spans="2:17" x14ac:dyDescent="0.2">
      <c r="B2962" s="3"/>
      <c r="F2962" s="3"/>
      <c r="G2962" s="3"/>
      <c r="I2962" s="3"/>
      <c r="J2962" s="3"/>
      <c r="K2962" s="3"/>
      <c r="L2962" s="3"/>
      <c r="M2962" s="3"/>
      <c r="N2962" s="3"/>
      <c r="O2962" s="3"/>
      <c r="P2962" s="3"/>
      <c r="Q2962" s="3"/>
    </row>
    <row r="2963" spans="2:17" x14ac:dyDescent="0.2">
      <c r="B2963" s="3"/>
      <c r="F2963" s="3"/>
      <c r="G2963" s="3"/>
      <c r="I2963" s="3"/>
      <c r="J2963" s="3"/>
      <c r="K2963" s="3"/>
      <c r="L2963" s="3"/>
      <c r="M2963" s="3"/>
      <c r="N2963" s="3"/>
      <c r="O2963" s="3"/>
      <c r="P2963" s="3"/>
      <c r="Q2963" s="3"/>
    </row>
    <row r="2964" spans="2:17" x14ac:dyDescent="0.2">
      <c r="B2964" s="3"/>
      <c r="F2964" s="3"/>
      <c r="G2964" s="3"/>
      <c r="I2964" s="3"/>
      <c r="J2964" s="3"/>
      <c r="K2964" s="3"/>
      <c r="L2964" s="3"/>
      <c r="M2964" s="3"/>
      <c r="N2964" s="3"/>
      <c r="O2964" s="3"/>
      <c r="P2964" s="3"/>
      <c r="Q2964" s="3"/>
    </row>
    <row r="2965" spans="2:17" x14ac:dyDescent="0.2">
      <c r="B2965" s="3"/>
      <c r="F2965" s="3"/>
      <c r="G2965" s="3"/>
      <c r="I2965" s="3"/>
      <c r="J2965" s="3"/>
      <c r="K2965" s="3"/>
      <c r="L2965" s="3"/>
      <c r="M2965" s="3"/>
      <c r="N2965" s="3"/>
      <c r="O2965" s="3"/>
      <c r="P2965" s="3"/>
      <c r="Q2965" s="3"/>
    </row>
    <row r="2966" spans="2:17" x14ac:dyDescent="0.2">
      <c r="B2966" s="3"/>
      <c r="F2966" s="3"/>
      <c r="G2966" s="3"/>
      <c r="I2966" s="3"/>
      <c r="J2966" s="3"/>
      <c r="K2966" s="3"/>
      <c r="L2966" s="3"/>
      <c r="M2966" s="3"/>
      <c r="N2966" s="3"/>
      <c r="O2966" s="3"/>
      <c r="P2966" s="3"/>
      <c r="Q2966" s="3"/>
    </row>
    <row r="2967" spans="2:17" x14ac:dyDescent="0.2">
      <c r="B2967" s="3"/>
      <c r="F2967" s="3"/>
      <c r="G2967" s="3"/>
      <c r="I2967" s="3"/>
      <c r="J2967" s="3"/>
      <c r="K2967" s="3"/>
      <c r="L2967" s="3"/>
      <c r="M2967" s="3"/>
      <c r="N2967" s="3"/>
      <c r="O2967" s="3"/>
      <c r="P2967" s="3"/>
      <c r="Q2967" s="3"/>
    </row>
    <row r="2968" spans="2:17" x14ac:dyDescent="0.2">
      <c r="B2968" s="3"/>
      <c r="F2968" s="3"/>
      <c r="G2968" s="3"/>
      <c r="I2968" s="3"/>
      <c r="J2968" s="3"/>
      <c r="K2968" s="3"/>
      <c r="L2968" s="3"/>
      <c r="M2968" s="3"/>
      <c r="N2968" s="3"/>
      <c r="O2968" s="3"/>
      <c r="P2968" s="3"/>
      <c r="Q2968" s="3"/>
    </row>
    <row r="2969" spans="2:17" x14ac:dyDescent="0.2">
      <c r="B2969" s="3"/>
      <c r="F2969" s="3"/>
      <c r="G2969" s="3"/>
      <c r="I2969" s="3"/>
      <c r="J2969" s="3"/>
      <c r="K2969" s="3"/>
      <c r="L2969" s="3"/>
      <c r="M2969" s="3"/>
      <c r="N2969" s="3"/>
      <c r="O2969" s="3"/>
      <c r="P2969" s="3"/>
      <c r="Q2969" s="3"/>
    </row>
    <row r="2970" spans="2:17" x14ac:dyDescent="0.2">
      <c r="B2970" s="3"/>
      <c r="F2970" s="3"/>
      <c r="G2970" s="3"/>
      <c r="I2970" s="3"/>
      <c r="J2970" s="3"/>
      <c r="K2970" s="3"/>
      <c r="L2970" s="3"/>
      <c r="M2970" s="3"/>
      <c r="N2970" s="3"/>
      <c r="O2970" s="3"/>
      <c r="P2970" s="3"/>
      <c r="Q2970" s="3"/>
    </row>
    <row r="2971" spans="2:17" x14ac:dyDescent="0.2">
      <c r="B2971" s="3"/>
      <c r="F2971" s="3"/>
      <c r="G2971" s="3"/>
      <c r="I2971" s="3"/>
      <c r="J2971" s="3"/>
      <c r="K2971" s="3"/>
      <c r="L2971" s="3"/>
      <c r="M2971" s="3"/>
      <c r="N2971" s="3"/>
      <c r="O2971" s="3"/>
      <c r="P2971" s="3"/>
      <c r="Q2971" s="3"/>
    </row>
    <row r="2972" spans="2:17" x14ac:dyDescent="0.2">
      <c r="B2972" s="3"/>
      <c r="F2972" s="3"/>
      <c r="G2972" s="3"/>
      <c r="I2972" s="3"/>
      <c r="J2972" s="3"/>
      <c r="K2972" s="3"/>
      <c r="L2972" s="3"/>
      <c r="M2972" s="3"/>
      <c r="N2972" s="3"/>
      <c r="O2972" s="3"/>
      <c r="P2972" s="3"/>
      <c r="Q2972" s="3"/>
    </row>
    <row r="2973" spans="2:17" x14ac:dyDescent="0.2">
      <c r="B2973" s="3"/>
      <c r="F2973" s="3"/>
      <c r="G2973" s="3"/>
      <c r="I2973" s="3"/>
      <c r="J2973" s="3"/>
      <c r="K2973" s="3"/>
      <c r="L2973" s="3"/>
      <c r="M2973" s="3"/>
      <c r="N2973" s="3"/>
      <c r="O2973" s="3"/>
      <c r="P2973" s="3"/>
      <c r="Q2973" s="3"/>
    </row>
    <row r="2974" spans="2:17" x14ac:dyDescent="0.2">
      <c r="B2974" s="3"/>
      <c r="F2974" s="3"/>
      <c r="G2974" s="3"/>
      <c r="I2974" s="3"/>
      <c r="J2974" s="3"/>
      <c r="K2974" s="3"/>
      <c r="L2974" s="3"/>
      <c r="M2974" s="3"/>
      <c r="N2974" s="3"/>
      <c r="O2974" s="3"/>
      <c r="P2974" s="3"/>
      <c r="Q2974" s="3"/>
    </row>
    <row r="2975" spans="2:17" x14ac:dyDescent="0.2">
      <c r="B2975" s="3"/>
      <c r="F2975" s="3"/>
      <c r="G2975" s="3"/>
      <c r="I2975" s="3"/>
      <c r="J2975" s="3"/>
      <c r="K2975" s="3"/>
      <c r="L2975" s="3"/>
      <c r="M2975" s="3"/>
      <c r="N2975" s="3"/>
      <c r="O2975" s="3"/>
      <c r="P2975" s="3"/>
      <c r="Q2975" s="3"/>
    </row>
    <row r="2976" spans="2:17" x14ac:dyDescent="0.2">
      <c r="B2976" s="3"/>
      <c r="F2976" s="3"/>
      <c r="G2976" s="3"/>
      <c r="I2976" s="3"/>
      <c r="J2976" s="3"/>
      <c r="K2976" s="3"/>
      <c r="L2976" s="3"/>
      <c r="M2976" s="3"/>
      <c r="N2976" s="3"/>
      <c r="O2976" s="3"/>
      <c r="P2976" s="3"/>
      <c r="Q2976" s="3"/>
    </row>
    <row r="2977" spans="2:17" x14ac:dyDescent="0.2">
      <c r="B2977" s="3"/>
      <c r="F2977" s="3"/>
      <c r="G2977" s="3"/>
      <c r="I2977" s="3"/>
      <c r="J2977" s="3"/>
      <c r="K2977" s="3"/>
      <c r="L2977" s="3"/>
      <c r="M2977" s="3"/>
      <c r="N2977" s="3"/>
      <c r="O2977" s="3"/>
      <c r="P2977" s="3"/>
      <c r="Q2977" s="3"/>
    </row>
    <row r="2978" spans="2:17" x14ac:dyDescent="0.2">
      <c r="B2978" s="3"/>
      <c r="F2978" s="3"/>
      <c r="G2978" s="3"/>
      <c r="I2978" s="3"/>
      <c r="J2978" s="3"/>
      <c r="K2978" s="3"/>
      <c r="L2978" s="3"/>
      <c r="M2978" s="3"/>
      <c r="N2978" s="3"/>
      <c r="O2978" s="3"/>
      <c r="P2978" s="3"/>
      <c r="Q2978" s="3"/>
    </row>
    <row r="2979" spans="2:17" x14ac:dyDescent="0.2">
      <c r="B2979" s="3"/>
      <c r="F2979" s="3"/>
      <c r="G2979" s="3"/>
      <c r="I2979" s="3"/>
      <c r="J2979" s="3"/>
      <c r="K2979" s="3"/>
      <c r="L2979" s="3"/>
      <c r="M2979" s="3"/>
      <c r="N2979" s="3"/>
      <c r="O2979" s="3"/>
      <c r="P2979" s="3"/>
      <c r="Q2979" s="3"/>
    </row>
    <row r="2980" spans="2:17" x14ac:dyDescent="0.2">
      <c r="B2980" s="3"/>
      <c r="F2980" s="3"/>
      <c r="G2980" s="3"/>
      <c r="I2980" s="3"/>
      <c r="J2980" s="3"/>
      <c r="K2980" s="3"/>
      <c r="L2980" s="3"/>
      <c r="M2980" s="3"/>
      <c r="N2980" s="3"/>
      <c r="O2980" s="3"/>
      <c r="P2980" s="3"/>
      <c r="Q2980" s="3"/>
    </row>
    <row r="2981" spans="2:17" x14ac:dyDescent="0.2">
      <c r="B2981" s="3"/>
      <c r="F2981" s="3"/>
      <c r="G2981" s="3"/>
      <c r="I2981" s="3"/>
      <c r="J2981" s="3"/>
      <c r="K2981" s="3"/>
      <c r="L2981" s="3"/>
      <c r="M2981" s="3"/>
      <c r="N2981" s="3"/>
      <c r="O2981" s="3"/>
      <c r="P2981" s="3"/>
      <c r="Q2981" s="3"/>
    </row>
    <row r="2982" spans="2:17" x14ac:dyDescent="0.2">
      <c r="B2982" s="3"/>
      <c r="F2982" s="3"/>
      <c r="G2982" s="3"/>
      <c r="I2982" s="3"/>
      <c r="J2982" s="3"/>
      <c r="K2982" s="3"/>
      <c r="L2982" s="3"/>
      <c r="M2982" s="3"/>
      <c r="N2982" s="3"/>
      <c r="O2982" s="3"/>
      <c r="P2982" s="3"/>
      <c r="Q2982" s="3"/>
    </row>
    <row r="2983" spans="2:17" x14ac:dyDescent="0.2">
      <c r="B2983" s="3"/>
      <c r="F2983" s="3"/>
      <c r="G2983" s="3"/>
      <c r="I2983" s="3"/>
      <c r="J2983" s="3"/>
      <c r="K2983" s="3"/>
      <c r="L2983" s="3"/>
      <c r="M2983" s="3"/>
      <c r="N2983" s="3"/>
      <c r="O2983" s="3"/>
      <c r="P2983" s="3"/>
      <c r="Q2983" s="3"/>
    </row>
    <row r="2984" spans="2:17" x14ac:dyDescent="0.2">
      <c r="B2984" s="3"/>
      <c r="F2984" s="3"/>
      <c r="G2984" s="3"/>
      <c r="I2984" s="3"/>
      <c r="J2984" s="3"/>
      <c r="K2984" s="3"/>
      <c r="L2984" s="3"/>
      <c r="M2984" s="3"/>
      <c r="N2984" s="3"/>
      <c r="O2984" s="3"/>
      <c r="P2984" s="3"/>
      <c r="Q2984" s="3"/>
    </row>
    <row r="2985" spans="2:17" x14ac:dyDescent="0.2">
      <c r="B2985" s="3"/>
      <c r="F2985" s="3"/>
      <c r="G2985" s="3"/>
      <c r="I2985" s="3"/>
      <c r="J2985" s="3"/>
      <c r="K2985" s="3"/>
      <c r="L2985" s="3"/>
      <c r="M2985" s="3"/>
      <c r="N2985" s="3"/>
      <c r="O2985" s="3"/>
      <c r="P2985" s="3"/>
      <c r="Q2985" s="3"/>
    </row>
    <row r="2986" spans="2:17" x14ac:dyDescent="0.2">
      <c r="B2986" s="3"/>
      <c r="F2986" s="3"/>
      <c r="G2986" s="3"/>
      <c r="I2986" s="3"/>
      <c r="J2986" s="3"/>
      <c r="K2986" s="3"/>
      <c r="L2986" s="3"/>
      <c r="M2986" s="3"/>
      <c r="N2986" s="3"/>
      <c r="O2986" s="3"/>
      <c r="P2986" s="3"/>
      <c r="Q2986" s="3"/>
    </row>
    <row r="2987" spans="2:17" x14ac:dyDescent="0.2">
      <c r="B2987" s="3"/>
      <c r="F2987" s="3"/>
      <c r="G2987" s="3"/>
      <c r="I2987" s="3"/>
      <c r="J2987" s="3"/>
      <c r="K2987" s="3"/>
      <c r="L2987" s="3"/>
      <c r="M2987" s="3"/>
      <c r="N2987" s="3"/>
      <c r="O2987" s="3"/>
      <c r="P2987" s="3"/>
      <c r="Q2987" s="3"/>
    </row>
    <row r="2988" spans="2:17" x14ac:dyDescent="0.2">
      <c r="B2988" s="3"/>
      <c r="F2988" s="3"/>
      <c r="G2988" s="3"/>
      <c r="I2988" s="3"/>
      <c r="J2988" s="3"/>
      <c r="K2988" s="3"/>
      <c r="L2988" s="3"/>
      <c r="M2988" s="3"/>
      <c r="N2988" s="3"/>
      <c r="O2988" s="3"/>
      <c r="P2988" s="3"/>
      <c r="Q2988" s="3"/>
    </row>
    <row r="2989" spans="2:17" x14ac:dyDescent="0.2">
      <c r="B2989" s="3"/>
      <c r="F2989" s="3"/>
      <c r="G2989" s="3"/>
      <c r="I2989" s="3"/>
      <c r="J2989" s="3"/>
      <c r="K2989" s="3"/>
      <c r="L2989" s="3"/>
      <c r="M2989" s="3"/>
      <c r="N2989" s="3"/>
      <c r="O2989" s="3"/>
      <c r="P2989" s="3"/>
      <c r="Q2989" s="3"/>
    </row>
    <row r="2990" spans="2:17" x14ac:dyDescent="0.2">
      <c r="B2990" s="3"/>
      <c r="F2990" s="3"/>
      <c r="G2990" s="3"/>
      <c r="I2990" s="3"/>
      <c r="J2990" s="3"/>
      <c r="K2990" s="3"/>
      <c r="L2990" s="3"/>
      <c r="M2990" s="3"/>
      <c r="N2990" s="3"/>
      <c r="O2990" s="3"/>
      <c r="P2990" s="3"/>
      <c r="Q2990" s="3"/>
    </row>
    <row r="2991" spans="2:17" x14ac:dyDescent="0.2">
      <c r="B2991" s="3"/>
      <c r="F2991" s="3"/>
      <c r="G2991" s="3"/>
      <c r="I2991" s="3"/>
      <c r="J2991" s="3"/>
      <c r="K2991" s="3"/>
      <c r="L2991" s="3"/>
      <c r="M2991" s="3"/>
      <c r="N2991" s="3"/>
      <c r="O2991" s="3"/>
      <c r="P2991" s="3"/>
      <c r="Q2991" s="3"/>
    </row>
    <row r="2992" spans="2:17" x14ac:dyDescent="0.2">
      <c r="B2992" s="3"/>
      <c r="F2992" s="3"/>
      <c r="G2992" s="3"/>
      <c r="I2992" s="3"/>
      <c r="J2992" s="3"/>
      <c r="K2992" s="3"/>
      <c r="L2992" s="3"/>
      <c r="M2992" s="3"/>
      <c r="N2992" s="3"/>
      <c r="O2992" s="3"/>
      <c r="P2992" s="3"/>
      <c r="Q2992" s="3"/>
    </row>
    <row r="2993" spans="2:17" x14ac:dyDescent="0.2">
      <c r="B2993" s="3"/>
      <c r="F2993" s="3"/>
      <c r="G2993" s="3"/>
      <c r="I2993" s="3"/>
      <c r="J2993" s="3"/>
      <c r="K2993" s="3"/>
      <c r="L2993" s="3"/>
      <c r="M2993" s="3"/>
      <c r="N2993" s="3"/>
      <c r="O2993" s="3"/>
      <c r="P2993" s="3"/>
      <c r="Q2993" s="3"/>
    </row>
    <row r="2994" spans="2:17" x14ac:dyDescent="0.2">
      <c r="B2994" s="3"/>
      <c r="F2994" s="3"/>
      <c r="G2994" s="3"/>
      <c r="I2994" s="3"/>
      <c r="J2994" s="3"/>
      <c r="K2994" s="3"/>
      <c r="L2994" s="3"/>
      <c r="M2994" s="3"/>
      <c r="N2994" s="3"/>
      <c r="O2994" s="3"/>
      <c r="P2994" s="3"/>
      <c r="Q2994" s="3"/>
    </row>
    <row r="2995" spans="2:17" x14ac:dyDescent="0.2">
      <c r="B2995" s="3"/>
      <c r="F2995" s="3"/>
      <c r="G2995" s="3"/>
      <c r="I2995" s="3"/>
      <c r="J2995" s="3"/>
      <c r="K2995" s="3"/>
      <c r="L2995" s="3"/>
      <c r="M2995" s="3"/>
      <c r="N2995" s="3"/>
      <c r="O2995" s="3"/>
      <c r="P2995" s="3"/>
      <c r="Q2995" s="3"/>
    </row>
    <row r="2996" spans="2:17" x14ac:dyDescent="0.2">
      <c r="B2996" s="3"/>
      <c r="F2996" s="3"/>
      <c r="G2996" s="3"/>
      <c r="I2996" s="3"/>
      <c r="J2996" s="3"/>
      <c r="K2996" s="3"/>
      <c r="L2996" s="3"/>
      <c r="M2996" s="3"/>
      <c r="N2996" s="3"/>
      <c r="O2996" s="3"/>
      <c r="P2996" s="3"/>
      <c r="Q2996" s="3"/>
    </row>
    <row r="2997" spans="2:17" x14ac:dyDescent="0.2">
      <c r="B2997" s="3"/>
      <c r="F2997" s="3"/>
      <c r="G2997" s="3"/>
      <c r="I2997" s="3"/>
      <c r="J2997" s="3"/>
      <c r="K2997" s="3"/>
      <c r="L2997" s="3"/>
      <c r="M2997" s="3"/>
      <c r="N2997" s="3"/>
      <c r="O2997" s="3"/>
      <c r="P2997" s="3"/>
      <c r="Q2997" s="3"/>
    </row>
    <row r="2998" spans="2:17" x14ac:dyDescent="0.2">
      <c r="B2998" s="3"/>
      <c r="F2998" s="3"/>
      <c r="G2998" s="3"/>
      <c r="I2998" s="3"/>
      <c r="J2998" s="3"/>
      <c r="K2998" s="3"/>
      <c r="L2998" s="3"/>
      <c r="M2998" s="3"/>
      <c r="N2998" s="3"/>
      <c r="O2998" s="3"/>
      <c r="P2998" s="3"/>
      <c r="Q2998" s="3"/>
    </row>
    <row r="2999" spans="2:17" x14ac:dyDescent="0.2">
      <c r="B2999" s="3"/>
      <c r="F2999" s="3"/>
      <c r="G2999" s="3"/>
      <c r="I2999" s="3"/>
      <c r="J2999" s="3"/>
      <c r="K2999" s="3"/>
      <c r="L2999" s="3"/>
      <c r="M2999" s="3"/>
      <c r="N2999" s="3"/>
      <c r="O2999" s="3"/>
      <c r="P2999" s="3"/>
      <c r="Q2999" s="3"/>
    </row>
    <row r="3000" spans="2:17" x14ac:dyDescent="0.2">
      <c r="B3000" s="3"/>
      <c r="F3000" s="3"/>
      <c r="G3000" s="3"/>
      <c r="I3000" s="3"/>
      <c r="J3000" s="3"/>
      <c r="K3000" s="3"/>
      <c r="L3000" s="3"/>
      <c r="M3000" s="3"/>
      <c r="N3000" s="3"/>
      <c r="O3000" s="3"/>
      <c r="P3000" s="3"/>
      <c r="Q3000" s="3"/>
    </row>
    <row r="3001" spans="2:17" x14ac:dyDescent="0.2">
      <c r="B3001" s="3"/>
      <c r="F3001" s="3"/>
      <c r="G3001" s="3"/>
      <c r="I3001" s="3"/>
      <c r="J3001" s="3"/>
      <c r="K3001" s="3"/>
      <c r="L3001" s="3"/>
      <c r="M3001" s="3"/>
      <c r="N3001" s="3"/>
      <c r="O3001" s="3"/>
      <c r="P3001" s="3"/>
      <c r="Q3001" s="3"/>
    </row>
    <row r="3002" spans="2:17" x14ac:dyDescent="0.2">
      <c r="B3002" s="3"/>
      <c r="F3002" s="3"/>
      <c r="G3002" s="3"/>
      <c r="I3002" s="3"/>
      <c r="J3002" s="3"/>
      <c r="K3002" s="3"/>
      <c r="L3002" s="3"/>
      <c r="M3002" s="3"/>
      <c r="N3002" s="3"/>
      <c r="O3002" s="3"/>
      <c r="P3002" s="3"/>
      <c r="Q3002" s="3"/>
    </row>
    <row r="3003" spans="2:17" x14ac:dyDescent="0.2">
      <c r="B3003" s="3"/>
      <c r="F3003" s="3"/>
      <c r="G3003" s="3"/>
      <c r="I3003" s="3"/>
      <c r="J3003" s="3"/>
      <c r="K3003" s="3"/>
      <c r="L3003" s="3"/>
      <c r="M3003" s="3"/>
      <c r="N3003" s="3"/>
      <c r="O3003" s="3"/>
      <c r="P3003" s="3"/>
      <c r="Q3003" s="3"/>
    </row>
    <row r="3004" spans="2:17" x14ac:dyDescent="0.2">
      <c r="B3004" s="3"/>
      <c r="F3004" s="3"/>
      <c r="G3004" s="3"/>
      <c r="I3004" s="3"/>
      <c r="J3004" s="3"/>
      <c r="K3004" s="3"/>
      <c r="L3004" s="3"/>
      <c r="M3004" s="3"/>
      <c r="N3004" s="3"/>
      <c r="O3004" s="3"/>
      <c r="P3004" s="3"/>
      <c r="Q3004" s="3"/>
    </row>
    <row r="3005" spans="2:17" x14ac:dyDescent="0.2">
      <c r="B3005" s="3"/>
      <c r="F3005" s="3"/>
      <c r="G3005" s="3"/>
      <c r="I3005" s="3"/>
      <c r="J3005" s="3"/>
      <c r="K3005" s="3"/>
      <c r="L3005" s="3"/>
      <c r="M3005" s="3"/>
      <c r="N3005" s="3"/>
      <c r="O3005" s="3"/>
      <c r="P3005" s="3"/>
      <c r="Q3005" s="3"/>
    </row>
    <row r="3006" spans="2:17" x14ac:dyDescent="0.2">
      <c r="B3006" s="3"/>
      <c r="F3006" s="3"/>
      <c r="G3006" s="3"/>
      <c r="I3006" s="3"/>
      <c r="J3006" s="3"/>
      <c r="K3006" s="3"/>
      <c r="L3006" s="3"/>
      <c r="M3006" s="3"/>
      <c r="N3006" s="3"/>
      <c r="O3006" s="3"/>
      <c r="P3006" s="3"/>
      <c r="Q3006" s="3"/>
    </row>
    <row r="3007" spans="2:17" x14ac:dyDescent="0.2">
      <c r="B3007" s="3"/>
      <c r="F3007" s="3"/>
      <c r="G3007" s="3"/>
      <c r="I3007" s="3"/>
      <c r="J3007" s="3"/>
      <c r="K3007" s="3"/>
      <c r="L3007" s="3"/>
      <c r="M3007" s="3"/>
      <c r="N3007" s="3"/>
      <c r="O3007" s="3"/>
      <c r="P3007" s="3"/>
      <c r="Q3007" s="3"/>
    </row>
    <row r="3008" spans="2:17" x14ac:dyDescent="0.2">
      <c r="B3008" s="3"/>
      <c r="F3008" s="3"/>
      <c r="G3008" s="3"/>
      <c r="I3008" s="3"/>
      <c r="J3008" s="3"/>
      <c r="K3008" s="3"/>
      <c r="L3008" s="3"/>
      <c r="M3008" s="3"/>
      <c r="N3008" s="3"/>
      <c r="O3008" s="3"/>
      <c r="P3008" s="3"/>
      <c r="Q3008" s="3"/>
    </row>
    <row r="3009" spans="2:17" x14ac:dyDescent="0.2">
      <c r="B3009" s="3"/>
      <c r="F3009" s="3"/>
      <c r="G3009" s="3"/>
      <c r="I3009" s="3"/>
      <c r="J3009" s="3"/>
      <c r="K3009" s="3"/>
      <c r="L3009" s="3"/>
      <c r="M3009" s="3"/>
      <c r="N3009" s="3"/>
      <c r="O3009" s="3"/>
      <c r="P3009" s="3"/>
      <c r="Q3009" s="3"/>
    </row>
    <row r="3010" spans="2:17" x14ac:dyDescent="0.2">
      <c r="B3010" s="3"/>
      <c r="F3010" s="3"/>
      <c r="G3010" s="3"/>
      <c r="I3010" s="3"/>
      <c r="J3010" s="3"/>
      <c r="K3010" s="3"/>
      <c r="L3010" s="3"/>
      <c r="M3010" s="3"/>
      <c r="N3010" s="3"/>
      <c r="O3010" s="3"/>
      <c r="P3010" s="3"/>
      <c r="Q3010" s="3"/>
    </row>
    <row r="3011" spans="2:17" x14ac:dyDescent="0.2">
      <c r="B3011" s="3"/>
      <c r="F3011" s="3"/>
      <c r="G3011" s="3"/>
      <c r="I3011" s="3"/>
      <c r="J3011" s="3"/>
      <c r="K3011" s="3"/>
      <c r="L3011" s="3"/>
      <c r="M3011" s="3"/>
      <c r="N3011" s="3"/>
      <c r="O3011" s="3"/>
      <c r="P3011" s="3"/>
      <c r="Q3011" s="3"/>
    </row>
    <row r="3012" spans="2:17" x14ac:dyDescent="0.2">
      <c r="B3012" s="3"/>
      <c r="F3012" s="3"/>
      <c r="G3012" s="3"/>
      <c r="I3012" s="3"/>
      <c r="J3012" s="3"/>
      <c r="K3012" s="3"/>
      <c r="L3012" s="3"/>
      <c r="M3012" s="3"/>
      <c r="N3012" s="3"/>
      <c r="O3012" s="3"/>
      <c r="P3012" s="3"/>
      <c r="Q3012" s="3"/>
    </row>
    <row r="3013" spans="2:17" x14ac:dyDescent="0.2">
      <c r="B3013" s="3"/>
      <c r="F3013" s="3"/>
      <c r="G3013" s="3"/>
      <c r="I3013" s="3"/>
      <c r="J3013" s="3"/>
      <c r="K3013" s="3"/>
      <c r="L3013" s="3"/>
      <c r="M3013" s="3"/>
      <c r="N3013" s="3"/>
      <c r="O3013" s="3"/>
      <c r="P3013" s="3"/>
      <c r="Q3013" s="3"/>
    </row>
    <row r="3014" spans="2:17" x14ac:dyDescent="0.2">
      <c r="B3014" s="3"/>
      <c r="F3014" s="3"/>
      <c r="G3014" s="3"/>
      <c r="I3014" s="3"/>
      <c r="J3014" s="3"/>
      <c r="K3014" s="3"/>
      <c r="L3014" s="3"/>
      <c r="M3014" s="3"/>
      <c r="N3014" s="3"/>
      <c r="O3014" s="3"/>
      <c r="P3014" s="3"/>
      <c r="Q3014" s="3"/>
    </row>
    <row r="3015" spans="2:17" x14ac:dyDescent="0.2">
      <c r="B3015" s="3"/>
      <c r="F3015" s="3"/>
      <c r="G3015" s="3"/>
      <c r="I3015" s="3"/>
      <c r="J3015" s="3"/>
      <c r="K3015" s="3"/>
      <c r="L3015" s="3"/>
      <c r="M3015" s="3"/>
      <c r="N3015" s="3"/>
      <c r="O3015" s="3"/>
      <c r="P3015" s="3"/>
      <c r="Q3015" s="3"/>
    </row>
    <row r="3016" spans="2:17" x14ac:dyDescent="0.2">
      <c r="B3016" s="3"/>
      <c r="F3016" s="3"/>
      <c r="G3016" s="3"/>
      <c r="I3016" s="3"/>
      <c r="J3016" s="3"/>
      <c r="K3016" s="3"/>
      <c r="L3016" s="3"/>
      <c r="M3016" s="3"/>
      <c r="N3016" s="3"/>
      <c r="O3016" s="3"/>
      <c r="P3016" s="3"/>
      <c r="Q3016" s="3"/>
    </row>
    <row r="3017" spans="2:17" x14ac:dyDescent="0.2">
      <c r="B3017" s="3"/>
      <c r="F3017" s="3"/>
      <c r="G3017" s="3"/>
      <c r="I3017" s="3"/>
      <c r="J3017" s="3"/>
      <c r="K3017" s="3"/>
      <c r="L3017" s="3"/>
      <c r="M3017" s="3"/>
      <c r="N3017" s="3"/>
      <c r="O3017" s="3"/>
      <c r="P3017" s="3"/>
      <c r="Q3017" s="3"/>
    </row>
    <row r="3018" spans="2:17" x14ac:dyDescent="0.2">
      <c r="B3018" s="3"/>
      <c r="F3018" s="3"/>
      <c r="G3018" s="3"/>
      <c r="I3018" s="3"/>
      <c r="J3018" s="3"/>
      <c r="K3018" s="3"/>
      <c r="L3018" s="3"/>
      <c r="M3018" s="3"/>
      <c r="N3018" s="3"/>
      <c r="O3018" s="3"/>
      <c r="P3018" s="3"/>
      <c r="Q3018" s="3"/>
    </row>
    <row r="3019" spans="2:17" x14ac:dyDescent="0.2">
      <c r="B3019" s="3"/>
      <c r="F3019" s="3"/>
      <c r="G3019" s="3"/>
      <c r="I3019" s="3"/>
      <c r="J3019" s="3"/>
      <c r="K3019" s="3"/>
      <c r="L3019" s="3"/>
      <c r="M3019" s="3"/>
      <c r="N3019" s="3"/>
      <c r="O3019" s="3"/>
      <c r="P3019" s="3"/>
      <c r="Q3019" s="3"/>
    </row>
    <row r="3020" spans="2:17" x14ac:dyDescent="0.2">
      <c r="B3020" s="3"/>
      <c r="F3020" s="3"/>
      <c r="G3020" s="3"/>
      <c r="I3020" s="3"/>
      <c r="J3020" s="3"/>
      <c r="K3020" s="3"/>
      <c r="L3020" s="3"/>
      <c r="M3020" s="3"/>
      <c r="N3020" s="3"/>
      <c r="O3020" s="3"/>
      <c r="P3020" s="3"/>
      <c r="Q3020" s="3"/>
    </row>
    <row r="3021" spans="2:17" x14ac:dyDescent="0.2">
      <c r="B3021" s="3"/>
      <c r="F3021" s="3"/>
      <c r="G3021" s="3"/>
      <c r="I3021" s="3"/>
      <c r="J3021" s="3"/>
      <c r="K3021" s="3"/>
      <c r="L3021" s="3"/>
      <c r="M3021" s="3"/>
      <c r="N3021" s="3"/>
      <c r="O3021" s="3"/>
      <c r="P3021" s="3"/>
      <c r="Q3021" s="3"/>
    </row>
    <row r="3022" spans="2:17" x14ac:dyDescent="0.2">
      <c r="B3022" s="3"/>
      <c r="F3022" s="3"/>
      <c r="G3022" s="3"/>
      <c r="I3022" s="3"/>
      <c r="J3022" s="3"/>
      <c r="K3022" s="3"/>
      <c r="L3022" s="3"/>
      <c r="M3022" s="3"/>
      <c r="N3022" s="3"/>
      <c r="O3022" s="3"/>
      <c r="P3022" s="3"/>
      <c r="Q3022" s="3"/>
    </row>
    <row r="3023" spans="2:17" x14ac:dyDescent="0.2">
      <c r="B3023" s="3"/>
      <c r="F3023" s="3"/>
      <c r="G3023" s="3"/>
      <c r="I3023" s="3"/>
      <c r="J3023" s="3"/>
      <c r="K3023" s="3"/>
      <c r="L3023" s="3"/>
      <c r="M3023" s="3"/>
      <c r="N3023" s="3"/>
      <c r="O3023" s="3"/>
      <c r="P3023" s="3"/>
      <c r="Q3023" s="3"/>
    </row>
    <row r="3024" spans="2:17" x14ac:dyDescent="0.2">
      <c r="B3024" s="3"/>
      <c r="F3024" s="3"/>
      <c r="G3024" s="3"/>
      <c r="I3024" s="3"/>
      <c r="J3024" s="3"/>
      <c r="K3024" s="3"/>
      <c r="L3024" s="3"/>
      <c r="M3024" s="3"/>
      <c r="N3024" s="3"/>
      <c r="O3024" s="3"/>
      <c r="P3024" s="3"/>
      <c r="Q3024" s="3"/>
    </row>
    <row r="3025" spans="2:17" x14ac:dyDescent="0.2">
      <c r="B3025" s="3"/>
      <c r="F3025" s="3"/>
      <c r="G3025" s="3"/>
      <c r="I3025" s="3"/>
      <c r="J3025" s="3"/>
      <c r="K3025" s="3"/>
      <c r="L3025" s="3"/>
      <c r="M3025" s="3"/>
      <c r="N3025" s="3"/>
      <c r="O3025" s="3"/>
      <c r="P3025" s="3"/>
      <c r="Q3025" s="3"/>
    </row>
    <row r="3026" spans="2:17" x14ac:dyDescent="0.2">
      <c r="B3026" s="3"/>
      <c r="F3026" s="3"/>
      <c r="G3026" s="3"/>
      <c r="I3026" s="3"/>
      <c r="J3026" s="3"/>
      <c r="K3026" s="3"/>
      <c r="L3026" s="3"/>
      <c r="M3026" s="3"/>
      <c r="N3026" s="3"/>
      <c r="O3026" s="3"/>
      <c r="P3026" s="3"/>
      <c r="Q3026" s="3"/>
    </row>
    <row r="3027" spans="2:17" x14ac:dyDescent="0.2">
      <c r="B3027" s="3"/>
      <c r="F3027" s="3"/>
      <c r="G3027" s="3"/>
      <c r="I3027" s="3"/>
      <c r="J3027" s="3"/>
      <c r="K3027" s="3"/>
      <c r="L3027" s="3"/>
      <c r="M3027" s="3"/>
      <c r="N3027" s="3"/>
      <c r="O3027" s="3"/>
      <c r="P3027" s="3"/>
      <c r="Q3027" s="3"/>
    </row>
    <row r="3028" spans="2:17" x14ac:dyDescent="0.2">
      <c r="B3028" s="3"/>
      <c r="F3028" s="3"/>
      <c r="G3028" s="3"/>
      <c r="I3028" s="3"/>
      <c r="J3028" s="3"/>
      <c r="K3028" s="3"/>
      <c r="L3028" s="3"/>
      <c r="M3028" s="3"/>
      <c r="N3028" s="3"/>
      <c r="O3028" s="3"/>
      <c r="P3028" s="3"/>
      <c r="Q3028" s="3"/>
    </row>
    <row r="3029" spans="2:17" x14ac:dyDescent="0.2">
      <c r="B3029" s="3"/>
      <c r="F3029" s="3"/>
      <c r="G3029" s="3"/>
      <c r="I3029" s="3"/>
      <c r="J3029" s="3"/>
      <c r="K3029" s="3"/>
      <c r="L3029" s="3"/>
      <c r="M3029" s="3"/>
      <c r="N3029" s="3"/>
      <c r="O3029" s="3"/>
      <c r="P3029" s="3"/>
      <c r="Q3029" s="3"/>
    </row>
    <row r="3030" spans="2:17" x14ac:dyDescent="0.2">
      <c r="B3030" s="3"/>
      <c r="F3030" s="3"/>
      <c r="G3030" s="3"/>
      <c r="I3030" s="3"/>
      <c r="J3030" s="3"/>
      <c r="K3030" s="3"/>
      <c r="L3030" s="3"/>
      <c r="M3030" s="3"/>
      <c r="N3030" s="3"/>
      <c r="O3030" s="3"/>
      <c r="P3030" s="3"/>
      <c r="Q3030" s="3"/>
    </row>
    <row r="3031" spans="2:17" x14ac:dyDescent="0.2">
      <c r="B3031" s="3"/>
      <c r="F3031" s="3"/>
      <c r="G3031" s="3"/>
      <c r="I3031" s="3"/>
      <c r="J3031" s="3"/>
      <c r="K3031" s="3"/>
      <c r="L3031" s="3"/>
      <c r="M3031" s="3"/>
      <c r="N3031" s="3"/>
      <c r="O3031" s="3"/>
      <c r="P3031" s="3"/>
      <c r="Q3031" s="3"/>
    </row>
    <row r="3032" spans="2:17" x14ac:dyDescent="0.2">
      <c r="B3032" s="3"/>
      <c r="F3032" s="3"/>
      <c r="G3032" s="3"/>
      <c r="I3032" s="3"/>
      <c r="J3032" s="3"/>
      <c r="K3032" s="3"/>
      <c r="L3032" s="3"/>
      <c r="M3032" s="3"/>
      <c r="N3032" s="3"/>
      <c r="O3032" s="3"/>
      <c r="P3032" s="3"/>
      <c r="Q3032" s="3"/>
    </row>
    <row r="3033" spans="2:17" x14ac:dyDescent="0.2">
      <c r="B3033" s="3"/>
      <c r="F3033" s="3"/>
      <c r="G3033" s="3"/>
      <c r="I3033" s="3"/>
      <c r="J3033" s="3"/>
      <c r="K3033" s="3"/>
      <c r="L3033" s="3"/>
      <c r="M3033" s="3"/>
      <c r="N3033" s="3"/>
      <c r="O3033" s="3"/>
      <c r="P3033" s="3"/>
      <c r="Q3033" s="3"/>
    </row>
    <row r="3034" spans="2:17" x14ac:dyDescent="0.2">
      <c r="B3034" s="3"/>
      <c r="F3034" s="3"/>
      <c r="G3034" s="3"/>
      <c r="I3034" s="3"/>
      <c r="J3034" s="3"/>
      <c r="K3034" s="3"/>
      <c r="L3034" s="3"/>
      <c r="M3034" s="3"/>
      <c r="N3034" s="3"/>
      <c r="O3034" s="3"/>
      <c r="P3034" s="3"/>
      <c r="Q3034" s="3"/>
    </row>
    <row r="3035" spans="2:17" x14ac:dyDescent="0.2">
      <c r="B3035" s="3"/>
      <c r="F3035" s="3"/>
      <c r="G3035" s="3"/>
      <c r="I3035" s="3"/>
      <c r="J3035" s="3"/>
      <c r="K3035" s="3"/>
      <c r="L3035" s="3"/>
      <c r="M3035" s="3"/>
      <c r="N3035" s="3"/>
      <c r="O3035" s="3"/>
      <c r="P3035" s="3"/>
      <c r="Q3035" s="3"/>
    </row>
    <row r="3036" spans="2:17" x14ac:dyDescent="0.2">
      <c r="B3036" s="3"/>
      <c r="F3036" s="3"/>
      <c r="G3036" s="3"/>
      <c r="I3036" s="3"/>
      <c r="J3036" s="3"/>
      <c r="K3036" s="3"/>
      <c r="L3036" s="3"/>
      <c r="M3036" s="3"/>
      <c r="N3036" s="3"/>
      <c r="O3036" s="3"/>
      <c r="P3036" s="3"/>
      <c r="Q3036" s="3"/>
    </row>
    <row r="3037" spans="2:17" x14ac:dyDescent="0.2">
      <c r="B3037" s="3"/>
      <c r="F3037" s="3"/>
      <c r="G3037" s="3"/>
      <c r="I3037" s="3"/>
      <c r="J3037" s="3"/>
      <c r="K3037" s="3"/>
      <c r="L3037" s="3"/>
      <c r="M3037" s="3"/>
      <c r="N3037" s="3"/>
      <c r="O3037" s="3"/>
      <c r="P3037" s="3"/>
      <c r="Q3037" s="3"/>
    </row>
    <row r="3038" spans="2:17" x14ac:dyDescent="0.2">
      <c r="B3038" s="3"/>
      <c r="F3038" s="3"/>
      <c r="G3038" s="3"/>
      <c r="I3038" s="3"/>
      <c r="J3038" s="3"/>
      <c r="K3038" s="3"/>
      <c r="L3038" s="3"/>
      <c r="M3038" s="3"/>
      <c r="N3038" s="3"/>
      <c r="O3038" s="3"/>
      <c r="P3038" s="3"/>
      <c r="Q3038" s="3"/>
    </row>
    <row r="3039" spans="2:17" x14ac:dyDescent="0.2">
      <c r="B3039" s="3"/>
      <c r="F3039" s="3"/>
      <c r="G3039" s="3"/>
      <c r="I3039" s="3"/>
      <c r="J3039" s="3"/>
      <c r="K3039" s="3"/>
      <c r="L3039" s="3"/>
      <c r="M3039" s="3"/>
      <c r="N3039" s="3"/>
      <c r="O3039" s="3"/>
      <c r="P3039" s="3"/>
      <c r="Q3039" s="3"/>
    </row>
    <row r="3040" spans="2:17" x14ac:dyDescent="0.2">
      <c r="B3040" s="3"/>
      <c r="F3040" s="3"/>
      <c r="G3040" s="3"/>
      <c r="I3040" s="3"/>
      <c r="J3040" s="3"/>
      <c r="K3040" s="3"/>
      <c r="L3040" s="3"/>
      <c r="M3040" s="3"/>
      <c r="N3040" s="3"/>
      <c r="O3040" s="3"/>
      <c r="P3040" s="3"/>
      <c r="Q3040" s="3"/>
    </row>
    <row r="3041" spans="2:17" x14ac:dyDescent="0.2">
      <c r="B3041" s="3"/>
      <c r="F3041" s="3"/>
      <c r="G3041" s="3"/>
      <c r="I3041" s="3"/>
      <c r="J3041" s="3"/>
      <c r="K3041" s="3"/>
      <c r="L3041" s="3"/>
      <c r="M3041" s="3"/>
      <c r="N3041" s="3"/>
      <c r="O3041" s="3"/>
      <c r="P3041" s="3"/>
      <c r="Q3041" s="3"/>
    </row>
    <row r="3042" spans="2:17" x14ac:dyDescent="0.2">
      <c r="B3042" s="3"/>
      <c r="F3042" s="3"/>
      <c r="G3042" s="3"/>
      <c r="I3042" s="3"/>
      <c r="J3042" s="3"/>
      <c r="K3042" s="3"/>
      <c r="L3042" s="3"/>
      <c r="M3042" s="3"/>
      <c r="N3042" s="3"/>
      <c r="O3042" s="3"/>
      <c r="P3042" s="3"/>
      <c r="Q3042" s="3"/>
    </row>
    <row r="3043" spans="2:17" x14ac:dyDescent="0.2">
      <c r="B3043" s="3"/>
      <c r="F3043" s="3"/>
      <c r="G3043" s="3"/>
      <c r="I3043" s="3"/>
      <c r="J3043" s="3"/>
      <c r="K3043" s="3"/>
      <c r="L3043" s="3"/>
      <c r="M3043" s="3"/>
      <c r="N3043" s="3"/>
      <c r="O3043" s="3"/>
      <c r="P3043" s="3"/>
      <c r="Q3043" s="3"/>
    </row>
    <row r="3044" spans="2:17" x14ac:dyDescent="0.2">
      <c r="B3044" s="3"/>
      <c r="F3044" s="3"/>
      <c r="G3044" s="3"/>
      <c r="I3044" s="3"/>
      <c r="J3044" s="3"/>
      <c r="K3044" s="3"/>
      <c r="L3044" s="3"/>
      <c r="M3044" s="3"/>
      <c r="N3044" s="3"/>
      <c r="O3044" s="3"/>
      <c r="P3044" s="3"/>
      <c r="Q3044" s="3"/>
    </row>
    <row r="3045" spans="2:17" x14ac:dyDescent="0.2">
      <c r="B3045" s="3"/>
      <c r="F3045" s="3"/>
      <c r="G3045" s="3"/>
      <c r="I3045" s="3"/>
      <c r="J3045" s="3"/>
      <c r="K3045" s="3"/>
      <c r="L3045" s="3"/>
      <c r="M3045" s="3"/>
      <c r="N3045" s="3"/>
      <c r="O3045" s="3"/>
      <c r="P3045" s="3"/>
      <c r="Q3045" s="3"/>
    </row>
    <row r="3046" spans="2:17" x14ac:dyDescent="0.2">
      <c r="B3046" s="3"/>
      <c r="F3046" s="3"/>
      <c r="G3046" s="3"/>
      <c r="I3046" s="3"/>
      <c r="J3046" s="3"/>
      <c r="K3046" s="3"/>
      <c r="L3046" s="3"/>
      <c r="M3046" s="3"/>
      <c r="N3046" s="3"/>
      <c r="O3046" s="3"/>
      <c r="P3046" s="3"/>
      <c r="Q3046" s="3"/>
    </row>
    <row r="3047" spans="2:17" x14ac:dyDescent="0.2">
      <c r="B3047" s="3"/>
      <c r="F3047" s="3"/>
      <c r="G3047" s="3"/>
      <c r="I3047" s="3"/>
      <c r="J3047" s="3"/>
      <c r="K3047" s="3"/>
      <c r="L3047" s="3"/>
      <c r="M3047" s="3"/>
      <c r="N3047" s="3"/>
      <c r="O3047" s="3"/>
      <c r="P3047" s="3"/>
      <c r="Q3047" s="3"/>
    </row>
    <row r="3048" spans="2:17" x14ac:dyDescent="0.2">
      <c r="B3048" s="3"/>
      <c r="F3048" s="3"/>
      <c r="G3048" s="3"/>
      <c r="I3048" s="3"/>
      <c r="J3048" s="3"/>
      <c r="K3048" s="3"/>
      <c r="L3048" s="3"/>
      <c r="M3048" s="3"/>
      <c r="N3048" s="3"/>
      <c r="O3048" s="3"/>
      <c r="P3048" s="3"/>
      <c r="Q3048" s="3"/>
    </row>
    <row r="3049" spans="2:17" x14ac:dyDescent="0.2">
      <c r="B3049" s="3"/>
      <c r="F3049" s="3"/>
      <c r="G3049" s="3"/>
      <c r="I3049" s="3"/>
      <c r="J3049" s="3"/>
      <c r="K3049" s="3"/>
      <c r="L3049" s="3"/>
      <c r="M3049" s="3"/>
      <c r="N3049" s="3"/>
      <c r="O3049" s="3"/>
      <c r="P3049" s="3"/>
      <c r="Q3049" s="3"/>
    </row>
    <row r="3050" spans="2:17" x14ac:dyDescent="0.2">
      <c r="B3050" s="3"/>
      <c r="F3050" s="3"/>
      <c r="G3050" s="3"/>
      <c r="I3050" s="3"/>
      <c r="J3050" s="3"/>
      <c r="K3050" s="3"/>
      <c r="L3050" s="3"/>
      <c r="M3050" s="3"/>
      <c r="N3050" s="3"/>
      <c r="O3050" s="3"/>
      <c r="P3050" s="3"/>
      <c r="Q3050" s="3"/>
    </row>
    <row r="3051" spans="2:17" x14ac:dyDescent="0.2">
      <c r="B3051" s="3"/>
      <c r="F3051" s="3"/>
      <c r="G3051" s="3"/>
      <c r="I3051" s="3"/>
      <c r="J3051" s="3"/>
      <c r="K3051" s="3"/>
      <c r="L3051" s="3"/>
      <c r="M3051" s="3"/>
      <c r="N3051" s="3"/>
      <c r="O3051" s="3"/>
      <c r="P3051" s="3"/>
      <c r="Q3051" s="3"/>
    </row>
    <row r="3052" spans="2:17" x14ac:dyDescent="0.2">
      <c r="B3052" s="3"/>
      <c r="F3052" s="3"/>
      <c r="G3052" s="3"/>
      <c r="I3052" s="3"/>
      <c r="J3052" s="3"/>
      <c r="K3052" s="3"/>
      <c r="L3052" s="3"/>
      <c r="M3052" s="3"/>
      <c r="N3052" s="3"/>
      <c r="O3052" s="3"/>
      <c r="P3052" s="3"/>
      <c r="Q3052" s="3"/>
    </row>
    <row r="3053" spans="2:17" x14ac:dyDescent="0.2">
      <c r="B3053" s="3"/>
      <c r="F3053" s="3"/>
      <c r="G3053" s="3"/>
      <c r="I3053" s="3"/>
      <c r="J3053" s="3"/>
      <c r="K3053" s="3"/>
      <c r="L3053" s="3"/>
      <c r="M3053" s="3"/>
      <c r="N3053" s="3"/>
      <c r="O3053" s="3"/>
      <c r="P3053" s="3"/>
      <c r="Q3053" s="3"/>
    </row>
    <row r="3054" spans="2:17" x14ac:dyDescent="0.2">
      <c r="B3054" s="3"/>
      <c r="F3054" s="3"/>
      <c r="G3054" s="3"/>
      <c r="I3054" s="3"/>
      <c r="J3054" s="3"/>
      <c r="K3054" s="3"/>
      <c r="L3054" s="3"/>
      <c r="M3054" s="3"/>
      <c r="N3054" s="3"/>
      <c r="O3054" s="3"/>
      <c r="P3054" s="3"/>
      <c r="Q3054" s="3"/>
    </row>
    <row r="3055" spans="2:17" x14ac:dyDescent="0.2">
      <c r="B3055" s="3"/>
      <c r="F3055" s="3"/>
      <c r="G3055" s="3"/>
      <c r="I3055" s="3"/>
      <c r="J3055" s="3"/>
      <c r="K3055" s="3"/>
      <c r="L3055" s="3"/>
      <c r="M3055" s="3"/>
      <c r="N3055" s="3"/>
      <c r="O3055" s="3"/>
      <c r="P3055" s="3"/>
      <c r="Q3055" s="3"/>
    </row>
    <row r="3056" spans="2:17" x14ac:dyDescent="0.2">
      <c r="B3056" s="3"/>
      <c r="F3056" s="3"/>
      <c r="G3056" s="3"/>
      <c r="I3056" s="3"/>
      <c r="J3056" s="3"/>
      <c r="K3056" s="3"/>
      <c r="L3056" s="3"/>
      <c r="M3056" s="3"/>
      <c r="N3056" s="3"/>
      <c r="O3056" s="3"/>
      <c r="P3056" s="3"/>
      <c r="Q3056" s="3"/>
    </row>
    <row r="3057" spans="2:17" x14ac:dyDescent="0.2">
      <c r="B3057" s="3"/>
      <c r="F3057" s="3"/>
      <c r="G3057" s="3"/>
      <c r="I3057" s="3"/>
      <c r="J3057" s="3"/>
      <c r="K3057" s="3"/>
      <c r="L3057" s="3"/>
      <c r="M3057" s="3"/>
      <c r="N3057" s="3"/>
      <c r="O3057" s="3"/>
      <c r="P3057" s="3"/>
      <c r="Q3057" s="3"/>
    </row>
    <row r="3058" spans="2:17" x14ac:dyDescent="0.2">
      <c r="B3058" s="3"/>
      <c r="F3058" s="3"/>
      <c r="G3058" s="3"/>
      <c r="I3058" s="3"/>
      <c r="J3058" s="3"/>
      <c r="K3058" s="3"/>
      <c r="L3058" s="3"/>
      <c r="M3058" s="3"/>
      <c r="N3058" s="3"/>
      <c r="O3058" s="3"/>
      <c r="P3058" s="3"/>
      <c r="Q3058" s="3"/>
    </row>
    <row r="3059" spans="2:17" x14ac:dyDescent="0.2">
      <c r="B3059" s="3"/>
      <c r="F3059" s="3"/>
      <c r="G3059" s="3"/>
      <c r="I3059" s="3"/>
      <c r="J3059" s="3"/>
      <c r="K3059" s="3"/>
      <c r="L3059" s="3"/>
      <c r="M3059" s="3"/>
      <c r="N3059" s="3"/>
      <c r="O3059" s="3"/>
      <c r="P3059" s="3"/>
      <c r="Q3059" s="3"/>
    </row>
    <row r="3060" spans="2:17" x14ac:dyDescent="0.2">
      <c r="B3060" s="3"/>
      <c r="F3060" s="3"/>
      <c r="G3060" s="3"/>
      <c r="I3060" s="3"/>
      <c r="J3060" s="3"/>
      <c r="K3060" s="3"/>
      <c r="L3060" s="3"/>
      <c r="M3060" s="3"/>
      <c r="N3060" s="3"/>
      <c r="O3060" s="3"/>
      <c r="P3060" s="3"/>
      <c r="Q3060" s="3"/>
    </row>
    <row r="3061" spans="2:17" x14ac:dyDescent="0.2">
      <c r="B3061" s="3"/>
      <c r="F3061" s="3"/>
      <c r="G3061" s="3"/>
      <c r="I3061" s="3"/>
      <c r="J3061" s="3"/>
      <c r="K3061" s="3"/>
      <c r="L3061" s="3"/>
      <c r="M3061" s="3"/>
      <c r="N3061" s="3"/>
      <c r="O3061" s="3"/>
      <c r="P3061" s="3"/>
      <c r="Q3061" s="3"/>
    </row>
    <row r="3062" spans="2:17" x14ac:dyDescent="0.2">
      <c r="B3062" s="3"/>
      <c r="F3062" s="3"/>
      <c r="G3062" s="3"/>
      <c r="I3062" s="3"/>
      <c r="J3062" s="3"/>
      <c r="K3062" s="3"/>
      <c r="L3062" s="3"/>
      <c r="M3062" s="3"/>
      <c r="N3062" s="3"/>
      <c r="O3062" s="3"/>
      <c r="P3062" s="3"/>
      <c r="Q3062" s="3"/>
    </row>
    <row r="3063" spans="2:17" x14ac:dyDescent="0.2">
      <c r="B3063" s="3"/>
      <c r="F3063" s="3"/>
      <c r="G3063" s="3"/>
      <c r="I3063" s="3"/>
      <c r="J3063" s="3"/>
      <c r="K3063" s="3"/>
      <c r="L3063" s="3"/>
      <c r="M3063" s="3"/>
      <c r="N3063" s="3"/>
      <c r="O3063" s="3"/>
      <c r="P3063" s="3"/>
      <c r="Q3063" s="3"/>
    </row>
    <row r="3064" spans="2:17" x14ac:dyDescent="0.2">
      <c r="B3064" s="3"/>
      <c r="F3064" s="3"/>
      <c r="G3064" s="3"/>
      <c r="I3064" s="3"/>
      <c r="J3064" s="3"/>
      <c r="K3064" s="3"/>
      <c r="L3064" s="3"/>
      <c r="M3064" s="3"/>
      <c r="N3064" s="3"/>
      <c r="O3064" s="3"/>
      <c r="P3064" s="3"/>
      <c r="Q3064" s="3"/>
    </row>
    <row r="3065" spans="2:17" x14ac:dyDescent="0.2">
      <c r="B3065" s="3"/>
      <c r="F3065" s="3"/>
      <c r="G3065" s="3"/>
      <c r="I3065" s="3"/>
      <c r="J3065" s="3"/>
      <c r="K3065" s="3"/>
      <c r="L3065" s="3"/>
      <c r="M3065" s="3"/>
      <c r="N3065" s="3"/>
      <c r="O3065" s="3"/>
      <c r="P3065" s="3"/>
      <c r="Q3065" s="3"/>
    </row>
    <row r="3066" spans="2:17" x14ac:dyDescent="0.2">
      <c r="B3066" s="3"/>
      <c r="F3066" s="3"/>
      <c r="G3066" s="3"/>
      <c r="I3066" s="3"/>
      <c r="J3066" s="3"/>
      <c r="K3066" s="3"/>
      <c r="L3066" s="3"/>
      <c r="M3066" s="3"/>
      <c r="N3066" s="3"/>
      <c r="O3066" s="3"/>
      <c r="P3066" s="3"/>
      <c r="Q3066" s="3"/>
    </row>
    <row r="3067" spans="2:17" x14ac:dyDescent="0.2">
      <c r="B3067" s="3"/>
      <c r="F3067" s="3"/>
      <c r="G3067" s="3"/>
      <c r="I3067" s="3"/>
      <c r="J3067" s="3"/>
      <c r="K3067" s="3"/>
      <c r="L3067" s="3"/>
      <c r="M3067" s="3"/>
      <c r="N3067" s="3"/>
      <c r="O3067" s="3"/>
      <c r="P3067" s="3"/>
      <c r="Q3067" s="3"/>
    </row>
    <row r="3068" spans="2:17" x14ac:dyDescent="0.2">
      <c r="B3068" s="3"/>
      <c r="F3068" s="3"/>
      <c r="G3068" s="3"/>
      <c r="I3068" s="3"/>
      <c r="J3068" s="3"/>
      <c r="K3068" s="3"/>
      <c r="L3068" s="3"/>
      <c r="M3068" s="3"/>
      <c r="N3068" s="3"/>
      <c r="O3068" s="3"/>
      <c r="P3068" s="3"/>
      <c r="Q3068" s="3"/>
    </row>
    <row r="3069" spans="2:17" x14ac:dyDescent="0.2">
      <c r="B3069" s="3"/>
      <c r="F3069" s="3"/>
      <c r="G3069" s="3"/>
      <c r="I3069" s="3"/>
      <c r="J3069" s="3"/>
      <c r="K3069" s="3"/>
      <c r="L3069" s="3"/>
      <c r="M3069" s="3"/>
      <c r="N3069" s="3"/>
      <c r="O3069" s="3"/>
      <c r="P3069" s="3"/>
      <c r="Q3069" s="3"/>
    </row>
    <row r="3070" spans="2:17" x14ac:dyDescent="0.2">
      <c r="B3070" s="3"/>
      <c r="F3070" s="3"/>
      <c r="G3070" s="3"/>
      <c r="I3070" s="3"/>
      <c r="J3070" s="3"/>
      <c r="K3070" s="3"/>
      <c r="L3070" s="3"/>
      <c r="M3070" s="3"/>
      <c r="N3070" s="3"/>
      <c r="O3070" s="3"/>
      <c r="P3070" s="3"/>
      <c r="Q3070" s="3"/>
    </row>
    <row r="3071" spans="2:17" x14ac:dyDescent="0.2">
      <c r="B3071" s="3"/>
      <c r="F3071" s="3"/>
      <c r="G3071" s="3"/>
      <c r="I3071" s="3"/>
      <c r="J3071" s="3"/>
      <c r="K3071" s="3"/>
      <c r="L3071" s="3"/>
      <c r="M3071" s="3"/>
      <c r="N3071" s="3"/>
      <c r="O3071" s="3"/>
      <c r="P3071" s="3"/>
      <c r="Q3071" s="3"/>
    </row>
    <row r="3072" spans="2:17" x14ac:dyDescent="0.2">
      <c r="B3072" s="3"/>
      <c r="F3072" s="3"/>
      <c r="G3072" s="3"/>
      <c r="I3072" s="3"/>
      <c r="J3072" s="3"/>
      <c r="K3072" s="3"/>
      <c r="L3072" s="3"/>
      <c r="M3072" s="3"/>
      <c r="N3072" s="3"/>
      <c r="O3072" s="3"/>
      <c r="P3072" s="3"/>
      <c r="Q3072" s="3"/>
    </row>
    <row r="3073" spans="2:17" x14ac:dyDescent="0.2">
      <c r="B3073" s="3"/>
      <c r="F3073" s="3"/>
      <c r="G3073" s="3"/>
      <c r="I3073" s="3"/>
      <c r="J3073" s="3"/>
      <c r="K3073" s="3"/>
      <c r="L3073" s="3"/>
      <c r="M3073" s="3"/>
      <c r="N3073" s="3"/>
      <c r="O3073" s="3"/>
      <c r="P3073" s="3"/>
      <c r="Q3073" s="3"/>
    </row>
    <row r="3074" spans="2:17" x14ac:dyDescent="0.2">
      <c r="B3074" s="3"/>
      <c r="F3074" s="3"/>
      <c r="G3074" s="3"/>
      <c r="I3074" s="3"/>
      <c r="J3074" s="3"/>
      <c r="K3074" s="3"/>
      <c r="L3074" s="3"/>
      <c r="M3074" s="3"/>
      <c r="N3074" s="3"/>
      <c r="O3074" s="3"/>
      <c r="P3074" s="3"/>
      <c r="Q3074" s="3"/>
    </row>
    <row r="3075" spans="2:17" x14ac:dyDescent="0.2">
      <c r="B3075" s="3"/>
      <c r="F3075" s="3"/>
      <c r="G3075" s="3"/>
      <c r="I3075" s="3"/>
      <c r="J3075" s="3"/>
      <c r="K3075" s="3"/>
      <c r="L3075" s="3"/>
      <c r="M3075" s="3"/>
      <c r="N3075" s="3"/>
      <c r="O3075" s="3"/>
      <c r="P3075" s="3"/>
      <c r="Q3075" s="3"/>
    </row>
    <row r="3076" spans="2:17" x14ac:dyDescent="0.2">
      <c r="B3076" s="3"/>
      <c r="F3076" s="3"/>
      <c r="G3076" s="3"/>
      <c r="I3076" s="3"/>
      <c r="J3076" s="3"/>
      <c r="K3076" s="3"/>
      <c r="L3076" s="3"/>
      <c r="M3076" s="3"/>
      <c r="N3076" s="3"/>
      <c r="O3076" s="3"/>
      <c r="P3076" s="3"/>
      <c r="Q3076" s="3"/>
    </row>
    <row r="3077" spans="2:17" x14ac:dyDescent="0.2">
      <c r="B3077" s="3"/>
      <c r="F3077" s="3"/>
      <c r="G3077" s="3"/>
      <c r="I3077" s="3"/>
      <c r="J3077" s="3"/>
      <c r="K3077" s="3"/>
      <c r="L3077" s="3"/>
      <c r="M3077" s="3"/>
      <c r="N3077" s="3"/>
      <c r="O3077" s="3"/>
      <c r="P3077" s="3"/>
      <c r="Q3077" s="3"/>
    </row>
    <row r="3078" spans="2:17" x14ac:dyDescent="0.2">
      <c r="B3078" s="3"/>
      <c r="F3078" s="3"/>
      <c r="G3078" s="3"/>
      <c r="I3078" s="3"/>
      <c r="J3078" s="3"/>
      <c r="K3078" s="3"/>
      <c r="L3078" s="3"/>
      <c r="M3078" s="3"/>
      <c r="N3078" s="3"/>
      <c r="O3078" s="3"/>
      <c r="P3078" s="3"/>
      <c r="Q3078" s="3"/>
    </row>
    <row r="3079" spans="2:17" x14ac:dyDescent="0.2">
      <c r="B3079" s="3"/>
      <c r="F3079" s="3"/>
      <c r="G3079" s="3"/>
      <c r="I3079" s="3"/>
      <c r="J3079" s="3"/>
      <c r="K3079" s="3"/>
      <c r="L3079" s="3"/>
      <c r="M3079" s="3"/>
      <c r="N3079" s="3"/>
      <c r="O3079" s="3"/>
      <c r="P3079" s="3"/>
      <c r="Q3079" s="3"/>
    </row>
    <row r="3080" spans="2:17" x14ac:dyDescent="0.2">
      <c r="B3080" s="3"/>
      <c r="F3080" s="3"/>
      <c r="G3080" s="3"/>
      <c r="I3080" s="3"/>
      <c r="J3080" s="3"/>
      <c r="K3080" s="3"/>
      <c r="L3080" s="3"/>
      <c r="M3080" s="3"/>
      <c r="N3080" s="3"/>
      <c r="O3080" s="3"/>
      <c r="P3080" s="3"/>
      <c r="Q3080" s="3"/>
    </row>
    <row r="3081" spans="2:17" x14ac:dyDescent="0.2">
      <c r="B3081" s="3"/>
      <c r="F3081" s="3"/>
      <c r="G3081" s="3"/>
      <c r="I3081" s="3"/>
      <c r="J3081" s="3"/>
      <c r="K3081" s="3"/>
      <c r="L3081" s="3"/>
      <c r="M3081" s="3"/>
      <c r="N3081" s="3"/>
      <c r="O3081" s="3"/>
      <c r="P3081" s="3"/>
      <c r="Q3081" s="3"/>
    </row>
    <row r="3082" spans="2:17" x14ac:dyDescent="0.2">
      <c r="B3082" s="3"/>
      <c r="F3082" s="3"/>
      <c r="G3082" s="3"/>
      <c r="I3082" s="3"/>
      <c r="J3082" s="3"/>
      <c r="K3082" s="3"/>
      <c r="L3082" s="3"/>
      <c r="M3082" s="3"/>
      <c r="N3082" s="3"/>
      <c r="O3082" s="3"/>
      <c r="P3082" s="3"/>
      <c r="Q3082" s="3"/>
    </row>
    <row r="3083" spans="2:17" x14ac:dyDescent="0.2">
      <c r="B3083" s="3"/>
      <c r="F3083" s="3"/>
      <c r="G3083" s="3"/>
      <c r="I3083" s="3"/>
      <c r="J3083" s="3"/>
      <c r="K3083" s="3"/>
      <c r="L3083" s="3"/>
      <c r="M3083" s="3"/>
      <c r="N3083" s="3"/>
      <c r="O3083" s="3"/>
      <c r="P3083" s="3"/>
      <c r="Q3083" s="3"/>
    </row>
    <row r="3084" spans="2:17" x14ac:dyDescent="0.2">
      <c r="B3084" s="3"/>
      <c r="F3084" s="3"/>
      <c r="G3084" s="3"/>
      <c r="I3084" s="3"/>
      <c r="J3084" s="3"/>
      <c r="K3084" s="3"/>
      <c r="L3084" s="3"/>
      <c r="M3084" s="3"/>
      <c r="N3084" s="3"/>
      <c r="O3084" s="3"/>
      <c r="P3084" s="3"/>
      <c r="Q3084" s="3"/>
    </row>
    <row r="3085" spans="2:17" x14ac:dyDescent="0.2">
      <c r="B3085" s="3"/>
      <c r="F3085" s="3"/>
      <c r="G3085" s="3"/>
      <c r="I3085" s="3"/>
      <c r="J3085" s="3"/>
      <c r="K3085" s="3"/>
      <c r="L3085" s="3"/>
      <c r="M3085" s="3"/>
      <c r="N3085" s="3"/>
      <c r="O3085" s="3"/>
      <c r="P3085" s="3"/>
      <c r="Q3085" s="3"/>
    </row>
    <row r="3086" spans="2:17" x14ac:dyDescent="0.2">
      <c r="B3086" s="3"/>
      <c r="F3086" s="3"/>
      <c r="G3086" s="3"/>
      <c r="I3086" s="3"/>
      <c r="J3086" s="3"/>
      <c r="K3086" s="3"/>
      <c r="L3086" s="3"/>
      <c r="M3086" s="3"/>
      <c r="N3086" s="3"/>
      <c r="O3086" s="3"/>
      <c r="P3086" s="3"/>
      <c r="Q3086" s="3"/>
    </row>
    <row r="3087" spans="2:17" x14ac:dyDescent="0.2">
      <c r="B3087" s="3"/>
      <c r="F3087" s="3"/>
      <c r="G3087" s="3"/>
      <c r="I3087" s="3"/>
      <c r="J3087" s="3"/>
      <c r="K3087" s="3"/>
      <c r="L3087" s="3"/>
      <c r="M3087" s="3"/>
      <c r="N3087" s="3"/>
      <c r="O3087" s="3"/>
      <c r="P3087" s="3"/>
      <c r="Q3087" s="3"/>
    </row>
    <row r="3088" spans="2:17" x14ac:dyDescent="0.2">
      <c r="B3088" s="3"/>
      <c r="F3088" s="3"/>
      <c r="G3088" s="3"/>
      <c r="I3088" s="3"/>
      <c r="J3088" s="3"/>
      <c r="K3088" s="3"/>
      <c r="L3088" s="3"/>
      <c r="M3088" s="3"/>
      <c r="N3088" s="3"/>
      <c r="O3088" s="3"/>
      <c r="P3088" s="3"/>
      <c r="Q3088" s="3"/>
    </row>
    <row r="3089" spans="2:17" x14ac:dyDescent="0.2">
      <c r="B3089" s="3"/>
      <c r="F3089" s="3"/>
      <c r="G3089" s="3"/>
      <c r="I3089" s="3"/>
      <c r="J3089" s="3"/>
      <c r="K3089" s="3"/>
      <c r="L3089" s="3"/>
      <c r="M3089" s="3"/>
      <c r="N3089" s="3"/>
      <c r="O3089" s="3"/>
      <c r="P3089" s="3"/>
      <c r="Q3089" s="3"/>
    </row>
    <row r="3090" spans="2:17" x14ac:dyDescent="0.2">
      <c r="B3090" s="3"/>
      <c r="F3090" s="3"/>
      <c r="G3090" s="3"/>
      <c r="I3090" s="3"/>
      <c r="J3090" s="3"/>
      <c r="K3090" s="3"/>
      <c r="L3090" s="3"/>
      <c r="M3090" s="3"/>
      <c r="N3090" s="3"/>
      <c r="O3090" s="3"/>
      <c r="P3090" s="3"/>
      <c r="Q3090" s="3"/>
    </row>
    <row r="3091" spans="2:17" x14ac:dyDescent="0.2">
      <c r="B3091" s="3"/>
      <c r="F3091" s="3"/>
      <c r="G3091" s="3"/>
      <c r="I3091" s="3"/>
      <c r="J3091" s="3"/>
      <c r="K3091" s="3"/>
      <c r="L3091" s="3"/>
      <c r="M3091" s="3"/>
      <c r="N3091" s="3"/>
      <c r="O3091" s="3"/>
      <c r="P3091" s="3"/>
      <c r="Q3091" s="3"/>
    </row>
    <row r="3092" spans="2:17" x14ac:dyDescent="0.2">
      <c r="B3092" s="3"/>
      <c r="F3092" s="3"/>
      <c r="G3092" s="3"/>
      <c r="I3092" s="3"/>
      <c r="J3092" s="3"/>
      <c r="K3092" s="3"/>
      <c r="L3092" s="3"/>
      <c r="M3092" s="3"/>
      <c r="N3092" s="3"/>
      <c r="O3092" s="3"/>
      <c r="P3092" s="3"/>
      <c r="Q3092" s="3"/>
    </row>
    <row r="3093" spans="2:17" x14ac:dyDescent="0.2">
      <c r="B3093" s="3"/>
      <c r="F3093" s="3"/>
      <c r="G3093" s="3"/>
      <c r="I3093" s="3"/>
      <c r="J3093" s="3"/>
      <c r="K3093" s="3"/>
      <c r="L3093" s="3"/>
      <c r="M3093" s="3"/>
      <c r="N3093" s="3"/>
      <c r="O3093" s="3"/>
      <c r="P3093" s="3"/>
      <c r="Q3093" s="3"/>
    </row>
    <row r="3094" spans="2:17" x14ac:dyDescent="0.2">
      <c r="B3094" s="3"/>
      <c r="F3094" s="3"/>
      <c r="G3094" s="3"/>
      <c r="I3094" s="3"/>
      <c r="J3094" s="3"/>
      <c r="K3094" s="3"/>
      <c r="L3094" s="3"/>
      <c r="M3094" s="3"/>
      <c r="N3094" s="3"/>
      <c r="O3094" s="3"/>
      <c r="P3094" s="3"/>
      <c r="Q3094" s="3"/>
    </row>
    <row r="3095" spans="2:17" x14ac:dyDescent="0.2">
      <c r="B3095" s="3"/>
      <c r="F3095" s="3"/>
      <c r="G3095" s="3"/>
      <c r="I3095" s="3"/>
      <c r="J3095" s="3"/>
      <c r="K3095" s="3"/>
      <c r="L3095" s="3"/>
      <c r="M3095" s="3"/>
      <c r="N3095" s="3"/>
      <c r="O3095" s="3"/>
      <c r="P3095" s="3"/>
      <c r="Q3095" s="3"/>
    </row>
    <row r="3096" spans="2:17" x14ac:dyDescent="0.2">
      <c r="B3096" s="3"/>
      <c r="F3096" s="3"/>
      <c r="G3096" s="3"/>
      <c r="I3096" s="3"/>
      <c r="J3096" s="3"/>
      <c r="K3096" s="3"/>
      <c r="L3096" s="3"/>
      <c r="M3096" s="3"/>
      <c r="N3096" s="3"/>
      <c r="O3096" s="3"/>
      <c r="P3096" s="3"/>
      <c r="Q3096" s="3"/>
    </row>
    <row r="3097" spans="2:17" x14ac:dyDescent="0.2">
      <c r="B3097" s="3"/>
      <c r="F3097" s="3"/>
      <c r="G3097" s="3"/>
      <c r="I3097" s="3"/>
      <c r="J3097" s="3"/>
      <c r="K3097" s="3"/>
      <c r="L3097" s="3"/>
      <c r="M3097" s="3"/>
      <c r="N3097" s="3"/>
      <c r="O3097" s="3"/>
      <c r="P3097" s="3"/>
      <c r="Q3097" s="3"/>
    </row>
    <row r="3098" spans="2:17" x14ac:dyDescent="0.2">
      <c r="B3098" s="3"/>
      <c r="F3098" s="3"/>
      <c r="G3098" s="3"/>
      <c r="I3098" s="3"/>
      <c r="J3098" s="3"/>
      <c r="K3098" s="3"/>
      <c r="L3098" s="3"/>
      <c r="M3098" s="3"/>
      <c r="N3098" s="3"/>
      <c r="O3098" s="3"/>
      <c r="P3098" s="3"/>
      <c r="Q3098" s="3"/>
    </row>
    <row r="3099" spans="2:17" x14ac:dyDescent="0.2">
      <c r="B3099" s="3"/>
      <c r="F3099" s="3"/>
      <c r="G3099" s="3"/>
      <c r="I3099" s="3"/>
      <c r="J3099" s="3"/>
      <c r="K3099" s="3"/>
      <c r="L3099" s="3"/>
      <c r="M3099" s="3"/>
      <c r="N3099" s="3"/>
      <c r="O3099" s="3"/>
      <c r="P3099" s="3"/>
      <c r="Q3099" s="3"/>
    </row>
    <row r="3100" spans="2:17" x14ac:dyDescent="0.2">
      <c r="B3100" s="3"/>
      <c r="F3100" s="3"/>
      <c r="G3100" s="3"/>
      <c r="I3100" s="3"/>
      <c r="J3100" s="3"/>
      <c r="K3100" s="3"/>
      <c r="L3100" s="3"/>
      <c r="M3100" s="3"/>
      <c r="N3100" s="3"/>
      <c r="O3100" s="3"/>
      <c r="P3100" s="3"/>
      <c r="Q3100" s="3"/>
    </row>
    <row r="3101" spans="2:17" x14ac:dyDescent="0.2">
      <c r="B3101" s="3"/>
      <c r="F3101" s="3"/>
      <c r="G3101" s="3"/>
      <c r="I3101" s="3"/>
      <c r="J3101" s="3"/>
      <c r="K3101" s="3"/>
      <c r="L3101" s="3"/>
      <c r="M3101" s="3"/>
      <c r="N3101" s="3"/>
      <c r="O3101" s="3"/>
      <c r="P3101" s="3"/>
      <c r="Q3101" s="3"/>
    </row>
    <row r="3102" spans="2:17" x14ac:dyDescent="0.2">
      <c r="B3102" s="3"/>
      <c r="F3102" s="3"/>
      <c r="G3102" s="3"/>
      <c r="I3102" s="3"/>
      <c r="J3102" s="3"/>
      <c r="K3102" s="3"/>
      <c r="L3102" s="3"/>
      <c r="M3102" s="3"/>
      <c r="N3102" s="3"/>
      <c r="O3102" s="3"/>
      <c r="P3102" s="3"/>
      <c r="Q3102" s="3"/>
    </row>
    <row r="3103" spans="2:17" x14ac:dyDescent="0.2">
      <c r="B3103" s="3"/>
      <c r="F3103" s="3"/>
      <c r="G3103" s="3"/>
      <c r="I3103" s="3"/>
      <c r="J3103" s="3"/>
      <c r="K3103" s="3"/>
      <c r="L3103" s="3"/>
      <c r="M3103" s="3"/>
      <c r="N3103" s="3"/>
      <c r="O3103" s="3"/>
      <c r="P3103" s="3"/>
      <c r="Q3103" s="3"/>
    </row>
    <row r="3104" spans="2:17" x14ac:dyDescent="0.2">
      <c r="B3104" s="3"/>
      <c r="F3104" s="3"/>
      <c r="G3104" s="3"/>
      <c r="I3104" s="3"/>
      <c r="J3104" s="3"/>
      <c r="K3104" s="3"/>
      <c r="L3104" s="3"/>
      <c r="M3104" s="3"/>
      <c r="N3104" s="3"/>
      <c r="O3104" s="3"/>
      <c r="P3104" s="3"/>
      <c r="Q3104" s="3"/>
    </row>
    <row r="3105" spans="2:17" x14ac:dyDescent="0.2">
      <c r="B3105" s="3"/>
      <c r="F3105" s="3"/>
      <c r="G3105" s="3"/>
      <c r="I3105" s="3"/>
      <c r="J3105" s="3"/>
      <c r="K3105" s="3"/>
      <c r="L3105" s="3"/>
      <c r="M3105" s="3"/>
      <c r="N3105" s="3"/>
      <c r="O3105" s="3"/>
      <c r="P3105" s="3"/>
      <c r="Q3105" s="3"/>
    </row>
    <row r="3106" spans="2:17" x14ac:dyDescent="0.2">
      <c r="B3106" s="3"/>
      <c r="F3106" s="3"/>
      <c r="G3106" s="3"/>
      <c r="I3106" s="3"/>
      <c r="J3106" s="3"/>
      <c r="K3106" s="3"/>
      <c r="L3106" s="3"/>
      <c r="M3106" s="3"/>
      <c r="N3106" s="3"/>
      <c r="O3106" s="3"/>
      <c r="P3106" s="3"/>
      <c r="Q3106" s="3"/>
    </row>
    <row r="3107" spans="2:17" x14ac:dyDescent="0.2">
      <c r="B3107" s="3"/>
      <c r="F3107" s="3"/>
      <c r="G3107" s="3"/>
      <c r="I3107" s="3"/>
      <c r="J3107" s="3"/>
      <c r="K3107" s="3"/>
      <c r="L3107" s="3"/>
      <c r="M3107" s="3"/>
      <c r="N3107" s="3"/>
      <c r="O3107" s="3"/>
      <c r="P3107" s="3"/>
      <c r="Q3107" s="3"/>
    </row>
    <row r="3108" spans="2:17" x14ac:dyDescent="0.2">
      <c r="B3108" s="3"/>
      <c r="F3108" s="3"/>
      <c r="G3108" s="3"/>
      <c r="I3108" s="3"/>
      <c r="J3108" s="3"/>
      <c r="K3108" s="3"/>
      <c r="L3108" s="3"/>
      <c r="M3108" s="3"/>
      <c r="N3108" s="3"/>
      <c r="O3108" s="3"/>
      <c r="P3108" s="3"/>
      <c r="Q3108" s="3"/>
    </row>
    <row r="3109" spans="2:17" x14ac:dyDescent="0.2">
      <c r="B3109" s="3"/>
      <c r="F3109" s="3"/>
      <c r="G3109" s="3"/>
      <c r="I3109" s="3"/>
      <c r="J3109" s="3"/>
      <c r="K3109" s="3"/>
      <c r="L3109" s="3"/>
      <c r="M3109" s="3"/>
      <c r="N3109" s="3"/>
      <c r="O3109" s="3"/>
      <c r="P3109" s="3"/>
      <c r="Q3109" s="3"/>
    </row>
    <row r="3110" spans="2:17" x14ac:dyDescent="0.2">
      <c r="B3110" s="3"/>
      <c r="F3110" s="3"/>
      <c r="G3110" s="3"/>
      <c r="I3110" s="3"/>
      <c r="J3110" s="3"/>
      <c r="K3110" s="3"/>
      <c r="L3110" s="3"/>
      <c r="M3110" s="3"/>
      <c r="N3110" s="3"/>
      <c r="O3110" s="3"/>
      <c r="P3110" s="3"/>
      <c r="Q3110" s="3"/>
    </row>
    <row r="3111" spans="2:17" x14ac:dyDescent="0.2">
      <c r="B3111" s="3"/>
      <c r="F3111" s="3"/>
      <c r="G3111" s="3"/>
      <c r="I3111" s="3"/>
      <c r="J3111" s="3"/>
      <c r="K3111" s="3"/>
      <c r="L3111" s="3"/>
      <c r="M3111" s="3"/>
      <c r="N3111" s="3"/>
      <c r="O3111" s="3"/>
      <c r="P3111" s="3"/>
      <c r="Q3111" s="3"/>
    </row>
    <row r="3112" spans="2:17" x14ac:dyDescent="0.2">
      <c r="B3112" s="3"/>
      <c r="F3112" s="3"/>
      <c r="G3112" s="3"/>
      <c r="I3112" s="3"/>
      <c r="J3112" s="3"/>
      <c r="K3112" s="3"/>
      <c r="L3112" s="3"/>
      <c r="M3112" s="3"/>
      <c r="N3112" s="3"/>
      <c r="O3112" s="3"/>
      <c r="P3112" s="3"/>
      <c r="Q3112" s="3"/>
    </row>
    <row r="3113" spans="2:17" x14ac:dyDescent="0.2">
      <c r="B3113" s="3"/>
      <c r="F3113" s="3"/>
      <c r="G3113" s="3"/>
      <c r="I3113" s="3"/>
      <c r="J3113" s="3"/>
      <c r="K3113" s="3"/>
      <c r="L3113" s="3"/>
      <c r="M3113" s="3"/>
      <c r="N3113" s="3"/>
      <c r="O3113" s="3"/>
      <c r="P3113" s="3"/>
      <c r="Q3113" s="3"/>
    </row>
    <row r="3114" spans="2:17" x14ac:dyDescent="0.2">
      <c r="B3114" s="3"/>
      <c r="F3114" s="3"/>
      <c r="G3114" s="3"/>
      <c r="I3114" s="3"/>
      <c r="J3114" s="3"/>
      <c r="K3114" s="3"/>
      <c r="L3114" s="3"/>
      <c r="M3114" s="3"/>
      <c r="N3114" s="3"/>
      <c r="O3114" s="3"/>
      <c r="P3114" s="3"/>
      <c r="Q3114" s="3"/>
    </row>
    <row r="3115" spans="2:17" x14ac:dyDescent="0.2">
      <c r="B3115" s="3"/>
      <c r="F3115" s="3"/>
      <c r="G3115" s="3"/>
      <c r="I3115" s="3"/>
      <c r="J3115" s="3"/>
      <c r="K3115" s="3"/>
      <c r="L3115" s="3"/>
      <c r="M3115" s="3"/>
      <c r="N3115" s="3"/>
      <c r="O3115" s="3"/>
      <c r="P3115" s="3"/>
      <c r="Q3115" s="3"/>
    </row>
    <row r="3116" spans="2:17" x14ac:dyDescent="0.2">
      <c r="B3116" s="3"/>
      <c r="F3116" s="3"/>
      <c r="G3116" s="3"/>
      <c r="I3116" s="3"/>
      <c r="J3116" s="3"/>
      <c r="K3116" s="3"/>
      <c r="L3116" s="3"/>
      <c r="M3116" s="3"/>
      <c r="N3116" s="3"/>
      <c r="O3116" s="3"/>
      <c r="P3116" s="3"/>
      <c r="Q3116" s="3"/>
    </row>
    <row r="3117" spans="2:17" x14ac:dyDescent="0.2">
      <c r="B3117" s="3"/>
      <c r="F3117" s="3"/>
      <c r="G3117" s="3"/>
      <c r="I3117" s="3"/>
      <c r="J3117" s="3"/>
      <c r="K3117" s="3"/>
      <c r="L3117" s="3"/>
      <c r="M3117" s="3"/>
      <c r="N3117" s="3"/>
      <c r="O3117" s="3"/>
      <c r="P3117" s="3"/>
      <c r="Q3117" s="3"/>
    </row>
    <row r="3118" spans="2:17" x14ac:dyDescent="0.2">
      <c r="B3118" s="3"/>
      <c r="F3118" s="3"/>
      <c r="G3118" s="3"/>
      <c r="I3118" s="3"/>
      <c r="J3118" s="3"/>
      <c r="K3118" s="3"/>
      <c r="L3118" s="3"/>
      <c r="M3118" s="3"/>
      <c r="N3118" s="3"/>
      <c r="O3118" s="3"/>
      <c r="P3118" s="3"/>
      <c r="Q3118" s="3"/>
    </row>
    <row r="3119" spans="2:17" x14ac:dyDescent="0.2">
      <c r="B3119" s="3"/>
      <c r="F3119" s="3"/>
      <c r="G3119" s="3"/>
      <c r="I3119" s="3"/>
      <c r="J3119" s="3"/>
      <c r="K3119" s="3"/>
      <c r="L3119" s="3"/>
      <c r="M3119" s="3"/>
      <c r="N3119" s="3"/>
      <c r="O3119" s="3"/>
      <c r="P3119" s="3"/>
      <c r="Q3119" s="3"/>
    </row>
    <row r="3120" spans="2:17" x14ac:dyDescent="0.2">
      <c r="B3120" s="3"/>
      <c r="F3120" s="3"/>
      <c r="G3120" s="3"/>
      <c r="I3120" s="3"/>
      <c r="J3120" s="3"/>
      <c r="K3120" s="3"/>
      <c r="L3120" s="3"/>
      <c r="M3120" s="3"/>
      <c r="N3120" s="3"/>
      <c r="O3120" s="3"/>
      <c r="P3120" s="3"/>
      <c r="Q3120" s="3"/>
    </row>
    <row r="3121" spans="2:17" x14ac:dyDescent="0.2">
      <c r="B3121" s="3"/>
      <c r="F3121" s="3"/>
      <c r="G3121" s="3"/>
      <c r="I3121" s="3"/>
      <c r="J3121" s="3"/>
      <c r="K3121" s="3"/>
      <c r="L3121" s="3"/>
      <c r="M3121" s="3"/>
      <c r="N3121" s="3"/>
      <c r="O3121" s="3"/>
      <c r="P3121" s="3"/>
      <c r="Q3121" s="3"/>
    </row>
    <row r="3122" spans="2:17" x14ac:dyDescent="0.2">
      <c r="B3122" s="3"/>
      <c r="F3122" s="3"/>
      <c r="G3122" s="3"/>
      <c r="I3122" s="3"/>
      <c r="J3122" s="3"/>
      <c r="K3122" s="3"/>
      <c r="L3122" s="3"/>
      <c r="M3122" s="3"/>
      <c r="N3122" s="3"/>
      <c r="O3122" s="3"/>
      <c r="P3122" s="3"/>
      <c r="Q3122" s="3"/>
    </row>
    <row r="3123" spans="2:17" x14ac:dyDescent="0.2">
      <c r="B3123" s="3"/>
      <c r="F3123" s="3"/>
      <c r="G3123" s="3"/>
      <c r="I3123" s="3"/>
      <c r="J3123" s="3"/>
      <c r="K3123" s="3"/>
      <c r="L3123" s="3"/>
      <c r="M3123" s="3"/>
      <c r="N3123" s="3"/>
      <c r="O3123" s="3"/>
      <c r="P3123" s="3"/>
      <c r="Q3123" s="3"/>
    </row>
    <row r="3124" spans="2:17" x14ac:dyDescent="0.2">
      <c r="B3124" s="3"/>
      <c r="F3124" s="3"/>
      <c r="G3124" s="3"/>
      <c r="I3124" s="3"/>
      <c r="J3124" s="3"/>
      <c r="K3124" s="3"/>
      <c r="L3124" s="3"/>
      <c r="M3124" s="3"/>
      <c r="N3124" s="3"/>
      <c r="O3124" s="3"/>
      <c r="P3124" s="3"/>
      <c r="Q3124" s="3"/>
    </row>
    <row r="3125" spans="2:17" x14ac:dyDescent="0.2">
      <c r="B3125" s="3"/>
      <c r="F3125" s="3"/>
      <c r="G3125" s="3"/>
      <c r="I3125" s="3"/>
      <c r="J3125" s="3"/>
      <c r="K3125" s="3"/>
      <c r="L3125" s="3"/>
      <c r="M3125" s="3"/>
      <c r="N3125" s="3"/>
      <c r="O3125" s="3"/>
      <c r="P3125" s="3"/>
      <c r="Q3125" s="3"/>
    </row>
    <row r="3126" spans="2:17" x14ac:dyDescent="0.2">
      <c r="B3126" s="3"/>
      <c r="F3126" s="3"/>
      <c r="G3126" s="3"/>
      <c r="I3126" s="3"/>
      <c r="J3126" s="3"/>
      <c r="K3126" s="3"/>
      <c r="L3126" s="3"/>
      <c r="M3126" s="3"/>
      <c r="N3126" s="3"/>
      <c r="O3126" s="3"/>
      <c r="P3126" s="3"/>
      <c r="Q3126" s="3"/>
    </row>
    <row r="3127" spans="2:17" x14ac:dyDescent="0.2">
      <c r="B3127" s="3"/>
      <c r="F3127" s="3"/>
      <c r="G3127" s="3"/>
      <c r="I3127" s="3"/>
      <c r="J3127" s="3"/>
      <c r="K3127" s="3"/>
      <c r="L3127" s="3"/>
      <c r="M3127" s="3"/>
      <c r="N3127" s="3"/>
      <c r="O3127" s="3"/>
      <c r="P3127" s="3"/>
      <c r="Q3127" s="3"/>
    </row>
    <row r="3128" spans="2:17" x14ac:dyDescent="0.2">
      <c r="B3128" s="3"/>
      <c r="F3128" s="3"/>
      <c r="G3128" s="3"/>
      <c r="I3128" s="3"/>
      <c r="J3128" s="3"/>
      <c r="K3128" s="3"/>
      <c r="L3128" s="3"/>
      <c r="M3128" s="3"/>
      <c r="N3128" s="3"/>
      <c r="O3128" s="3"/>
      <c r="P3128" s="3"/>
      <c r="Q3128" s="3"/>
    </row>
    <row r="3129" spans="2:17" x14ac:dyDescent="0.2">
      <c r="B3129" s="3"/>
      <c r="F3129" s="3"/>
      <c r="G3129" s="3"/>
      <c r="I3129" s="3"/>
      <c r="J3129" s="3"/>
      <c r="K3129" s="3"/>
      <c r="L3129" s="3"/>
      <c r="M3129" s="3"/>
      <c r="N3129" s="3"/>
      <c r="O3129" s="3"/>
      <c r="P3129" s="3"/>
      <c r="Q3129" s="3"/>
    </row>
    <row r="3130" spans="2:17" x14ac:dyDescent="0.2">
      <c r="B3130" s="3"/>
      <c r="F3130" s="3"/>
      <c r="G3130" s="3"/>
      <c r="I3130" s="3"/>
      <c r="J3130" s="3"/>
      <c r="K3130" s="3"/>
      <c r="L3130" s="3"/>
      <c r="M3130" s="3"/>
      <c r="N3130" s="3"/>
      <c r="O3130" s="3"/>
      <c r="P3130" s="3"/>
      <c r="Q3130" s="3"/>
    </row>
    <row r="3131" spans="2:17" x14ac:dyDescent="0.2">
      <c r="B3131" s="3"/>
      <c r="F3131" s="3"/>
      <c r="G3131" s="3"/>
      <c r="I3131" s="3"/>
      <c r="J3131" s="3"/>
      <c r="K3131" s="3"/>
      <c r="L3131" s="3"/>
      <c r="M3131" s="3"/>
      <c r="N3131" s="3"/>
      <c r="O3131" s="3"/>
      <c r="P3131" s="3"/>
      <c r="Q3131" s="3"/>
    </row>
    <row r="3132" spans="2:17" x14ac:dyDescent="0.2">
      <c r="B3132" s="3"/>
      <c r="F3132" s="3"/>
      <c r="G3132" s="3"/>
      <c r="I3132" s="3"/>
      <c r="J3132" s="3"/>
      <c r="K3132" s="3"/>
      <c r="L3132" s="3"/>
      <c r="M3132" s="3"/>
      <c r="N3132" s="3"/>
      <c r="O3132" s="3"/>
      <c r="P3132" s="3"/>
      <c r="Q3132" s="3"/>
    </row>
    <row r="3133" spans="2:17" x14ac:dyDescent="0.2">
      <c r="B3133" s="3"/>
      <c r="F3133" s="3"/>
      <c r="G3133" s="3"/>
      <c r="I3133" s="3"/>
      <c r="J3133" s="3"/>
      <c r="K3133" s="3"/>
      <c r="L3133" s="3"/>
      <c r="M3133" s="3"/>
      <c r="N3133" s="3"/>
      <c r="O3133" s="3"/>
      <c r="P3133" s="3"/>
      <c r="Q3133" s="3"/>
    </row>
    <row r="3134" spans="2:17" x14ac:dyDescent="0.2">
      <c r="B3134" s="3"/>
      <c r="F3134" s="3"/>
      <c r="G3134" s="3"/>
      <c r="I3134" s="3"/>
      <c r="J3134" s="3"/>
      <c r="K3134" s="3"/>
      <c r="L3134" s="3"/>
      <c r="M3134" s="3"/>
      <c r="N3134" s="3"/>
      <c r="O3134" s="3"/>
      <c r="P3134" s="3"/>
      <c r="Q3134" s="3"/>
    </row>
    <row r="3135" spans="2:17" x14ac:dyDescent="0.2">
      <c r="B3135" s="3"/>
      <c r="F3135" s="3"/>
      <c r="G3135" s="3"/>
      <c r="I3135" s="3"/>
      <c r="J3135" s="3"/>
      <c r="K3135" s="3"/>
      <c r="L3135" s="3"/>
      <c r="M3135" s="3"/>
      <c r="N3135" s="3"/>
      <c r="O3135" s="3"/>
      <c r="P3135" s="3"/>
      <c r="Q3135" s="3"/>
    </row>
    <row r="3136" spans="2:17" x14ac:dyDescent="0.2">
      <c r="B3136" s="3"/>
      <c r="F3136" s="3"/>
      <c r="G3136" s="3"/>
      <c r="I3136" s="3"/>
      <c r="J3136" s="3"/>
      <c r="K3136" s="3"/>
      <c r="L3136" s="3"/>
      <c r="M3136" s="3"/>
      <c r="N3136" s="3"/>
      <c r="O3136" s="3"/>
      <c r="P3136" s="3"/>
      <c r="Q3136" s="3"/>
    </row>
    <row r="3137" spans="2:17" x14ac:dyDescent="0.2">
      <c r="B3137" s="3"/>
      <c r="F3137" s="3"/>
      <c r="G3137" s="3"/>
      <c r="I3137" s="3"/>
      <c r="J3137" s="3"/>
      <c r="K3137" s="3"/>
      <c r="L3137" s="3"/>
      <c r="M3137" s="3"/>
      <c r="N3137" s="3"/>
      <c r="O3137" s="3"/>
      <c r="P3137" s="3"/>
      <c r="Q3137" s="3"/>
    </row>
    <row r="3138" spans="2:17" x14ac:dyDescent="0.2">
      <c r="B3138" s="3"/>
      <c r="F3138" s="3"/>
      <c r="G3138" s="3"/>
      <c r="I3138" s="3"/>
      <c r="J3138" s="3"/>
      <c r="K3138" s="3"/>
      <c r="L3138" s="3"/>
      <c r="M3138" s="3"/>
      <c r="N3138" s="3"/>
      <c r="O3138" s="3"/>
      <c r="P3138" s="3"/>
      <c r="Q3138" s="3"/>
    </row>
    <row r="3139" spans="2:17" x14ac:dyDescent="0.2">
      <c r="B3139" s="3"/>
      <c r="F3139" s="3"/>
      <c r="G3139" s="3"/>
      <c r="I3139" s="3"/>
      <c r="J3139" s="3"/>
      <c r="K3139" s="3"/>
      <c r="L3139" s="3"/>
      <c r="M3139" s="3"/>
      <c r="N3139" s="3"/>
      <c r="O3139" s="3"/>
      <c r="P3139" s="3"/>
      <c r="Q3139" s="3"/>
    </row>
    <row r="3140" spans="2:17" x14ac:dyDescent="0.2">
      <c r="B3140" s="3"/>
      <c r="F3140" s="3"/>
      <c r="G3140" s="3"/>
      <c r="I3140" s="3"/>
      <c r="J3140" s="3"/>
      <c r="K3140" s="3"/>
      <c r="L3140" s="3"/>
      <c r="M3140" s="3"/>
      <c r="N3140" s="3"/>
      <c r="O3140" s="3"/>
      <c r="P3140" s="3"/>
      <c r="Q3140" s="3"/>
    </row>
    <row r="3141" spans="2:17" x14ac:dyDescent="0.2">
      <c r="B3141" s="3"/>
      <c r="F3141" s="3"/>
      <c r="G3141" s="3"/>
      <c r="I3141" s="3"/>
      <c r="J3141" s="3"/>
      <c r="K3141" s="3"/>
      <c r="L3141" s="3"/>
      <c r="M3141" s="3"/>
      <c r="N3141" s="3"/>
      <c r="O3141" s="3"/>
      <c r="P3141" s="3"/>
      <c r="Q3141" s="3"/>
    </row>
    <row r="3142" spans="2:17" x14ac:dyDescent="0.2">
      <c r="B3142" s="3"/>
      <c r="F3142" s="3"/>
      <c r="G3142" s="3"/>
      <c r="I3142" s="3"/>
      <c r="J3142" s="3"/>
      <c r="K3142" s="3"/>
      <c r="L3142" s="3"/>
      <c r="M3142" s="3"/>
      <c r="N3142" s="3"/>
      <c r="O3142" s="3"/>
      <c r="P3142" s="3"/>
      <c r="Q3142" s="3"/>
    </row>
    <row r="3143" spans="2:17" x14ac:dyDescent="0.2">
      <c r="B3143" s="3"/>
      <c r="F3143" s="3"/>
      <c r="G3143" s="3"/>
      <c r="I3143" s="3"/>
      <c r="J3143" s="3"/>
      <c r="K3143" s="3"/>
      <c r="L3143" s="3"/>
      <c r="M3143" s="3"/>
      <c r="N3143" s="3"/>
      <c r="O3143" s="3"/>
      <c r="P3143" s="3"/>
      <c r="Q3143" s="3"/>
    </row>
    <row r="3144" spans="2:17" x14ac:dyDescent="0.2">
      <c r="B3144" s="3"/>
      <c r="F3144" s="3"/>
      <c r="G3144" s="3"/>
      <c r="I3144" s="3"/>
      <c r="J3144" s="3"/>
      <c r="K3144" s="3"/>
      <c r="L3144" s="3"/>
      <c r="M3144" s="3"/>
      <c r="N3144" s="3"/>
      <c r="O3144" s="3"/>
      <c r="P3144" s="3"/>
      <c r="Q3144" s="3"/>
    </row>
    <row r="3145" spans="2:17" x14ac:dyDescent="0.2">
      <c r="B3145" s="3"/>
      <c r="F3145" s="3"/>
      <c r="G3145" s="3"/>
      <c r="I3145" s="3"/>
      <c r="J3145" s="3"/>
      <c r="K3145" s="3"/>
      <c r="L3145" s="3"/>
      <c r="M3145" s="3"/>
      <c r="N3145" s="3"/>
      <c r="O3145" s="3"/>
      <c r="P3145" s="3"/>
      <c r="Q3145" s="3"/>
    </row>
    <row r="3146" spans="2:17" x14ac:dyDescent="0.2">
      <c r="B3146" s="3"/>
      <c r="F3146" s="3"/>
      <c r="G3146" s="3"/>
      <c r="I3146" s="3"/>
      <c r="J3146" s="3"/>
      <c r="K3146" s="3"/>
      <c r="L3146" s="3"/>
      <c r="M3146" s="3"/>
      <c r="N3146" s="3"/>
      <c r="O3146" s="3"/>
      <c r="P3146" s="3"/>
      <c r="Q3146" s="3"/>
    </row>
    <row r="3147" spans="2:17" x14ac:dyDescent="0.2">
      <c r="B3147" s="3"/>
      <c r="F3147" s="3"/>
      <c r="G3147" s="3"/>
      <c r="I3147" s="3"/>
      <c r="J3147" s="3"/>
      <c r="K3147" s="3"/>
      <c r="L3147" s="3"/>
      <c r="M3147" s="3"/>
      <c r="N3147" s="3"/>
      <c r="O3147" s="3"/>
      <c r="P3147" s="3"/>
      <c r="Q3147" s="3"/>
    </row>
    <row r="3148" spans="2:17" x14ac:dyDescent="0.2">
      <c r="B3148" s="3"/>
      <c r="F3148" s="3"/>
      <c r="G3148" s="3"/>
      <c r="I3148" s="3"/>
      <c r="J3148" s="3"/>
      <c r="K3148" s="3"/>
      <c r="L3148" s="3"/>
      <c r="M3148" s="3"/>
      <c r="N3148" s="3"/>
      <c r="O3148" s="3"/>
      <c r="P3148" s="3"/>
      <c r="Q3148" s="3"/>
    </row>
    <row r="3149" spans="2:17" x14ac:dyDescent="0.2">
      <c r="B3149" s="3"/>
      <c r="F3149" s="3"/>
      <c r="G3149" s="3"/>
      <c r="I3149" s="3"/>
      <c r="J3149" s="3"/>
      <c r="K3149" s="3"/>
      <c r="L3149" s="3"/>
      <c r="M3149" s="3"/>
      <c r="N3149" s="3"/>
      <c r="O3149" s="3"/>
      <c r="P3149" s="3"/>
      <c r="Q3149" s="3"/>
    </row>
    <row r="3150" spans="2:17" x14ac:dyDescent="0.2">
      <c r="B3150" s="3"/>
      <c r="F3150" s="3"/>
      <c r="G3150" s="3"/>
      <c r="I3150" s="3"/>
      <c r="J3150" s="3"/>
      <c r="K3150" s="3"/>
      <c r="L3150" s="3"/>
      <c r="M3150" s="3"/>
      <c r="N3150" s="3"/>
      <c r="O3150" s="3"/>
      <c r="P3150" s="3"/>
      <c r="Q3150" s="3"/>
    </row>
    <row r="3151" spans="2:17" x14ac:dyDescent="0.2">
      <c r="B3151" s="3"/>
      <c r="F3151" s="3"/>
      <c r="G3151" s="3"/>
      <c r="I3151" s="3"/>
      <c r="J3151" s="3"/>
      <c r="K3151" s="3"/>
      <c r="L3151" s="3"/>
      <c r="M3151" s="3"/>
      <c r="N3151" s="3"/>
      <c r="O3151" s="3"/>
      <c r="P3151" s="3"/>
      <c r="Q3151" s="3"/>
    </row>
    <row r="3152" spans="2:17" x14ac:dyDescent="0.2">
      <c r="B3152" s="3"/>
      <c r="F3152" s="3"/>
      <c r="G3152" s="3"/>
      <c r="I3152" s="3"/>
      <c r="J3152" s="3"/>
      <c r="K3152" s="3"/>
      <c r="L3152" s="3"/>
      <c r="M3152" s="3"/>
      <c r="N3152" s="3"/>
      <c r="O3152" s="3"/>
      <c r="P3152" s="3"/>
      <c r="Q3152" s="3"/>
    </row>
    <row r="3153" spans="2:17" x14ac:dyDescent="0.2">
      <c r="B3153" s="3"/>
      <c r="F3153" s="3"/>
      <c r="G3153" s="3"/>
      <c r="I3153" s="3"/>
      <c r="J3153" s="3"/>
      <c r="K3153" s="3"/>
      <c r="L3153" s="3"/>
      <c r="M3153" s="3"/>
      <c r="N3153" s="3"/>
      <c r="O3153" s="3"/>
      <c r="P3153" s="3"/>
      <c r="Q3153" s="3"/>
    </row>
    <row r="3154" spans="2:17" x14ac:dyDescent="0.2">
      <c r="B3154" s="3"/>
      <c r="F3154" s="3"/>
      <c r="G3154" s="3"/>
      <c r="I3154" s="3"/>
      <c r="J3154" s="3"/>
      <c r="K3154" s="3"/>
      <c r="L3154" s="3"/>
      <c r="M3154" s="3"/>
      <c r="N3154" s="3"/>
      <c r="O3154" s="3"/>
      <c r="P3154" s="3"/>
      <c r="Q3154" s="3"/>
    </row>
    <row r="3155" spans="2:17" x14ac:dyDescent="0.2">
      <c r="B3155" s="3"/>
      <c r="F3155" s="3"/>
      <c r="G3155" s="3"/>
      <c r="I3155" s="3"/>
      <c r="J3155" s="3"/>
      <c r="K3155" s="3"/>
      <c r="L3155" s="3"/>
      <c r="M3155" s="3"/>
      <c r="N3155" s="3"/>
      <c r="O3155" s="3"/>
      <c r="P3155" s="3"/>
      <c r="Q3155" s="3"/>
    </row>
    <row r="3156" spans="2:17" x14ac:dyDescent="0.2">
      <c r="B3156" s="3"/>
      <c r="F3156" s="3"/>
      <c r="G3156" s="3"/>
      <c r="I3156" s="3"/>
      <c r="J3156" s="3"/>
      <c r="K3156" s="3"/>
      <c r="L3156" s="3"/>
      <c r="M3156" s="3"/>
      <c r="N3156" s="3"/>
      <c r="O3156" s="3"/>
      <c r="P3156" s="3"/>
      <c r="Q3156" s="3"/>
    </row>
    <row r="3157" spans="2:17" x14ac:dyDescent="0.2">
      <c r="B3157" s="3"/>
      <c r="F3157" s="3"/>
      <c r="G3157" s="3"/>
      <c r="I3157" s="3"/>
      <c r="J3157" s="3"/>
      <c r="K3157" s="3"/>
      <c r="L3157" s="3"/>
      <c r="M3157" s="3"/>
      <c r="N3157" s="3"/>
      <c r="O3157" s="3"/>
      <c r="P3157" s="3"/>
      <c r="Q3157" s="3"/>
    </row>
    <row r="3158" spans="2:17" x14ac:dyDescent="0.2">
      <c r="B3158" s="3"/>
      <c r="F3158" s="3"/>
      <c r="G3158" s="3"/>
      <c r="I3158" s="3"/>
      <c r="J3158" s="3"/>
      <c r="K3158" s="3"/>
      <c r="L3158" s="3"/>
      <c r="M3158" s="3"/>
      <c r="N3158" s="3"/>
      <c r="O3158" s="3"/>
      <c r="P3158" s="3"/>
      <c r="Q3158" s="3"/>
    </row>
    <row r="3159" spans="2:17" x14ac:dyDescent="0.2">
      <c r="B3159" s="3"/>
      <c r="F3159" s="3"/>
      <c r="G3159" s="3"/>
      <c r="I3159" s="3"/>
      <c r="J3159" s="3"/>
      <c r="K3159" s="3"/>
      <c r="L3159" s="3"/>
      <c r="M3159" s="3"/>
      <c r="N3159" s="3"/>
      <c r="O3159" s="3"/>
      <c r="P3159" s="3"/>
      <c r="Q3159" s="3"/>
    </row>
    <row r="3160" spans="2:17" x14ac:dyDescent="0.2">
      <c r="B3160" s="3"/>
      <c r="F3160" s="3"/>
      <c r="G3160" s="3"/>
      <c r="I3160" s="3"/>
      <c r="J3160" s="3"/>
      <c r="K3160" s="3"/>
      <c r="L3160" s="3"/>
      <c r="M3160" s="3"/>
      <c r="N3160" s="3"/>
      <c r="O3160" s="3"/>
      <c r="P3160" s="3"/>
      <c r="Q3160" s="3"/>
    </row>
    <row r="3161" spans="2:17" x14ac:dyDescent="0.2">
      <c r="B3161" s="3"/>
      <c r="F3161" s="3"/>
      <c r="G3161" s="3"/>
      <c r="I3161" s="3"/>
      <c r="J3161" s="3"/>
      <c r="K3161" s="3"/>
      <c r="L3161" s="3"/>
      <c r="M3161" s="3"/>
      <c r="N3161" s="3"/>
      <c r="O3161" s="3"/>
      <c r="P3161" s="3"/>
      <c r="Q3161" s="3"/>
    </row>
    <row r="3162" spans="2:17" x14ac:dyDescent="0.2">
      <c r="B3162" s="3"/>
      <c r="F3162" s="3"/>
      <c r="G3162" s="3"/>
      <c r="I3162" s="3"/>
      <c r="J3162" s="3"/>
      <c r="K3162" s="3"/>
      <c r="L3162" s="3"/>
      <c r="M3162" s="3"/>
      <c r="N3162" s="3"/>
      <c r="O3162" s="3"/>
      <c r="P3162" s="3"/>
      <c r="Q3162" s="3"/>
    </row>
    <row r="3163" spans="2:17" x14ac:dyDescent="0.2">
      <c r="B3163" s="3"/>
      <c r="F3163" s="3"/>
      <c r="G3163" s="3"/>
      <c r="I3163" s="3"/>
      <c r="J3163" s="3"/>
      <c r="K3163" s="3"/>
      <c r="L3163" s="3"/>
      <c r="M3163" s="3"/>
      <c r="N3163" s="3"/>
      <c r="O3163" s="3"/>
      <c r="P3163" s="3"/>
      <c r="Q3163" s="3"/>
    </row>
    <row r="3164" spans="2:17" x14ac:dyDescent="0.2">
      <c r="B3164" s="3"/>
      <c r="F3164" s="3"/>
      <c r="G3164" s="3"/>
      <c r="I3164" s="3"/>
      <c r="J3164" s="3"/>
      <c r="K3164" s="3"/>
      <c r="L3164" s="3"/>
      <c r="M3164" s="3"/>
      <c r="N3164" s="3"/>
      <c r="O3164" s="3"/>
      <c r="P3164" s="3"/>
      <c r="Q3164" s="3"/>
    </row>
    <row r="3165" spans="2:17" x14ac:dyDescent="0.2">
      <c r="B3165" s="3"/>
      <c r="F3165" s="3"/>
      <c r="G3165" s="3"/>
      <c r="I3165" s="3"/>
      <c r="J3165" s="3"/>
      <c r="K3165" s="3"/>
      <c r="L3165" s="3"/>
      <c r="M3165" s="3"/>
      <c r="N3165" s="3"/>
      <c r="O3165" s="3"/>
      <c r="P3165" s="3"/>
      <c r="Q3165" s="3"/>
    </row>
    <row r="3166" spans="2:17" x14ac:dyDescent="0.2">
      <c r="B3166" s="3"/>
      <c r="F3166" s="3"/>
      <c r="G3166" s="3"/>
      <c r="I3166" s="3"/>
      <c r="J3166" s="3"/>
      <c r="K3166" s="3"/>
      <c r="L3166" s="3"/>
      <c r="M3166" s="3"/>
      <c r="N3166" s="3"/>
      <c r="O3166" s="3"/>
      <c r="P3166" s="3"/>
      <c r="Q3166" s="3"/>
    </row>
    <row r="3167" spans="2:17" x14ac:dyDescent="0.2">
      <c r="B3167" s="3"/>
      <c r="F3167" s="3"/>
      <c r="G3167" s="3"/>
      <c r="I3167" s="3"/>
      <c r="J3167" s="3"/>
      <c r="K3167" s="3"/>
      <c r="L3167" s="3"/>
      <c r="M3167" s="3"/>
      <c r="N3167" s="3"/>
      <c r="O3167" s="3"/>
      <c r="P3167" s="3"/>
      <c r="Q3167" s="3"/>
    </row>
    <row r="3168" spans="2:17" x14ac:dyDescent="0.2">
      <c r="B3168" s="3"/>
      <c r="F3168" s="3"/>
      <c r="G3168" s="3"/>
      <c r="I3168" s="3"/>
      <c r="J3168" s="3"/>
      <c r="K3168" s="3"/>
      <c r="L3168" s="3"/>
      <c r="M3168" s="3"/>
      <c r="N3168" s="3"/>
      <c r="O3168" s="3"/>
      <c r="P3168" s="3"/>
      <c r="Q3168" s="3"/>
    </row>
    <row r="3169" spans="2:17" x14ac:dyDescent="0.2">
      <c r="B3169" s="3"/>
      <c r="F3169" s="3"/>
      <c r="G3169" s="3"/>
      <c r="I3169" s="3"/>
      <c r="J3169" s="3"/>
      <c r="K3169" s="3"/>
      <c r="L3169" s="3"/>
      <c r="M3169" s="3"/>
      <c r="N3169" s="3"/>
      <c r="O3169" s="3"/>
      <c r="P3169" s="3"/>
      <c r="Q3169" s="3"/>
    </row>
    <row r="3170" spans="2:17" x14ac:dyDescent="0.2">
      <c r="B3170" s="3"/>
      <c r="F3170" s="3"/>
      <c r="G3170" s="3"/>
      <c r="I3170" s="3"/>
      <c r="J3170" s="3"/>
      <c r="K3170" s="3"/>
      <c r="L3170" s="3"/>
      <c r="M3170" s="3"/>
      <c r="N3170" s="3"/>
      <c r="O3170" s="3"/>
      <c r="P3170" s="3"/>
      <c r="Q3170" s="3"/>
    </row>
    <row r="3171" spans="2:17" x14ac:dyDescent="0.2">
      <c r="B3171" s="3"/>
      <c r="F3171" s="3"/>
      <c r="G3171" s="3"/>
      <c r="I3171" s="3"/>
      <c r="J3171" s="3"/>
      <c r="K3171" s="3"/>
      <c r="L3171" s="3"/>
      <c r="M3171" s="3"/>
      <c r="N3171" s="3"/>
      <c r="O3171" s="3"/>
      <c r="P3171" s="3"/>
      <c r="Q3171" s="3"/>
    </row>
    <row r="3172" spans="2:17" x14ac:dyDescent="0.2">
      <c r="B3172" s="3"/>
      <c r="F3172" s="3"/>
      <c r="G3172" s="3"/>
      <c r="I3172" s="3"/>
      <c r="J3172" s="3"/>
      <c r="K3172" s="3"/>
      <c r="L3172" s="3"/>
      <c r="M3172" s="3"/>
      <c r="N3172" s="3"/>
      <c r="O3172" s="3"/>
      <c r="P3172" s="3"/>
      <c r="Q3172" s="3"/>
    </row>
    <row r="3173" spans="2:17" x14ac:dyDescent="0.2">
      <c r="B3173" s="3"/>
      <c r="F3173" s="3"/>
      <c r="G3173" s="3"/>
      <c r="I3173" s="3"/>
      <c r="J3173" s="3"/>
      <c r="K3173" s="3"/>
      <c r="L3173" s="3"/>
      <c r="M3173" s="3"/>
      <c r="N3173" s="3"/>
      <c r="O3173" s="3"/>
      <c r="P3173" s="3"/>
      <c r="Q3173" s="3"/>
    </row>
    <row r="3174" spans="2:17" x14ac:dyDescent="0.2">
      <c r="B3174" s="3"/>
      <c r="F3174" s="3"/>
      <c r="G3174" s="3"/>
      <c r="I3174" s="3"/>
      <c r="J3174" s="3"/>
      <c r="K3174" s="3"/>
      <c r="L3174" s="3"/>
      <c r="M3174" s="3"/>
      <c r="N3174" s="3"/>
      <c r="O3174" s="3"/>
      <c r="P3174" s="3"/>
      <c r="Q3174" s="3"/>
    </row>
    <row r="3175" spans="2:17" x14ac:dyDescent="0.2">
      <c r="B3175" s="3"/>
      <c r="F3175" s="3"/>
      <c r="G3175" s="3"/>
      <c r="I3175" s="3"/>
      <c r="J3175" s="3"/>
      <c r="K3175" s="3"/>
      <c r="L3175" s="3"/>
      <c r="M3175" s="3"/>
      <c r="N3175" s="3"/>
      <c r="O3175" s="3"/>
      <c r="P3175" s="3"/>
      <c r="Q3175" s="3"/>
    </row>
    <row r="3176" spans="2:17" x14ac:dyDescent="0.2">
      <c r="B3176" s="3"/>
      <c r="F3176" s="3"/>
      <c r="G3176" s="3"/>
      <c r="I3176" s="3"/>
      <c r="J3176" s="3"/>
      <c r="K3176" s="3"/>
      <c r="L3176" s="3"/>
      <c r="M3176" s="3"/>
      <c r="N3176" s="3"/>
      <c r="O3176" s="3"/>
      <c r="P3176" s="3"/>
      <c r="Q3176" s="3"/>
    </row>
    <row r="3177" spans="2:17" x14ac:dyDescent="0.2">
      <c r="B3177" s="3"/>
      <c r="F3177" s="3"/>
      <c r="G3177" s="3"/>
      <c r="I3177" s="3"/>
      <c r="J3177" s="3"/>
      <c r="K3177" s="3"/>
      <c r="L3177" s="3"/>
      <c r="M3177" s="3"/>
      <c r="N3177" s="3"/>
      <c r="O3177" s="3"/>
      <c r="P3177" s="3"/>
      <c r="Q3177" s="3"/>
    </row>
    <row r="3178" spans="2:17" x14ac:dyDescent="0.2">
      <c r="B3178" s="3"/>
      <c r="F3178" s="3"/>
      <c r="G3178" s="3"/>
      <c r="I3178" s="3"/>
      <c r="J3178" s="3"/>
      <c r="K3178" s="3"/>
      <c r="L3178" s="3"/>
      <c r="M3178" s="3"/>
      <c r="N3178" s="3"/>
      <c r="O3178" s="3"/>
      <c r="P3178" s="3"/>
      <c r="Q3178" s="3"/>
    </row>
    <row r="3179" spans="2:17" x14ac:dyDescent="0.2">
      <c r="B3179" s="3"/>
      <c r="F3179" s="3"/>
      <c r="G3179" s="3"/>
      <c r="I3179" s="3"/>
      <c r="J3179" s="3"/>
      <c r="K3179" s="3"/>
      <c r="L3179" s="3"/>
      <c r="M3179" s="3"/>
      <c r="N3179" s="3"/>
      <c r="O3179" s="3"/>
      <c r="P3179" s="3"/>
      <c r="Q3179" s="3"/>
    </row>
    <row r="3180" spans="2:17" x14ac:dyDescent="0.2">
      <c r="B3180" s="3"/>
      <c r="F3180" s="3"/>
      <c r="G3180" s="3"/>
      <c r="I3180" s="3"/>
      <c r="J3180" s="3"/>
      <c r="K3180" s="3"/>
      <c r="L3180" s="3"/>
      <c r="M3180" s="3"/>
      <c r="N3180" s="3"/>
      <c r="O3180" s="3"/>
      <c r="P3180" s="3"/>
      <c r="Q3180" s="3"/>
    </row>
    <row r="3181" spans="2:17" x14ac:dyDescent="0.2">
      <c r="B3181" s="3"/>
      <c r="F3181" s="3"/>
      <c r="G3181" s="3"/>
      <c r="I3181" s="3"/>
      <c r="J3181" s="3"/>
      <c r="K3181" s="3"/>
      <c r="L3181" s="3"/>
      <c r="M3181" s="3"/>
      <c r="N3181" s="3"/>
      <c r="O3181" s="3"/>
      <c r="P3181" s="3"/>
      <c r="Q3181" s="3"/>
    </row>
    <row r="3182" spans="2:17" x14ac:dyDescent="0.2">
      <c r="B3182" s="3"/>
      <c r="F3182" s="3"/>
      <c r="G3182" s="3"/>
      <c r="I3182" s="3"/>
      <c r="J3182" s="3"/>
      <c r="K3182" s="3"/>
      <c r="L3182" s="3"/>
      <c r="M3182" s="3"/>
      <c r="N3182" s="3"/>
      <c r="O3182" s="3"/>
      <c r="P3182" s="3"/>
      <c r="Q3182" s="3"/>
    </row>
    <row r="3183" spans="2:17" x14ac:dyDescent="0.2">
      <c r="B3183" s="3"/>
      <c r="F3183" s="3"/>
      <c r="G3183" s="3"/>
      <c r="I3183" s="3"/>
      <c r="J3183" s="3"/>
      <c r="K3183" s="3"/>
      <c r="L3183" s="3"/>
      <c r="M3183" s="3"/>
      <c r="N3183" s="3"/>
      <c r="O3183" s="3"/>
      <c r="P3183" s="3"/>
      <c r="Q3183" s="3"/>
    </row>
    <row r="3184" spans="2:17" x14ac:dyDescent="0.2">
      <c r="B3184" s="3"/>
      <c r="F3184" s="3"/>
      <c r="G3184" s="3"/>
      <c r="I3184" s="3"/>
      <c r="J3184" s="3"/>
      <c r="K3184" s="3"/>
      <c r="L3184" s="3"/>
      <c r="M3184" s="3"/>
      <c r="N3184" s="3"/>
      <c r="O3184" s="3"/>
      <c r="P3184" s="3"/>
      <c r="Q3184" s="3"/>
    </row>
    <row r="3185" spans="2:17" x14ac:dyDescent="0.2">
      <c r="B3185" s="3"/>
      <c r="F3185" s="3"/>
      <c r="G3185" s="3"/>
      <c r="I3185" s="3"/>
      <c r="J3185" s="3"/>
      <c r="K3185" s="3"/>
      <c r="L3185" s="3"/>
      <c r="M3185" s="3"/>
      <c r="N3185" s="3"/>
      <c r="O3185" s="3"/>
      <c r="P3185" s="3"/>
      <c r="Q3185" s="3"/>
    </row>
    <row r="3186" spans="2:17" x14ac:dyDescent="0.2">
      <c r="B3186" s="3"/>
      <c r="F3186" s="3"/>
      <c r="G3186" s="3"/>
      <c r="I3186" s="3"/>
      <c r="J3186" s="3"/>
      <c r="K3186" s="3"/>
      <c r="L3186" s="3"/>
      <c r="M3186" s="3"/>
      <c r="N3186" s="3"/>
      <c r="O3186" s="3"/>
      <c r="P3186" s="3"/>
      <c r="Q3186" s="3"/>
    </row>
    <row r="3187" spans="2:17" x14ac:dyDescent="0.2">
      <c r="B3187" s="3"/>
      <c r="F3187" s="3"/>
      <c r="G3187" s="3"/>
      <c r="I3187" s="3"/>
      <c r="J3187" s="3"/>
      <c r="K3187" s="3"/>
      <c r="L3187" s="3"/>
      <c r="M3187" s="3"/>
      <c r="N3187" s="3"/>
      <c r="O3187" s="3"/>
      <c r="P3187" s="3"/>
      <c r="Q3187" s="3"/>
    </row>
    <row r="3188" spans="2:17" x14ac:dyDescent="0.2">
      <c r="B3188" s="3"/>
      <c r="F3188" s="3"/>
      <c r="G3188" s="3"/>
      <c r="I3188" s="3"/>
      <c r="J3188" s="3"/>
      <c r="K3188" s="3"/>
      <c r="L3188" s="3"/>
      <c r="M3188" s="3"/>
      <c r="N3188" s="3"/>
      <c r="O3188" s="3"/>
      <c r="P3188" s="3"/>
      <c r="Q3188" s="3"/>
    </row>
    <row r="3189" spans="2:17" x14ac:dyDescent="0.2">
      <c r="B3189" s="3"/>
      <c r="F3189" s="3"/>
      <c r="G3189" s="3"/>
      <c r="I3189" s="3"/>
      <c r="J3189" s="3"/>
      <c r="K3189" s="3"/>
      <c r="L3189" s="3"/>
      <c r="M3189" s="3"/>
      <c r="N3189" s="3"/>
      <c r="O3189" s="3"/>
      <c r="P3189" s="3"/>
      <c r="Q3189" s="3"/>
    </row>
    <row r="3190" spans="2:17" x14ac:dyDescent="0.2">
      <c r="B3190" s="3"/>
      <c r="F3190" s="3"/>
      <c r="G3190" s="3"/>
      <c r="I3190" s="3"/>
      <c r="J3190" s="3"/>
      <c r="K3190" s="3"/>
      <c r="L3190" s="3"/>
      <c r="M3190" s="3"/>
      <c r="N3190" s="3"/>
      <c r="O3190" s="3"/>
      <c r="P3190" s="3"/>
      <c r="Q3190" s="3"/>
    </row>
    <row r="3191" spans="2:17" x14ac:dyDescent="0.2">
      <c r="B3191" s="3"/>
      <c r="F3191" s="3"/>
      <c r="G3191" s="3"/>
      <c r="I3191" s="3"/>
      <c r="J3191" s="3"/>
      <c r="K3191" s="3"/>
      <c r="L3191" s="3"/>
      <c r="M3191" s="3"/>
      <c r="N3191" s="3"/>
      <c r="O3191" s="3"/>
      <c r="P3191" s="3"/>
      <c r="Q3191" s="3"/>
    </row>
    <row r="3192" spans="2:17" x14ac:dyDescent="0.2">
      <c r="B3192" s="3"/>
      <c r="F3192" s="3"/>
      <c r="G3192" s="3"/>
      <c r="I3192" s="3"/>
      <c r="J3192" s="3"/>
      <c r="K3192" s="3"/>
      <c r="L3192" s="3"/>
      <c r="M3192" s="3"/>
      <c r="N3192" s="3"/>
      <c r="O3192" s="3"/>
      <c r="P3192" s="3"/>
      <c r="Q3192" s="3"/>
    </row>
    <row r="3193" spans="2:17" x14ac:dyDescent="0.2">
      <c r="B3193" s="3"/>
      <c r="F3193" s="3"/>
      <c r="G3193" s="3"/>
      <c r="I3193" s="3"/>
      <c r="J3193" s="3"/>
      <c r="K3193" s="3"/>
      <c r="L3193" s="3"/>
      <c r="M3193" s="3"/>
      <c r="N3193" s="3"/>
      <c r="O3193" s="3"/>
      <c r="P3193" s="3"/>
      <c r="Q3193" s="3"/>
    </row>
    <row r="3194" spans="2:17" x14ac:dyDescent="0.2">
      <c r="B3194" s="3"/>
      <c r="F3194" s="3"/>
      <c r="G3194" s="3"/>
      <c r="I3194" s="3"/>
      <c r="J3194" s="3"/>
      <c r="K3194" s="3"/>
      <c r="L3194" s="3"/>
      <c r="M3194" s="3"/>
      <c r="N3194" s="3"/>
      <c r="O3194" s="3"/>
      <c r="P3194" s="3"/>
      <c r="Q3194" s="3"/>
    </row>
    <row r="3195" spans="2:17" x14ac:dyDescent="0.2">
      <c r="B3195" s="3"/>
      <c r="F3195" s="3"/>
      <c r="G3195" s="3"/>
      <c r="I3195" s="3"/>
      <c r="J3195" s="3"/>
      <c r="K3195" s="3"/>
      <c r="L3195" s="3"/>
      <c r="M3195" s="3"/>
      <c r="N3195" s="3"/>
      <c r="O3195" s="3"/>
      <c r="P3195" s="3"/>
      <c r="Q3195" s="3"/>
    </row>
    <row r="3196" spans="2:17" x14ac:dyDescent="0.2">
      <c r="B3196" s="3"/>
      <c r="F3196" s="3"/>
      <c r="G3196" s="3"/>
      <c r="I3196" s="3"/>
      <c r="J3196" s="3"/>
      <c r="K3196" s="3"/>
      <c r="L3196" s="3"/>
      <c r="M3196" s="3"/>
      <c r="N3196" s="3"/>
      <c r="O3196" s="3"/>
      <c r="P3196" s="3"/>
      <c r="Q3196" s="3"/>
    </row>
    <row r="3197" spans="2:17" x14ac:dyDescent="0.2">
      <c r="B3197" s="3"/>
      <c r="F3197" s="3"/>
      <c r="G3197" s="3"/>
      <c r="I3197" s="3"/>
      <c r="J3197" s="3"/>
      <c r="K3197" s="3"/>
      <c r="L3197" s="3"/>
      <c r="M3197" s="3"/>
      <c r="N3197" s="3"/>
      <c r="O3197" s="3"/>
      <c r="P3197" s="3"/>
      <c r="Q3197" s="3"/>
    </row>
    <row r="3198" spans="2:17" x14ac:dyDescent="0.2">
      <c r="B3198" s="3"/>
      <c r="F3198" s="3"/>
      <c r="G3198" s="3"/>
      <c r="I3198" s="3"/>
      <c r="J3198" s="3"/>
      <c r="K3198" s="3"/>
      <c r="L3198" s="3"/>
      <c r="M3198" s="3"/>
      <c r="N3198" s="3"/>
      <c r="O3198" s="3"/>
      <c r="P3198" s="3"/>
      <c r="Q3198" s="3"/>
    </row>
    <row r="3199" spans="2:17" x14ac:dyDescent="0.2">
      <c r="B3199" s="3"/>
      <c r="F3199" s="3"/>
      <c r="G3199" s="3"/>
      <c r="I3199" s="3"/>
      <c r="J3199" s="3"/>
      <c r="K3199" s="3"/>
      <c r="L3199" s="3"/>
      <c r="M3199" s="3"/>
      <c r="N3199" s="3"/>
      <c r="O3199" s="3"/>
      <c r="P3199" s="3"/>
      <c r="Q3199" s="3"/>
    </row>
    <row r="3200" spans="2:17" x14ac:dyDescent="0.2">
      <c r="B3200" s="3"/>
      <c r="F3200" s="3"/>
      <c r="G3200" s="3"/>
      <c r="I3200" s="3"/>
      <c r="J3200" s="3"/>
      <c r="K3200" s="3"/>
      <c r="L3200" s="3"/>
      <c r="M3200" s="3"/>
      <c r="N3200" s="3"/>
      <c r="O3200" s="3"/>
      <c r="P3200" s="3"/>
      <c r="Q3200" s="3"/>
    </row>
    <row r="3201" spans="2:17" x14ac:dyDescent="0.2">
      <c r="B3201" s="3"/>
      <c r="F3201" s="3"/>
      <c r="G3201" s="3"/>
      <c r="I3201" s="3"/>
      <c r="J3201" s="3"/>
      <c r="K3201" s="3"/>
      <c r="L3201" s="3"/>
      <c r="M3201" s="3"/>
      <c r="N3201" s="3"/>
      <c r="O3201" s="3"/>
      <c r="P3201" s="3"/>
      <c r="Q3201" s="3"/>
    </row>
    <row r="3202" spans="2:17" x14ac:dyDescent="0.2">
      <c r="B3202" s="3"/>
      <c r="F3202" s="3"/>
      <c r="G3202" s="3"/>
      <c r="I3202" s="3"/>
      <c r="J3202" s="3"/>
      <c r="K3202" s="3"/>
      <c r="L3202" s="3"/>
      <c r="M3202" s="3"/>
      <c r="N3202" s="3"/>
      <c r="O3202" s="3"/>
      <c r="P3202" s="3"/>
      <c r="Q3202" s="3"/>
    </row>
    <row r="3203" spans="2:17" x14ac:dyDescent="0.2">
      <c r="B3203" s="3"/>
      <c r="F3203" s="3"/>
      <c r="G3203" s="3"/>
      <c r="I3203" s="3"/>
      <c r="J3203" s="3"/>
      <c r="K3203" s="3"/>
      <c r="L3203" s="3"/>
      <c r="M3203" s="3"/>
      <c r="N3203" s="3"/>
      <c r="O3203" s="3"/>
      <c r="P3203" s="3"/>
      <c r="Q3203" s="3"/>
    </row>
    <row r="3204" spans="2:17" x14ac:dyDescent="0.2">
      <c r="B3204" s="3"/>
      <c r="F3204" s="3"/>
      <c r="G3204" s="3"/>
      <c r="I3204" s="3"/>
      <c r="J3204" s="3"/>
      <c r="K3204" s="3"/>
      <c r="L3204" s="3"/>
      <c r="M3204" s="3"/>
      <c r="N3204" s="3"/>
      <c r="O3204" s="3"/>
      <c r="P3204" s="3"/>
      <c r="Q3204" s="3"/>
    </row>
    <row r="3205" spans="2:17" x14ac:dyDescent="0.2">
      <c r="B3205" s="3"/>
      <c r="F3205" s="3"/>
      <c r="G3205" s="3"/>
      <c r="I3205" s="3"/>
      <c r="J3205" s="3"/>
      <c r="K3205" s="3"/>
      <c r="L3205" s="3"/>
      <c r="M3205" s="3"/>
      <c r="N3205" s="3"/>
      <c r="O3205" s="3"/>
      <c r="P3205" s="3"/>
      <c r="Q3205" s="3"/>
    </row>
    <row r="3206" spans="2:17" x14ac:dyDescent="0.2">
      <c r="B3206" s="3"/>
      <c r="F3206" s="3"/>
      <c r="G3206" s="3"/>
      <c r="I3206" s="3"/>
      <c r="J3206" s="3"/>
      <c r="K3206" s="3"/>
      <c r="L3206" s="3"/>
      <c r="M3206" s="3"/>
      <c r="N3206" s="3"/>
      <c r="O3206" s="3"/>
      <c r="P3206" s="3"/>
      <c r="Q3206" s="3"/>
    </row>
    <row r="3207" spans="2:17" x14ac:dyDescent="0.2">
      <c r="B3207" s="3"/>
      <c r="F3207" s="3"/>
      <c r="G3207" s="3"/>
      <c r="I3207" s="3"/>
      <c r="J3207" s="3"/>
      <c r="K3207" s="3"/>
      <c r="L3207" s="3"/>
      <c r="M3207" s="3"/>
      <c r="N3207" s="3"/>
      <c r="O3207" s="3"/>
      <c r="P3207" s="3"/>
      <c r="Q3207" s="3"/>
    </row>
    <row r="3208" spans="2:17" x14ac:dyDescent="0.2">
      <c r="B3208" s="3"/>
      <c r="F3208" s="3"/>
      <c r="G3208" s="3"/>
      <c r="I3208" s="3"/>
      <c r="J3208" s="3"/>
      <c r="K3208" s="3"/>
      <c r="L3208" s="3"/>
      <c r="M3208" s="3"/>
      <c r="N3208" s="3"/>
      <c r="O3208" s="3"/>
      <c r="P3208" s="3"/>
      <c r="Q3208" s="3"/>
    </row>
    <row r="3209" spans="2:17" x14ac:dyDescent="0.2">
      <c r="B3209" s="3"/>
      <c r="F3209" s="3"/>
      <c r="G3209" s="3"/>
      <c r="I3209" s="3"/>
      <c r="J3209" s="3"/>
      <c r="K3209" s="3"/>
      <c r="L3209" s="3"/>
      <c r="M3209" s="3"/>
      <c r="N3209" s="3"/>
      <c r="O3209" s="3"/>
      <c r="P3209" s="3"/>
      <c r="Q3209" s="3"/>
    </row>
    <row r="3210" spans="2:17" x14ac:dyDescent="0.2">
      <c r="B3210" s="3"/>
      <c r="F3210" s="3"/>
      <c r="G3210" s="3"/>
      <c r="I3210" s="3"/>
      <c r="J3210" s="3"/>
      <c r="K3210" s="3"/>
      <c r="L3210" s="3"/>
      <c r="M3210" s="3"/>
      <c r="N3210" s="3"/>
      <c r="O3210" s="3"/>
      <c r="P3210" s="3"/>
      <c r="Q3210" s="3"/>
    </row>
    <row r="3211" spans="2:17" x14ac:dyDescent="0.2">
      <c r="B3211" s="3"/>
      <c r="F3211" s="3"/>
      <c r="G3211" s="3"/>
      <c r="I3211" s="3"/>
      <c r="J3211" s="3"/>
      <c r="K3211" s="3"/>
      <c r="L3211" s="3"/>
      <c r="M3211" s="3"/>
      <c r="N3211" s="3"/>
      <c r="O3211" s="3"/>
      <c r="P3211" s="3"/>
      <c r="Q3211" s="3"/>
    </row>
    <row r="3212" spans="2:17" x14ac:dyDescent="0.2">
      <c r="B3212" s="3"/>
      <c r="F3212" s="3"/>
      <c r="G3212" s="3"/>
      <c r="I3212" s="3"/>
      <c r="J3212" s="3"/>
      <c r="K3212" s="3"/>
      <c r="L3212" s="3"/>
      <c r="M3212" s="3"/>
      <c r="N3212" s="3"/>
      <c r="O3212" s="3"/>
      <c r="P3212" s="3"/>
      <c r="Q3212" s="3"/>
    </row>
    <row r="3213" spans="2:17" x14ac:dyDescent="0.2">
      <c r="B3213" s="3"/>
      <c r="F3213" s="3"/>
      <c r="G3213" s="3"/>
      <c r="I3213" s="3"/>
      <c r="J3213" s="3"/>
      <c r="K3213" s="3"/>
      <c r="L3213" s="3"/>
      <c r="M3213" s="3"/>
      <c r="N3213" s="3"/>
      <c r="O3213" s="3"/>
      <c r="P3213" s="3"/>
      <c r="Q3213" s="3"/>
    </row>
    <row r="3214" spans="2:17" x14ac:dyDescent="0.2">
      <c r="B3214" s="3"/>
      <c r="F3214" s="3"/>
      <c r="G3214" s="3"/>
      <c r="I3214" s="3"/>
      <c r="J3214" s="3"/>
      <c r="K3214" s="3"/>
      <c r="L3214" s="3"/>
      <c r="M3214" s="3"/>
      <c r="N3214" s="3"/>
      <c r="O3214" s="3"/>
      <c r="P3214" s="3"/>
      <c r="Q3214" s="3"/>
    </row>
    <row r="3215" spans="2:17" x14ac:dyDescent="0.2">
      <c r="B3215" s="3"/>
      <c r="F3215" s="3"/>
      <c r="G3215" s="3"/>
      <c r="I3215" s="3"/>
      <c r="J3215" s="3"/>
      <c r="K3215" s="3"/>
      <c r="L3215" s="3"/>
      <c r="M3215" s="3"/>
      <c r="N3215" s="3"/>
      <c r="O3215" s="3"/>
      <c r="P3215" s="3"/>
      <c r="Q3215" s="3"/>
    </row>
    <row r="3216" spans="2:17" x14ac:dyDescent="0.2">
      <c r="B3216" s="3"/>
      <c r="F3216" s="3"/>
      <c r="G3216" s="3"/>
      <c r="I3216" s="3"/>
      <c r="J3216" s="3"/>
      <c r="K3216" s="3"/>
      <c r="L3216" s="3"/>
      <c r="M3216" s="3"/>
      <c r="N3216" s="3"/>
      <c r="O3216" s="3"/>
      <c r="P3216" s="3"/>
      <c r="Q3216" s="3"/>
    </row>
    <row r="3217" spans="2:17" x14ac:dyDescent="0.2">
      <c r="B3217" s="3"/>
      <c r="F3217" s="3"/>
      <c r="G3217" s="3"/>
      <c r="I3217" s="3"/>
      <c r="J3217" s="3"/>
      <c r="K3217" s="3"/>
      <c r="L3217" s="3"/>
      <c r="M3217" s="3"/>
      <c r="N3217" s="3"/>
      <c r="O3217" s="3"/>
      <c r="P3217" s="3"/>
      <c r="Q3217" s="3"/>
    </row>
    <row r="3218" spans="2:17" x14ac:dyDescent="0.2">
      <c r="B3218" s="3"/>
      <c r="F3218" s="3"/>
      <c r="G3218" s="3"/>
      <c r="I3218" s="3"/>
      <c r="J3218" s="3"/>
      <c r="K3218" s="3"/>
      <c r="L3218" s="3"/>
      <c r="M3218" s="3"/>
      <c r="N3218" s="3"/>
      <c r="O3218" s="3"/>
      <c r="P3218" s="3"/>
      <c r="Q3218" s="3"/>
    </row>
    <row r="3219" spans="2:17" x14ac:dyDescent="0.2">
      <c r="B3219" s="3"/>
      <c r="F3219" s="3"/>
      <c r="G3219" s="3"/>
      <c r="I3219" s="3"/>
      <c r="J3219" s="3"/>
      <c r="K3219" s="3"/>
      <c r="L3219" s="3"/>
      <c r="M3219" s="3"/>
      <c r="N3219" s="3"/>
      <c r="O3219" s="3"/>
      <c r="P3219" s="3"/>
      <c r="Q3219" s="3"/>
    </row>
    <row r="3220" spans="2:17" x14ac:dyDescent="0.2">
      <c r="B3220" s="3"/>
      <c r="F3220" s="3"/>
      <c r="G3220" s="3"/>
      <c r="I3220" s="3"/>
      <c r="J3220" s="3"/>
      <c r="K3220" s="3"/>
      <c r="L3220" s="3"/>
      <c r="M3220" s="3"/>
      <c r="N3220" s="3"/>
      <c r="O3220" s="3"/>
      <c r="P3220" s="3"/>
      <c r="Q3220" s="3"/>
    </row>
    <row r="3221" spans="2:17" x14ac:dyDescent="0.2">
      <c r="B3221" s="3"/>
      <c r="F3221" s="3"/>
      <c r="G3221" s="3"/>
      <c r="I3221" s="3"/>
      <c r="J3221" s="3"/>
      <c r="K3221" s="3"/>
      <c r="L3221" s="3"/>
      <c r="M3221" s="3"/>
      <c r="N3221" s="3"/>
      <c r="O3221" s="3"/>
      <c r="P3221" s="3"/>
      <c r="Q3221" s="3"/>
    </row>
    <row r="3222" spans="2:17" x14ac:dyDescent="0.2">
      <c r="B3222" s="3"/>
      <c r="F3222" s="3"/>
      <c r="G3222" s="3"/>
      <c r="I3222" s="3"/>
      <c r="J3222" s="3"/>
      <c r="K3222" s="3"/>
      <c r="L3222" s="3"/>
      <c r="M3222" s="3"/>
      <c r="N3222" s="3"/>
      <c r="O3222" s="3"/>
      <c r="P3222" s="3"/>
      <c r="Q3222" s="3"/>
    </row>
    <row r="3223" spans="2:17" x14ac:dyDescent="0.2">
      <c r="B3223" s="3"/>
      <c r="F3223" s="3"/>
      <c r="G3223" s="3"/>
      <c r="I3223" s="3"/>
      <c r="J3223" s="3"/>
      <c r="K3223" s="3"/>
      <c r="L3223" s="3"/>
      <c r="M3223" s="3"/>
      <c r="N3223" s="3"/>
      <c r="O3223" s="3"/>
      <c r="P3223" s="3"/>
      <c r="Q3223" s="3"/>
    </row>
    <row r="3224" spans="2:17" x14ac:dyDescent="0.2">
      <c r="B3224" s="3"/>
      <c r="F3224" s="3"/>
      <c r="G3224" s="3"/>
      <c r="I3224" s="3"/>
      <c r="J3224" s="3"/>
      <c r="K3224" s="3"/>
      <c r="L3224" s="3"/>
      <c r="M3224" s="3"/>
      <c r="N3224" s="3"/>
      <c r="O3224" s="3"/>
      <c r="P3224" s="3"/>
      <c r="Q3224" s="3"/>
    </row>
    <row r="3225" spans="2:17" x14ac:dyDescent="0.2">
      <c r="B3225" s="3"/>
      <c r="F3225" s="3"/>
      <c r="G3225" s="3"/>
      <c r="I3225" s="3"/>
      <c r="J3225" s="3"/>
      <c r="K3225" s="3"/>
      <c r="L3225" s="3"/>
      <c r="M3225" s="3"/>
      <c r="N3225" s="3"/>
      <c r="O3225" s="3"/>
      <c r="P3225" s="3"/>
      <c r="Q3225" s="3"/>
    </row>
    <row r="3226" spans="2:17" x14ac:dyDescent="0.2">
      <c r="B3226" s="3"/>
      <c r="F3226" s="3"/>
      <c r="G3226" s="3"/>
      <c r="I3226" s="3"/>
      <c r="J3226" s="3"/>
      <c r="K3226" s="3"/>
      <c r="L3226" s="3"/>
      <c r="M3226" s="3"/>
      <c r="N3226" s="3"/>
      <c r="O3226" s="3"/>
      <c r="P3226" s="3"/>
      <c r="Q3226" s="3"/>
    </row>
    <row r="3227" spans="2:17" x14ac:dyDescent="0.2">
      <c r="B3227" s="3"/>
      <c r="F3227" s="3"/>
      <c r="G3227" s="3"/>
      <c r="I3227" s="3"/>
      <c r="J3227" s="3"/>
      <c r="K3227" s="3"/>
      <c r="L3227" s="3"/>
      <c r="M3227" s="3"/>
      <c r="N3227" s="3"/>
      <c r="O3227" s="3"/>
      <c r="P3227" s="3"/>
      <c r="Q3227" s="3"/>
    </row>
    <row r="3228" spans="2:17" x14ac:dyDescent="0.2">
      <c r="B3228" s="3"/>
      <c r="F3228" s="3"/>
      <c r="G3228" s="3"/>
      <c r="I3228" s="3"/>
      <c r="J3228" s="3"/>
      <c r="K3228" s="3"/>
      <c r="L3228" s="3"/>
      <c r="M3228" s="3"/>
      <c r="N3228" s="3"/>
      <c r="O3228" s="3"/>
      <c r="P3228" s="3"/>
      <c r="Q3228" s="3"/>
    </row>
    <row r="3229" spans="2:17" x14ac:dyDescent="0.2">
      <c r="B3229" s="3"/>
      <c r="F3229" s="3"/>
      <c r="G3229" s="3"/>
      <c r="I3229" s="3"/>
      <c r="J3229" s="3"/>
      <c r="K3229" s="3"/>
      <c r="L3229" s="3"/>
      <c r="M3229" s="3"/>
      <c r="N3229" s="3"/>
      <c r="O3229" s="3"/>
      <c r="P3229" s="3"/>
      <c r="Q3229" s="3"/>
    </row>
    <row r="3230" spans="2:17" x14ac:dyDescent="0.2">
      <c r="B3230" s="3"/>
      <c r="F3230" s="3"/>
      <c r="G3230" s="3"/>
      <c r="I3230" s="3"/>
      <c r="J3230" s="3"/>
      <c r="K3230" s="3"/>
      <c r="L3230" s="3"/>
      <c r="M3230" s="3"/>
      <c r="N3230" s="3"/>
      <c r="O3230" s="3"/>
      <c r="P3230" s="3"/>
      <c r="Q3230" s="3"/>
    </row>
    <row r="3231" spans="2:17" x14ac:dyDescent="0.2">
      <c r="B3231" s="3"/>
      <c r="F3231" s="3"/>
      <c r="G3231" s="3"/>
      <c r="I3231" s="3"/>
      <c r="J3231" s="3"/>
      <c r="K3231" s="3"/>
      <c r="L3231" s="3"/>
      <c r="M3231" s="3"/>
      <c r="N3231" s="3"/>
      <c r="O3231" s="3"/>
      <c r="P3231" s="3"/>
      <c r="Q3231" s="3"/>
    </row>
    <row r="3232" spans="2:17" x14ac:dyDescent="0.2">
      <c r="B3232" s="3"/>
      <c r="F3232" s="3"/>
      <c r="G3232" s="3"/>
      <c r="I3232" s="3"/>
      <c r="J3232" s="3"/>
      <c r="K3232" s="3"/>
      <c r="L3232" s="3"/>
      <c r="M3232" s="3"/>
      <c r="N3232" s="3"/>
      <c r="O3232" s="3"/>
      <c r="P3232" s="3"/>
      <c r="Q3232" s="3"/>
    </row>
    <row r="3233" spans="2:17" x14ac:dyDescent="0.2">
      <c r="B3233" s="3"/>
      <c r="F3233" s="3"/>
      <c r="G3233" s="3"/>
      <c r="I3233" s="3"/>
      <c r="J3233" s="3"/>
      <c r="K3233" s="3"/>
      <c r="L3233" s="3"/>
      <c r="M3233" s="3"/>
      <c r="N3233" s="3"/>
      <c r="O3233" s="3"/>
      <c r="P3233" s="3"/>
      <c r="Q3233" s="3"/>
    </row>
    <row r="3234" spans="2:17" x14ac:dyDescent="0.2">
      <c r="B3234" s="3"/>
      <c r="F3234" s="3"/>
      <c r="G3234" s="3"/>
      <c r="I3234" s="3"/>
      <c r="J3234" s="3"/>
      <c r="K3234" s="3"/>
      <c r="L3234" s="3"/>
      <c r="M3234" s="3"/>
      <c r="N3234" s="3"/>
      <c r="O3234" s="3"/>
      <c r="P3234" s="3"/>
      <c r="Q3234" s="3"/>
    </row>
    <row r="3235" spans="2:17" x14ac:dyDescent="0.2">
      <c r="B3235" s="3"/>
      <c r="F3235" s="3"/>
      <c r="G3235" s="3"/>
      <c r="I3235" s="3"/>
      <c r="J3235" s="3"/>
      <c r="K3235" s="3"/>
      <c r="L3235" s="3"/>
      <c r="M3235" s="3"/>
      <c r="N3235" s="3"/>
      <c r="O3235" s="3"/>
      <c r="P3235" s="3"/>
      <c r="Q3235" s="3"/>
    </row>
    <row r="3236" spans="2:17" x14ac:dyDescent="0.2">
      <c r="B3236" s="3"/>
      <c r="F3236" s="3"/>
      <c r="G3236" s="3"/>
      <c r="I3236" s="3"/>
      <c r="J3236" s="3"/>
      <c r="K3236" s="3"/>
      <c r="L3236" s="3"/>
      <c r="M3236" s="3"/>
      <c r="N3236" s="3"/>
      <c r="O3236" s="3"/>
      <c r="P3236" s="3"/>
      <c r="Q3236" s="3"/>
    </row>
    <row r="3237" spans="2:17" x14ac:dyDescent="0.2">
      <c r="B3237" s="3"/>
      <c r="F3237" s="3"/>
      <c r="G3237" s="3"/>
      <c r="I3237" s="3"/>
      <c r="J3237" s="3"/>
      <c r="K3237" s="3"/>
      <c r="L3237" s="3"/>
      <c r="M3237" s="3"/>
      <c r="N3237" s="3"/>
      <c r="O3237" s="3"/>
      <c r="P3237" s="3"/>
      <c r="Q3237" s="3"/>
    </row>
    <row r="3238" spans="2:17" x14ac:dyDescent="0.2">
      <c r="B3238" s="3"/>
      <c r="F3238" s="3"/>
      <c r="G3238" s="3"/>
      <c r="I3238" s="3"/>
      <c r="J3238" s="3"/>
      <c r="K3238" s="3"/>
      <c r="L3238" s="3"/>
      <c r="M3238" s="3"/>
      <c r="N3238" s="3"/>
      <c r="O3238" s="3"/>
      <c r="P3238" s="3"/>
      <c r="Q3238" s="3"/>
    </row>
    <row r="3239" spans="2:17" x14ac:dyDescent="0.2">
      <c r="B3239" s="3"/>
      <c r="F3239" s="3"/>
      <c r="G3239" s="3"/>
      <c r="I3239" s="3"/>
      <c r="J3239" s="3"/>
      <c r="K3239" s="3"/>
      <c r="L3239" s="3"/>
      <c r="M3239" s="3"/>
      <c r="N3239" s="3"/>
      <c r="O3239" s="3"/>
      <c r="P3239" s="3"/>
      <c r="Q3239" s="3"/>
    </row>
    <row r="3240" spans="2:17" x14ac:dyDescent="0.2">
      <c r="B3240" s="3"/>
      <c r="F3240" s="3"/>
      <c r="G3240" s="3"/>
      <c r="I3240" s="3"/>
      <c r="J3240" s="3"/>
      <c r="K3240" s="3"/>
      <c r="L3240" s="3"/>
      <c r="M3240" s="3"/>
      <c r="N3240" s="3"/>
      <c r="O3240" s="3"/>
      <c r="P3240" s="3"/>
      <c r="Q3240" s="3"/>
    </row>
    <row r="3241" spans="2:17" x14ac:dyDescent="0.2">
      <c r="B3241" s="3"/>
      <c r="F3241" s="3"/>
      <c r="G3241" s="3"/>
      <c r="I3241" s="3"/>
      <c r="J3241" s="3"/>
      <c r="K3241" s="3"/>
      <c r="L3241" s="3"/>
      <c r="M3241" s="3"/>
      <c r="N3241" s="3"/>
      <c r="O3241" s="3"/>
      <c r="P3241" s="3"/>
      <c r="Q3241" s="3"/>
    </row>
    <row r="3242" spans="2:17" x14ac:dyDescent="0.2">
      <c r="B3242" s="3"/>
      <c r="F3242" s="3"/>
      <c r="G3242" s="3"/>
      <c r="I3242" s="3"/>
      <c r="J3242" s="3"/>
      <c r="K3242" s="3"/>
      <c r="L3242" s="3"/>
      <c r="M3242" s="3"/>
      <c r="N3242" s="3"/>
      <c r="O3242" s="3"/>
      <c r="P3242" s="3"/>
      <c r="Q3242" s="3"/>
    </row>
    <row r="3243" spans="2:17" x14ac:dyDescent="0.2">
      <c r="B3243" s="3"/>
      <c r="F3243" s="3"/>
      <c r="G3243" s="3"/>
      <c r="I3243" s="3"/>
      <c r="J3243" s="3"/>
      <c r="K3243" s="3"/>
      <c r="L3243" s="3"/>
      <c r="M3243" s="3"/>
      <c r="N3243" s="3"/>
      <c r="O3243" s="3"/>
      <c r="P3243" s="3"/>
      <c r="Q3243" s="3"/>
    </row>
    <row r="3244" spans="2:17" x14ac:dyDescent="0.2">
      <c r="B3244" s="3"/>
      <c r="F3244" s="3"/>
      <c r="G3244" s="3"/>
      <c r="I3244" s="3"/>
      <c r="J3244" s="3"/>
      <c r="K3244" s="3"/>
      <c r="L3244" s="3"/>
      <c r="M3244" s="3"/>
      <c r="N3244" s="3"/>
      <c r="O3244" s="3"/>
      <c r="P3244" s="3"/>
      <c r="Q3244" s="3"/>
    </row>
    <row r="3245" spans="2:17" x14ac:dyDescent="0.2">
      <c r="B3245" s="3"/>
      <c r="F3245" s="3"/>
      <c r="G3245" s="3"/>
      <c r="I3245" s="3"/>
      <c r="J3245" s="3"/>
      <c r="K3245" s="3"/>
      <c r="L3245" s="3"/>
      <c r="M3245" s="3"/>
      <c r="N3245" s="3"/>
      <c r="O3245" s="3"/>
      <c r="P3245" s="3"/>
      <c r="Q3245" s="3"/>
    </row>
    <row r="3246" spans="2:17" x14ac:dyDescent="0.2">
      <c r="B3246" s="3"/>
      <c r="F3246" s="3"/>
      <c r="G3246" s="3"/>
      <c r="I3246" s="3"/>
      <c r="J3246" s="3"/>
      <c r="K3246" s="3"/>
      <c r="L3246" s="3"/>
      <c r="M3246" s="3"/>
      <c r="N3246" s="3"/>
      <c r="O3246" s="3"/>
      <c r="P3246" s="3"/>
      <c r="Q3246" s="3"/>
    </row>
    <row r="3247" spans="2:17" x14ac:dyDescent="0.2">
      <c r="B3247" s="3"/>
      <c r="F3247" s="3"/>
      <c r="G3247" s="3"/>
      <c r="I3247" s="3"/>
      <c r="J3247" s="3"/>
      <c r="K3247" s="3"/>
      <c r="L3247" s="3"/>
      <c r="M3247" s="3"/>
      <c r="N3247" s="3"/>
      <c r="O3247" s="3"/>
      <c r="P3247" s="3"/>
      <c r="Q3247" s="3"/>
    </row>
    <row r="3248" spans="2:17" x14ac:dyDescent="0.2">
      <c r="B3248" s="3"/>
      <c r="F3248" s="3"/>
      <c r="G3248" s="3"/>
      <c r="I3248" s="3"/>
      <c r="J3248" s="3"/>
      <c r="K3248" s="3"/>
      <c r="L3248" s="3"/>
      <c r="M3248" s="3"/>
      <c r="N3248" s="3"/>
      <c r="O3248" s="3"/>
      <c r="P3248" s="3"/>
      <c r="Q3248" s="3"/>
    </row>
    <row r="3249" spans="2:17" x14ac:dyDescent="0.2">
      <c r="B3249" s="3"/>
      <c r="F3249" s="3"/>
      <c r="G3249" s="3"/>
      <c r="I3249" s="3"/>
      <c r="J3249" s="3"/>
      <c r="K3249" s="3"/>
      <c r="L3249" s="3"/>
      <c r="M3249" s="3"/>
      <c r="N3249" s="3"/>
      <c r="O3249" s="3"/>
      <c r="P3249" s="3"/>
      <c r="Q3249" s="3"/>
    </row>
    <row r="3250" spans="2:17" x14ac:dyDescent="0.2">
      <c r="B3250" s="3"/>
      <c r="F3250" s="3"/>
      <c r="G3250" s="3"/>
      <c r="I3250" s="3"/>
      <c r="J3250" s="3"/>
      <c r="K3250" s="3"/>
      <c r="L3250" s="3"/>
      <c r="M3250" s="3"/>
      <c r="N3250" s="3"/>
      <c r="O3250" s="3"/>
      <c r="P3250" s="3"/>
      <c r="Q3250" s="3"/>
    </row>
    <row r="3251" spans="2:17" x14ac:dyDescent="0.2">
      <c r="B3251" s="3"/>
      <c r="F3251" s="3"/>
      <c r="G3251" s="3"/>
      <c r="I3251" s="3"/>
      <c r="J3251" s="3"/>
      <c r="K3251" s="3"/>
      <c r="L3251" s="3"/>
      <c r="M3251" s="3"/>
      <c r="N3251" s="3"/>
      <c r="O3251" s="3"/>
      <c r="P3251" s="3"/>
      <c r="Q3251" s="3"/>
    </row>
    <row r="3252" spans="2:17" x14ac:dyDescent="0.2">
      <c r="B3252" s="3"/>
      <c r="F3252" s="3"/>
      <c r="G3252" s="3"/>
      <c r="I3252" s="3"/>
      <c r="J3252" s="3"/>
      <c r="K3252" s="3"/>
      <c r="L3252" s="3"/>
      <c r="M3252" s="3"/>
      <c r="N3252" s="3"/>
      <c r="O3252" s="3"/>
      <c r="P3252" s="3"/>
      <c r="Q3252" s="3"/>
    </row>
    <row r="3253" spans="2:17" x14ac:dyDescent="0.2">
      <c r="B3253" s="3"/>
      <c r="F3253" s="3"/>
      <c r="G3253" s="3"/>
      <c r="I3253" s="3"/>
      <c r="J3253" s="3"/>
      <c r="K3253" s="3"/>
      <c r="L3253" s="3"/>
      <c r="M3253" s="3"/>
      <c r="N3253" s="3"/>
      <c r="O3253" s="3"/>
      <c r="P3253" s="3"/>
      <c r="Q3253" s="3"/>
    </row>
    <row r="3254" spans="2:17" x14ac:dyDescent="0.2">
      <c r="B3254" s="3"/>
      <c r="F3254" s="3"/>
      <c r="G3254" s="3"/>
      <c r="I3254" s="3"/>
      <c r="J3254" s="3"/>
      <c r="K3254" s="3"/>
      <c r="L3254" s="3"/>
      <c r="M3254" s="3"/>
      <c r="N3254" s="3"/>
      <c r="O3254" s="3"/>
      <c r="P3254" s="3"/>
      <c r="Q3254" s="3"/>
    </row>
    <row r="3255" spans="2:17" x14ac:dyDescent="0.2">
      <c r="B3255" s="3"/>
      <c r="F3255" s="3"/>
      <c r="G3255" s="3"/>
      <c r="I3255" s="3"/>
      <c r="J3255" s="3"/>
      <c r="K3255" s="3"/>
      <c r="L3255" s="3"/>
      <c r="M3255" s="3"/>
      <c r="N3255" s="3"/>
      <c r="O3255" s="3"/>
      <c r="P3255" s="3"/>
      <c r="Q3255" s="3"/>
    </row>
    <row r="3256" spans="2:17" x14ac:dyDescent="0.2">
      <c r="B3256" s="3"/>
      <c r="F3256" s="3"/>
      <c r="G3256" s="3"/>
      <c r="I3256" s="3"/>
      <c r="J3256" s="3"/>
      <c r="K3256" s="3"/>
      <c r="L3256" s="3"/>
      <c r="M3256" s="3"/>
      <c r="N3256" s="3"/>
      <c r="O3256" s="3"/>
      <c r="P3256" s="3"/>
      <c r="Q3256" s="3"/>
    </row>
    <row r="3257" spans="2:17" x14ac:dyDescent="0.2">
      <c r="B3257" s="3"/>
      <c r="F3257" s="3"/>
      <c r="G3257" s="3"/>
      <c r="I3257" s="3"/>
      <c r="J3257" s="3"/>
      <c r="K3257" s="3"/>
      <c r="L3257" s="3"/>
      <c r="M3257" s="3"/>
      <c r="N3257" s="3"/>
      <c r="O3257" s="3"/>
      <c r="P3257" s="3"/>
      <c r="Q3257" s="3"/>
    </row>
    <row r="3258" spans="2:17" x14ac:dyDescent="0.2">
      <c r="B3258" s="3"/>
      <c r="F3258" s="3"/>
      <c r="G3258" s="3"/>
      <c r="I3258" s="3"/>
      <c r="J3258" s="3"/>
      <c r="K3258" s="3"/>
      <c r="L3258" s="3"/>
      <c r="M3258" s="3"/>
      <c r="N3258" s="3"/>
      <c r="O3258" s="3"/>
      <c r="P3258" s="3"/>
      <c r="Q3258" s="3"/>
    </row>
    <row r="3259" spans="2:17" x14ac:dyDescent="0.2">
      <c r="B3259" s="3"/>
      <c r="F3259" s="3"/>
      <c r="G3259" s="3"/>
      <c r="I3259" s="3"/>
      <c r="J3259" s="3"/>
      <c r="K3259" s="3"/>
      <c r="L3259" s="3"/>
      <c r="M3259" s="3"/>
      <c r="N3259" s="3"/>
      <c r="O3259" s="3"/>
      <c r="P3259" s="3"/>
      <c r="Q3259" s="3"/>
    </row>
    <row r="3260" spans="2:17" x14ac:dyDescent="0.2">
      <c r="B3260" s="3"/>
      <c r="F3260" s="3"/>
      <c r="G3260" s="3"/>
      <c r="I3260" s="3"/>
      <c r="J3260" s="3"/>
      <c r="K3260" s="3"/>
      <c r="L3260" s="3"/>
      <c r="M3260" s="3"/>
      <c r="N3260" s="3"/>
      <c r="O3260" s="3"/>
      <c r="P3260" s="3"/>
      <c r="Q3260" s="3"/>
    </row>
    <row r="3261" spans="2:17" x14ac:dyDescent="0.2">
      <c r="B3261" s="3"/>
      <c r="F3261" s="3"/>
      <c r="G3261" s="3"/>
      <c r="I3261" s="3"/>
      <c r="J3261" s="3"/>
      <c r="K3261" s="3"/>
      <c r="L3261" s="3"/>
      <c r="M3261" s="3"/>
      <c r="N3261" s="3"/>
      <c r="O3261" s="3"/>
      <c r="P3261" s="3"/>
      <c r="Q3261" s="3"/>
    </row>
    <row r="3262" spans="2:17" x14ac:dyDescent="0.2">
      <c r="B3262" s="3"/>
      <c r="F3262" s="3"/>
      <c r="G3262" s="3"/>
      <c r="I3262" s="3"/>
      <c r="J3262" s="3"/>
      <c r="K3262" s="3"/>
      <c r="L3262" s="3"/>
      <c r="M3262" s="3"/>
      <c r="N3262" s="3"/>
      <c r="O3262" s="3"/>
      <c r="P3262" s="3"/>
      <c r="Q3262" s="3"/>
    </row>
    <row r="3263" spans="2:17" x14ac:dyDescent="0.2">
      <c r="B3263" s="3"/>
      <c r="F3263" s="3"/>
      <c r="G3263" s="3"/>
      <c r="I3263" s="3"/>
      <c r="J3263" s="3"/>
      <c r="K3263" s="3"/>
      <c r="L3263" s="3"/>
      <c r="M3263" s="3"/>
      <c r="N3263" s="3"/>
      <c r="O3263" s="3"/>
      <c r="P3263" s="3"/>
      <c r="Q3263" s="3"/>
    </row>
    <row r="3264" spans="2:17" x14ac:dyDescent="0.2">
      <c r="B3264" s="3"/>
      <c r="F3264" s="3"/>
      <c r="G3264" s="3"/>
      <c r="I3264" s="3"/>
      <c r="J3264" s="3"/>
      <c r="K3264" s="3"/>
      <c r="L3264" s="3"/>
      <c r="M3264" s="3"/>
      <c r="N3264" s="3"/>
      <c r="O3264" s="3"/>
      <c r="P3264" s="3"/>
      <c r="Q3264" s="3"/>
    </row>
    <row r="3265" spans="2:17" x14ac:dyDescent="0.2">
      <c r="B3265" s="3"/>
      <c r="F3265" s="3"/>
      <c r="G3265" s="3"/>
      <c r="I3265" s="3"/>
      <c r="J3265" s="3"/>
      <c r="K3265" s="3"/>
      <c r="L3265" s="3"/>
      <c r="M3265" s="3"/>
      <c r="N3265" s="3"/>
      <c r="O3265" s="3"/>
      <c r="P3265" s="3"/>
      <c r="Q3265" s="3"/>
    </row>
    <row r="3266" spans="2:17" x14ac:dyDescent="0.2">
      <c r="B3266" s="3"/>
      <c r="F3266" s="3"/>
      <c r="G3266" s="3"/>
      <c r="I3266" s="3"/>
      <c r="J3266" s="3"/>
      <c r="K3266" s="3"/>
      <c r="L3266" s="3"/>
      <c r="M3266" s="3"/>
      <c r="N3266" s="3"/>
      <c r="O3266" s="3"/>
      <c r="P3266" s="3"/>
      <c r="Q3266" s="3"/>
    </row>
    <row r="3267" spans="2:17" x14ac:dyDescent="0.2">
      <c r="B3267" s="3"/>
      <c r="F3267" s="3"/>
      <c r="G3267" s="3"/>
      <c r="I3267" s="3"/>
      <c r="J3267" s="3"/>
      <c r="K3267" s="3"/>
      <c r="L3267" s="3"/>
      <c r="M3267" s="3"/>
      <c r="N3267" s="3"/>
      <c r="O3267" s="3"/>
      <c r="P3267" s="3"/>
      <c r="Q3267" s="3"/>
    </row>
    <row r="3268" spans="2:17" x14ac:dyDescent="0.2">
      <c r="B3268" s="3"/>
      <c r="F3268" s="3"/>
      <c r="G3268" s="3"/>
      <c r="I3268" s="3"/>
      <c r="J3268" s="3"/>
      <c r="K3268" s="3"/>
      <c r="L3268" s="3"/>
      <c r="M3268" s="3"/>
      <c r="N3268" s="3"/>
      <c r="O3268" s="3"/>
      <c r="P3268" s="3"/>
      <c r="Q3268" s="3"/>
    </row>
    <row r="3269" spans="2:17" x14ac:dyDescent="0.2">
      <c r="B3269" s="3"/>
      <c r="F3269" s="3"/>
      <c r="G3269" s="3"/>
      <c r="I3269" s="3"/>
      <c r="J3269" s="3"/>
      <c r="K3269" s="3"/>
      <c r="L3269" s="3"/>
      <c r="M3269" s="3"/>
      <c r="N3269" s="3"/>
      <c r="O3269" s="3"/>
      <c r="P3269" s="3"/>
      <c r="Q3269" s="3"/>
    </row>
    <row r="3270" spans="2:17" x14ac:dyDescent="0.2">
      <c r="B3270" s="3"/>
      <c r="F3270" s="3"/>
      <c r="G3270" s="3"/>
      <c r="I3270" s="3"/>
      <c r="J3270" s="3"/>
      <c r="K3270" s="3"/>
      <c r="L3270" s="3"/>
      <c r="M3270" s="3"/>
      <c r="N3270" s="3"/>
      <c r="O3270" s="3"/>
      <c r="P3270" s="3"/>
      <c r="Q3270" s="3"/>
    </row>
    <row r="3271" spans="2:17" x14ac:dyDescent="0.2">
      <c r="B3271" s="3"/>
      <c r="F3271" s="3"/>
      <c r="G3271" s="3"/>
      <c r="I3271" s="3"/>
      <c r="J3271" s="3"/>
      <c r="K3271" s="3"/>
      <c r="L3271" s="3"/>
      <c r="M3271" s="3"/>
      <c r="N3271" s="3"/>
      <c r="O3271" s="3"/>
      <c r="P3271" s="3"/>
      <c r="Q3271" s="3"/>
    </row>
    <row r="3272" spans="2:17" x14ac:dyDescent="0.2">
      <c r="B3272" s="3"/>
      <c r="F3272" s="3"/>
      <c r="G3272" s="3"/>
      <c r="I3272" s="3"/>
      <c r="J3272" s="3"/>
      <c r="K3272" s="3"/>
      <c r="L3272" s="3"/>
      <c r="M3272" s="3"/>
      <c r="N3272" s="3"/>
      <c r="O3272" s="3"/>
      <c r="P3272" s="3"/>
      <c r="Q3272" s="3"/>
    </row>
    <row r="3273" spans="2:17" x14ac:dyDescent="0.2">
      <c r="B3273" s="3"/>
      <c r="F3273" s="3"/>
      <c r="G3273" s="3"/>
      <c r="I3273" s="3"/>
      <c r="J3273" s="3"/>
      <c r="K3273" s="3"/>
      <c r="L3273" s="3"/>
      <c r="M3273" s="3"/>
      <c r="N3273" s="3"/>
      <c r="O3273" s="3"/>
      <c r="P3273" s="3"/>
      <c r="Q3273" s="3"/>
    </row>
    <row r="3274" spans="2:17" x14ac:dyDescent="0.2">
      <c r="B3274" s="3"/>
      <c r="F3274" s="3"/>
      <c r="G3274" s="3"/>
      <c r="I3274" s="3"/>
      <c r="J3274" s="3"/>
      <c r="K3274" s="3"/>
      <c r="L3274" s="3"/>
      <c r="M3274" s="3"/>
      <c r="N3274" s="3"/>
      <c r="O3274" s="3"/>
      <c r="P3274" s="3"/>
      <c r="Q3274" s="3"/>
    </row>
    <row r="3275" spans="2:17" x14ac:dyDescent="0.2">
      <c r="B3275" s="3"/>
      <c r="F3275" s="3"/>
      <c r="G3275" s="3"/>
      <c r="I3275" s="3"/>
      <c r="J3275" s="3"/>
      <c r="K3275" s="3"/>
      <c r="L3275" s="3"/>
      <c r="M3275" s="3"/>
      <c r="N3275" s="3"/>
      <c r="O3275" s="3"/>
      <c r="P3275" s="3"/>
      <c r="Q3275" s="3"/>
    </row>
    <row r="3276" spans="2:17" x14ac:dyDescent="0.2">
      <c r="B3276" s="3"/>
      <c r="F3276" s="3"/>
      <c r="G3276" s="3"/>
      <c r="I3276" s="3"/>
      <c r="J3276" s="3"/>
      <c r="K3276" s="3"/>
      <c r="L3276" s="3"/>
      <c r="M3276" s="3"/>
      <c r="N3276" s="3"/>
      <c r="O3276" s="3"/>
      <c r="P3276" s="3"/>
      <c r="Q3276" s="3"/>
    </row>
    <row r="3277" spans="2:17" x14ac:dyDescent="0.2">
      <c r="B3277" s="3"/>
      <c r="F3277" s="3"/>
      <c r="G3277" s="3"/>
      <c r="I3277" s="3"/>
      <c r="J3277" s="3"/>
      <c r="K3277" s="3"/>
      <c r="L3277" s="3"/>
      <c r="M3277" s="3"/>
      <c r="N3277" s="3"/>
      <c r="O3277" s="3"/>
      <c r="P3277" s="3"/>
      <c r="Q3277" s="3"/>
    </row>
    <row r="3278" spans="2:17" x14ac:dyDescent="0.2">
      <c r="B3278" s="3"/>
      <c r="F3278" s="3"/>
      <c r="G3278" s="3"/>
      <c r="I3278" s="3"/>
      <c r="J3278" s="3"/>
      <c r="K3278" s="3"/>
      <c r="L3278" s="3"/>
      <c r="M3278" s="3"/>
      <c r="N3278" s="3"/>
      <c r="O3278" s="3"/>
      <c r="P3278" s="3"/>
      <c r="Q3278" s="3"/>
    </row>
    <row r="3279" spans="2:17" x14ac:dyDescent="0.2">
      <c r="B3279" s="3"/>
      <c r="F3279" s="3"/>
      <c r="G3279" s="3"/>
      <c r="I3279" s="3"/>
      <c r="J3279" s="3"/>
      <c r="K3279" s="3"/>
      <c r="L3279" s="3"/>
      <c r="M3279" s="3"/>
      <c r="N3279" s="3"/>
      <c r="O3279" s="3"/>
      <c r="P3279" s="3"/>
      <c r="Q3279" s="3"/>
    </row>
    <row r="3280" spans="2:17" x14ac:dyDescent="0.2">
      <c r="B3280" s="3"/>
      <c r="F3280" s="3"/>
      <c r="G3280" s="3"/>
      <c r="I3280" s="3"/>
      <c r="J3280" s="3"/>
      <c r="K3280" s="3"/>
      <c r="L3280" s="3"/>
      <c r="M3280" s="3"/>
      <c r="N3280" s="3"/>
      <c r="O3280" s="3"/>
      <c r="P3280" s="3"/>
      <c r="Q3280" s="3"/>
    </row>
    <row r="3281" spans="2:17" x14ac:dyDescent="0.2">
      <c r="B3281" s="3"/>
      <c r="F3281" s="3"/>
      <c r="G3281" s="3"/>
      <c r="I3281" s="3"/>
      <c r="J3281" s="3"/>
      <c r="K3281" s="3"/>
      <c r="L3281" s="3"/>
      <c r="M3281" s="3"/>
      <c r="N3281" s="3"/>
      <c r="O3281" s="3"/>
      <c r="P3281" s="3"/>
      <c r="Q3281" s="3"/>
    </row>
    <row r="3282" spans="2:17" x14ac:dyDescent="0.2">
      <c r="B3282" s="3"/>
      <c r="F3282" s="3"/>
      <c r="G3282" s="3"/>
      <c r="I3282" s="3"/>
      <c r="J3282" s="3"/>
      <c r="K3282" s="3"/>
      <c r="L3282" s="3"/>
      <c r="M3282" s="3"/>
      <c r="N3282" s="3"/>
      <c r="O3282" s="3"/>
      <c r="P3282" s="3"/>
      <c r="Q3282" s="3"/>
    </row>
    <row r="3283" spans="2:17" x14ac:dyDescent="0.2">
      <c r="B3283" s="3"/>
      <c r="F3283" s="3"/>
      <c r="G3283" s="3"/>
      <c r="I3283" s="3"/>
      <c r="J3283" s="3"/>
      <c r="K3283" s="3"/>
      <c r="L3283" s="3"/>
      <c r="M3283" s="3"/>
      <c r="N3283" s="3"/>
      <c r="O3283" s="3"/>
      <c r="P3283" s="3"/>
      <c r="Q3283" s="3"/>
    </row>
    <row r="3284" spans="2:17" x14ac:dyDescent="0.2">
      <c r="B3284" s="3"/>
      <c r="F3284" s="3"/>
      <c r="G3284" s="3"/>
      <c r="I3284" s="3"/>
      <c r="J3284" s="3"/>
      <c r="K3284" s="3"/>
      <c r="L3284" s="3"/>
      <c r="M3284" s="3"/>
      <c r="N3284" s="3"/>
      <c r="O3284" s="3"/>
      <c r="P3284" s="3"/>
      <c r="Q3284" s="3"/>
    </row>
    <row r="3285" spans="2:17" x14ac:dyDescent="0.2">
      <c r="B3285" s="3"/>
      <c r="F3285" s="3"/>
      <c r="G3285" s="3"/>
      <c r="I3285" s="3"/>
      <c r="J3285" s="3"/>
      <c r="K3285" s="3"/>
      <c r="L3285" s="3"/>
      <c r="M3285" s="3"/>
      <c r="N3285" s="3"/>
      <c r="O3285" s="3"/>
      <c r="P3285" s="3"/>
      <c r="Q3285" s="3"/>
    </row>
    <row r="3286" spans="2:17" x14ac:dyDescent="0.2">
      <c r="B3286" s="3"/>
      <c r="F3286" s="3"/>
      <c r="G3286" s="3"/>
      <c r="I3286" s="3"/>
      <c r="J3286" s="3"/>
      <c r="K3286" s="3"/>
      <c r="L3286" s="3"/>
      <c r="M3286" s="3"/>
      <c r="N3286" s="3"/>
      <c r="O3286" s="3"/>
      <c r="P3286" s="3"/>
      <c r="Q3286" s="3"/>
    </row>
    <row r="3287" spans="2:17" x14ac:dyDescent="0.2">
      <c r="B3287" s="3"/>
      <c r="F3287" s="3"/>
      <c r="G3287" s="3"/>
      <c r="I3287" s="3"/>
      <c r="J3287" s="3"/>
      <c r="K3287" s="3"/>
      <c r="L3287" s="3"/>
      <c r="M3287" s="3"/>
      <c r="N3287" s="3"/>
      <c r="O3287" s="3"/>
      <c r="P3287" s="3"/>
      <c r="Q3287" s="3"/>
    </row>
    <row r="3288" spans="2:17" x14ac:dyDescent="0.2">
      <c r="B3288" s="3"/>
      <c r="F3288" s="3"/>
      <c r="G3288" s="3"/>
      <c r="I3288" s="3"/>
      <c r="J3288" s="3"/>
      <c r="K3288" s="3"/>
      <c r="L3288" s="3"/>
      <c r="M3288" s="3"/>
      <c r="N3288" s="3"/>
      <c r="O3288" s="3"/>
      <c r="P3288" s="3"/>
      <c r="Q3288" s="3"/>
    </row>
    <row r="3289" spans="2:17" x14ac:dyDescent="0.2">
      <c r="B3289" s="3"/>
      <c r="F3289" s="3"/>
      <c r="G3289" s="3"/>
      <c r="I3289" s="3"/>
      <c r="J3289" s="3"/>
      <c r="K3289" s="3"/>
      <c r="L3289" s="3"/>
      <c r="M3289" s="3"/>
      <c r="N3289" s="3"/>
      <c r="O3289" s="3"/>
      <c r="P3289" s="3"/>
      <c r="Q3289" s="3"/>
    </row>
    <row r="3290" spans="2:17" x14ac:dyDescent="0.2">
      <c r="B3290" s="3"/>
      <c r="F3290" s="3"/>
      <c r="G3290" s="3"/>
      <c r="I3290" s="3"/>
      <c r="J3290" s="3"/>
      <c r="K3290" s="3"/>
      <c r="L3290" s="3"/>
      <c r="M3290" s="3"/>
      <c r="N3290" s="3"/>
      <c r="O3290" s="3"/>
      <c r="P3290" s="3"/>
      <c r="Q3290" s="3"/>
    </row>
    <row r="3291" spans="2:17" x14ac:dyDescent="0.2">
      <c r="B3291" s="3"/>
      <c r="F3291" s="3"/>
      <c r="G3291" s="3"/>
      <c r="I3291" s="3"/>
      <c r="J3291" s="3"/>
      <c r="K3291" s="3"/>
      <c r="L3291" s="3"/>
      <c r="M3291" s="3"/>
      <c r="N3291" s="3"/>
      <c r="O3291" s="3"/>
      <c r="P3291" s="3"/>
      <c r="Q3291" s="3"/>
    </row>
    <row r="3292" spans="2:17" x14ac:dyDescent="0.2">
      <c r="B3292" s="3"/>
      <c r="F3292" s="3"/>
      <c r="G3292" s="3"/>
      <c r="I3292" s="3"/>
      <c r="J3292" s="3"/>
      <c r="K3292" s="3"/>
      <c r="L3292" s="3"/>
      <c r="M3292" s="3"/>
      <c r="N3292" s="3"/>
      <c r="O3292" s="3"/>
      <c r="P3292" s="3"/>
      <c r="Q3292" s="3"/>
    </row>
    <row r="3293" spans="2:17" x14ac:dyDescent="0.2">
      <c r="B3293" s="3"/>
      <c r="F3293" s="3"/>
      <c r="G3293" s="3"/>
      <c r="I3293" s="3"/>
      <c r="J3293" s="3"/>
      <c r="K3293" s="3"/>
      <c r="L3293" s="3"/>
      <c r="M3293" s="3"/>
      <c r="N3293" s="3"/>
      <c r="O3293" s="3"/>
      <c r="P3293" s="3"/>
      <c r="Q3293" s="3"/>
    </row>
    <row r="3294" spans="2:17" x14ac:dyDescent="0.2">
      <c r="B3294" s="3"/>
      <c r="F3294" s="3"/>
      <c r="G3294" s="3"/>
      <c r="I3294" s="3"/>
      <c r="J3294" s="3"/>
      <c r="K3294" s="3"/>
      <c r="L3294" s="3"/>
      <c r="M3294" s="3"/>
      <c r="N3294" s="3"/>
      <c r="O3294" s="3"/>
      <c r="P3294" s="3"/>
      <c r="Q3294" s="3"/>
    </row>
    <row r="3295" spans="2:17" x14ac:dyDescent="0.2">
      <c r="B3295" s="3"/>
      <c r="F3295" s="3"/>
      <c r="G3295" s="3"/>
      <c r="I3295" s="3"/>
      <c r="J3295" s="3"/>
      <c r="K3295" s="3"/>
      <c r="L3295" s="3"/>
      <c r="M3295" s="3"/>
      <c r="N3295" s="3"/>
      <c r="O3295" s="3"/>
      <c r="P3295" s="3"/>
      <c r="Q3295" s="3"/>
    </row>
    <row r="3296" spans="2:17" x14ac:dyDescent="0.2">
      <c r="B3296" s="3"/>
      <c r="F3296" s="3"/>
      <c r="G3296" s="3"/>
      <c r="I3296" s="3"/>
      <c r="J3296" s="3"/>
      <c r="K3296" s="3"/>
      <c r="L3296" s="3"/>
      <c r="M3296" s="3"/>
      <c r="N3296" s="3"/>
      <c r="O3296" s="3"/>
      <c r="P3296" s="3"/>
      <c r="Q3296" s="3"/>
    </row>
    <row r="3297" spans="2:17" x14ac:dyDescent="0.2">
      <c r="B3297" s="3"/>
      <c r="F3297" s="3"/>
      <c r="G3297" s="3"/>
      <c r="I3297" s="3"/>
      <c r="J3297" s="3"/>
      <c r="K3297" s="3"/>
      <c r="L3297" s="3"/>
      <c r="M3297" s="3"/>
      <c r="N3297" s="3"/>
      <c r="O3297" s="3"/>
      <c r="P3297" s="3"/>
      <c r="Q3297" s="3"/>
    </row>
    <row r="3298" spans="2:17" x14ac:dyDescent="0.2">
      <c r="B3298" s="3"/>
      <c r="F3298" s="3"/>
      <c r="G3298" s="3"/>
      <c r="I3298" s="3"/>
      <c r="J3298" s="3"/>
      <c r="K3298" s="3"/>
      <c r="L3298" s="3"/>
      <c r="M3298" s="3"/>
      <c r="N3298" s="3"/>
      <c r="O3298" s="3"/>
      <c r="P3298" s="3"/>
      <c r="Q3298" s="3"/>
    </row>
    <row r="3299" spans="2:17" x14ac:dyDescent="0.2">
      <c r="B3299" s="3"/>
      <c r="F3299" s="3"/>
      <c r="G3299" s="3"/>
      <c r="I3299" s="3"/>
      <c r="J3299" s="3"/>
      <c r="K3299" s="3"/>
      <c r="L3299" s="3"/>
      <c r="M3299" s="3"/>
      <c r="N3299" s="3"/>
      <c r="O3299" s="3"/>
      <c r="P3299" s="3"/>
      <c r="Q3299" s="3"/>
    </row>
    <row r="3300" spans="2:17" x14ac:dyDescent="0.2">
      <c r="B3300" s="3"/>
      <c r="F3300" s="3"/>
      <c r="G3300" s="3"/>
      <c r="I3300" s="3"/>
      <c r="J3300" s="3"/>
      <c r="K3300" s="3"/>
      <c r="L3300" s="3"/>
      <c r="M3300" s="3"/>
      <c r="N3300" s="3"/>
      <c r="O3300" s="3"/>
      <c r="P3300" s="3"/>
      <c r="Q3300" s="3"/>
    </row>
    <row r="3301" spans="2:17" x14ac:dyDescent="0.2">
      <c r="B3301" s="3"/>
      <c r="F3301" s="3"/>
      <c r="G3301" s="3"/>
      <c r="I3301" s="3"/>
      <c r="J3301" s="3"/>
      <c r="K3301" s="3"/>
      <c r="L3301" s="3"/>
      <c r="M3301" s="3"/>
      <c r="N3301" s="3"/>
      <c r="O3301" s="3"/>
      <c r="P3301" s="3"/>
      <c r="Q3301" s="3"/>
    </row>
    <row r="3302" spans="2:17" x14ac:dyDescent="0.2">
      <c r="B3302" s="3"/>
      <c r="F3302" s="3"/>
      <c r="G3302" s="3"/>
      <c r="I3302" s="3"/>
      <c r="J3302" s="3"/>
      <c r="K3302" s="3"/>
      <c r="L3302" s="3"/>
      <c r="M3302" s="3"/>
      <c r="N3302" s="3"/>
      <c r="O3302" s="3"/>
      <c r="P3302" s="3"/>
      <c r="Q3302" s="3"/>
    </row>
    <row r="3303" spans="2:17" x14ac:dyDescent="0.2">
      <c r="B3303" s="3"/>
      <c r="F3303" s="3"/>
      <c r="G3303" s="3"/>
      <c r="I3303" s="3"/>
      <c r="J3303" s="3"/>
      <c r="K3303" s="3"/>
      <c r="L3303" s="3"/>
      <c r="M3303" s="3"/>
      <c r="N3303" s="3"/>
      <c r="O3303" s="3"/>
      <c r="P3303" s="3"/>
      <c r="Q3303" s="3"/>
    </row>
    <row r="3304" spans="2:17" x14ac:dyDescent="0.2">
      <c r="B3304" s="3"/>
      <c r="F3304" s="3"/>
      <c r="G3304" s="3"/>
      <c r="I3304" s="3"/>
      <c r="J3304" s="3"/>
      <c r="K3304" s="3"/>
      <c r="L3304" s="3"/>
      <c r="M3304" s="3"/>
      <c r="N3304" s="3"/>
      <c r="O3304" s="3"/>
      <c r="P3304" s="3"/>
      <c r="Q3304" s="3"/>
    </row>
    <row r="3305" spans="2:17" x14ac:dyDescent="0.2">
      <c r="B3305" s="3"/>
      <c r="F3305" s="3"/>
      <c r="G3305" s="3"/>
      <c r="I3305" s="3"/>
      <c r="J3305" s="3"/>
      <c r="K3305" s="3"/>
      <c r="L3305" s="3"/>
      <c r="M3305" s="3"/>
      <c r="N3305" s="3"/>
      <c r="O3305" s="3"/>
      <c r="P3305" s="3"/>
      <c r="Q3305" s="3"/>
    </row>
    <row r="3306" spans="2:17" x14ac:dyDescent="0.2">
      <c r="B3306" s="3"/>
      <c r="F3306" s="3"/>
      <c r="G3306" s="3"/>
      <c r="I3306" s="3"/>
      <c r="J3306" s="3"/>
      <c r="K3306" s="3"/>
      <c r="L3306" s="3"/>
      <c r="M3306" s="3"/>
      <c r="N3306" s="3"/>
      <c r="O3306" s="3"/>
      <c r="P3306" s="3"/>
      <c r="Q3306" s="3"/>
    </row>
    <row r="3307" spans="2:17" x14ac:dyDescent="0.2">
      <c r="B3307" s="3"/>
      <c r="F3307" s="3"/>
      <c r="G3307" s="3"/>
      <c r="I3307" s="3"/>
      <c r="J3307" s="3"/>
      <c r="K3307" s="3"/>
      <c r="L3307" s="3"/>
      <c r="M3307" s="3"/>
      <c r="N3307" s="3"/>
      <c r="O3307" s="3"/>
      <c r="P3307" s="3"/>
      <c r="Q3307" s="3"/>
    </row>
    <row r="3308" spans="2:17" x14ac:dyDescent="0.2">
      <c r="B3308" s="3"/>
      <c r="F3308" s="3"/>
      <c r="G3308" s="3"/>
      <c r="I3308" s="3"/>
      <c r="J3308" s="3"/>
      <c r="K3308" s="3"/>
      <c r="L3308" s="3"/>
      <c r="M3308" s="3"/>
      <c r="N3308" s="3"/>
      <c r="O3308" s="3"/>
      <c r="P3308" s="3"/>
      <c r="Q3308" s="3"/>
    </row>
    <row r="3309" spans="2:17" x14ac:dyDescent="0.2">
      <c r="B3309" s="3"/>
      <c r="F3309" s="3"/>
      <c r="G3309" s="3"/>
      <c r="I3309" s="3"/>
      <c r="J3309" s="3"/>
      <c r="K3309" s="3"/>
      <c r="L3309" s="3"/>
      <c r="M3309" s="3"/>
      <c r="N3309" s="3"/>
      <c r="O3309" s="3"/>
      <c r="P3309" s="3"/>
      <c r="Q3309" s="3"/>
    </row>
    <row r="3310" spans="2:17" x14ac:dyDescent="0.2">
      <c r="B3310" s="3"/>
      <c r="F3310" s="3"/>
      <c r="G3310" s="3"/>
      <c r="I3310" s="3"/>
      <c r="J3310" s="3"/>
      <c r="K3310" s="3"/>
      <c r="L3310" s="3"/>
      <c r="M3310" s="3"/>
      <c r="N3310" s="3"/>
      <c r="O3310" s="3"/>
      <c r="P3310" s="3"/>
      <c r="Q3310" s="3"/>
    </row>
    <row r="3311" spans="2:17" x14ac:dyDescent="0.2">
      <c r="B3311" s="3"/>
      <c r="F3311" s="3"/>
      <c r="G3311" s="3"/>
      <c r="I3311" s="3"/>
      <c r="J3311" s="3"/>
      <c r="K3311" s="3"/>
      <c r="L3311" s="3"/>
      <c r="M3311" s="3"/>
      <c r="N3311" s="3"/>
      <c r="O3311" s="3"/>
      <c r="P3311" s="3"/>
      <c r="Q3311" s="3"/>
    </row>
    <row r="3312" spans="2:17" x14ac:dyDescent="0.2">
      <c r="B3312" s="3"/>
      <c r="F3312" s="3"/>
      <c r="G3312" s="3"/>
      <c r="I3312" s="3"/>
      <c r="J3312" s="3"/>
      <c r="K3312" s="3"/>
      <c r="L3312" s="3"/>
      <c r="M3312" s="3"/>
      <c r="N3312" s="3"/>
      <c r="O3312" s="3"/>
      <c r="P3312" s="3"/>
      <c r="Q3312" s="3"/>
    </row>
    <row r="3313" spans="2:17" x14ac:dyDescent="0.2">
      <c r="B3313" s="3"/>
      <c r="F3313" s="3"/>
      <c r="G3313" s="3"/>
      <c r="I3313" s="3"/>
      <c r="J3313" s="3"/>
      <c r="K3313" s="3"/>
      <c r="L3313" s="3"/>
      <c r="M3313" s="3"/>
      <c r="N3313" s="3"/>
      <c r="O3313" s="3"/>
      <c r="P3313" s="3"/>
      <c r="Q3313" s="3"/>
    </row>
    <row r="3314" spans="2:17" x14ac:dyDescent="0.2">
      <c r="B3314" s="3"/>
      <c r="F3314" s="3"/>
      <c r="G3314" s="3"/>
      <c r="I3314" s="3"/>
      <c r="J3314" s="3"/>
      <c r="K3314" s="3"/>
      <c r="L3314" s="3"/>
      <c r="M3314" s="3"/>
      <c r="N3314" s="3"/>
      <c r="O3314" s="3"/>
      <c r="P3314" s="3"/>
      <c r="Q3314" s="3"/>
    </row>
    <row r="3315" spans="2:17" x14ac:dyDescent="0.2">
      <c r="B3315" s="3"/>
      <c r="F3315" s="3"/>
      <c r="G3315" s="3"/>
      <c r="I3315" s="3"/>
      <c r="J3315" s="3"/>
      <c r="K3315" s="3"/>
      <c r="L3315" s="3"/>
      <c r="M3315" s="3"/>
      <c r="N3315" s="3"/>
      <c r="O3315" s="3"/>
      <c r="P3315" s="3"/>
      <c r="Q3315" s="3"/>
    </row>
    <row r="3316" spans="2:17" x14ac:dyDescent="0.2">
      <c r="B3316" s="3"/>
      <c r="F3316" s="3"/>
      <c r="G3316" s="3"/>
      <c r="I3316" s="3"/>
      <c r="J3316" s="3"/>
      <c r="K3316" s="3"/>
      <c r="L3316" s="3"/>
      <c r="M3316" s="3"/>
      <c r="N3316" s="3"/>
      <c r="O3316" s="3"/>
      <c r="P3316" s="3"/>
      <c r="Q3316" s="3"/>
    </row>
    <row r="3317" spans="2:17" x14ac:dyDescent="0.2">
      <c r="B3317" s="3"/>
      <c r="F3317" s="3"/>
      <c r="G3317" s="3"/>
      <c r="I3317" s="3"/>
      <c r="J3317" s="3"/>
      <c r="K3317" s="3"/>
      <c r="L3317" s="3"/>
      <c r="M3317" s="3"/>
      <c r="N3317" s="3"/>
      <c r="O3317" s="3"/>
      <c r="P3317" s="3"/>
      <c r="Q3317" s="3"/>
    </row>
    <row r="3318" spans="2:17" x14ac:dyDescent="0.2">
      <c r="B3318" s="3"/>
      <c r="F3318" s="3"/>
      <c r="G3318" s="3"/>
      <c r="I3318" s="3"/>
      <c r="J3318" s="3"/>
      <c r="K3318" s="3"/>
      <c r="L3318" s="3"/>
      <c r="M3318" s="3"/>
      <c r="N3318" s="3"/>
      <c r="O3318" s="3"/>
      <c r="P3318" s="3"/>
      <c r="Q3318" s="3"/>
    </row>
    <row r="3319" spans="2:17" x14ac:dyDescent="0.2">
      <c r="B3319" s="3"/>
      <c r="F3319" s="3"/>
      <c r="G3319" s="3"/>
      <c r="I3319" s="3"/>
      <c r="J3319" s="3"/>
      <c r="K3319" s="3"/>
      <c r="L3319" s="3"/>
      <c r="M3319" s="3"/>
      <c r="N3319" s="3"/>
      <c r="O3319" s="3"/>
      <c r="P3319" s="3"/>
      <c r="Q3319" s="3"/>
    </row>
    <row r="3320" spans="2:17" x14ac:dyDescent="0.2">
      <c r="B3320" s="3"/>
      <c r="F3320" s="3"/>
      <c r="G3320" s="3"/>
      <c r="I3320" s="3"/>
      <c r="J3320" s="3"/>
      <c r="K3320" s="3"/>
      <c r="L3320" s="3"/>
      <c r="M3320" s="3"/>
      <c r="N3320" s="3"/>
      <c r="O3320" s="3"/>
      <c r="P3320" s="3"/>
      <c r="Q3320" s="3"/>
    </row>
    <row r="3321" spans="2:17" x14ac:dyDescent="0.2">
      <c r="B3321" s="3"/>
      <c r="F3321" s="3"/>
      <c r="G3321" s="3"/>
      <c r="I3321" s="3"/>
      <c r="J3321" s="3"/>
      <c r="K3321" s="3"/>
      <c r="L3321" s="3"/>
      <c r="M3321" s="3"/>
      <c r="N3321" s="3"/>
      <c r="O3321" s="3"/>
      <c r="P3321" s="3"/>
      <c r="Q3321" s="3"/>
    </row>
    <row r="3322" spans="2:17" x14ac:dyDescent="0.2">
      <c r="B3322" s="3"/>
      <c r="F3322" s="3"/>
      <c r="G3322" s="3"/>
      <c r="I3322" s="3"/>
      <c r="J3322" s="3"/>
      <c r="K3322" s="3"/>
      <c r="L3322" s="3"/>
      <c r="M3322" s="3"/>
      <c r="N3322" s="3"/>
      <c r="O3322" s="3"/>
      <c r="P3322" s="3"/>
      <c r="Q3322" s="3"/>
    </row>
    <row r="3323" spans="2:17" x14ac:dyDescent="0.2">
      <c r="B3323" s="3"/>
      <c r="F3323" s="3"/>
      <c r="G3323" s="3"/>
      <c r="I3323" s="3"/>
      <c r="J3323" s="3"/>
      <c r="K3323" s="3"/>
      <c r="L3323" s="3"/>
      <c r="M3323" s="3"/>
      <c r="N3323" s="3"/>
      <c r="O3323" s="3"/>
      <c r="P3323" s="3"/>
      <c r="Q3323" s="3"/>
    </row>
    <row r="3324" spans="2:17" x14ac:dyDescent="0.2">
      <c r="B3324" s="3"/>
      <c r="F3324" s="3"/>
      <c r="G3324" s="3"/>
      <c r="I3324" s="3"/>
      <c r="J3324" s="3"/>
      <c r="K3324" s="3"/>
      <c r="L3324" s="3"/>
      <c r="M3324" s="3"/>
      <c r="N3324" s="3"/>
      <c r="O3324" s="3"/>
      <c r="P3324" s="3"/>
      <c r="Q3324" s="3"/>
    </row>
    <row r="3325" spans="2:17" x14ac:dyDescent="0.2">
      <c r="B3325" s="3"/>
      <c r="F3325" s="3"/>
      <c r="G3325" s="3"/>
      <c r="I3325" s="3"/>
      <c r="J3325" s="3"/>
      <c r="K3325" s="3"/>
      <c r="L3325" s="3"/>
      <c r="M3325" s="3"/>
      <c r="N3325" s="3"/>
      <c r="O3325" s="3"/>
      <c r="P3325" s="3"/>
      <c r="Q3325" s="3"/>
    </row>
    <row r="3326" spans="2:17" x14ac:dyDescent="0.2">
      <c r="B3326" s="3"/>
      <c r="F3326" s="3"/>
      <c r="G3326" s="3"/>
      <c r="I3326" s="3"/>
      <c r="J3326" s="3"/>
      <c r="K3326" s="3"/>
      <c r="L3326" s="3"/>
      <c r="M3326" s="3"/>
      <c r="N3326" s="3"/>
      <c r="O3326" s="3"/>
      <c r="P3326" s="3"/>
      <c r="Q3326" s="3"/>
    </row>
    <row r="3327" spans="2:17" x14ac:dyDescent="0.2">
      <c r="B3327" s="3"/>
      <c r="F3327" s="3"/>
      <c r="G3327" s="3"/>
      <c r="I3327" s="3"/>
      <c r="J3327" s="3"/>
      <c r="K3327" s="3"/>
      <c r="L3327" s="3"/>
      <c r="M3327" s="3"/>
      <c r="N3327" s="3"/>
      <c r="O3327" s="3"/>
      <c r="P3327" s="3"/>
      <c r="Q3327" s="3"/>
    </row>
    <row r="3328" spans="2:17" x14ac:dyDescent="0.2">
      <c r="B3328" s="3"/>
      <c r="F3328" s="3"/>
      <c r="G3328" s="3"/>
      <c r="I3328" s="3"/>
      <c r="J3328" s="3"/>
      <c r="K3328" s="3"/>
      <c r="L3328" s="3"/>
      <c r="M3328" s="3"/>
      <c r="N3328" s="3"/>
      <c r="O3328" s="3"/>
      <c r="P3328" s="3"/>
      <c r="Q3328" s="3"/>
    </row>
    <row r="3329" spans="2:17" x14ac:dyDescent="0.2">
      <c r="B3329" s="3"/>
      <c r="F3329" s="3"/>
      <c r="G3329" s="3"/>
      <c r="I3329" s="3"/>
      <c r="J3329" s="3"/>
      <c r="K3329" s="3"/>
      <c r="L3329" s="3"/>
      <c r="M3329" s="3"/>
      <c r="N3329" s="3"/>
      <c r="O3329" s="3"/>
      <c r="P3329" s="3"/>
      <c r="Q3329" s="3"/>
    </row>
    <row r="3330" spans="2:17" x14ac:dyDescent="0.2">
      <c r="B3330" s="3"/>
      <c r="F3330" s="3"/>
      <c r="G3330" s="3"/>
      <c r="I3330" s="3"/>
      <c r="J3330" s="3"/>
      <c r="K3330" s="3"/>
      <c r="L3330" s="3"/>
      <c r="M3330" s="3"/>
      <c r="N3330" s="3"/>
      <c r="O3330" s="3"/>
      <c r="P3330" s="3"/>
      <c r="Q3330" s="3"/>
    </row>
    <row r="3331" spans="2:17" x14ac:dyDescent="0.2">
      <c r="B3331" s="3"/>
      <c r="F3331" s="3"/>
      <c r="G3331" s="3"/>
      <c r="I3331" s="3"/>
      <c r="J3331" s="3"/>
      <c r="K3331" s="3"/>
      <c r="L3331" s="3"/>
      <c r="M3331" s="3"/>
      <c r="N3331" s="3"/>
      <c r="O3331" s="3"/>
      <c r="P3331" s="3"/>
      <c r="Q3331" s="3"/>
    </row>
    <row r="3332" spans="2:17" x14ac:dyDescent="0.2">
      <c r="B3332" s="3"/>
      <c r="F3332" s="3"/>
      <c r="G3332" s="3"/>
      <c r="I3332" s="3"/>
      <c r="J3332" s="3"/>
      <c r="K3332" s="3"/>
      <c r="L3332" s="3"/>
      <c r="M3332" s="3"/>
      <c r="N3332" s="3"/>
      <c r="O3332" s="3"/>
      <c r="P3332" s="3"/>
      <c r="Q3332" s="3"/>
    </row>
    <row r="3333" spans="2:17" x14ac:dyDescent="0.2">
      <c r="B3333" s="3"/>
      <c r="F3333" s="3"/>
      <c r="G3333" s="3"/>
      <c r="I3333" s="3"/>
      <c r="J3333" s="3"/>
      <c r="K3333" s="3"/>
      <c r="L3333" s="3"/>
      <c r="M3333" s="3"/>
      <c r="N3333" s="3"/>
      <c r="O3333" s="3"/>
      <c r="P3333" s="3"/>
      <c r="Q3333" s="3"/>
    </row>
    <row r="3334" spans="2:17" x14ac:dyDescent="0.2">
      <c r="B3334" s="3"/>
      <c r="F3334" s="3"/>
      <c r="G3334" s="3"/>
      <c r="I3334" s="3"/>
      <c r="J3334" s="3"/>
      <c r="K3334" s="3"/>
      <c r="L3334" s="3"/>
      <c r="M3334" s="3"/>
      <c r="N3334" s="3"/>
      <c r="O3334" s="3"/>
      <c r="P3334" s="3"/>
      <c r="Q3334" s="3"/>
    </row>
    <row r="3335" spans="2:17" x14ac:dyDescent="0.2">
      <c r="B3335" s="3"/>
      <c r="F3335" s="3"/>
      <c r="G3335" s="3"/>
      <c r="I3335" s="3"/>
      <c r="J3335" s="3"/>
      <c r="K3335" s="3"/>
      <c r="L3335" s="3"/>
      <c r="M3335" s="3"/>
      <c r="N3335" s="3"/>
      <c r="O3335" s="3"/>
      <c r="P3335" s="3"/>
      <c r="Q3335" s="3"/>
    </row>
    <row r="3336" spans="2:17" x14ac:dyDescent="0.2">
      <c r="B3336" s="3"/>
      <c r="F3336" s="3"/>
      <c r="G3336" s="3"/>
      <c r="I3336" s="3"/>
      <c r="J3336" s="3"/>
      <c r="K3336" s="3"/>
      <c r="L3336" s="3"/>
      <c r="M3336" s="3"/>
      <c r="N3336" s="3"/>
      <c r="O3336" s="3"/>
      <c r="P3336" s="3"/>
      <c r="Q3336" s="3"/>
    </row>
    <row r="3337" spans="2:17" x14ac:dyDescent="0.2">
      <c r="B3337" s="3"/>
      <c r="F3337" s="3"/>
      <c r="G3337" s="3"/>
      <c r="I3337" s="3"/>
      <c r="J3337" s="3"/>
      <c r="K3337" s="3"/>
      <c r="L3337" s="3"/>
      <c r="M3337" s="3"/>
      <c r="N3337" s="3"/>
      <c r="O3337" s="3"/>
      <c r="P3337" s="3"/>
      <c r="Q3337" s="3"/>
    </row>
    <row r="3338" spans="2:17" x14ac:dyDescent="0.2">
      <c r="B3338" s="3"/>
      <c r="F3338" s="3"/>
      <c r="G3338" s="3"/>
      <c r="I3338" s="3"/>
      <c r="J3338" s="3"/>
      <c r="K3338" s="3"/>
      <c r="L3338" s="3"/>
      <c r="M3338" s="3"/>
      <c r="N3338" s="3"/>
      <c r="O3338" s="3"/>
      <c r="P3338" s="3"/>
      <c r="Q3338" s="3"/>
    </row>
    <row r="3339" spans="2:17" x14ac:dyDescent="0.2">
      <c r="B3339" s="3"/>
      <c r="F3339" s="3"/>
      <c r="G3339" s="3"/>
      <c r="I3339" s="3"/>
      <c r="J3339" s="3"/>
      <c r="K3339" s="3"/>
      <c r="L3339" s="3"/>
      <c r="M3339" s="3"/>
      <c r="N3339" s="3"/>
      <c r="O3339" s="3"/>
      <c r="P3339" s="3"/>
      <c r="Q3339" s="3"/>
    </row>
    <row r="3340" spans="2:17" x14ac:dyDescent="0.2">
      <c r="B3340" s="3"/>
      <c r="F3340" s="3"/>
      <c r="G3340" s="3"/>
      <c r="I3340" s="3"/>
      <c r="J3340" s="3"/>
      <c r="K3340" s="3"/>
      <c r="L3340" s="3"/>
      <c r="M3340" s="3"/>
      <c r="N3340" s="3"/>
      <c r="O3340" s="3"/>
      <c r="P3340" s="3"/>
      <c r="Q3340" s="3"/>
    </row>
    <row r="3341" spans="2:17" x14ac:dyDescent="0.2">
      <c r="B3341" s="3"/>
      <c r="F3341" s="3"/>
      <c r="G3341" s="3"/>
      <c r="I3341" s="3"/>
      <c r="J3341" s="3"/>
      <c r="K3341" s="3"/>
      <c r="L3341" s="3"/>
      <c r="M3341" s="3"/>
      <c r="N3341" s="3"/>
      <c r="O3341" s="3"/>
      <c r="P3341" s="3"/>
      <c r="Q3341" s="3"/>
    </row>
    <row r="3342" spans="2:17" x14ac:dyDescent="0.2">
      <c r="B3342" s="3"/>
      <c r="F3342" s="3"/>
      <c r="G3342" s="3"/>
      <c r="I3342" s="3"/>
      <c r="J3342" s="3"/>
      <c r="K3342" s="3"/>
      <c r="L3342" s="3"/>
      <c r="M3342" s="3"/>
      <c r="N3342" s="3"/>
      <c r="O3342" s="3"/>
      <c r="P3342" s="3"/>
      <c r="Q3342" s="3"/>
    </row>
    <row r="3343" spans="2:17" x14ac:dyDescent="0.2">
      <c r="B3343" s="3"/>
      <c r="F3343" s="3"/>
      <c r="G3343" s="3"/>
      <c r="I3343" s="3"/>
      <c r="J3343" s="3"/>
      <c r="K3343" s="3"/>
      <c r="L3343" s="3"/>
      <c r="M3343" s="3"/>
      <c r="N3343" s="3"/>
      <c r="O3343" s="3"/>
      <c r="P3343" s="3"/>
      <c r="Q3343" s="3"/>
    </row>
    <row r="3344" spans="2:17" x14ac:dyDescent="0.2">
      <c r="B3344" s="3"/>
      <c r="F3344" s="3"/>
      <c r="G3344" s="3"/>
      <c r="I3344" s="3"/>
      <c r="J3344" s="3"/>
      <c r="K3344" s="3"/>
      <c r="L3344" s="3"/>
      <c r="M3344" s="3"/>
      <c r="N3344" s="3"/>
      <c r="O3344" s="3"/>
      <c r="P3344" s="3"/>
      <c r="Q3344" s="3"/>
    </row>
    <row r="3345" spans="2:17" x14ac:dyDescent="0.2">
      <c r="B3345" s="3"/>
      <c r="F3345" s="3"/>
      <c r="G3345" s="3"/>
      <c r="I3345" s="3"/>
      <c r="J3345" s="3"/>
      <c r="K3345" s="3"/>
      <c r="L3345" s="3"/>
      <c r="M3345" s="3"/>
      <c r="N3345" s="3"/>
      <c r="O3345" s="3"/>
      <c r="P3345" s="3"/>
      <c r="Q3345" s="3"/>
    </row>
    <row r="3346" spans="2:17" x14ac:dyDescent="0.2">
      <c r="B3346" s="3"/>
      <c r="F3346" s="3"/>
      <c r="G3346" s="3"/>
      <c r="I3346" s="3"/>
      <c r="J3346" s="3"/>
      <c r="K3346" s="3"/>
      <c r="L3346" s="3"/>
      <c r="M3346" s="3"/>
      <c r="N3346" s="3"/>
      <c r="O3346" s="3"/>
      <c r="P3346" s="3"/>
      <c r="Q3346" s="3"/>
    </row>
    <row r="3347" spans="2:17" x14ac:dyDescent="0.2">
      <c r="B3347" s="3"/>
      <c r="F3347" s="3"/>
      <c r="G3347" s="3"/>
      <c r="I3347" s="3"/>
      <c r="J3347" s="3"/>
      <c r="K3347" s="3"/>
      <c r="L3347" s="3"/>
      <c r="M3347" s="3"/>
      <c r="N3347" s="3"/>
      <c r="O3347" s="3"/>
      <c r="P3347" s="3"/>
      <c r="Q3347" s="3"/>
    </row>
    <row r="3348" spans="2:17" x14ac:dyDescent="0.2">
      <c r="B3348" s="3"/>
      <c r="F3348" s="3"/>
      <c r="G3348" s="3"/>
      <c r="I3348" s="3"/>
      <c r="J3348" s="3"/>
      <c r="K3348" s="3"/>
      <c r="L3348" s="3"/>
      <c r="M3348" s="3"/>
      <c r="N3348" s="3"/>
      <c r="O3348" s="3"/>
      <c r="P3348" s="3"/>
      <c r="Q3348" s="3"/>
    </row>
    <row r="3349" spans="2:17" x14ac:dyDescent="0.2">
      <c r="B3349" s="3"/>
      <c r="F3349" s="3"/>
      <c r="G3349" s="3"/>
      <c r="I3349" s="3"/>
      <c r="J3349" s="3"/>
      <c r="K3349" s="3"/>
      <c r="L3349" s="3"/>
      <c r="M3349" s="3"/>
      <c r="N3349" s="3"/>
      <c r="O3349" s="3"/>
      <c r="P3349" s="3"/>
      <c r="Q3349" s="3"/>
    </row>
    <row r="3350" spans="2:17" x14ac:dyDescent="0.2">
      <c r="B3350" s="3"/>
      <c r="F3350" s="3"/>
      <c r="G3350" s="3"/>
      <c r="I3350" s="3"/>
      <c r="J3350" s="3"/>
      <c r="K3350" s="3"/>
      <c r="L3350" s="3"/>
      <c r="M3350" s="3"/>
      <c r="N3350" s="3"/>
      <c r="O3350" s="3"/>
      <c r="P3350" s="3"/>
      <c r="Q3350" s="3"/>
    </row>
    <row r="3351" spans="2:17" x14ac:dyDescent="0.2">
      <c r="B3351" s="3"/>
      <c r="F3351" s="3"/>
      <c r="G3351" s="3"/>
      <c r="I3351" s="3"/>
      <c r="J3351" s="3"/>
      <c r="K3351" s="3"/>
      <c r="L3351" s="3"/>
      <c r="M3351" s="3"/>
      <c r="N3351" s="3"/>
      <c r="O3351" s="3"/>
      <c r="P3351" s="3"/>
      <c r="Q3351" s="3"/>
    </row>
    <row r="3352" spans="2:17" x14ac:dyDescent="0.2">
      <c r="B3352" s="3"/>
      <c r="F3352" s="3"/>
      <c r="G3352" s="3"/>
      <c r="I3352" s="3"/>
      <c r="J3352" s="3"/>
      <c r="K3352" s="3"/>
      <c r="L3352" s="3"/>
      <c r="M3352" s="3"/>
      <c r="N3352" s="3"/>
      <c r="O3352" s="3"/>
      <c r="P3352" s="3"/>
      <c r="Q3352" s="3"/>
    </row>
    <row r="3353" spans="2:17" x14ac:dyDescent="0.2">
      <c r="B3353" s="3"/>
      <c r="F3353" s="3"/>
      <c r="G3353" s="3"/>
      <c r="I3353" s="3"/>
      <c r="J3353" s="3"/>
      <c r="K3353" s="3"/>
      <c r="L3353" s="3"/>
      <c r="M3353" s="3"/>
      <c r="N3353" s="3"/>
      <c r="O3353" s="3"/>
      <c r="P3353" s="3"/>
      <c r="Q3353" s="3"/>
    </row>
    <row r="3354" spans="2:17" x14ac:dyDescent="0.2">
      <c r="B3354" s="3"/>
      <c r="F3354" s="3"/>
      <c r="G3354" s="3"/>
      <c r="I3354" s="3"/>
      <c r="J3354" s="3"/>
      <c r="K3354" s="3"/>
      <c r="L3354" s="3"/>
      <c r="M3354" s="3"/>
      <c r="N3354" s="3"/>
      <c r="O3354" s="3"/>
      <c r="P3354" s="3"/>
      <c r="Q3354" s="3"/>
    </row>
    <row r="3355" spans="2:17" x14ac:dyDescent="0.2">
      <c r="B3355" s="3"/>
      <c r="F3355" s="3"/>
      <c r="G3355" s="3"/>
      <c r="I3355" s="3"/>
      <c r="J3355" s="3"/>
      <c r="K3355" s="3"/>
      <c r="L3355" s="3"/>
      <c r="M3355" s="3"/>
      <c r="N3355" s="3"/>
      <c r="O3355" s="3"/>
      <c r="P3355" s="3"/>
      <c r="Q3355" s="3"/>
    </row>
    <row r="3356" spans="2:17" x14ac:dyDescent="0.2">
      <c r="B3356" s="3"/>
      <c r="F3356" s="3"/>
      <c r="G3356" s="3"/>
      <c r="I3356" s="3"/>
      <c r="J3356" s="3"/>
      <c r="K3356" s="3"/>
      <c r="L3356" s="3"/>
      <c r="M3356" s="3"/>
      <c r="N3356" s="3"/>
      <c r="O3356" s="3"/>
      <c r="P3356" s="3"/>
      <c r="Q3356" s="3"/>
    </row>
    <row r="3357" spans="2:17" x14ac:dyDescent="0.2">
      <c r="B3357" s="3"/>
      <c r="F3357" s="3"/>
      <c r="G3357" s="3"/>
      <c r="I3357" s="3"/>
      <c r="J3357" s="3"/>
      <c r="K3357" s="3"/>
      <c r="L3357" s="3"/>
      <c r="M3357" s="3"/>
      <c r="N3357" s="3"/>
      <c r="O3357" s="3"/>
      <c r="P3357" s="3"/>
      <c r="Q3357" s="3"/>
    </row>
    <row r="3358" spans="2:17" x14ac:dyDescent="0.2">
      <c r="B3358" s="3"/>
      <c r="F3358" s="3"/>
      <c r="G3358" s="3"/>
      <c r="I3358" s="3"/>
      <c r="J3358" s="3"/>
      <c r="K3358" s="3"/>
      <c r="L3358" s="3"/>
      <c r="M3358" s="3"/>
      <c r="N3358" s="3"/>
      <c r="O3358" s="3"/>
      <c r="P3358" s="3"/>
      <c r="Q3358" s="3"/>
    </row>
    <row r="3359" spans="2:17" x14ac:dyDescent="0.2">
      <c r="B3359" s="3"/>
      <c r="F3359" s="3"/>
      <c r="G3359" s="3"/>
      <c r="I3359" s="3"/>
      <c r="J3359" s="3"/>
      <c r="K3359" s="3"/>
      <c r="L3359" s="3"/>
      <c r="M3359" s="3"/>
      <c r="N3359" s="3"/>
      <c r="O3359" s="3"/>
      <c r="P3359" s="3"/>
      <c r="Q3359" s="3"/>
    </row>
    <row r="3360" spans="2:17" x14ac:dyDescent="0.2">
      <c r="B3360" s="3"/>
      <c r="F3360" s="3"/>
      <c r="G3360" s="3"/>
      <c r="I3360" s="3"/>
      <c r="J3360" s="3"/>
      <c r="K3360" s="3"/>
      <c r="L3360" s="3"/>
      <c r="M3360" s="3"/>
      <c r="N3360" s="3"/>
      <c r="O3360" s="3"/>
      <c r="P3360" s="3"/>
      <c r="Q3360" s="3"/>
    </row>
    <row r="3361" spans="2:17" x14ac:dyDescent="0.2">
      <c r="B3361" s="3"/>
      <c r="F3361" s="3"/>
      <c r="G3361" s="3"/>
      <c r="I3361" s="3"/>
      <c r="J3361" s="3"/>
      <c r="K3361" s="3"/>
      <c r="L3361" s="3"/>
      <c r="M3361" s="3"/>
      <c r="N3361" s="3"/>
      <c r="O3361" s="3"/>
      <c r="P3361" s="3"/>
      <c r="Q3361" s="3"/>
    </row>
    <row r="3362" spans="2:17" x14ac:dyDescent="0.2">
      <c r="B3362" s="3"/>
      <c r="F3362" s="3"/>
      <c r="G3362" s="3"/>
      <c r="I3362" s="3"/>
      <c r="J3362" s="3"/>
      <c r="K3362" s="3"/>
      <c r="L3362" s="3"/>
      <c r="M3362" s="3"/>
      <c r="N3362" s="3"/>
      <c r="O3362" s="3"/>
      <c r="P3362" s="3"/>
      <c r="Q3362" s="3"/>
    </row>
    <row r="3363" spans="2:17" x14ac:dyDescent="0.2">
      <c r="B3363" s="3"/>
      <c r="F3363" s="3"/>
      <c r="G3363" s="3"/>
      <c r="I3363" s="3"/>
      <c r="J3363" s="3"/>
      <c r="K3363" s="3"/>
      <c r="L3363" s="3"/>
      <c r="M3363" s="3"/>
      <c r="N3363" s="3"/>
      <c r="O3363" s="3"/>
      <c r="P3363" s="3"/>
      <c r="Q3363" s="3"/>
    </row>
    <row r="3364" spans="2:17" x14ac:dyDescent="0.2">
      <c r="B3364" s="3"/>
      <c r="F3364" s="3"/>
      <c r="G3364" s="3"/>
      <c r="I3364" s="3"/>
      <c r="J3364" s="3"/>
      <c r="K3364" s="3"/>
      <c r="L3364" s="3"/>
      <c r="M3364" s="3"/>
      <c r="N3364" s="3"/>
      <c r="O3364" s="3"/>
      <c r="P3364" s="3"/>
      <c r="Q3364" s="3"/>
    </row>
    <row r="3365" spans="2:17" x14ac:dyDescent="0.2">
      <c r="B3365" s="3"/>
      <c r="F3365" s="3"/>
      <c r="G3365" s="3"/>
      <c r="I3365" s="3"/>
      <c r="J3365" s="3"/>
      <c r="K3365" s="3"/>
      <c r="L3365" s="3"/>
      <c r="M3365" s="3"/>
      <c r="N3365" s="3"/>
      <c r="O3365" s="3"/>
      <c r="P3365" s="3"/>
      <c r="Q3365" s="3"/>
    </row>
    <row r="3366" spans="2:17" x14ac:dyDescent="0.2">
      <c r="B3366" s="3"/>
      <c r="F3366" s="3"/>
      <c r="G3366" s="3"/>
      <c r="I3366" s="3"/>
      <c r="J3366" s="3"/>
      <c r="K3366" s="3"/>
      <c r="L3366" s="3"/>
      <c r="M3366" s="3"/>
      <c r="N3366" s="3"/>
      <c r="O3366" s="3"/>
      <c r="P3366" s="3"/>
      <c r="Q3366" s="3"/>
    </row>
    <row r="3367" spans="2:17" x14ac:dyDescent="0.2">
      <c r="B3367" s="3"/>
      <c r="F3367" s="3"/>
      <c r="G3367" s="3"/>
      <c r="I3367" s="3"/>
      <c r="J3367" s="3"/>
      <c r="K3367" s="3"/>
      <c r="L3367" s="3"/>
      <c r="M3367" s="3"/>
      <c r="N3367" s="3"/>
      <c r="O3367" s="3"/>
      <c r="P3367" s="3"/>
      <c r="Q3367" s="3"/>
    </row>
    <row r="3368" spans="2:17" x14ac:dyDescent="0.2">
      <c r="B3368" s="3"/>
      <c r="F3368" s="3"/>
      <c r="G3368" s="3"/>
      <c r="I3368" s="3"/>
      <c r="J3368" s="3"/>
      <c r="K3368" s="3"/>
      <c r="L3368" s="3"/>
      <c r="M3368" s="3"/>
      <c r="N3368" s="3"/>
      <c r="O3368" s="3"/>
      <c r="P3368" s="3"/>
      <c r="Q3368" s="3"/>
    </row>
    <row r="3369" spans="2:17" x14ac:dyDescent="0.2">
      <c r="B3369" s="3"/>
      <c r="F3369" s="3"/>
      <c r="G3369" s="3"/>
      <c r="I3369" s="3"/>
      <c r="J3369" s="3"/>
      <c r="K3369" s="3"/>
      <c r="L3369" s="3"/>
      <c r="M3369" s="3"/>
      <c r="N3369" s="3"/>
      <c r="O3369" s="3"/>
      <c r="P3369" s="3"/>
      <c r="Q3369" s="3"/>
    </row>
    <row r="3370" spans="2:17" x14ac:dyDescent="0.2">
      <c r="B3370" s="3"/>
      <c r="F3370" s="3"/>
      <c r="G3370" s="3"/>
      <c r="I3370" s="3"/>
      <c r="J3370" s="3"/>
      <c r="K3370" s="3"/>
      <c r="L3370" s="3"/>
      <c r="M3370" s="3"/>
      <c r="N3370" s="3"/>
      <c r="O3370" s="3"/>
      <c r="P3370" s="3"/>
      <c r="Q3370" s="3"/>
    </row>
    <row r="3371" spans="2:17" x14ac:dyDescent="0.2">
      <c r="B3371" s="3"/>
      <c r="F3371" s="3"/>
      <c r="G3371" s="3"/>
      <c r="I3371" s="3"/>
      <c r="J3371" s="3"/>
      <c r="K3371" s="3"/>
      <c r="L3371" s="3"/>
      <c r="M3371" s="3"/>
      <c r="N3371" s="3"/>
      <c r="O3371" s="3"/>
      <c r="P3371" s="3"/>
      <c r="Q3371" s="3"/>
    </row>
    <row r="3372" spans="2:17" x14ac:dyDescent="0.2">
      <c r="B3372" s="3"/>
      <c r="F3372" s="3"/>
      <c r="G3372" s="3"/>
      <c r="I3372" s="3"/>
      <c r="J3372" s="3"/>
      <c r="K3372" s="3"/>
      <c r="L3372" s="3"/>
      <c r="M3372" s="3"/>
      <c r="N3372" s="3"/>
      <c r="O3372" s="3"/>
      <c r="P3372" s="3"/>
      <c r="Q3372" s="3"/>
    </row>
    <row r="3373" spans="2:17" x14ac:dyDescent="0.2">
      <c r="B3373" s="3"/>
      <c r="F3373" s="3"/>
      <c r="G3373" s="3"/>
      <c r="I3373" s="3"/>
      <c r="J3373" s="3"/>
      <c r="K3373" s="3"/>
      <c r="L3373" s="3"/>
      <c r="M3373" s="3"/>
      <c r="N3373" s="3"/>
      <c r="O3373" s="3"/>
      <c r="P3373" s="3"/>
      <c r="Q3373" s="3"/>
    </row>
    <row r="3374" spans="2:17" x14ac:dyDescent="0.2">
      <c r="B3374" s="3"/>
      <c r="F3374" s="3"/>
      <c r="G3374" s="3"/>
      <c r="I3374" s="3"/>
      <c r="J3374" s="3"/>
      <c r="K3374" s="3"/>
      <c r="L3374" s="3"/>
      <c r="M3374" s="3"/>
      <c r="N3374" s="3"/>
      <c r="O3374" s="3"/>
      <c r="P3374" s="3"/>
      <c r="Q3374" s="3"/>
    </row>
    <row r="3375" spans="2:17" x14ac:dyDescent="0.2">
      <c r="B3375" s="3"/>
      <c r="F3375" s="3"/>
      <c r="G3375" s="3"/>
      <c r="I3375" s="3"/>
      <c r="J3375" s="3"/>
      <c r="K3375" s="3"/>
      <c r="L3375" s="3"/>
      <c r="M3375" s="3"/>
      <c r="N3375" s="3"/>
      <c r="O3375" s="3"/>
      <c r="P3375" s="3"/>
      <c r="Q3375" s="3"/>
    </row>
    <row r="3376" spans="2:17" x14ac:dyDescent="0.2">
      <c r="B3376" s="3"/>
      <c r="F3376" s="3"/>
      <c r="G3376" s="3"/>
      <c r="I3376" s="3"/>
      <c r="J3376" s="3"/>
      <c r="K3376" s="3"/>
      <c r="L3376" s="3"/>
      <c r="M3376" s="3"/>
      <c r="N3376" s="3"/>
      <c r="O3376" s="3"/>
      <c r="P3376" s="3"/>
      <c r="Q3376" s="3"/>
    </row>
    <row r="3377" spans="2:17" x14ac:dyDescent="0.2">
      <c r="B3377" s="3"/>
      <c r="F3377" s="3"/>
      <c r="G3377" s="3"/>
      <c r="I3377" s="3"/>
      <c r="J3377" s="3"/>
      <c r="K3377" s="3"/>
      <c r="L3377" s="3"/>
      <c r="M3377" s="3"/>
      <c r="N3377" s="3"/>
      <c r="O3377" s="3"/>
      <c r="P3377" s="3"/>
      <c r="Q3377" s="3"/>
    </row>
    <row r="3378" spans="2:17" x14ac:dyDescent="0.2">
      <c r="B3378" s="3"/>
      <c r="F3378" s="3"/>
      <c r="G3378" s="3"/>
      <c r="I3378" s="3"/>
      <c r="J3378" s="3"/>
      <c r="K3378" s="3"/>
      <c r="L3378" s="3"/>
      <c r="M3378" s="3"/>
      <c r="N3378" s="3"/>
      <c r="O3378" s="3"/>
      <c r="P3378" s="3"/>
      <c r="Q3378" s="3"/>
    </row>
    <row r="3379" spans="2:17" x14ac:dyDescent="0.2">
      <c r="B3379" s="3"/>
      <c r="F3379" s="3"/>
      <c r="G3379" s="3"/>
      <c r="I3379" s="3"/>
      <c r="J3379" s="3"/>
      <c r="K3379" s="3"/>
      <c r="L3379" s="3"/>
      <c r="M3379" s="3"/>
      <c r="N3379" s="3"/>
      <c r="O3379" s="3"/>
      <c r="P3379" s="3"/>
      <c r="Q3379" s="3"/>
    </row>
    <row r="3380" spans="2:17" x14ac:dyDescent="0.2">
      <c r="B3380" s="3"/>
      <c r="F3380" s="3"/>
      <c r="G3380" s="3"/>
      <c r="I3380" s="3"/>
      <c r="J3380" s="3"/>
      <c r="K3380" s="3"/>
      <c r="L3380" s="3"/>
      <c r="M3380" s="3"/>
      <c r="N3380" s="3"/>
      <c r="O3380" s="3"/>
      <c r="P3380" s="3"/>
      <c r="Q3380" s="3"/>
    </row>
    <row r="3381" spans="2:17" x14ac:dyDescent="0.2">
      <c r="B3381" s="3"/>
      <c r="F3381" s="3"/>
      <c r="G3381" s="3"/>
      <c r="I3381" s="3"/>
      <c r="J3381" s="3"/>
      <c r="K3381" s="3"/>
      <c r="L3381" s="3"/>
      <c r="M3381" s="3"/>
      <c r="N3381" s="3"/>
      <c r="O3381" s="3"/>
      <c r="P3381" s="3"/>
      <c r="Q3381" s="3"/>
    </row>
    <row r="3382" spans="2:17" x14ac:dyDescent="0.2">
      <c r="B3382" s="3"/>
      <c r="F3382" s="3"/>
      <c r="G3382" s="3"/>
      <c r="I3382" s="3"/>
      <c r="J3382" s="3"/>
      <c r="K3382" s="3"/>
      <c r="L3382" s="3"/>
      <c r="M3382" s="3"/>
      <c r="N3382" s="3"/>
      <c r="O3382" s="3"/>
      <c r="P3382" s="3"/>
      <c r="Q3382" s="3"/>
    </row>
    <row r="3383" spans="2:17" x14ac:dyDescent="0.2">
      <c r="B3383" s="3"/>
      <c r="F3383" s="3"/>
      <c r="G3383" s="3"/>
      <c r="I3383" s="3"/>
      <c r="J3383" s="3"/>
      <c r="K3383" s="3"/>
      <c r="L3383" s="3"/>
      <c r="M3383" s="3"/>
      <c r="N3383" s="3"/>
      <c r="O3383" s="3"/>
      <c r="P3383" s="3"/>
      <c r="Q3383" s="3"/>
    </row>
    <row r="3384" spans="2:17" x14ac:dyDescent="0.2">
      <c r="B3384" s="3"/>
      <c r="F3384" s="3"/>
      <c r="G3384" s="3"/>
      <c r="I3384" s="3"/>
      <c r="J3384" s="3"/>
      <c r="K3384" s="3"/>
      <c r="L3384" s="3"/>
      <c r="M3384" s="3"/>
      <c r="N3384" s="3"/>
      <c r="O3384" s="3"/>
      <c r="P3384" s="3"/>
      <c r="Q3384" s="3"/>
    </row>
    <row r="3385" spans="2:17" x14ac:dyDescent="0.2">
      <c r="B3385" s="3"/>
      <c r="F3385" s="3"/>
      <c r="G3385" s="3"/>
      <c r="I3385" s="3"/>
      <c r="J3385" s="3"/>
      <c r="K3385" s="3"/>
      <c r="L3385" s="3"/>
      <c r="M3385" s="3"/>
      <c r="N3385" s="3"/>
      <c r="O3385" s="3"/>
      <c r="P3385" s="3"/>
      <c r="Q3385" s="3"/>
    </row>
    <row r="3386" spans="2:17" x14ac:dyDescent="0.2">
      <c r="B3386" s="3"/>
      <c r="F3386" s="3"/>
      <c r="G3386" s="3"/>
      <c r="I3386" s="3"/>
      <c r="J3386" s="3"/>
      <c r="K3386" s="3"/>
      <c r="L3386" s="3"/>
      <c r="M3386" s="3"/>
      <c r="N3386" s="3"/>
      <c r="O3386" s="3"/>
      <c r="P3386" s="3"/>
      <c r="Q3386" s="3"/>
    </row>
    <row r="3387" spans="2:17" x14ac:dyDescent="0.2">
      <c r="B3387" s="3"/>
      <c r="F3387" s="3"/>
      <c r="G3387" s="3"/>
      <c r="I3387" s="3"/>
      <c r="J3387" s="3"/>
      <c r="K3387" s="3"/>
      <c r="L3387" s="3"/>
      <c r="M3387" s="3"/>
      <c r="N3387" s="3"/>
      <c r="O3387" s="3"/>
      <c r="P3387" s="3"/>
      <c r="Q3387" s="3"/>
    </row>
    <row r="3388" spans="2:17" x14ac:dyDescent="0.2">
      <c r="B3388" s="3"/>
      <c r="F3388" s="3"/>
      <c r="G3388" s="3"/>
      <c r="I3388" s="3"/>
      <c r="J3388" s="3"/>
      <c r="K3388" s="3"/>
      <c r="L3388" s="3"/>
      <c r="M3388" s="3"/>
      <c r="N3388" s="3"/>
      <c r="O3388" s="3"/>
      <c r="P3388" s="3"/>
      <c r="Q3388" s="3"/>
    </row>
    <row r="3389" spans="2:17" x14ac:dyDescent="0.2">
      <c r="B3389" s="3"/>
      <c r="F3389" s="3"/>
      <c r="G3389" s="3"/>
      <c r="I3389" s="3"/>
      <c r="J3389" s="3"/>
      <c r="K3389" s="3"/>
      <c r="L3389" s="3"/>
      <c r="M3389" s="3"/>
      <c r="N3389" s="3"/>
      <c r="O3389" s="3"/>
      <c r="P3389" s="3"/>
      <c r="Q3389" s="3"/>
    </row>
    <row r="3390" spans="2:17" x14ac:dyDescent="0.2">
      <c r="B3390" s="3"/>
      <c r="F3390" s="3"/>
      <c r="G3390" s="3"/>
      <c r="I3390" s="3"/>
      <c r="J3390" s="3"/>
      <c r="K3390" s="3"/>
      <c r="L3390" s="3"/>
      <c r="M3390" s="3"/>
      <c r="N3390" s="3"/>
      <c r="O3390" s="3"/>
      <c r="P3390" s="3"/>
      <c r="Q3390" s="3"/>
    </row>
    <row r="3391" spans="2:17" x14ac:dyDescent="0.2">
      <c r="B3391" s="3"/>
      <c r="F3391" s="3"/>
      <c r="G3391" s="3"/>
      <c r="I3391" s="3"/>
      <c r="J3391" s="3"/>
      <c r="K3391" s="3"/>
      <c r="L3391" s="3"/>
      <c r="M3391" s="3"/>
      <c r="N3391" s="3"/>
      <c r="O3391" s="3"/>
      <c r="P3391" s="3"/>
      <c r="Q3391" s="3"/>
    </row>
    <row r="3392" spans="2:17" x14ac:dyDescent="0.2">
      <c r="B3392" s="3"/>
      <c r="F3392" s="3"/>
      <c r="G3392" s="3"/>
      <c r="I3392" s="3"/>
      <c r="J3392" s="3"/>
      <c r="K3392" s="3"/>
      <c r="L3392" s="3"/>
      <c r="M3392" s="3"/>
      <c r="N3392" s="3"/>
      <c r="O3392" s="3"/>
      <c r="P3392" s="3"/>
      <c r="Q3392" s="3"/>
    </row>
    <row r="3393" spans="2:17" x14ac:dyDescent="0.2">
      <c r="B3393" s="3"/>
      <c r="F3393" s="3"/>
      <c r="G3393" s="3"/>
      <c r="I3393" s="3"/>
      <c r="J3393" s="3"/>
      <c r="K3393" s="3"/>
      <c r="L3393" s="3"/>
      <c r="M3393" s="3"/>
      <c r="N3393" s="3"/>
      <c r="O3393" s="3"/>
      <c r="P3393" s="3"/>
      <c r="Q3393" s="3"/>
    </row>
    <row r="3394" spans="2:17" x14ac:dyDescent="0.2">
      <c r="B3394" s="3"/>
      <c r="F3394" s="3"/>
      <c r="G3394" s="3"/>
      <c r="I3394" s="3"/>
      <c r="J3394" s="3"/>
      <c r="K3394" s="3"/>
      <c r="L3394" s="3"/>
      <c r="M3394" s="3"/>
      <c r="N3394" s="3"/>
      <c r="O3394" s="3"/>
      <c r="P3394" s="3"/>
      <c r="Q3394" s="3"/>
    </row>
    <row r="3395" spans="2:17" x14ac:dyDescent="0.2">
      <c r="B3395" s="3"/>
      <c r="F3395" s="3"/>
      <c r="G3395" s="3"/>
      <c r="I3395" s="3"/>
      <c r="J3395" s="3"/>
      <c r="K3395" s="3"/>
      <c r="L3395" s="3"/>
      <c r="M3395" s="3"/>
      <c r="N3395" s="3"/>
      <c r="O3395" s="3"/>
      <c r="P3395" s="3"/>
      <c r="Q3395" s="3"/>
    </row>
    <row r="3396" spans="2:17" x14ac:dyDescent="0.2">
      <c r="B3396" s="3"/>
      <c r="F3396" s="3"/>
      <c r="G3396" s="3"/>
      <c r="I3396" s="3"/>
      <c r="J3396" s="3"/>
      <c r="K3396" s="3"/>
      <c r="L3396" s="3"/>
      <c r="M3396" s="3"/>
      <c r="N3396" s="3"/>
      <c r="O3396" s="3"/>
      <c r="P3396" s="3"/>
      <c r="Q3396" s="3"/>
    </row>
    <row r="3397" spans="2:17" x14ac:dyDescent="0.2">
      <c r="B3397" s="3"/>
      <c r="F3397" s="3"/>
      <c r="G3397" s="3"/>
      <c r="I3397" s="3"/>
      <c r="J3397" s="3"/>
      <c r="K3397" s="3"/>
      <c r="L3397" s="3"/>
      <c r="M3397" s="3"/>
      <c r="N3397" s="3"/>
      <c r="O3397" s="3"/>
      <c r="P3397" s="3"/>
      <c r="Q3397" s="3"/>
    </row>
    <row r="3398" spans="2:17" x14ac:dyDescent="0.2">
      <c r="B3398" s="3"/>
      <c r="F3398" s="3"/>
      <c r="G3398" s="3"/>
      <c r="I3398" s="3"/>
      <c r="J3398" s="3"/>
      <c r="K3398" s="3"/>
      <c r="L3398" s="3"/>
      <c r="M3398" s="3"/>
      <c r="N3398" s="3"/>
      <c r="O3398" s="3"/>
      <c r="P3398" s="3"/>
      <c r="Q3398" s="3"/>
    </row>
    <row r="3399" spans="2:17" x14ac:dyDescent="0.2">
      <c r="B3399" s="3"/>
      <c r="F3399" s="3"/>
      <c r="G3399" s="3"/>
      <c r="I3399" s="3"/>
      <c r="J3399" s="3"/>
      <c r="K3399" s="3"/>
      <c r="L3399" s="3"/>
      <c r="M3399" s="3"/>
      <c r="N3399" s="3"/>
      <c r="O3399" s="3"/>
      <c r="P3399" s="3"/>
      <c r="Q3399" s="3"/>
    </row>
    <row r="3400" spans="2:17" x14ac:dyDescent="0.2">
      <c r="B3400" s="3"/>
      <c r="F3400" s="3"/>
      <c r="G3400" s="3"/>
      <c r="I3400" s="3"/>
      <c r="J3400" s="3"/>
      <c r="K3400" s="3"/>
      <c r="L3400" s="3"/>
      <c r="M3400" s="3"/>
      <c r="N3400" s="3"/>
      <c r="O3400" s="3"/>
      <c r="P3400" s="3"/>
      <c r="Q3400" s="3"/>
    </row>
    <row r="3401" spans="2:17" x14ac:dyDescent="0.2">
      <c r="B3401" s="3"/>
      <c r="F3401" s="3"/>
      <c r="G3401" s="3"/>
      <c r="I3401" s="3"/>
      <c r="J3401" s="3"/>
      <c r="K3401" s="3"/>
      <c r="L3401" s="3"/>
      <c r="M3401" s="3"/>
      <c r="N3401" s="3"/>
      <c r="O3401" s="3"/>
      <c r="P3401" s="3"/>
      <c r="Q3401" s="3"/>
    </row>
    <row r="3402" spans="2:17" x14ac:dyDescent="0.2">
      <c r="B3402" s="3"/>
      <c r="F3402" s="3"/>
      <c r="G3402" s="3"/>
      <c r="I3402" s="3"/>
      <c r="J3402" s="3"/>
      <c r="K3402" s="3"/>
      <c r="L3402" s="3"/>
      <c r="M3402" s="3"/>
      <c r="N3402" s="3"/>
      <c r="O3402" s="3"/>
      <c r="P3402" s="3"/>
      <c r="Q3402" s="3"/>
    </row>
    <row r="3403" spans="2:17" x14ac:dyDescent="0.2">
      <c r="B3403" s="3"/>
      <c r="F3403" s="3"/>
      <c r="G3403" s="3"/>
      <c r="I3403" s="3"/>
      <c r="J3403" s="3"/>
      <c r="K3403" s="3"/>
      <c r="L3403" s="3"/>
      <c r="M3403" s="3"/>
      <c r="N3403" s="3"/>
      <c r="O3403" s="3"/>
      <c r="P3403" s="3"/>
      <c r="Q3403" s="3"/>
    </row>
    <row r="3404" spans="2:17" x14ac:dyDescent="0.2">
      <c r="B3404" s="3"/>
      <c r="F3404" s="3"/>
      <c r="G3404" s="3"/>
      <c r="I3404" s="3"/>
      <c r="J3404" s="3"/>
      <c r="K3404" s="3"/>
      <c r="L3404" s="3"/>
      <c r="M3404" s="3"/>
      <c r="N3404" s="3"/>
      <c r="O3404" s="3"/>
      <c r="P3404" s="3"/>
      <c r="Q3404" s="3"/>
    </row>
    <row r="3405" spans="2:17" x14ac:dyDescent="0.2">
      <c r="B3405" s="3"/>
      <c r="F3405" s="3"/>
      <c r="G3405" s="3"/>
      <c r="I3405" s="3"/>
      <c r="J3405" s="3"/>
      <c r="K3405" s="3"/>
      <c r="L3405" s="3"/>
      <c r="M3405" s="3"/>
      <c r="N3405" s="3"/>
      <c r="O3405" s="3"/>
      <c r="P3405" s="3"/>
      <c r="Q3405" s="3"/>
    </row>
    <row r="3406" spans="2:17" x14ac:dyDescent="0.2">
      <c r="B3406" s="3"/>
      <c r="F3406" s="3"/>
      <c r="G3406" s="3"/>
      <c r="I3406" s="3"/>
      <c r="J3406" s="3"/>
      <c r="K3406" s="3"/>
      <c r="L3406" s="3"/>
      <c r="M3406" s="3"/>
      <c r="N3406" s="3"/>
      <c r="O3406" s="3"/>
      <c r="P3406" s="3"/>
      <c r="Q3406" s="3"/>
    </row>
    <row r="3407" spans="2:17" x14ac:dyDescent="0.2">
      <c r="B3407" s="3"/>
      <c r="F3407" s="3"/>
      <c r="G3407" s="3"/>
      <c r="I3407" s="3"/>
      <c r="J3407" s="3"/>
      <c r="K3407" s="3"/>
      <c r="L3407" s="3"/>
      <c r="M3407" s="3"/>
      <c r="N3407" s="3"/>
      <c r="O3407" s="3"/>
      <c r="P3407" s="3"/>
      <c r="Q3407" s="3"/>
    </row>
    <row r="3408" spans="2:17" x14ac:dyDescent="0.2">
      <c r="B3408" s="3"/>
      <c r="F3408" s="3"/>
      <c r="G3408" s="3"/>
      <c r="I3408" s="3"/>
      <c r="J3408" s="3"/>
      <c r="K3408" s="3"/>
      <c r="L3408" s="3"/>
      <c r="M3408" s="3"/>
      <c r="N3408" s="3"/>
      <c r="O3408" s="3"/>
      <c r="P3408" s="3"/>
      <c r="Q3408" s="3"/>
    </row>
    <row r="3409" spans="2:17" x14ac:dyDescent="0.2">
      <c r="B3409" s="3"/>
      <c r="F3409" s="3"/>
      <c r="G3409" s="3"/>
      <c r="I3409" s="3"/>
      <c r="J3409" s="3"/>
      <c r="K3409" s="3"/>
      <c r="L3409" s="3"/>
      <c r="M3409" s="3"/>
      <c r="N3409" s="3"/>
      <c r="O3409" s="3"/>
      <c r="P3409" s="3"/>
      <c r="Q3409" s="3"/>
    </row>
    <row r="3410" spans="2:17" x14ac:dyDescent="0.2">
      <c r="B3410" s="3"/>
      <c r="F3410" s="3"/>
      <c r="G3410" s="3"/>
      <c r="I3410" s="3"/>
      <c r="J3410" s="3"/>
      <c r="K3410" s="3"/>
      <c r="L3410" s="3"/>
      <c r="M3410" s="3"/>
      <c r="N3410" s="3"/>
      <c r="O3410" s="3"/>
      <c r="P3410" s="3"/>
      <c r="Q3410" s="3"/>
    </row>
    <row r="3411" spans="2:17" x14ac:dyDescent="0.2">
      <c r="B3411" s="3"/>
      <c r="F3411" s="3"/>
      <c r="G3411" s="3"/>
      <c r="I3411" s="3"/>
      <c r="J3411" s="3"/>
      <c r="K3411" s="3"/>
      <c r="L3411" s="3"/>
      <c r="M3411" s="3"/>
      <c r="N3411" s="3"/>
      <c r="O3411" s="3"/>
      <c r="P3411" s="3"/>
      <c r="Q3411" s="3"/>
    </row>
    <row r="3412" spans="2:17" x14ac:dyDescent="0.2">
      <c r="B3412" s="3"/>
      <c r="F3412" s="3"/>
      <c r="G3412" s="3"/>
      <c r="I3412" s="3"/>
      <c r="J3412" s="3"/>
      <c r="K3412" s="3"/>
      <c r="L3412" s="3"/>
      <c r="M3412" s="3"/>
      <c r="N3412" s="3"/>
      <c r="O3412" s="3"/>
      <c r="P3412" s="3"/>
      <c r="Q3412" s="3"/>
    </row>
    <row r="3413" spans="2:17" x14ac:dyDescent="0.2">
      <c r="B3413" s="3"/>
      <c r="F3413" s="3"/>
      <c r="G3413" s="3"/>
      <c r="I3413" s="3"/>
      <c r="J3413" s="3"/>
      <c r="K3413" s="3"/>
      <c r="L3413" s="3"/>
      <c r="M3413" s="3"/>
      <c r="N3413" s="3"/>
      <c r="O3413" s="3"/>
      <c r="P3413" s="3"/>
      <c r="Q3413" s="3"/>
    </row>
    <row r="3414" spans="2:17" x14ac:dyDescent="0.2">
      <c r="B3414" s="3"/>
      <c r="F3414" s="3"/>
      <c r="G3414" s="3"/>
      <c r="I3414" s="3"/>
      <c r="J3414" s="3"/>
      <c r="K3414" s="3"/>
      <c r="L3414" s="3"/>
      <c r="M3414" s="3"/>
      <c r="N3414" s="3"/>
      <c r="O3414" s="3"/>
      <c r="P3414" s="3"/>
      <c r="Q3414" s="3"/>
    </row>
    <row r="3415" spans="2:17" x14ac:dyDescent="0.2">
      <c r="B3415" s="3"/>
      <c r="F3415" s="3"/>
      <c r="G3415" s="3"/>
      <c r="I3415" s="3"/>
      <c r="J3415" s="3"/>
      <c r="K3415" s="3"/>
      <c r="L3415" s="3"/>
      <c r="M3415" s="3"/>
      <c r="N3415" s="3"/>
      <c r="O3415" s="3"/>
      <c r="P3415" s="3"/>
      <c r="Q3415" s="3"/>
    </row>
    <row r="3416" spans="2:17" x14ac:dyDescent="0.2">
      <c r="B3416" s="3"/>
      <c r="F3416" s="3"/>
      <c r="G3416" s="3"/>
      <c r="I3416" s="3"/>
      <c r="J3416" s="3"/>
      <c r="K3416" s="3"/>
      <c r="L3416" s="3"/>
      <c r="M3416" s="3"/>
      <c r="N3416" s="3"/>
      <c r="O3416" s="3"/>
      <c r="P3416" s="3"/>
      <c r="Q3416" s="3"/>
    </row>
    <row r="3417" spans="2:17" x14ac:dyDescent="0.2">
      <c r="B3417" s="3"/>
      <c r="F3417" s="3"/>
      <c r="G3417" s="3"/>
      <c r="I3417" s="3"/>
      <c r="J3417" s="3"/>
      <c r="K3417" s="3"/>
      <c r="L3417" s="3"/>
      <c r="M3417" s="3"/>
      <c r="N3417" s="3"/>
      <c r="O3417" s="3"/>
      <c r="P3417" s="3"/>
      <c r="Q3417" s="3"/>
    </row>
    <row r="3418" spans="2:17" x14ac:dyDescent="0.2">
      <c r="B3418" s="3"/>
      <c r="F3418" s="3"/>
      <c r="G3418" s="3"/>
      <c r="I3418" s="3"/>
      <c r="J3418" s="3"/>
      <c r="K3418" s="3"/>
      <c r="L3418" s="3"/>
      <c r="M3418" s="3"/>
      <c r="N3418" s="3"/>
      <c r="O3418" s="3"/>
      <c r="P3418" s="3"/>
      <c r="Q3418" s="3"/>
    </row>
    <row r="3419" spans="2:17" x14ac:dyDescent="0.2">
      <c r="B3419" s="3"/>
      <c r="F3419" s="3"/>
      <c r="G3419" s="3"/>
      <c r="I3419" s="3"/>
      <c r="J3419" s="3"/>
      <c r="K3419" s="3"/>
      <c r="L3419" s="3"/>
      <c r="M3419" s="3"/>
      <c r="N3419" s="3"/>
      <c r="O3419" s="3"/>
      <c r="P3419" s="3"/>
      <c r="Q3419" s="3"/>
    </row>
    <row r="3420" spans="2:17" x14ac:dyDescent="0.2">
      <c r="B3420" s="3"/>
      <c r="F3420" s="3"/>
      <c r="G3420" s="3"/>
      <c r="I3420" s="3"/>
      <c r="J3420" s="3"/>
      <c r="K3420" s="3"/>
      <c r="L3420" s="3"/>
      <c r="M3420" s="3"/>
      <c r="N3420" s="3"/>
      <c r="O3420" s="3"/>
      <c r="P3420" s="3"/>
      <c r="Q3420" s="3"/>
    </row>
    <row r="3421" spans="2:17" x14ac:dyDescent="0.2">
      <c r="B3421" s="3"/>
      <c r="F3421" s="3"/>
      <c r="G3421" s="3"/>
      <c r="I3421" s="3"/>
      <c r="J3421" s="3"/>
      <c r="K3421" s="3"/>
      <c r="L3421" s="3"/>
      <c r="M3421" s="3"/>
      <c r="N3421" s="3"/>
      <c r="O3421" s="3"/>
      <c r="P3421" s="3"/>
      <c r="Q3421" s="3"/>
    </row>
    <row r="3422" spans="2:17" x14ac:dyDescent="0.2">
      <c r="B3422" s="3"/>
      <c r="F3422" s="3"/>
      <c r="G3422" s="3"/>
      <c r="I3422" s="3"/>
      <c r="J3422" s="3"/>
      <c r="K3422" s="3"/>
      <c r="L3422" s="3"/>
      <c r="M3422" s="3"/>
      <c r="N3422" s="3"/>
      <c r="O3422" s="3"/>
      <c r="P3422" s="3"/>
      <c r="Q3422" s="3"/>
    </row>
    <row r="3423" spans="2:17" x14ac:dyDescent="0.2">
      <c r="B3423" s="3"/>
      <c r="F3423" s="3"/>
      <c r="G3423" s="3"/>
      <c r="I3423" s="3"/>
      <c r="J3423" s="3"/>
      <c r="K3423" s="3"/>
      <c r="L3423" s="3"/>
      <c r="M3423" s="3"/>
      <c r="N3423" s="3"/>
      <c r="O3423" s="3"/>
      <c r="P3423" s="3"/>
      <c r="Q3423" s="3"/>
    </row>
    <row r="3424" spans="2:17" x14ac:dyDescent="0.2">
      <c r="B3424" s="3"/>
      <c r="F3424" s="3"/>
      <c r="G3424" s="3"/>
      <c r="I3424" s="3"/>
      <c r="J3424" s="3"/>
      <c r="K3424" s="3"/>
      <c r="L3424" s="3"/>
      <c r="M3424" s="3"/>
      <c r="N3424" s="3"/>
      <c r="O3424" s="3"/>
      <c r="P3424" s="3"/>
      <c r="Q3424" s="3"/>
    </row>
    <row r="3425" spans="2:17" x14ac:dyDescent="0.2">
      <c r="B3425" s="3"/>
      <c r="F3425" s="3"/>
      <c r="G3425" s="3"/>
      <c r="I3425" s="3"/>
      <c r="J3425" s="3"/>
      <c r="K3425" s="3"/>
      <c r="L3425" s="3"/>
      <c r="M3425" s="3"/>
      <c r="N3425" s="3"/>
      <c r="O3425" s="3"/>
      <c r="P3425" s="3"/>
      <c r="Q3425" s="3"/>
    </row>
    <row r="3426" spans="2:17" x14ac:dyDescent="0.2">
      <c r="B3426" s="3"/>
      <c r="F3426" s="3"/>
      <c r="G3426" s="3"/>
      <c r="I3426" s="3"/>
      <c r="J3426" s="3"/>
      <c r="K3426" s="3"/>
      <c r="L3426" s="3"/>
      <c r="M3426" s="3"/>
      <c r="N3426" s="3"/>
      <c r="O3426" s="3"/>
      <c r="P3426" s="3"/>
      <c r="Q3426" s="3"/>
    </row>
    <row r="3427" spans="2:17" x14ac:dyDescent="0.2">
      <c r="B3427" s="3"/>
      <c r="F3427" s="3"/>
      <c r="G3427" s="3"/>
      <c r="I3427" s="3"/>
      <c r="J3427" s="3"/>
      <c r="K3427" s="3"/>
      <c r="L3427" s="3"/>
      <c r="M3427" s="3"/>
      <c r="N3427" s="3"/>
      <c r="O3427" s="3"/>
      <c r="P3427" s="3"/>
      <c r="Q3427" s="3"/>
    </row>
    <row r="3428" spans="2:17" x14ac:dyDescent="0.2">
      <c r="B3428" s="3"/>
      <c r="F3428" s="3"/>
      <c r="G3428" s="3"/>
      <c r="I3428" s="3"/>
      <c r="J3428" s="3"/>
      <c r="K3428" s="3"/>
      <c r="L3428" s="3"/>
      <c r="M3428" s="3"/>
      <c r="N3428" s="3"/>
      <c r="O3428" s="3"/>
      <c r="P3428" s="3"/>
      <c r="Q3428" s="3"/>
    </row>
    <row r="3429" spans="2:17" x14ac:dyDescent="0.2">
      <c r="B3429" s="3"/>
      <c r="F3429" s="3"/>
      <c r="G3429" s="3"/>
      <c r="I3429" s="3"/>
      <c r="J3429" s="3"/>
      <c r="K3429" s="3"/>
      <c r="L3429" s="3"/>
      <c r="M3429" s="3"/>
      <c r="N3429" s="3"/>
      <c r="O3429" s="3"/>
      <c r="P3429" s="3"/>
      <c r="Q3429" s="3"/>
    </row>
    <row r="3430" spans="2:17" x14ac:dyDescent="0.2">
      <c r="B3430" s="3"/>
      <c r="F3430" s="3"/>
      <c r="G3430" s="3"/>
      <c r="I3430" s="3"/>
      <c r="J3430" s="3"/>
      <c r="K3430" s="3"/>
      <c r="L3430" s="3"/>
      <c r="M3430" s="3"/>
      <c r="N3430" s="3"/>
      <c r="O3430" s="3"/>
      <c r="P3430" s="3"/>
      <c r="Q3430" s="3"/>
    </row>
    <row r="3431" spans="2:17" x14ac:dyDescent="0.2">
      <c r="B3431" s="3"/>
      <c r="F3431" s="3"/>
      <c r="G3431" s="3"/>
      <c r="I3431" s="3"/>
      <c r="J3431" s="3"/>
      <c r="K3431" s="3"/>
      <c r="L3431" s="3"/>
      <c r="M3431" s="3"/>
      <c r="N3431" s="3"/>
      <c r="O3431" s="3"/>
      <c r="P3431" s="3"/>
      <c r="Q3431" s="3"/>
    </row>
    <row r="3432" spans="2:17" x14ac:dyDescent="0.2">
      <c r="B3432" s="3"/>
      <c r="F3432" s="3"/>
      <c r="G3432" s="3"/>
      <c r="I3432" s="3"/>
      <c r="J3432" s="3"/>
      <c r="K3432" s="3"/>
      <c r="L3432" s="3"/>
      <c r="M3432" s="3"/>
      <c r="N3432" s="3"/>
      <c r="O3432" s="3"/>
      <c r="P3432" s="3"/>
      <c r="Q3432" s="3"/>
    </row>
    <row r="3433" spans="2:17" x14ac:dyDescent="0.2">
      <c r="B3433" s="3"/>
      <c r="F3433" s="3"/>
      <c r="G3433" s="3"/>
      <c r="I3433" s="3"/>
      <c r="J3433" s="3"/>
      <c r="K3433" s="3"/>
      <c r="L3433" s="3"/>
      <c r="M3433" s="3"/>
      <c r="N3433" s="3"/>
      <c r="O3433" s="3"/>
      <c r="P3433" s="3"/>
      <c r="Q3433" s="3"/>
    </row>
    <row r="3434" spans="2:17" x14ac:dyDescent="0.2">
      <c r="B3434" s="3"/>
      <c r="F3434" s="3"/>
      <c r="G3434" s="3"/>
      <c r="I3434" s="3"/>
      <c r="J3434" s="3"/>
      <c r="K3434" s="3"/>
      <c r="L3434" s="3"/>
      <c r="M3434" s="3"/>
      <c r="N3434" s="3"/>
      <c r="O3434" s="3"/>
      <c r="P3434" s="3"/>
      <c r="Q3434" s="3"/>
    </row>
    <row r="3435" spans="2:17" x14ac:dyDescent="0.2">
      <c r="B3435" s="3"/>
      <c r="F3435" s="3"/>
      <c r="G3435" s="3"/>
      <c r="I3435" s="3"/>
      <c r="J3435" s="3"/>
      <c r="K3435" s="3"/>
      <c r="L3435" s="3"/>
      <c r="M3435" s="3"/>
      <c r="N3435" s="3"/>
      <c r="O3435" s="3"/>
      <c r="P3435" s="3"/>
      <c r="Q3435" s="3"/>
    </row>
    <row r="3436" spans="2:17" x14ac:dyDescent="0.2">
      <c r="B3436" s="3"/>
      <c r="F3436" s="3"/>
      <c r="G3436" s="3"/>
      <c r="I3436" s="3"/>
      <c r="J3436" s="3"/>
      <c r="K3436" s="3"/>
      <c r="L3436" s="3"/>
      <c r="M3436" s="3"/>
      <c r="N3436" s="3"/>
      <c r="O3436" s="3"/>
      <c r="P3436" s="3"/>
      <c r="Q3436" s="3"/>
    </row>
    <row r="3437" spans="2:17" x14ac:dyDescent="0.2">
      <c r="B3437" s="3"/>
      <c r="F3437" s="3"/>
      <c r="G3437" s="3"/>
      <c r="I3437" s="3"/>
      <c r="J3437" s="3"/>
      <c r="K3437" s="3"/>
      <c r="L3437" s="3"/>
      <c r="M3437" s="3"/>
      <c r="N3437" s="3"/>
      <c r="O3437" s="3"/>
      <c r="P3437" s="3"/>
      <c r="Q3437" s="3"/>
    </row>
    <row r="3438" spans="2:17" x14ac:dyDescent="0.2">
      <c r="B3438" s="3"/>
      <c r="F3438" s="3"/>
      <c r="G3438" s="3"/>
      <c r="I3438" s="3"/>
      <c r="J3438" s="3"/>
      <c r="K3438" s="3"/>
      <c r="L3438" s="3"/>
      <c r="M3438" s="3"/>
      <c r="N3438" s="3"/>
      <c r="O3438" s="3"/>
      <c r="P3438" s="3"/>
      <c r="Q3438" s="3"/>
    </row>
    <row r="3439" spans="2:17" x14ac:dyDescent="0.2">
      <c r="B3439" s="3"/>
      <c r="F3439" s="3"/>
      <c r="G3439" s="3"/>
      <c r="I3439" s="3"/>
      <c r="J3439" s="3"/>
      <c r="K3439" s="3"/>
      <c r="L3439" s="3"/>
      <c r="M3439" s="3"/>
      <c r="N3439" s="3"/>
      <c r="O3439" s="3"/>
      <c r="P3439" s="3"/>
      <c r="Q3439" s="3"/>
    </row>
    <row r="3440" spans="2:17" x14ac:dyDescent="0.2">
      <c r="B3440" s="3"/>
      <c r="F3440" s="3"/>
      <c r="G3440" s="3"/>
      <c r="I3440" s="3"/>
      <c r="J3440" s="3"/>
      <c r="K3440" s="3"/>
      <c r="L3440" s="3"/>
      <c r="M3440" s="3"/>
      <c r="N3440" s="3"/>
      <c r="O3440" s="3"/>
      <c r="P3440" s="3"/>
      <c r="Q3440" s="3"/>
    </row>
    <row r="3441" spans="2:17" x14ac:dyDescent="0.2">
      <c r="B3441" s="3"/>
      <c r="F3441" s="3"/>
      <c r="G3441" s="3"/>
      <c r="I3441" s="3"/>
      <c r="J3441" s="3"/>
      <c r="K3441" s="3"/>
      <c r="L3441" s="3"/>
      <c r="M3441" s="3"/>
      <c r="N3441" s="3"/>
      <c r="O3441" s="3"/>
      <c r="P3441" s="3"/>
      <c r="Q3441" s="3"/>
    </row>
    <row r="3442" spans="2:17" x14ac:dyDescent="0.2">
      <c r="B3442" s="3"/>
      <c r="F3442" s="3"/>
      <c r="G3442" s="3"/>
      <c r="I3442" s="3"/>
      <c r="J3442" s="3"/>
      <c r="K3442" s="3"/>
      <c r="L3442" s="3"/>
      <c r="M3442" s="3"/>
      <c r="N3442" s="3"/>
      <c r="O3442" s="3"/>
      <c r="P3442" s="3"/>
      <c r="Q3442" s="3"/>
    </row>
    <row r="3443" spans="2:17" x14ac:dyDescent="0.2">
      <c r="B3443" s="3"/>
      <c r="F3443" s="3"/>
      <c r="G3443" s="3"/>
      <c r="I3443" s="3"/>
      <c r="J3443" s="3"/>
      <c r="K3443" s="3"/>
      <c r="L3443" s="3"/>
      <c r="M3443" s="3"/>
      <c r="N3443" s="3"/>
      <c r="O3443" s="3"/>
      <c r="P3443" s="3"/>
      <c r="Q3443" s="3"/>
    </row>
    <row r="3444" spans="2:17" x14ac:dyDescent="0.2">
      <c r="B3444" s="3"/>
      <c r="F3444" s="3"/>
      <c r="G3444" s="3"/>
      <c r="I3444" s="3"/>
      <c r="J3444" s="3"/>
      <c r="K3444" s="3"/>
      <c r="L3444" s="3"/>
      <c r="M3444" s="3"/>
      <c r="N3444" s="3"/>
      <c r="O3444" s="3"/>
      <c r="P3444" s="3"/>
      <c r="Q3444" s="3"/>
    </row>
    <row r="3445" spans="2:17" x14ac:dyDescent="0.2">
      <c r="B3445" s="3"/>
      <c r="F3445" s="3"/>
      <c r="G3445" s="3"/>
      <c r="I3445" s="3"/>
      <c r="J3445" s="3"/>
      <c r="K3445" s="3"/>
      <c r="L3445" s="3"/>
      <c r="M3445" s="3"/>
      <c r="N3445" s="3"/>
      <c r="O3445" s="3"/>
      <c r="P3445" s="3"/>
      <c r="Q3445" s="3"/>
    </row>
    <row r="3446" spans="2:17" x14ac:dyDescent="0.2">
      <c r="B3446" s="3"/>
      <c r="F3446" s="3"/>
      <c r="G3446" s="3"/>
      <c r="I3446" s="3"/>
      <c r="J3446" s="3"/>
      <c r="K3446" s="3"/>
      <c r="L3446" s="3"/>
      <c r="M3446" s="3"/>
      <c r="N3446" s="3"/>
      <c r="O3446" s="3"/>
      <c r="P3446" s="3"/>
      <c r="Q3446" s="3"/>
    </row>
    <row r="3447" spans="2:17" x14ac:dyDescent="0.2">
      <c r="B3447" s="3"/>
      <c r="F3447" s="3"/>
      <c r="G3447" s="3"/>
      <c r="I3447" s="3"/>
      <c r="J3447" s="3"/>
      <c r="K3447" s="3"/>
      <c r="L3447" s="3"/>
      <c r="M3447" s="3"/>
      <c r="N3447" s="3"/>
      <c r="O3447" s="3"/>
      <c r="P3447" s="3"/>
      <c r="Q3447" s="3"/>
    </row>
    <row r="3448" spans="2:17" x14ac:dyDescent="0.2">
      <c r="B3448" s="3"/>
      <c r="F3448" s="3"/>
      <c r="G3448" s="3"/>
      <c r="I3448" s="3"/>
      <c r="J3448" s="3"/>
      <c r="K3448" s="3"/>
      <c r="L3448" s="3"/>
      <c r="M3448" s="3"/>
      <c r="N3448" s="3"/>
      <c r="O3448" s="3"/>
      <c r="P3448" s="3"/>
      <c r="Q3448" s="3"/>
    </row>
    <row r="3449" spans="2:17" x14ac:dyDescent="0.2">
      <c r="B3449" s="3"/>
      <c r="F3449" s="3"/>
      <c r="G3449" s="3"/>
      <c r="I3449" s="3"/>
      <c r="J3449" s="3"/>
      <c r="K3449" s="3"/>
      <c r="L3449" s="3"/>
      <c r="M3449" s="3"/>
      <c r="N3449" s="3"/>
      <c r="O3449" s="3"/>
      <c r="P3449" s="3"/>
      <c r="Q3449" s="3"/>
    </row>
    <row r="3450" spans="2:17" x14ac:dyDescent="0.2">
      <c r="B3450" s="3"/>
      <c r="F3450" s="3"/>
      <c r="G3450" s="3"/>
      <c r="I3450" s="3"/>
      <c r="J3450" s="3"/>
      <c r="K3450" s="3"/>
      <c r="L3450" s="3"/>
      <c r="M3450" s="3"/>
      <c r="N3450" s="3"/>
      <c r="O3450" s="3"/>
      <c r="P3450" s="3"/>
      <c r="Q3450" s="3"/>
    </row>
    <row r="3451" spans="2:17" x14ac:dyDescent="0.2">
      <c r="B3451" s="3"/>
      <c r="F3451" s="3"/>
      <c r="G3451" s="3"/>
      <c r="I3451" s="3"/>
      <c r="J3451" s="3"/>
      <c r="K3451" s="3"/>
      <c r="L3451" s="3"/>
      <c r="M3451" s="3"/>
      <c r="N3451" s="3"/>
      <c r="O3451" s="3"/>
      <c r="P3451" s="3"/>
      <c r="Q3451" s="3"/>
    </row>
    <row r="3452" spans="2:17" x14ac:dyDescent="0.2">
      <c r="B3452" s="3"/>
      <c r="F3452" s="3"/>
      <c r="G3452" s="3"/>
      <c r="I3452" s="3"/>
      <c r="J3452" s="3"/>
      <c r="K3452" s="3"/>
      <c r="L3452" s="3"/>
      <c r="M3452" s="3"/>
      <c r="N3452" s="3"/>
      <c r="O3452" s="3"/>
      <c r="P3452" s="3"/>
      <c r="Q3452" s="3"/>
    </row>
    <row r="3453" spans="2:17" x14ac:dyDescent="0.2">
      <c r="B3453" s="3"/>
      <c r="F3453" s="3"/>
      <c r="G3453" s="3"/>
      <c r="I3453" s="3"/>
      <c r="J3453" s="3"/>
      <c r="K3453" s="3"/>
      <c r="L3453" s="3"/>
      <c r="M3453" s="3"/>
      <c r="N3453" s="3"/>
      <c r="O3453" s="3"/>
      <c r="P3453" s="3"/>
      <c r="Q3453" s="3"/>
    </row>
    <row r="3454" spans="2:17" x14ac:dyDescent="0.2">
      <c r="B3454" s="3"/>
      <c r="F3454" s="3"/>
      <c r="G3454" s="3"/>
      <c r="I3454" s="3"/>
      <c r="J3454" s="3"/>
      <c r="K3454" s="3"/>
      <c r="L3454" s="3"/>
      <c r="M3454" s="3"/>
      <c r="N3454" s="3"/>
      <c r="O3454" s="3"/>
      <c r="P3454" s="3"/>
      <c r="Q3454" s="3"/>
    </row>
    <row r="3455" spans="2:17" x14ac:dyDescent="0.2">
      <c r="B3455" s="3"/>
      <c r="F3455" s="3"/>
      <c r="G3455" s="3"/>
      <c r="I3455" s="3"/>
      <c r="J3455" s="3"/>
      <c r="K3455" s="3"/>
      <c r="L3455" s="3"/>
      <c r="M3455" s="3"/>
      <c r="N3455" s="3"/>
      <c r="O3455" s="3"/>
      <c r="P3455" s="3"/>
      <c r="Q3455" s="3"/>
    </row>
    <row r="3456" spans="2:17" x14ac:dyDescent="0.2">
      <c r="B3456" s="3"/>
      <c r="F3456" s="3"/>
      <c r="G3456" s="3"/>
      <c r="I3456" s="3"/>
      <c r="J3456" s="3"/>
      <c r="K3456" s="3"/>
      <c r="L3456" s="3"/>
      <c r="M3456" s="3"/>
      <c r="N3456" s="3"/>
      <c r="O3456" s="3"/>
      <c r="P3456" s="3"/>
      <c r="Q3456" s="3"/>
    </row>
    <row r="3457" spans="2:17" x14ac:dyDescent="0.2">
      <c r="B3457" s="3"/>
      <c r="F3457" s="3"/>
      <c r="G3457" s="3"/>
      <c r="I3457" s="3"/>
      <c r="J3457" s="3"/>
      <c r="K3457" s="3"/>
      <c r="L3457" s="3"/>
      <c r="M3457" s="3"/>
      <c r="N3457" s="3"/>
      <c r="O3457" s="3"/>
      <c r="P3457" s="3"/>
      <c r="Q3457" s="3"/>
    </row>
    <row r="3458" spans="2:17" x14ac:dyDescent="0.2">
      <c r="B3458" s="3"/>
      <c r="F3458" s="3"/>
      <c r="G3458" s="3"/>
      <c r="I3458" s="3"/>
      <c r="J3458" s="3"/>
      <c r="K3458" s="3"/>
      <c r="L3458" s="3"/>
      <c r="M3458" s="3"/>
      <c r="N3458" s="3"/>
      <c r="O3458" s="3"/>
      <c r="P3458" s="3"/>
      <c r="Q3458" s="3"/>
    </row>
    <row r="3459" spans="2:17" x14ac:dyDescent="0.2">
      <c r="B3459" s="3"/>
      <c r="F3459" s="3"/>
      <c r="G3459" s="3"/>
      <c r="I3459" s="3"/>
      <c r="J3459" s="3"/>
      <c r="K3459" s="3"/>
      <c r="L3459" s="3"/>
      <c r="M3459" s="3"/>
      <c r="N3459" s="3"/>
      <c r="O3459" s="3"/>
      <c r="P3459" s="3"/>
      <c r="Q3459" s="3"/>
    </row>
    <row r="3460" spans="2:17" x14ac:dyDescent="0.2">
      <c r="B3460" s="3"/>
      <c r="F3460" s="3"/>
      <c r="G3460" s="3"/>
      <c r="I3460" s="3"/>
      <c r="J3460" s="3"/>
      <c r="K3460" s="3"/>
      <c r="L3460" s="3"/>
      <c r="M3460" s="3"/>
      <c r="N3460" s="3"/>
      <c r="O3460" s="3"/>
      <c r="P3460" s="3"/>
      <c r="Q3460" s="3"/>
    </row>
    <row r="3461" spans="2:17" x14ac:dyDescent="0.2">
      <c r="B3461" s="3"/>
      <c r="F3461" s="3"/>
      <c r="G3461" s="3"/>
      <c r="I3461" s="3"/>
      <c r="J3461" s="3"/>
      <c r="K3461" s="3"/>
      <c r="L3461" s="3"/>
      <c r="M3461" s="3"/>
      <c r="N3461" s="3"/>
      <c r="O3461" s="3"/>
      <c r="P3461" s="3"/>
      <c r="Q3461" s="3"/>
    </row>
    <row r="3462" spans="2:17" x14ac:dyDescent="0.2">
      <c r="B3462" s="3"/>
      <c r="F3462" s="3"/>
      <c r="G3462" s="3"/>
      <c r="I3462" s="3"/>
      <c r="J3462" s="3"/>
      <c r="K3462" s="3"/>
      <c r="L3462" s="3"/>
      <c r="M3462" s="3"/>
      <c r="N3462" s="3"/>
      <c r="O3462" s="3"/>
      <c r="P3462" s="3"/>
      <c r="Q3462" s="3"/>
    </row>
    <row r="3463" spans="2:17" x14ac:dyDescent="0.2">
      <c r="B3463" s="3"/>
      <c r="F3463" s="3"/>
      <c r="G3463" s="3"/>
      <c r="I3463" s="3"/>
      <c r="J3463" s="3"/>
      <c r="K3463" s="3"/>
      <c r="L3463" s="3"/>
      <c r="M3463" s="3"/>
      <c r="N3463" s="3"/>
      <c r="O3463" s="3"/>
      <c r="P3463" s="3"/>
      <c r="Q3463" s="3"/>
    </row>
    <row r="3464" spans="2:17" x14ac:dyDescent="0.2">
      <c r="B3464" s="3"/>
      <c r="F3464" s="3"/>
      <c r="G3464" s="3"/>
      <c r="I3464" s="3"/>
      <c r="J3464" s="3"/>
      <c r="K3464" s="3"/>
      <c r="L3464" s="3"/>
      <c r="M3464" s="3"/>
      <c r="N3464" s="3"/>
      <c r="O3464" s="3"/>
      <c r="P3464" s="3"/>
      <c r="Q3464" s="3"/>
    </row>
    <row r="3465" spans="2:17" x14ac:dyDescent="0.2">
      <c r="B3465" s="3"/>
      <c r="F3465" s="3"/>
      <c r="G3465" s="3"/>
      <c r="I3465" s="3"/>
      <c r="J3465" s="3"/>
      <c r="K3465" s="3"/>
      <c r="L3465" s="3"/>
      <c r="M3465" s="3"/>
      <c r="N3465" s="3"/>
      <c r="O3465" s="3"/>
      <c r="P3465" s="3"/>
      <c r="Q3465" s="3"/>
    </row>
    <row r="3466" spans="2:17" x14ac:dyDescent="0.2">
      <c r="B3466" s="3"/>
      <c r="F3466" s="3"/>
      <c r="G3466" s="3"/>
      <c r="I3466" s="3"/>
      <c r="J3466" s="3"/>
      <c r="K3466" s="3"/>
      <c r="L3466" s="3"/>
      <c r="M3466" s="3"/>
      <c r="N3466" s="3"/>
      <c r="O3466" s="3"/>
      <c r="P3466" s="3"/>
      <c r="Q3466" s="3"/>
    </row>
    <row r="3467" spans="2:17" x14ac:dyDescent="0.2">
      <c r="B3467" s="3"/>
      <c r="F3467" s="3"/>
      <c r="G3467" s="3"/>
      <c r="I3467" s="3"/>
      <c r="J3467" s="3"/>
      <c r="K3467" s="3"/>
      <c r="L3467" s="3"/>
      <c r="M3467" s="3"/>
      <c r="N3467" s="3"/>
      <c r="O3467" s="3"/>
      <c r="P3467" s="3"/>
      <c r="Q3467" s="3"/>
    </row>
    <row r="3468" spans="2:17" x14ac:dyDescent="0.2">
      <c r="B3468" s="3"/>
      <c r="F3468" s="3"/>
      <c r="G3468" s="3"/>
      <c r="I3468" s="3"/>
      <c r="J3468" s="3"/>
      <c r="K3468" s="3"/>
      <c r="L3468" s="3"/>
      <c r="M3468" s="3"/>
      <c r="N3468" s="3"/>
      <c r="O3468" s="3"/>
      <c r="P3468" s="3"/>
      <c r="Q3468" s="3"/>
    </row>
    <row r="3469" spans="2:17" x14ac:dyDescent="0.2">
      <c r="B3469" s="3"/>
      <c r="F3469" s="3"/>
      <c r="G3469" s="3"/>
      <c r="I3469" s="3"/>
      <c r="J3469" s="3"/>
      <c r="K3469" s="3"/>
      <c r="L3469" s="3"/>
      <c r="M3469" s="3"/>
      <c r="N3469" s="3"/>
      <c r="O3469" s="3"/>
      <c r="P3469" s="3"/>
      <c r="Q3469" s="3"/>
    </row>
    <row r="3470" spans="2:17" x14ac:dyDescent="0.2">
      <c r="B3470" s="3"/>
      <c r="F3470" s="3"/>
      <c r="G3470" s="3"/>
      <c r="I3470" s="3"/>
      <c r="J3470" s="3"/>
      <c r="K3470" s="3"/>
      <c r="L3470" s="3"/>
      <c r="M3470" s="3"/>
      <c r="N3470" s="3"/>
      <c r="O3470" s="3"/>
      <c r="P3470" s="3"/>
      <c r="Q3470" s="3"/>
    </row>
    <row r="3471" spans="2:17" x14ac:dyDescent="0.2">
      <c r="B3471" s="3"/>
      <c r="F3471" s="3"/>
      <c r="G3471" s="3"/>
      <c r="I3471" s="3"/>
      <c r="J3471" s="3"/>
      <c r="K3471" s="3"/>
      <c r="L3471" s="3"/>
      <c r="M3471" s="3"/>
      <c r="N3471" s="3"/>
      <c r="O3471" s="3"/>
      <c r="P3471" s="3"/>
      <c r="Q3471" s="3"/>
    </row>
    <row r="3472" spans="2:17" x14ac:dyDescent="0.2">
      <c r="B3472" s="3"/>
      <c r="F3472" s="3"/>
      <c r="G3472" s="3"/>
      <c r="I3472" s="3"/>
      <c r="J3472" s="3"/>
      <c r="K3472" s="3"/>
      <c r="L3472" s="3"/>
      <c r="M3472" s="3"/>
      <c r="N3472" s="3"/>
      <c r="O3472" s="3"/>
      <c r="P3472" s="3"/>
      <c r="Q3472" s="3"/>
    </row>
    <row r="3473" spans="2:17" x14ac:dyDescent="0.2">
      <c r="B3473" s="3"/>
      <c r="F3473" s="3"/>
      <c r="G3473" s="3"/>
      <c r="I3473" s="3"/>
      <c r="J3473" s="3"/>
      <c r="K3473" s="3"/>
      <c r="L3473" s="3"/>
      <c r="M3473" s="3"/>
      <c r="N3473" s="3"/>
      <c r="O3473" s="3"/>
      <c r="P3473" s="3"/>
      <c r="Q3473" s="3"/>
    </row>
    <row r="3474" spans="2:17" x14ac:dyDescent="0.2">
      <c r="B3474" s="3"/>
      <c r="F3474" s="3"/>
      <c r="G3474" s="3"/>
      <c r="I3474" s="3"/>
      <c r="J3474" s="3"/>
      <c r="K3474" s="3"/>
      <c r="L3474" s="3"/>
      <c r="M3474" s="3"/>
      <c r="N3474" s="3"/>
      <c r="O3474" s="3"/>
      <c r="P3474" s="3"/>
      <c r="Q3474" s="3"/>
    </row>
    <row r="3475" spans="2:17" x14ac:dyDescent="0.2">
      <c r="B3475" s="3"/>
      <c r="F3475" s="3"/>
      <c r="G3475" s="3"/>
      <c r="I3475" s="3"/>
      <c r="J3475" s="3"/>
      <c r="K3475" s="3"/>
      <c r="L3475" s="3"/>
      <c r="M3475" s="3"/>
      <c r="N3475" s="3"/>
      <c r="O3475" s="3"/>
      <c r="P3475" s="3"/>
      <c r="Q3475" s="3"/>
    </row>
    <row r="3476" spans="2:17" x14ac:dyDescent="0.2">
      <c r="B3476" s="3"/>
      <c r="F3476" s="3"/>
      <c r="G3476" s="3"/>
      <c r="I3476" s="3"/>
      <c r="J3476" s="3"/>
      <c r="K3476" s="3"/>
      <c r="L3476" s="3"/>
      <c r="M3476" s="3"/>
      <c r="N3476" s="3"/>
      <c r="O3476" s="3"/>
      <c r="P3476" s="3"/>
      <c r="Q3476" s="3"/>
    </row>
    <row r="3477" spans="2:17" x14ac:dyDescent="0.2">
      <c r="B3477" s="3"/>
      <c r="F3477" s="3"/>
      <c r="G3477" s="3"/>
      <c r="I3477" s="3"/>
      <c r="J3477" s="3"/>
      <c r="K3477" s="3"/>
      <c r="L3477" s="3"/>
      <c r="M3477" s="3"/>
      <c r="N3477" s="3"/>
      <c r="O3477" s="3"/>
      <c r="P3477" s="3"/>
      <c r="Q3477" s="3"/>
    </row>
    <row r="3478" spans="2:17" x14ac:dyDescent="0.2">
      <c r="B3478" s="3"/>
      <c r="F3478" s="3"/>
      <c r="G3478" s="3"/>
      <c r="I3478" s="3"/>
      <c r="J3478" s="3"/>
      <c r="K3478" s="3"/>
      <c r="L3478" s="3"/>
      <c r="M3478" s="3"/>
      <c r="N3478" s="3"/>
      <c r="O3478" s="3"/>
      <c r="P3478" s="3"/>
      <c r="Q3478" s="3"/>
    </row>
    <row r="3479" spans="2:17" x14ac:dyDescent="0.2">
      <c r="B3479" s="3"/>
      <c r="F3479" s="3"/>
      <c r="G3479" s="3"/>
      <c r="I3479" s="3"/>
      <c r="J3479" s="3"/>
      <c r="K3479" s="3"/>
      <c r="L3479" s="3"/>
      <c r="M3479" s="3"/>
      <c r="N3479" s="3"/>
      <c r="O3479" s="3"/>
      <c r="P3479" s="3"/>
      <c r="Q3479" s="3"/>
    </row>
    <row r="3480" spans="2:17" x14ac:dyDescent="0.2">
      <c r="B3480" s="3"/>
      <c r="F3480" s="3"/>
      <c r="G3480" s="3"/>
      <c r="I3480" s="3"/>
      <c r="J3480" s="3"/>
      <c r="K3480" s="3"/>
      <c r="L3480" s="3"/>
      <c r="M3480" s="3"/>
      <c r="N3480" s="3"/>
      <c r="O3480" s="3"/>
      <c r="P3480" s="3"/>
      <c r="Q3480" s="3"/>
    </row>
    <row r="3481" spans="2:17" x14ac:dyDescent="0.2">
      <c r="B3481" s="3"/>
      <c r="F3481" s="3"/>
      <c r="G3481" s="3"/>
      <c r="I3481" s="3"/>
      <c r="J3481" s="3"/>
      <c r="K3481" s="3"/>
      <c r="L3481" s="3"/>
      <c r="M3481" s="3"/>
      <c r="N3481" s="3"/>
      <c r="O3481" s="3"/>
      <c r="P3481" s="3"/>
      <c r="Q3481" s="3"/>
    </row>
    <row r="3482" spans="2:17" x14ac:dyDescent="0.2">
      <c r="B3482" s="3"/>
      <c r="F3482" s="3"/>
      <c r="G3482" s="3"/>
      <c r="I3482" s="3"/>
      <c r="J3482" s="3"/>
      <c r="K3482" s="3"/>
      <c r="L3482" s="3"/>
      <c r="M3482" s="3"/>
      <c r="N3482" s="3"/>
      <c r="O3482" s="3"/>
      <c r="P3482" s="3"/>
      <c r="Q3482" s="3"/>
    </row>
    <row r="3483" spans="2:17" x14ac:dyDescent="0.2">
      <c r="B3483" s="3"/>
      <c r="F3483" s="3"/>
      <c r="G3483" s="3"/>
      <c r="I3483" s="3"/>
      <c r="J3483" s="3"/>
      <c r="K3483" s="3"/>
      <c r="L3483" s="3"/>
      <c r="M3483" s="3"/>
      <c r="N3483" s="3"/>
      <c r="O3483" s="3"/>
      <c r="P3483" s="3"/>
      <c r="Q3483" s="3"/>
    </row>
    <row r="3484" spans="2:17" x14ac:dyDescent="0.2">
      <c r="B3484" s="3"/>
      <c r="F3484" s="3"/>
      <c r="G3484" s="3"/>
      <c r="I3484" s="3"/>
      <c r="J3484" s="3"/>
      <c r="K3484" s="3"/>
      <c r="L3484" s="3"/>
      <c r="M3484" s="3"/>
      <c r="N3484" s="3"/>
      <c r="O3484" s="3"/>
      <c r="P3484" s="3"/>
      <c r="Q3484" s="3"/>
    </row>
    <row r="3485" spans="2:17" x14ac:dyDescent="0.2">
      <c r="B3485" s="3"/>
      <c r="F3485" s="3"/>
      <c r="G3485" s="3"/>
      <c r="I3485" s="3"/>
      <c r="J3485" s="3"/>
      <c r="K3485" s="3"/>
      <c r="L3485" s="3"/>
      <c r="M3485" s="3"/>
      <c r="N3485" s="3"/>
      <c r="O3485" s="3"/>
      <c r="P3485" s="3"/>
      <c r="Q3485" s="3"/>
    </row>
    <row r="3486" spans="2:17" x14ac:dyDescent="0.2">
      <c r="B3486" s="3"/>
      <c r="F3486" s="3"/>
      <c r="G3486" s="3"/>
      <c r="I3486" s="3"/>
      <c r="J3486" s="3"/>
      <c r="K3486" s="3"/>
      <c r="L3486" s="3"/>
      <c r="M3486" s="3"/>
      <c r="N3486" s="3"/>
      <c r="O3486" s="3"/>
      <c r="P3486" s="3"/>
      <c r="Q3486" s="3"/>
    </row>
    <row r="3487" spans="2:17" x14ac:dyDescent="0.2">
      <c r="B3487" s="3"/>
      <c r="F3487" s="3"/>
      <c r="G3487" s="3"/>
      <c r="I3487" s="3"/>
      <c r="J3487" s="3"/>
      <c r="K3487" s="3"/>
      <c r="L3487" s="3"/>
      <c r="M3487" s="3"/>
      <c r="N3487" s="3"/>
      <c r="O3487" s="3"/>
      <c r="P3487" s="3"/>
      <c r="Q3487" s="3"/>
    </row>
    <row r="3488" spans="2:17" x14ac:dyDescent="0.2">
      <c r="B3488" s="3"/>
      <c r="F3488" s="3"/>
      <c r="G3488" s="3"/>
      <c r="I3488" s="3"/>
      <c r="J3488" s="3"/>
      <c r="K3488" s="3"/>
      <c r="L3488" s="3"/>
      <c r="M3488" s="3"/>
      <c r="N3488" s="3"/>
      <c r="O3488" s="3"/>
      <c r="P3488" s="3"/>
      <c r="Q3488" s="3"/>
    </row>
    <row r="3489" spans="2:17" x14ac:dyDescent="0.2">
      <c r="B3489" s="3"/>
      <c r="F3489" s="3"/>
      <c r="G3489" s="3"/>
      <c r="I3489" s="3"/>
      <c r="J3489" s="3"/>
      <c r="K3489" s="3"/>
      <c r="L3489" s="3"/>
      <c r="M3489" s="3"/>
      <c r="N3489" s="3"/>
      <c r="O3489" s="3"/>
      <c r="P3489" s="3"/>
      <c r="Q3489" s="3"/>
    </row>
    <row r="3490" spans="2:17" x14ac:dyDescent="0.2">
      <c r="B3490" s="3"/>
      <c r="F3490" s="3"/>
      <c r="G3490" s="3"/>
      <c r="I3490" s="3"/>
      <c r="J3490" s="3"/>
      <c r="K3490" s="3"/>
      <c r="L3490" s="3"/>
      <c r="M3490" s="3"/>
      <c r="N3490" s="3"/>
      <c r="O3490" s="3"/>
      <c r="P3490" s="3"/>
      <c r="Q3490" s="3"/>
    </row>
    <row r="3491" spans="2:17" x14ac:dyDescent="0.2">
      <c r="B3491" s="3"/>
      <c r="F3491" s="3"/>
      <c r="G3491" s="3"/>
      <c r="I3491" s="3"/>
      <c r="J3491" s="3"/>
      <c r="K3491" s="3"/>
      <c r="L3491" s="3"/>
      <c r="M3491" s="3"/>
      <c r="N3491" s="3"/>
      <c r="O3491" s="3"/>
      <c r="P3491" s="3"/>
      <c r="Q3491" s="3"/>
    </row>
    <row r="3492" spans="2:17" x14ac:dyDescent="0.2">
      <c r="B3492" s="3"/>
      <c r="F3492" s="3"/>
      <c r="G3492" s="3"/>
      <c r="I3492" s="3"/>
      <c r="J3492" s="3"/>
      <c r="K3492" s="3"/>
      <c r="L3492" s="3"/>
      <c r="M3492" s="3"/>
      <c r="N3492" s="3"/>
      <c r="O3492" s="3"/>
      <c r="P3492" s="3"/>
      <c r="Q3492" s="3"/>
    </row>
    <row r="3493" spans="2:17" x14ac:dyDescent="0.2">
      <c r="B3493" s="3"/>
      <c r="F3493" s="3"/>
      <c r="G3493" s="3"/>
      <c r="I3493" s="3"/>
      <c r="J3493" s="3"/>
      <c r="K3493" s="3"/>
      <c r="L3493" s="3"/>
      <c r="M3493" s="3"/>
      <c r="N3493" s="3"/>
      <c r="O3493" s="3"/>
      <c r="P3493" s="3"/>
      <c r="Q3493" s="3"/>
    </row>
    <row r="3494" spans="2:17" x14ac:dyDescent="0.2">
      <c r="B3494" s="3"/>
      <c r="F3494" s="3"/>
      <c r="G3494" s="3"/>
      <c r="I3494" s="3"/>
      <c r="J3494" s="3"/>
      <c r="K3494" s="3"/>
      <c r="L3494" s="3"/>
      <c r="M3494" s="3"/>
      <c r="N3494" s="3"/>
      <c r="O3494" s="3"/>
      <c r="P3494" s="3"/>
      <c r="Q3494" s="3"/>
    </row>
    <row r="3495" spans="2:17" x14ac:dyDescent="0.2">
      <c r="B3495" s="3"/>
      <c r="F3495" s="3"/>
      <c r="G3495" s="3"/>
      <c r="I3495" s="3"/>
      <c r="J3495" s="3"/>
      <c r="K3495" s="3"/>
      <c r="L3495" s="3"/>
      <c r="M3495" s="3"/>
      <c r="N3495" s="3"/>
      <c r="O3495" s="3"/>
      <c r="P3495" s="3"/>
      <c r="Q3495" s="3"/>
    </row>
    <row r="3496" spans="2:17" x14ac:dyDescent="0.2">
      <c r="B3496" s="3"/>
      <c r="F3496" s="3"/>
      <c r="G3496" s="3"/>
      <c r="I3496" s="3"/>
      <c r="J3496" s="3"/>
      <c r="K3496" s="3"/>
      <c r="L3496" s="3"/>
      <c r="M3496" s="3"/>
      <c r="N3496" s="3"/>
      <c r="O3496" s="3"/>
      <c r="P3496" s="3"/>
      <c r="Q3496" s="3"/>
    </row>
    <row r="3497" spans="2:17" x14ac:dyDescent="0.2">
      <c r="B3497" s="3"/>
      <c r="F3497" s="3"/>
      <c r="G3497" s="3"/>
      <c r="I3497" s="3"/>
      <c r="J3497" s="3"/>
      <c r="K3497" s="3"/>
      <c r="L3497" s="3"/>
      <c r="M3497" s="3"/>
      <c r="N3497" s="3"/>
      <c r="O3497" s="3"/>
      <c r="P3497" s="3"/>
      <c r="Q3497" s="3"/>
    </row>
    <row r="3498" spans="2:17" x14ac:dyDescent="0.2">
      <c r="B3498" s="3"/>
      <c r="F3498" s="3"/>
      <c r="G3498" s="3"/>
      <c r="I3498" s="3"/>
      <c r="J3498" s="3"/>
      <c r="K3498" s="3"/>
      <c r="L3498" s="3"/>
      <c r="M3498" s="3"/>
      <c r="N3498" s="3"/>
      <c r="O3498" s="3"/>
      <c r="P3498" s="3"/>
      <c r="Q3498" s="3"/>
    </row>
    <row r="3499" spans="2:17" x14ac:dyDescent="0.2">
      <c r="B3499" s="3"/>
      <c r="F3499" s="3"/>
      <c r="G3499" s="3"/>
      <c r="I3499" s="3"/>
      <c r="J3499" s="3"/>
      <c r="K3499" s="3"/>
      <c r="L3499" s="3"/>
      <c r="M3499" s="3"/>
      <c r="N3499" s="3"/>
      <c r="O3499" s="3"/>
      <c r="P3499" s="3"/>
      <c r="Q3499" s="3"/>
    </row>
    <row r="3500" spans="2:17" x14ac:dyDescent="0.2">
      <c r="B3500" s="3"/>
      <c r="F3500" s="3"/>
      <c r="G3500" s="3"/>
      <c r="I3500" s="3"/>
      <c r="J3500" s="3"/>
      <c r="K3500" s="3"/>
      <c r="L3500" s="3"/>
      <c r="M3500" s="3"/>
      <c r="N3500" s="3"/>
      <c r="O3500" s="3"/>
      <c r="P3500" s="3"/>
      <c r="Q3500" s="3"/>
    </row>
    <row r="3501" spans="2:17" x14ac:dyDescent="0.2">
      <c r="B3501" s="3"/>
      <c r="F3501" s="3"/>
      <c r="G3501" s="3"/>
      <c r="I3501" s="3"/>
      <c r="J3501" s="3"/>
      <c r="K3501" s="3"/>
      <c r="L3501" s="3"/>
      <c r="M3501" s="3"/>
      <c r="N3501" s="3"/>
      <c r="O3501" s="3"/>
      <c r="P3501" s="3"/>
      <c r="Q3501" s="3"/>
    </row>
    <row r="3502" spans="2:17" x14ac:dyDescent="0.2">
      <c r="B3502" s="3"/>
      <c r="F3502" s="3"/>
      <c r="G3502" s="3"/>
      <c r="I3502" s="3"/>
      <c r="J3502" s="3"/>
      <c r="K3502" s="3"/>
      <c r="L3502" s="3"/>
      <c r="M3502" s="3"/>
      <c r="N3502" s="3"/>
      <c r="O3502" s="3"/>
      <c r="P3502" s="3"/>
      <c r="Q3502" s="3"/>
    </row>
    <row r="3503" spans="2:17" x14ac:dyDescent="0.2">
      <c r="B3503" s="3"/>
      <c r="F3503" s="3"/>
      <c r="G3503" s="3"/>
      <c r="I3503" s="3"/>
      <c r="J3503" s="3"/>
      <c r="K3503" s="3"/>
      <c r="L3503" s="3"/>
      <c r="M3503" s="3"/>
      <c r="N3503" s="3"/>
      <c r="O3503" s="3"/>
      <c r="P3503" s="3"/>
      <c r="Q3503" s="3"/>
    </row>
    <row r="3504" spans="2:17" x14ac:dyDescent="0.2">
      <c r="B3504" s="3"/>
      <c r="F3504" s="3"/>
      <c r="G3504" s="3"/>
      <c r="I3504" s="3"/>
      <c r="J3504" s="3"/>
      <c r="K3504" s="3"/>
      <c r="L3504" s="3"/>
      <c r="M3504" s="3"/>
      <c r="N3504" s="3"/>
      <c r="O3504" s="3"/>
      <c r="P3504" s="3"/>
      <c r="Q3504" s="3"/>
    </row>
    <row r="3505" spans="2:17" x14ac:dyDescent="0.2">
      <c r="B3505" s="3"/>
      <c r="F3505" s="3"/>
      <c r="G3505" s="3"/>
      <c r="I3505" s="3"/>
      <c r="J3505" s="3"/>
      <c r="K3505" s="3"/>
      <c r="L3505" s="3"/>
      <c r="M3505" s="3"/>
      <c r="N3505" s="3"/>
      <c r="O3505" s="3"/>
      <c r="P3505" s="3"/>
      <c r="Q3505" s="3"/>
    </row>
    <row r="3506" spans="2:17" x14ac:dyDescent="0.2">
      <c r="B3506" s="3"/>
      <c r="F3506" s="3"/>
      <c r="G3506" s="3"/>
      <c r="I3506" s="3"/>
      <c r="J3506" s="3"/>
      <c r="K3506" s="3"/>
      <c r="L3506" s="3"/>
      <c r="M3506" s="3"/>
      <c r="N3506" s="3"/>
      <c r="O3506" s="3"/>
      <c r="P3506" s="3"/>
      <c r="Q3506" s="3"/>
    </row>
    <row r="3507" spans="2:17" x14ac:dyDescent="0.2">
      <c r="B3507" s="3"/>
      <c r="F3507" s="3"/>
      <c r="G3507" s="3"/>
      <c r="I3507" s="3"/>
      <c r="J3507" s="3"/>
      <c r="K3507" s="3"/>
      <c r="L3507" s="3"/>
      <c r="M3507" s="3"/>
      <c r="N3507" s="3"/>
      <c r="O3507" s="3"/>
      <c r="P3507" s="3"/>
      <c r="Q3507" s="3"/>
    </row>
    <row r="3508" spans="2:17" x14ac:dyDescent="0.2">
      <c r="B3508" s="3"/>
      <c r="F3508" s="3"/>
      <c r="G3508" s="3"/>
      <c r="I3508" s="3"/>
      <c r="J3508" s="3"/>
      <c r="K3508" s="3"/>
      <c r="L3508" s="3"/>
      <c r="M3508" s="3"/>
      <c r="N3508" s="3"/>
      <c r="O3508" s="3"/>
      <c r="P3508" s="3"/>
      <c r="Q3508" s="3"/>
    </row>
    <row r="3509" spans="2:17" x14ac:dyDescent="0.2">
      <c r="B3509" s="3"/>
      <c r="F3509" s="3"/>
      <c r="G3509" s="3"/>
      <c r="I3509" s="3"/>
      <c r="J3509" s="3"/>
      <c r="K3509" s="3"/>
      <c r="L3509" s="3"/>
      <c r="M3509" s="3"/>
      <c r="N3509" s="3"/>
      <c r="O3509" s="3"/>
      <c r="P3509" s="3"/>
      <c r="Q3509" s="3"/>
    </row>
    <row r="3510" spans="2:17" x14ac:dyDescent="0.2">
      <c r="B3510" s="3"/>
      <c r="F3510" s="3"/>
      <c r="G3510" s="3"/>
      <c r="I3510" s="3"/>
      <c r="J3510" s="3"/>
      <c r="K3510" s="3"/>
      <c r="L3510" s="3"/>
      <c r="M3510" s="3"/>
      <c r="N3510" s="3"/>
      <c r="O3510" s="3"/>
      <c r="P3510" s="3"/>
      <c r="Q3510" s="3"/>
    </row>
    <row r="3511" spans="2:17" x14ac:dyDescent="0.2">
      <c r="B3511" s="3"/>
      <c r="F3511" s="3"/>
      <c r="G3511" s="3"/>
      <c r="I3511" s="3"/>
      <c r="J3511" s="3"/>
      <c r="K3511" s="3"/>
      <c r="L3511" s="3"/>
      <c r="M3511" s="3"/>
      <c r="N3511" s="3"/>
      <c r="O3511" s="3"/>
      <c r="P3511" s="3"/>
      <c r="Q3511" s="3"/>
    </row>
    <row r="3512" spans="2:17" x14ac:dyDescent="0.2">
      <c r="B3512" s="3"/>
      <c r="F3512" s="3"/>
      <c r="G3512" s="3"/>
      <c r="I3512" s="3"/>
      <c r="J3512" s="3"/>
      <c r="K3512" s="3"/>
      <c r="L3512" s="3"/>
      <c r="M3512" s="3"/>
      <c r="N3512" s="3"/>
      <c r="O3512" s="3"/>
      <c r="P3512" s="3"/>
      <c r="Q3512" s="3"/>
    </row>
    <row r="3513" spans="2:17" x14ac:dyDescent="0.2">
      <c r="B3513" s="3"/>
      <c r="F3513" s="3"/>
      <c r="G3513" s="3"/>
      <c r="I3513" s="3"/>
      <c r="J3513" s="3"/>
      <c r="K3513" s="3"/>
      <c r="L3513" s="3"/>
      <c r="M3513" s="3"/>
      <c r="N3513" s="3"/>
      <c r="O3513" s="3"/>
      <c r="P3513" s="3"/>
      <c r="Q3513" s="3"/>
    </row>
    <row r="3514" spans="2:17" x14ac:dyDescent="0.2">
      <c r="B3514" s="3"/>
      <c r="F3514" s="3"/>
      <c r="G3514" s="3"/>
      <c r="I3514" s="3"/>
      <c r="J3514" s="3"/>
      <c r="K3514" s="3"/>
      <c r="L3514" s="3"/>
      <c r="M3514" s="3"/>
      <c r="N3514" s="3"/>
      <c r="O3514" s="3"/>
      <c r="P3514" s="3"/>
      <c r="Q3514" s="3"/>
    </row>
    <row r="3515" spans="2:17" x14ac:dyDescent="0.2">
      <c r="B3515" s="3"/>
      <c r="F3515" s="3"/>
      <c r="G3515" s="3"/>
      <c r="I3515" s="3"/>
      <c r="J3515" s="3"/>
      <c r="K3515" s="3"/>
      <c r="L3515" s="3"/>
      <c r="M3515" s="3"/>
      <c r="N3515" s="3"/>
      <c r="O3515" s="3"/>
      <c r="P3515" s="3"/>
      <c r="Q3515" s="3"/>
    </row>
    <row r="3516" spans="2:17" x14ac:dyDescent="0.2">
      <c r="B3516" s="3"/>
      <c r="F3516" s="3"/>
      <c r="G3516" s="3"/>
      <c r="I3516" s="3"/>
      <c r="J3516" s="3"/>
      <c r="K3516" s="3"/>
      <c r="L3516" s="3"/>
      <c r="M3516" s="3"/>
      <c r="N3516" s="3"/>
      <c r="O3516" s="3"/>
      <c r="P3516" s="3"/>
      <c r="Q3516" s="3"/>
    </row>
    <row r="3517" spans="2:17" x14ac:dyDescent="0.2">
      <c r="B3517" s="3"/>
      <c r="F3517" s="3"/>
      <c r="G3517" s="3"/>
      <c r="I3517" s="3"/>
      <c r="J3517" s="3"/>
      <c r="K3517" s="3"/>
      <c r="L3517" s="3"/>
      <c r="M3517" s="3"/>
      <c r="N3517" s="3"/>
      <c r="O3517" s="3"/>
      <c r="P3517" s="3"/>
      <c r="Q3517" s="3"/>
    </row>
    <row r="3518" spans="2:17" x14ac:dyDescent="0.2">
      <c r="B3518" s="3"/>
      <c r="F3518" s="3"/>
      <c r="G3518" s="3"/>
      <c r="I3518" s="3"/>
      <c r="J3518" s="3"/>
      <c r="K3518" s="3"/>
      <c r="L3518" s="3"/>
      <c r="M3518" s="3"/>
      <c r="N3518" s="3"/>
      <c r="O3518" s="3"/>
      <c r="P3518" s="3"/>
      <c r="Q3518" s="3"/>
    </row>
    <row r="3519" spans="2:17" x14ac:dyDescent="0.2">
      <c r="B3519" s="3"/>
      <c r="F3519" s="3"/>
      <c r="G3519" s="3"/>
      <c r="I3519" s="3"/>
      <c r="J3519" s="3"/>
      <c r="K3519" s="3"/>
      <c r="L3519" s="3"/>
      <c r="M3519" s="3"/>
      <c r="N3519" s="3"/>
      <c r="O3519" s="3"/>
      <c r="P3519" s="3"/>
      <c r="Q3519" s="3"/>
    </row>
    <row r="3520" spans="2:17" x14ac:dyDescent="0.2">
      <c r="B3520" s="3"/>
      <c r="F3520" s="3"/>
      <c r="G3520" s="3"/>
      <c r="I3520" s="3"/>
      <c r="J3520" s="3"/>
      <c r="K3520" s="3"/>
      <c r="L3520" s="3"/>
      <c r="M3520" s="3"/>
      <c r="N3520" s="3"/>
      <c r="O3520" s="3"/>
      <c r="P3520" s="3"/>
      <c r="Q3520" s="3"/>
    </row>
    <row r="3521" spans="2:17" x14ac:dyDescent="0.2">
      <c r="B3521" s="3"/>
      <c r="F3521" s="3"/>
      <c r="G3521" s="3"/>
      <c r="I3521" s="3"/>
      <c r="J3521" s="3"/>
      <c r="K3521" s="3"/>
      <c r="L3521" s="3"/>
      <c r="M3521" s="3"/>
      <c r="N3521" s="3"/>
      <c r="O3521" s="3"/>
      <c r="P3521" s="3"/>
      <c r="Q3521" s="3"/>
    </row>
    <row r="3522" spans="2:17" x14ac:dyDescent="0.2">
      <c r="B3522" s="3"/>
      <c r="F3522" s="3"/>
      <c r="G3522" s="3"/>
      <c r="I3522" s="3"/>
      <c r="J3522" s="3"/>
      <c r="K3522" s="3"/>
      <c r="L3522" s="3"/>
      <c r="M3522" s="3"/>
      <c r="N3522" s="3"/>
      <c r="O3522" s="3"/>
      <c r="P3522" s="3"/>
      <c r="Q3522" s="3"/>
    </row>
    <row r="3523" spans="2:17" x14ac:dyDescent="0.2">
      <c r="B3523" s="3"/>
      <c r="F3523" s="3"/>
      <c r="G3523" s="3"/>
      <c r="I3523" s="3"/>
      <c r="J3523" s="3"/>
      <c r="K3523" s="3"/>
      <c r="L3523" s="3"/>
      <c r="M3523" s="3"/>
      <c r="N3523" s="3"/>
      <c r="O3523" s="3"/>
      <c r="P3523" s="3"/>
      <c r="Q3523" s="3"/>
    </row>
    <row r="3524" spans="2:17" x14ac:dyDescent="0.2">
      <c r="B3524" s="3"/>
      <c r="F3524" s="3"/>
      <c r="G3524" s="3"/>
      <c r="I3524" s="3"/>
      <c r="J3524" s="3"/>
      <c r="K3524" s="3"/>
      <c r="L3524" s="3"/>
      <c r="M3524" s="3"/>
      <c r="N3524" s="3"/>
      <c r="O3524" s="3"/>
      <c r="P3524" s="3"/>
      <c r="Q3524" s="3"/>
    </row>
    <row r="3525" spans="2:17" x14ac:dyDescent="0.2">
      <c r="B3525" s="3"/>
      <c r="F3525" s="3"/>
      <c r="G3525" s="3"/>
      <c r="I3525" s="3"/>
      <c r="J3525" s="3"/>
      <c r="K3525" s="3"/>
      <c r="L3525" s="3"/>
      <c r="M3525" s="3"/>
      <c r="N3525" s="3"/>
      <c r="O3525" s="3"/>
      <c r="P3525" s="3"/>
      <c r="Q3525" s="3"/>
    </row>
    <row r="3526" spans="2:17" x14ac:dyDescent="0.2">
      <c r="B3526" s="3"/>
      <c r="F3526" s="3"/>
      <c r="G3526" s="3"/>
      <c r="I3526" s="3"/>
      <c r="J3526" s="3"/>
      <c r="K3526" s="3"/>
      <c r="L3526" s="3"/>
      <c r="M3526" s="3"/>
      <c r="N3526" s="3"/>
      <c r="O3526" s="3"/>
      <c r="P3526" s="3"/>
      <c r="Q3526" s="3"/>
    </row>
    <row r="3527" spans="2:17" x14ac:dyDescent="0.2">
      <c r="B3527" s="3"/>
      <c r="F3527" s="3"/>
      <c r="G3527" s="3"/>
      <c r="I3527" s="3"/>
      <c r="J3527" s="3"/>
      <c r="K3527" s="3"/>
      <c r="L3527" s="3"/>
      <c r="M3527" s="3"/>
      <c r="N3527" s="3"/>
      <c r="O3527" s="3"/>
      <c r="P3527" s="3"/>
      <c r="Q3527" s="3"/>
    </row>
    <row r="3528" spans="2:17" x14ac:dyDescent="0.2">
      <c r="B3528" s="3"/>
      <c r="F3528" s="3"/>
      <c r="G3528" s="3"/>
      <c r="I3528" s="3"/>
      <c r="J3528" s="3"/>
      <c r="K3528" s="3"/>
      <c r="L3528" s="3"/>
      <c r="M3528" s="3"/>
      <c r="N3528" s="3"/>
      <c r="O3528" s="3"/>
      <c r="P3528" s="3"/>
      <c r="Q3528" s="3"/>
    </row>
    <row r="3529" spans="2:17" x14ac:dyDescent="0.2">
      <c r="B3529" s="3"/>
      <c r="F3529" s="3"/>
      <c r="G3529" s="3"/>
      <c r="I3529" s="3"/>
      <c r="J3529" s="3"/>
      <c r="K3529" s="3"/>
      <c r="L3529" s="3"/>
      <c r="M3529" s="3"/>
      <c r="N3529" s="3"/>
      <c r="O3529" s="3"/>
      <c r="P3529" s="3"/>
      <c r="Q3529" s="3"/>
    </row>
    <row r="3530" spans="2:17" x14ac:dyDescent="0.2">
      <c r="B3530" s="3"/>
      <c r="F3530" s="3"/>
      <c r="G3530" s="3"/>
      <c r="I3530" s="3"/>
      <c r="J3530" s="3"/>
      <c r="K3530" s="3"/>
      <c r="L3530" s="3"/>
      <c r="M3530" s="3"/>
      <c r="N3530" s="3"/>
      <c r="O3530" s="3"/>
      <c r="P3530" s="3"/>
      <c r="Q3530" s="3"/>
    </row>
    <row r="3531" spans="2:17" x14ac:dyDescent="0.2">
      <c r="B3531" s="3"/>
      <c r="F3531" s="3"/>
      <c r="G3531" s="3"/>
      <c r="I3531" s="3"/>
      <c r="J3531" s="3"/>
      <c r="K3531" s="3"/>
      <c r="L3531" s="3"/>
      <c r="M3531" s="3"/>
      <c r="N3531" s="3"/>
      <c r="O3531" s="3"/>
      <c r="P3531" s="3"/>
      <c r="Q3531" s="3"/>
    </row>
    <row r="3532" spans="2:17" x14ac:dyDescent="0.2">
      <c r="B3532" s="3"/>
      <c r="F3532" s="3"/>
      <c r="G3532" s="3"/>
      <c r="I3532" s="3"/>
      <c r="J3532" s="3"/>
      <c r="K3532" s="3"/>
      <c r="L3532" s="3"/>
      <c r="M3532" s="3"/>
      <c r="N3532" s="3"/>
      <c r="O3532" s="3"/>
      <c r="P3532" s="3"/>
      <c r="Q3532" s="3"/>
    </row>
    <row r="3533" spans="2:17" x14ac:dyDescent="0.2">
      <c r="B3533" s="3"/>
      <c r="F3533" s="3"/>
      <c r="G3533" s="3"/>
      <c r="I3533" s="3"/>
      <c r="J3533" s="3"/>
      <c r="K3533" s="3"/>
      <c r="L3533" s="3"/>
      <c r="M3533" s="3"/>
      <c r="N3533" s="3"/>
      <c r="O3533" s="3"/>
      <c r="P3533" s="3"/>
      <c r="Q3533" s="3"/>
    </row>
    <row r="3534" spans="2:17" x14ac:dyDescent="0.2">
      <c r="B3534" s="3"/>
      <c r="F3534" s="3"/>
      <c r="G3534" s="3"/>
      <c r="I3534" s="3"/>
      <c r="J3534" s="3"/>
      <c r="K3534" s="3"/>
      <c r="L3534" s="3"/>
      <c r="M3534" s="3"/>
      <c r="N3534" s="3"/>
      <c r="O3534" s="3"/>
      <c r="P3534" s="3"/>
      <c r="Q3534" s="3"/>
    </row>
    <row r="3535" spans="2:17" x14ac:dyDescent="0.2">
      <c r="B3535" s="3"/>
      <c r="F3535" s="3"/>
      <c r="G3535" s="3"/>
      <c r="I3535" s="3"/>
      <c r="J3535" s="3"/>
      <c r="K3535" s="3"/>
      <c r="L3535" s="3"/>
      <c r="M3535" s="3"/>
      <c r="N3535" s="3"/>
      <c r="O3535" s="3"/>
      <c r="P3535" s="3"/>
      <c r="Q3535" s="3"/>
    </row>
    <row r="3536" spans="2:17" x14ac:dyDescent="0.2">
      <c r="B3536" s="3"/>
      <c r="F3536" s="3"/>
      <c r="G3536" s="3"/>
      <c r="I3536" s="3"/>
      <c r="J3536" s="3"/>
      <c r="K3536" s="3"/>
      <c r="L3536" s="3"/>
      <c r="M3536" s="3"/>
      <c r="N3536" s="3"/>
      <c r="O3536" s="3"/>
      <c r="P3536" s="3"/>
      <c r="Q3536" s="3"/>
    </row>
    <row r="3537" spans="2:17" x14ac:dyDescent="0.2">
      <c r="B3537" s="3"/>
      <c r="F3537" s="3"/>
      <c r="G3537" s="3"/>
      <c r="I3537" s="3"/>
      <c r="J3537" s="3"/>
      <c r="K3537" s="3"/>
      <c r="L3537" s="3"/>
      <c r="M3537" s="3"/>
      <c r="N3537" s="3"/>
      <c r="O3537" s="3"/>
      <c r="P3537" s="3"/>
      <c r="Q3537" s="3"/>
    </row>
    <row r="3538" spans="2:17" x14ac:dyDescent="0.2">
      <c r="B3538" s="3"/>
      <c r="F3538" s="3"/>
      <c r="G3538" s="3"/>
      <c r="I3538" s="3"/>
      <c r="J3538" s="3"/>
      <c r="K3538" s="3"/>
      <c r="L3538" s="3"/>
      <c r="M3538" s="3"/>
      <c r="N3538" s="3"/>
      <c r="O3538" s="3"/>
      <c r="P3538" s="3"/>
      <c r="Q3538" s="3"/>
    </row>
    <row r="3539" spans="2:17" x14ac:dyDescent="0.2">
      <c r="B3539" s="3"/>
      <c r="F3539" s="3"/>
      <c r="G3539" s="3"/>
      <c r="I3539" s="3"/>
      <c r="J3539" s="3"/>
      <c r="K3539" s="3"/>
      <c r="L3539" s="3"/>
      <c r="M3539" s="3"/>
      <c r="N3539" s="3"/>
      <c r="O3539" s="3"/>
      <c r="P3539" s="3"/>
      <c r="Q3539" s="3"/>
    </row>
    <row r="3540" spans="2:17" x14ac:dyDescent="0.2">
      <c r="B3540" s="3"/>
      <c r="F3540" s="3"/>
      <c r="G3540" s="3"/>
      <c r="I3540" s="3"/>
      <c r="J3540" s="3"/>
      <c r="K3540" s="3"/>
      <c r="L3540" s="3"/>
      <c r="M3540" s="3"/>
      <c r="N3540" s="3"/>
      <c r="O3540" s="3"/>
      <c r="P3540" s="3"/>
      <c r="Q3540" s="3"/>
    </row>
    <row r="3541" spans="2:17" x14ac:dyDescent="0.2">
      <c r="B3541" s="3"/>
      <c r="F3541" s="3"/>
      <c r="G3541" s="3"/>
      <c r="I3541" s="3"/>
      <c r="J3541" s="3"/>
      <c r="K3541" s="3"/>
      <c r="L3541" s="3"/>
      <c r="M3541" s="3"/>
      <c r="N3541" s="3"/>
      <c r="O3541" s="3"/>
      <c r="P3541" s="3"/>
      <c r="Q3541" s="3"/>
    </row>
    <row r="3542" spans="2:17" x14ac:dyDescent="0.2">
      <c r="B3542" s="3"/>
      <c r="F3542" s="3"/>
      <c r="G3542" s="3"/>
      <c r="I3542" s="3"/>
      <c r="J3542" s="3"/>
      <c r="K3542" s="3"/>
      <c r="L3542" s="3"/>
      <c r="M3542" s="3"/>
      <c r="N3542" s="3"/>
      <c r="O3542" s="3"/>
      <c r="P3542" s="3"/>
      <c r="Q3542" s="3"/>
    </row>
    <row r="3543" spans="2:17" x14ac:dyDescent="0.2">
      <c r="B3543" s="3"/>
      <c r="F3543" s="3"/>
      <c r="G3543" s="3"/>
      <c r="I3543" s="3"/>
      <c r="J3543" s="3"/>
      <c r="K3543" s="3"/>
      <c r="L3543" s="3"/>
      <c r="M3543" s="3"/>
      <c r="N3543" s="3"/>
      <c r="O3543" s="3"/>
      <c r="P3543" s="3"/>
      <c r="Q3543" s="3"/>
    </row>
    <row r="3544" spans="2:17" x14ac:dyDescent="0.2">
      <c r="B3544" s="3"/>
      <c r="F3544" s="3"/>
      <c r="G3544" s="3"/>
      <c r="I3544" s="3"/>
      <c r="J3544" s="3"/>
      <c r="K3544" s="3"/>
      <c r="L3544" s="3"/>
      <c r="M3544" s="3"/>
      <c r="N3544" s="3"/>
      <c r="O3544" s="3"/>
      <c r="P3544" s="3"/>
      <c r="Q3544" s="3"/>
    </row>
    <row r="3545" spans="2:17" x14ac:dyDescent="0.2">
      <c r="B3545" s="3"/>
      <c r="F3545" s="3"/>
      <c r="G3545" s="3"/>
      <c r="I3545" s="3"/>
      <c r="J3545" s="3"/>
      <c r="K3545" s="3"/>
      <c r="L3545" s="3"/>
      <c r="M3545" s="3"/>
      <c r="N3545" s="3"/>
      <c r="O3545" s="3"/>
      <c r="P3545" s="3"/>
      <c r="Q3545" s="3"/>
    </row>
    <row r="3546" spans="2:17" x14ac:dyDescent="0.2">
      <c r="B3546" s="3"/>
      <c r="F3546" s="3"/>
      <c r="G3546" s="3"/>
      <c r="I3546" s="3"/>
      <c r="J3546" s="3"/>
      <c r="K3546" s="3"/>
      <c r="L3546" s="3"/>
      <c r="M3546" s="3"/>
      <c r="N3546" s="3"/>
      <c r="O3546" s="3"/>
      <c r="P3546" s="3"/>
      <c r="Q3546" s="3"/>
    </row>
    <row r="3547" spans="2:17" x14ac:dyDescent="0.2">
      <c r="B3547" s="3"/>
      <c r="F3547" s="3"/>
      <c r="G3547" s="3"/>
      <c r="I3547" s="3"/>
      <c r="J3547" s="3"/>
      <c r="K3547" s="3"/>
      <c r="L3547" s="3"/>
      <c r="M3547" s="3"/>
      <c r="N3547" s="3"/>
      <c r="O3547" s="3"/>
      <c r="P3547" s="3"/>
      <c r="Q3547" s="3"/>
    </row>
    <row r="3548" spans="2:17" x14ac:dyDescent="0.2">
      <c r="B3548" s="3"/>
      <c r="F3548" s="3"/>
      <c r="G3548" s="3"/>
      <c r="I3548" s="3"/>
      <c r="J3548" s="3"/>
      <c r="K3548" s="3"/>
      <c r="L3548" s="3"/>
      <c r="M3548" s="3"/>
      <c r="N3548" s="3"/>
      <c r="O3548" s="3"/>
      <c r="P3548" s="3"/>
      <c r="Q3548" s="3"/>
    </row>
    <row r="3549" spans="2:17" x14ac:dyDescent="0.2">
      <c r="B3549" s="3"/>
      <c r="F3549" s="3"/>
      <c r="G3549" s="3"/>
      <c r="I3549" s="3"/>
      <c r="J3549" s="3"/>
      <c r="K3549" s="3"/>
      <c r="L3549" s="3"/>
      <c r="M3549" s="3"/>
      <c r="N3549" s="3"/>
      <c r="O3549" s="3"/>
      <c r="P3549" s="3"/>
      <c r="Q3549" s="3"/>
    </row>
    <row r="3550" spans="2:17" x14ac:dyDescent="0.2">
      <c r="B3550" s="3"/>
      <c r="F3550" s="3"/>
      <c r="G3550" s="3"/>
      <c r="I3550" s="3"/>
      <c r="J3550" s="3"/>
      <c r="K3550" s="3"/>
      <c r="L3550" s="3"/>
      <c r="M3550" s="3"/>
      <c r="N3550" s="3"/>
      <c r="O3550" s="3"/>
      <c r="P3550" s="3"/>
      <c r="Q3550" s="3"/>
    </row>
    <row r="3551" spans="2:17" x14ac:dyDescent="0.2">
      <c r="B3551" s="3"/>
      <c r="F3551" s="3"/>
      <c r="G3551" s="3"/>
      <c r="I3551" s="3"/>
      <c r="J3551" s="3"/>
      <c r="K3551" s="3"/>
      <c r="L3551" s="3"/>
      <c r="M3551" s="3"/>
      <c r="N3551" s="3"/>
      <c r="O3551" s="3"/>
      <c r="P3551" s="3"/>
      <c r="Q3551" s="3"/>
    </row>
    <row r="3552" spans="2:17" x14ac:dyDescent="0.2">
      <c r="B3552" s="3"/>
      <c r="F3552" s="3"/>
      <c r="G3552" s="3"/>
      <c r="I3552" s="3"/>
      <c r="J3552" s="3"/>
      <c r="K3552" s="3"/>
      <c r="L3552" s="3"/>
      <c r="M3552" s="3"/>
      <c r="N3552" s="3"/>
      <c r="O3552" s="3"/>
      <c r="P3552" s="3"/>
      <c r="Q3552" s="3"/>
    </row>
    <row r="3553" spans="2:17" x14ac:dyDescent="0.2">
      <c r="B3553" s="3"/>
      <c r="F3553" s="3"/>
      <c r="G3553" s="3"/>
      <c r="I3553" s="3"/>
      <c r="J3553" s="3"/>
      <c r="K3553" s="3"/>
      <c r="L3553" s="3"/>
      <c r="M3553" s="3"/>
      <c r="N3553" s="3"/>
      <c r="O3553" s="3"/>
      <c r="P3553" s="3"/>
      <c r="Q3553" s="3"/>
    </row>
    <row r="3554" spans="2:17" x14ac:dyDescent="0.2">
      <c r="B3554" s="3"/>
      <c r="F3554" s="3"/>
      <c r="G3554" s="3"/>
      <c r="I3554" s="3"/>
      <c r="J3554" s="3"/>
      <c r="K3554" s="3"/>
      <c r="L3554" s="3"/>
      <c r="M3554" s="3"/>
      <c r="N3554" s="3"/>
      <c r="O3554" s="3"/>
      <c r="P3554" s="3"/>
      <c r="Q3554" s="3"/>
    </row>
    <row r="3555" spans="2:17" x14ac:dyDescent="0.2">
      <c r="B3555" s="3"/>
      <c r="F3555" s="3"/>
      <c r="G3555" s="3"/>
      <c r="I3555" s="3"/>
      <c r="J3555" s="3"/>
      <c r="K3555" s="3"/>
      <c r="L3555" s="3"/>
      <c r="M3555" s="3"/>
      <c r="N3555" s="3"/>
      <c r="O3555" s="3"/>
      <c r="P3555" s="3"/>
      <c r="Q3555" s="3"/>
    </row>
    <row r="3556" spans="2:17" x14ac:dyDescent="0.2">
      <c r="B3556" s="3"/>
      <c r="F3556" s="3"/>
      <c r="G3556" s="3"/>
      <c r="I3556" s="3"/>
      <c r="J3556" s="3"/>
      <c r="K3556" s="3"/>
      <c r="L3556" s="3"/>
      <c r="M3556" s="3"/>
      <c r="N3556" s="3"/>
      <c r="O3556" s="3"/>
      <c r="P3556" s="3"/>
      <c r="Q3556" s="3"/>
    </row>
    <row r="3557" spans="2:17" x14ac:dyDescent="0.2">
      <c r="B3557" s="3"/>
      <c r="F3557" s="3"/>
      <c r="G3557" s="3"/>
      <c r="I3557" s="3"/>
      <c r="J3557" s="3"/>
      <c r="K3557" s="3"/>
      <c r="L3557" s="3"/>
      <c r="M3557" s="3"/>
      <c r="N3557" s="3"/>
      <c r="O3557" s="3"/>
      <c r="P3557" s="3"/>
      <c r="Q3557" s="3"/>
    </row>
    <row r="3558" spans="2:17" x14ac:dyDescent="0.2">
      <c r="B3558" s="3"/>
      <c r="F3558" s="3"/>
      <c r="G3558" s="3"/>
      <c r="I3558" s="3"/>
      <c r="J3558" s="3"/>
      <c r="K3558" s="3"/>
      <c r="L3558" s="3"/>
      <c r="M3558" s="3"/>
      <c r="N3558" s="3"/>
      <c r="O3558" s="3"/>
      <c r="P3558" s="3"/>
      <c r="Q3558" s="3"/>
    </row>
    <row r="3559" spans="2:17" x14ac:dyDescent="0.2">
      <c r="B3559" s="3"/>
      <c r="F3559" s="3"/>
      <c r="G3559" s="3"/>
      <c r="I3559" s="3"/>
      <c r="J3559" s="3"/>
      <c r="K3559" s="3"/>
      <c r="L3559" s="3"/>
      <c r="M3559" s="3"/>
      <c r="N3559" s="3"/>
      <c r="O3559" s="3"/>
      <c r="P3559" s="3"/>
      <c r="Q3559" s="3"/>
    </row>
    <row r="3560" spans="2:17" x14ac:dyDescent="0.2">
      <c r="B3560" s="3"/>
      <c r="F3560" s="3"/>
      <c r="G3560" s="3"/>
      <c r="I3560" s="3"/>
      <c r="J3560" s="3"/>
      <c r="K3560" s="3"/>
      <c r="L3560" s="3"/>
      <c r="M3560" s="3"/>
      <c r="N3560" s="3"/>
      <c r="O3560" s="3"/>
      <c r="P3560" s="3"/>
      <c r="Q3560" s="3"/>
    </row>
    <row r="3561" spans="2:17" x14ac:dyDescent="0.2">
      <c r="B3561" s="3"/>
      <c r="F3561" s="3"/>
      <c r="G3561" s="3"/>
      <c r="I3561" s="3"/>
      <c r="J3561" s="3"/>
      <c r="K3561" s="3"/>
      <c r="L3561" s="3"/>
      <c r="M3561" s="3"/>
      <c r="N3561" s="3"/>
      <c r="O3561" s="3"/>
      <c r="P3561" s="3"/>
      <c r="Q3561" s="3"/>
    </row>
    <row r="3562" spans="2:17" x14ac:dyDescent="0.2">
      <c r="B3562" s="3"/>
      <c r="F3562" s="3"/>
      <c r="G3562" s="3"/>
      <c r="I3562" s="3"/>
      <c r="J3562" s="3"/>
      <c r="K3562" s="3"/>
      <c r="L3562" s="3"/>
      <c r="M3562" s="3"/>
      <c r="N3562" s="3"/>
      <c r="O3562" s="3"/>
      <c r="P3562" s="3"/>
      <c r="Q3562" s="3"/>
    </row>
    <row r="3563" spans="2:17" x14ac:dyDescent="0.2">
      <c r="B3563" s="3"/>
      <c r="F3563" s="3"/>
      <c r="G3563" s="3"/>
      <c r="I3563" s="3"/>
      <c r="J3563" s="3"/>
      <c r="K3563" s="3"/>
      <c r="L3563" s="3"/>
      <c r="M3563" s="3"/>
      <c r="N3563" s="3"/>
      <c r="O3563" s="3"/>
      <c r="P3563" s="3"/>
      <c r="Q3563" s="3"/>
    </row>
    <row r="3564" spans="2:17" x14ac:dyDescent="0.2">
      <c r="B3564" s="3"/>
      <c r="F3564" s="3"/>
      <c r="G3564" s="3"/>
      <c r="I3564" s="3"/>
      <c r="J3564" s="3"/>
      <c r="K3564" s="3"/>
      <c r="L3564" s="3"/>
      <c r="M3564" s="3"/>
      <c r="N3564" s="3"/>
      <c r="O3564" s="3"/>
      <c r="P3564" s="3"/>
      <c r="Q3564" s="3"/>
    </row>
    <row r="3565" spans="2:17" x14ac:dyDescent="0.2">
      <c r="B3565" s="3"/>
      <c r="F3565" s="3"/>
      <c r="G3565" s="3"/>
      <c r="I3565" s="3"/>
      <c r="J3565" s="3"/>
      <c r="K3565" s="3"/>
      <c r="L3565" s="3"/>
      <c r="M3565" s="3"/>
      <c r="N3565" s="3"/>
      <c r="O3565" s="3"/>
      <c r="P3565" s="3"/>
      <c r="Q3565" s="3"/>
    </row>
    <row r="3566" spans="2:17" x14ac:dyDescent="0.2">
      <c r="B3566" s="3"/>
      <c r="F3566" s="3"/>
      <c r="G3566" s="3"/>
      <c r="I3566" s="3"/>
      <c r="J3566" s="3"/>
      <c r="K3566" s="3"/>
      <c r="L3566" s="3"/>
      <c r="M3566" s="3"/>
      <c r="N3566" s="3"/>
      <c r="O3566" s="3"/>
      <c r="P3566" s="3"/>
      <c r="Q3566" s="3"/>
    </row>
    <row r="3567" spans="2:17" x14ac:dyDescent="0.2">
      <c r="B3567" s="3"/>
      <c r="F3567" s="3"/>
      <c r="G3567" s="3"/>
      <c r="I3567" s="3"/>
      <c r="J3567" s="3"/>
      <c r="K3567" s="3"/>
      <c r="L3567" s="3"/>
      <c r="M3567" s="3"/>
      <c r="N3567" s="3"/>
      <c r="O3567" s="3"/>
      <c r="P3567" s="3"/>
      <c r="Q3567" s="3"/>
    </row>
    <row r="3568" spans="2:17" x14ac:dyDescent="0.2">
      <c r="B3568" s="3"/>
      <c r="F3568" s="3"/>
      <c r="G3568" s="3"/>
      <c r="I3568" s="3"/>
      <c r="J3568" s="3"/>
      <c r="K3568" s="3"/>
      <c r="L3568" s="3"/>
      <c r="M3568" s="3"/>
      <c r="N3568" s="3"/>
      <c r="O3568" s="3"/>
      <c r="P3568" s="3"/>
      <c r="Q3568" s="3"/>
    </row>
    <row r="3569" spans="2:17" x14ac:dyDescent="0.2">
      <c r="B3569" s="3"/>
      <c r="F3569" s="3"/>
      <c r="G3569" s="3"/>
      <c r="I3569" s="3"/>
      <c r="J3569" s="3"/>
      <c r="K3569" s="3"/>
      <c r="L3569" s="3"/>
      <c r="M3569" s="3"/>
      <c r="N3569" s="3"/>
      <c r="O3569" s="3"/>
      <c r="P3569" s="3"/>
      <c r="Q3569" s="3"/>
    </row>
    <row r="3570" spans="2:17" x14ac:dyDescent="0.2">
      <c r="B3570" s="3"/>
      <c r="F3570" s="3"/>
      <c r="G3570" s="3"/>
      <c r="I3570" s="3"/>
      <c r="J3570" s="3"/>
      <c r="K3570" s="3"/>
      <c r="L3570" s="3"/>
      <c r="M3570" s="3"/>
      <c r="N3570" s="3"/>
      <c r="O3570" s="3"/>
      <c r="P3570" s="3"/>
      <c r="Q3570" s="3"/>
    </row>
    <row r="3571" spans="2:17" x14ac:dyDescent="0.2">
      <c r="B3571" s="3"/>
      <c r="F3571" s="3"/>
      <c r="G3571" s="3"/>
      <c r="I3571" s="3"/>
      <c r="J3571" s="3"/>
      <c r="K3571" s="3"/>
      <c r="L3571" s="3"/>
      <c r="M3571" s="3"/>
      <c r="N3571" s="3"/>
      <c r="O3571" s="3"/>
      <c r="P3571" s="3"/>
      <c r="Q3571" s="3"/>
    </row>
    <row r="3572" spans="2:17" x14ac:dyDescent="0.2">
      <c r="B3572" s="3"/>
      <c r="F3572" s="3"/>
      <c r="G3572" s="3"/>
      <c r="I3572" s="3"/>
      <c r="J3572" s="3"/>
      <c r="K3572" s="3"/>
      <c r="L3572" s="3"/>
      <c r="M3572" s="3"/>
      <c r="N3572" s="3"/>
      <c r="O3572" s="3"/>
      <c r="P3572" s="3"/>
      <c r="Q3572" s="3"/>
    </row>
    <row r="3573" spans="2:17" x14ac:dyDescent="0.2">
      <c r="B3573" s="3"/>
      <c r="F3573" s="3"/>
      <c r="G3573" s="3"/>
      <c r="I3573" s="3"/>
      <c r="J3573" s="3"/>
      <c r="K3573" s="3"/>
      <c r="L3573" s="3"/>
      <c r="M3573" s="3"/>
      <c r="N3573" s="3"/>
      <c r="O3573" s="3"/>
      <c r="P3573" s="3"/>
      <c r="Q3573" s="3"/>
    </row>
    <row r="3574" spans="2:17" x14ac:dyDescent="0.2">
      <c r="B3574" s="3"/>
      <c r="F3574" s="3"/>
      <c r="G3574" s="3"/>
      <c r="I3574" s="3"/>
      <c r="J3574" s="3"/>
      <c r="K3574" s="3"/>
      <c r="L3574" s="3"/>
      <c r="M3574" s="3"/>
      <c r="N3574" s="3"/>
      <c r="O3574" s="3"/>
      <c r="P3574" s="3"/>
      <c r="Q3574" s="3"/>
    </row>
    <row r="3575" spans="2:17" x14ac:dyDescent="0.2">
      <c r="B3575" s="3"/>
      <c r="F3575" s="3"/>
      <c r="G3575" s="3"/>
      <c r="I3575" s="3"/>
      <c r="J3575" s="3"/>
      <c r="K3575" s="3"/>
      <c r="L3575" s="3"/>
      <c r="M3575" s="3"/>
      <c r="N3575" s="3"/>
      <c r="O3575" s="3"/>
      <c r="P3575" s="3"/>
      <c r="Q3575" s="3"/>
    </row>
    <row r="3576" spans="2:17" x14ac:dyDescent="0.2">
      <c r="B3576" s="3"/>
      <c r="F3576" s="3"/>
      <c r="G3576" s="3"/>
      <c r="I3576" s="3"/>
      <c r="J3576" s="3"/>
      <c r="K3576" s="3"/>
      <c r="L3576" s="3"/>
      <c r="M3576" s="3"/>
      <c r="N3576" s="3"/>
      <c r="O3576" s="3"/>
      <c r="P3576" s="3"/>
      <c r="Q3576" s="3"/>
    </row>
    <row r="3577" spans="2:17" x14ac:dyDescent="0.2">
      <c r="B3577" s="3"/>
      <c r="F3577" s="3"/>
      <c r="G3577" s="3"/>
      <c r="I3577" s="3"/>
      <c r="J3577" s="3"/>
      <c r="K3577" s="3"/>
      <c r="L3577" s="3"/>
      <c r="M3577" s="3"/>
      <c r="N3577" s="3"/>
      <c r="O3577" s="3"/>
      <c r="P3577" s="3"/>
      <c r="Q3577" s="3"/>
    </row>
    <row r="3578" spans="2:17" x14ac:dyDescent="0.2">
      <c r="B3578" s="3"/>
      <c r="F3578" s="3"/>
      <c r="G3578" s="3"/>
      <c r="I3578" s="3"/>
      <c r="J3578" s="3"/>
      <c r="K3578" s="3"/>
      <c r="L3578" s="3"/>
      <c r="M3578" s="3"/>
      <c r="N3578" s="3"/>
      <c r="O3578" s="3"/>
      <c r="P3578" s="3"/>
      <c r="Q3578" s="3"/>
    </row>
    <row r="3579" spans="2:17" x14ac:dyDescent="0.2">
      <c r="B3579" s="3"/>
      <c r="F3579" s="3"/>
      <c r="G3579" s="3"/>
      <c r="I3579" s="3"/>
      <c r="J3579" s="3"/>
      <c r="K3579" s="3"/>
      <c r="L3579" s="3"/>
      <c r="M3579" s="3"/>
      <c r="N3579" s="3"/>
      <c r="O3579" s="3"/>
      <c r="P3579" s="3"/>
      <c r="Q3579" s="3"/>
    </row>
    <row r="3580" spans="2:17" x14ac:dyDescent="0.2">
      <c r="B3580" s="3"/>
      <c r="F3580" s="3"/>
      <c r="G3580" s="3"/>
      <c r="I3580" s="3"/>
      <c r="J3580" s="3"/>
      <c r="K3580" s="3"/>
      <c r="L3580" s="3"/>
      <c r="M3580" s="3"/>
      <c r="N3580" s="3"/>
      <c r="O3580" s="3"/>
      <c r="P3580" s="3"/>
      <c r="Q3580" s="3"/>
    </row>
    <row r="3581" spans="2:17" x14ac:dyDescent="0.2">
      <c r="B3581" s="3"/>
      <c r="F3581" s="3"/>
      <c r="G3581" s="3"/>
      <c r="I3581" s="3"/>
      <c r="J3581" s="3"/>
      <c r="K3581" s="3"/>
      <c r="L3581" s="3"/>
      <c r="M3581" s="3"/>
      <c r="N3581" s="3"/>
      <c r="O3581" s="3"/>
      <c r="P3581" s="3"/>
      <c r="Q3581" s="3"/>
    </row>
    <row r="3582" spans="2:17" x14ac:dyDescent="0.2">
      <c r="B3582" s="3"/>
      <c r="F3582" s="3"/>
      <c r="G3582" s="3"/>
      <c r="I3582" s="3"/>
      <c r="J3582" s="3"/>
      <c r="K3582" s="3"/>
      <c r="L3582" s="3"/>
      <c r="M3582" s="3"/>
      <c r="N3582" s="3"/>
      <c r="O3582" s="3"/>
      <c r="P3582" s="3"/>
      <c r="Q3582" s="3"/>
    </row>
    <row r="3583" spans="2:17" x14ac:dyDescent="0.2">
      <c r="B3583" s="3"/>
      <c r="F3583" s="3"/>
      <c r="G3583" s="3"/>
      <c r="I3583" s="3"/>
      <c r="J3583" s="3"/>
      <c r="K3583" s="3"/>
      <c r="L3583" s="3"/>
      <c r="M3583" s="3"/>
      <c r="N3583" s="3"/>
      <c r="O3583" s="3"/>
      <c r="P3583" s="3"/>
      <c r="Q3583" s="3"/>
    </row>
    <row r="3584" spans="2:17" x14ac:dyDescent="0.2">
      <c r="B3584" s="3"/>
      <c r="F3584" s="3"/>
      <c r="G3584" s="3"/>
      <c r="I3584" s="3"/>
      <c r="J3584" s="3"/>
      <c r="K3584" s="3"/>
      <c r="L3584" s="3"/>
      <c r="M3584" s="3"/>
      <c r="N3584" s="3"/>
      <c r="O3584" s="3"/>
      <c r="P3584" s="3"/>
      <c r="Q3584" s="3"/>
    </row>
    <row r="3585" spans="2:17" x14ac:dyDescent="0.2">
      <c r="B3585" s="3"/>
      <c r="F3585" s="3"/>
      <c r="G3585" s="3"/>
      <c r="I3585" s="3"/>
      <c r="J3585" s="3"/>
      <c r="K3585" s="3"/>
      <c r="L3585" s="3"/>
      <c r="M3585" s="3"/>
      <c r="N3585" s="3"/>
      <c r="O3585" s="3"/>
      <c r="P3585" s="3"/>
      <c r="Q3585" s="3"/>
    </row>
    <row r="3586" spans="2:17" x14ac:dyDescent="0.2">
      <c r="B3586" s="3"/>
      <c r="F3586" s="3"/>
      <c r="G3586" s="3"/>
      <c r="I3586" s="3"/>
      <c r="J3586" s="3"/>
      <c r="K3586" s="3"/>
      <c r="L3586" s="3"/>
      <c r="M3586" s="3"/>
      <c r="N3586" s="3"/>
      <c r="O3586" s="3"/>
      <c r="P3586" s="3"/>
      <c r="Q3586" s="3"/>
    </row>
    <row r="3587" spans="2:17" x14ac:dyDescent="0.2">
      <c r="B3587" s="3"/>
      <c r="F3587" s="3"/>
      <c r="G3587" s="3"/>
      <c r="I3587" s="3"/>
      <c r="J3587" s="3"/>
      <c r="K3587" s="3"/>
      <c r="L3587" s="3"/>
      <c r="M3587" s="3"/>
      <c r="N3587" s="3"/>
      <c r="O3587" s="3"/>
      <c r="P3587" s="3"/>
      <c r="Q3587" s="3"/>
    </row>
    <row r="3588" spans="2:17" x14ac:dyDescent="0.2">
      <c r="B3588" s="3"/>
      <c r="F3588" s="3"/>
      <c r="G3588" s="3"/>
      <c r="I3588" s="3"/>
      <c r="J3588" s="3"/>
      <c r="K3588" s="3"/>
      <c r="L3588" s="3"/>
      <c r="M3588" s="3"/>
      <c r="N3588" s="3"/>
      <c r="O3588" s="3"/>
      <c r="P3588" s="3"/>
      <c r="Q3588" s="3"/>
    </row>
    <row r="3589" spans="2:17" x14ac:dyDescent="0.2">
      <c r="B3589" s="3"/>
      <c r="F3589" s="3"/>
      <c r="G3589" s="3"/>
      <c r="I3589" s="3"/>
      <c r="J3589" s="3"/>
      <c r="K3589" s="3"/>
      <c r="L3589" s="3"/>
      <c r="M3589" s="3"/>
      <c r="N3589" s="3"/>
      <c r="O3589" s="3"/>
      <c r="P3589" s="3"/>
      <c r="Q3589" s="3"/>
    </row>
    <row r="3590" spans="2:17" x14ac:dyDescent="0.2">
      <c r="B3590" s="3"/>
      <c r="F3590" s="3"/>
      <c r="G3590" s="3"/>
      <c r="I3590" s="3"/>
      <c r="J3590" s="3"/>
      <c r="K3590" s="3"/>
      <c r="L3590" s="3"/>
      <c r="M3590" s="3"/>
      <c r="N3590" s="3"/>
      <c r="O3590" s="3"/>
      <c r="P3590" s="3"/>
      <c r="Q3590" s="3"/>
    </row>
    <row r="3591" spans="2:17" x14ac:dyDescent="0.2">
      <c r="B3591" s="3"/>
      <c r="F3591" s="3"/>
      <c r="G3591" s="3"/>
      <c r="I3591" s="3"/>
      <c r="J3591" s="3"/>
      <c r="K3591" s="3"/>
      <c r="L3591" s="3"/>
      <c r="M3591" s="3"/>
      <c r="N3591" s="3"/>
      <c r="O3591" s="3"/>
      <c r="P3591" s="3"/>
      <c r="Q3591" s="3"/>
    </row>
    <row r="3592" spans="2:17" x14ac:dyDescent="0.2">
      <c r="B3592" s="3"/>
      <c r="F3592" s="3"/>
      <c r="G3592" s="3"/>
      <c r="I3592" s="3"/>
      <c r="J3592" s="3"/>
      <c r="K3592" s="3"/>
      <c r="L3592" s="3"/>
      <c r="M3592" s="3"/>
      <c r="N3592" s="3"/>
      <c r="O3592" s="3"/>
      <c r="P3592" s="3"/>
      <c r="Q3592" s="3"/>
    </row>
    <row r="3593" spans="2:17" x14ac:dyDescent="0.2">
      <c r="B3593" s="3"/>
      <c r="F3593" s="3"/>
      <c r="G3593" s="3"/>
      <c r="I3593" s="3"/>
      <c r="J3593" s="3"/>
      <c r="K3593" s="3"/>
      <c r="L3593" s="3"/>
      <c r="M3593" s="3"/>
      <c r="N3593" s="3"/>
      <c r="O3593" s="3"/>
      <c r="P3593" s="3"/>
      <c r="Q3593" s="3"/>
    </row>
    <row r="3594" spans="2:17" x14ac:dyDescent="0.2">
      <c r="B3594" s="3"/>
      <c r="F3594" s="3"/>
      <c r="G3594" s="3"/>
      <c r="I3594" s="3"/>
      <c r="J3594" s="3"/>
      <c r="K3594" s="3"/>
      <c r="L3594" s="3"/>
      <c r="M3594" s="3"/>
      <c r="N3594" s="3"/>
      <c r="O3594" s="3"/>
      <c r="P3594" s="3"/>
      <c r="Q3594" s="3"/>
    </row>
    <row r="3595" spans="2:17" x14ac:dyDescent="0.2">
      <c r="B3595" s="3"/>
      <c r="F3595" s="3"/>
      <c r="G3595" s="3"/>
      <c r="I3595" s="3"/>
      <c r="J3595" s="3"/>
      <c r="K3595" s="3"/>
      <c r="L3595" s="3"/>
      <c r="M3595" s="3"/>
      <c r="N3595" s="3"/>
      <c r="O3595" s="3"/>
      <c r="P3595" s="3"/>
      <c r="Q3595" s="3"/>
    </row>
    <row r="3596" spans="2:17" x14ac:dyDescent="0.2">
      <c r="B3596" s="3"/>
      <c r="F3596" s="3"/>
      <c r="G3596" s="3"/>
      <c r="I3596" s="3"/>
      <c r="J3596" s="3"/>
      <c r="K3596" s="3"/>
      <c r="L3596" s="3"/>
      <c r="M3596" s="3"/>
      <c r="N3596" s="3"/>
      <c r="O3596" s="3"/>
      <c r="P3596" s="3"/>
      <c r="Q3596" s="3"/>
    </row>
    <row r="3597" spans="2:17" x14ac:dyDescent="0.2">
      <c r="B3597" s="3"/>
      <c r="F3597" s="3"/>
      <c r="G3597" s="3"/>
      <c r="I3597" s="3"/>
      <c r="J3597" s="3"/>
      <c r="K3597" s="3"/>
      <c r="L3597" s="3"/>
      <c r="M3597" s="3"/>
      <c r="N3597" s="3"/>
      <c r="O3597" s="3"/>
      <c r="P3597" s="3"/>
      <c r="Q3597" s="3"/>
    </row>
    <row r="3598" spans="2:17" x14ac:dyDescent="0.2">
      <c r="B3598" s="3"/>
      <c r="F3598" s="3"/>
      <c r="G3598" s="3"/>
      <c r="I3598" s="3"/>
      <c r="J3598" s="3"/>
      <c r="K3598" s="3"/>
      <c r="L3598" s="3"/>
      <c r="M3598" s="3"/>
      <c r="N3598" s="3"/>
      <c r="O3598" s="3"/>
      <c r="P3598" s="3"/>
      <c r="Q3598" s="3"/>
    </row>
  </sheetData>
  <mergeCells count="321">
    <mergeCell ref="R1909:R1913"/>
    <mergeCell ref="S1909:S1913"/>
    <mergeCell ref="J1910:J1913"/>
    <mergeCell ref="K1910:K1913"/>
    <mergeCell ref="N1910:N1913"/>
    <mergeCell ref="O1910:O1913"/>
    <mergeCell ref="R1732:R1736"/>
    <mergeCell ref="S1732:S1736"/>
    <mergeCell ref="J1733:J1736"/>
    <mergeCell ref="K1733:K1736"/>
    <mergeCell ref="N1733:N1736"/>
    <mergeCell ref="O1733:O1736"/>
    <mergeCell ref="B1908:Q1908"/>
    <mergeCell ref="B1909:P1909"/>
    <mergeCell ref="Q1909:Q1913"/>
    <mergeCell ref="B1910:B1913"/>
    <mergeCell ref="E1804:H1804"/>
    <mergeCell ref="E1812:H1812"/>
    <mergeCell ref="D1892:H1892"/>
    <mergeCell ref="D1904:H1904"/>
    <mergeCell ref="E1831:H1831"/>
    <mergeCell ref="D1837:H1837"/>
    <mergeCell ref="D1860:H1860"/>
    <mergeCell ref="D1874:H1874"/>
    <mergeCell ref="R1625:R1629"/>
    <mergeCell ref="S1625:S1629"/>
    <mergeCell ref="J1626:J1629"/>
    <mergeCell ref="K1626:K1629"/>
    <mergeCell ref="N1626:N1629"/>
    <mergeCell ref="O1626:O1629"/>
    <mergeCell ref="R1528:R1532"/>
    <mergeCell ref="S1528:S1532"/>
    <mergeCell ref="J1529:J1532"/>
    <mergeCell ref="K1529:K1532"/>
    <mergeCell ref="N1529:N1532"/>
    <mergeCell ref="O1529:O1532"/>
    <mergeCell ref="B1624:Q1624"/>
    <mergeCell ref="B1625:P1625"/>
    <mergeCell ref="Q1625:Q1629"/>
    <mergeCell ref="B1626:B1629"/>
    <mergeCell ref="C1626:C1629"/>
    <mergeCell ref="G1626:G1629"/>
    <mergeCell ref="I1626:I1629"/>
    <mergeCell ref="H1626:H1629"/>
    <mergeCell ref="M1626:M1629"/>
    <mergeCell ref="D1534:H1534"/>
    <mergeCell ref="D1558:H1558"/>
    <mergeCell ref="D1568:H1568"/>
    <mergeCell ref="R1383:R1387"/>
    <mergeCell ref="S1383:S1387"/>
    <mergeCell ref="J1384:J1387"/>
    <mergeCell ref="K1384:K1387"/>
    <mergeCell ref="N1384:N1387"/>
    <mergeCell ref="O1384:O1387"/>
    <mergeCell ref="R503:R507"/>
    <mergeCell ref="S503:S507"/>
    <mergeCell ref="J504:J507"/>
    <mergeCell ref="K504:K507"/>
    <mergeCell ref="N504:N507"/>
    <mergeCell ref="O504:O507"/>
    <mergeCell ref="B1382:Q1382"/>
    <mergeCell ref="B1383:P1383"/>
    <mergeCell ref="Q1383:Q1387"/>
    <mergeCell ref="B1384:B1387"/>
    <mergeCell ref="I1384:I1387"/>
    <mergeCell ref="M1384:M1387"/>
    <mergeCell ref="D939:H939"/>
    <mergeCell ref="D1049:H1049"/>
    <mergeCell ref="D1360:H1360"/>
    <mergeCell ref="H504:H507"/>
    <mergeCell ref="I504:I507"/>
    <mergeCell ref="C508:H508"/>
    <mergeCell ref="R372:R376"/>
    <mergeCell ref="S372:S376"/>
    <mergeCell ref="J373:J376"/>
    <mergeCell ref="K373:K376"/>
    <mergeCell ref="N373:N376"/>
    <mergeCell ref="O373:O376"/>
    <mergeCell ref="R298:R302"/>
    <mergeCell ref="S298:S302"/>
    <mergeCell ref="J299:J302"/>
    <mergeCell ref="K299:K302"/>
    <mergeCell ref="N299:N302"/>
    <mergeCell ref="O299:O302"/>
    <mergeCell ref="R206:R210"/>
    <mergeCell ref="S206:S210"/>
    <mergeCell ref="J207:J210"/>
    <mergeCell ref="K207:K210"/>
    <mergeCell ref="N207:N210"/>
    <mergeCell ref="O207:O210"/>
    <mergeCell ref="R112:R116"/>
    <mergeCell ref="S112:S116"/>
    <mergeCell ref="J113:J116"/>
    <mergeCell ref="K113:K116"/>
    <mergeCell ref="N113:N116"/>
    <mergeCell ref="O113:O116"/>
    <mergeCell ref="B205:Q205"/>
    <mergeCell ref="B206:P206"/>
    <mergeCell ref="Q206:Q210"/>
    <mergeCell ref="B207:B210"/>
    <mergeCell ref="D144:H144"/>
    <mergeCell ref="D163:H163"/>
    <mergeCell ref="D178:H178"/>
    <mergeCell ref="D183:H183"/>
    <mergeCell ref="D195:H195"/>
    <mergeCell ref="D140:H140"/>
    <mergeCell ref="F113:F116"/>
    <mergeCell ref="G113:G116"/>
    <mergeCell ref="R82:R86"/>
    <mergeCell ref="S82:S86"/>
    <mergeCell ref="J83:J86"/>
    <mergeCell ref="K83:K86"/>
    <mergeCell ref="N83:N86"/>
    <mergeCell ref="O83:O86"/>
    <mergeCell ref="R3:R7"/>
    <mergeCell ref="S3:S7"/>
    <mergeCell ref="J4:J7"/>
    <mergeCell ref="K4:K7"/>
    <mergeCell ref="N4:N7"/>
    <mergeCell ref="O4:O7"/>
    <mergeCell ref="B81:Q81"/>
    <mergeCell ref="B82:P82"/>
    <mergeCell ref="Q82:Q86"/>
    <mergeCell ref="B83:B86"/>
    <mergeCell ref="C83:C86"/>
    <mergeCell ref="I83:I86"/>
    <mergeCell ref="M83:M86"/>
    <mergeCell ref="E17:H17"/>
    <mergeCell ref="D65:H65"/>
    <mergeCell ref="D63:H63"/>
    <mergeCell ref="D64:H64"/>
    <mergeCell ref="D9:H9"/>
    <mergeCell ref="E1916:H1916"/>
    <mergeCell ref="E1925:H1925"/>
    <mergeCell ref="E1926:H1926"/>
    <mergeCell ref="G1910:G1913"/>
    <mergeCell ref="H1910:H1913"/>
    <mergeCell ref="F1910:F1913"/>
    <mergeCell ref="M1910:M1913"/>
    <mergeCell ref="C1914:H1914"/>
    <mergeCell ref="D1915:H1915"/>
    <mergeCell ref="C1910:C1913"/>
    <mergeCell ref="D1910:D1913"/>
    <mergeCell ref="E1910:E1913"/>
    <mergeCell ref="I1910:I1913"/>
    <mergeCell ref="D1877:H1877"/>
    <mergeCell ref="D1882:H1882"/>
    <mergeCell ref="D1772:H1772"/>
    <mergeCell ref="E1773:H1773"/>
    <mergeCell ref="E1787:H1787"/>
    <mergeCell ref="E1798:H1798"/>
    <mergeCell ref="D1803:H1803"/>
    <mergeCell ref="C1737:H1737"/>
    <mergeCell ref="D1738:H1738"/>
    <mergeCell ref="E1739:H1739"/>
    <mergeCell ref="D1752:H1752"/>
    <mergeCell ref="D1756:H1756"/>
    <mergeCell ref="B1731:Q1731"/>
    <mergeCell ref="B1732:P1732"/>
    <mergeCell ref="Q1732:Q1736"/>
    <mergeCell ref="B1733:B1736"/>
    <mergeCell ref="C1733:C1736"/>
    <mergeCell ref="D1733:D1736"/>
    <mergeCell ref="E1733:E1736"/>
    <mergeCell ref="F1733:F1736"/>
    <mergeCell ref="G1733:G1736"/>
    <mergeCell ref="H1733:H1736"/>
    <mergeCell ref="I1733:I1736"/>
    <mergeCell ref="M1733:M1736"/>
    <mergeCell ref="D1713:H1713"/>
    <mergeCell ref="D1688:H1688"/>
    <mergeCell ref="E1626:E1629"/>
    <mergeCell ref="C1630:H1630"/>
    <mergeCell ref="F1626:F1629"/>
    <mergeCell ref="D1706:H1706"/>
    <mergeCell ref="D1703:H1703"/>
    <mergeCell ref="E1675:H1675"/>
    <mergeCell ref="D1631:H1631"/>
    <mergeCell ref="E1685:H1685"/>
    <mergeCell ref="D1626:D1629"/>
    <mergeCell ref="D1674:H1674"/>
    <mergeCell ref="D1589:H1589"/>
    <mergeCell ref="D1606:H1606"/>
    <mergeCell ref="I1529:I1532"/>
    <mergeCell ref="M1529:M1532"/>
    <mergeCell ref="C1533:H1533"/>
    <mergeCell ref="B1527:Q1527"/>
    <mergeCell ref="B1528:P1528"/>
    <mergeCell ref="Q1528:Q1532"/>
    <mergeCell ref="B1529:B1532"/>
    <mergeCell ref="C1529:C1532"/>
    <mergeCell ref="D1529:D1532"/>
    <mergeCell ref="E1529:E1532"/>
    <mergeCell ref="F1529:F1532"/>
    <mergeCell ref="G1529:G1532"/>
    <mergeCell ref="H1529:H1532"/>
    <mergeCell ref="E1473:H1473"/>
    <mergeCell ref="D1474:H1474"/>
    <mergeCell ref="D1389:H1389"/>
    <mergeCell ref="D1392:H1392"/>
    <mergeCell ref="D1405:H1405"/>
    <mergeCell ref="E1406:H1406"/>
    <mergeCell ref="C1388:H1388"/>
    <mergeCell ref="E1451:H1451"/>
    <mergeCell ref="G1384:G1387"/>
    <mergeCell ref="H1384:H1387"/>
    <mergeCell ref="E1413:H1413"/>
    <mergeCell ref="E1425:H1425"/>
    <mergeCell ref="C1384:C1387"/>
    <mergeCell ref="D1384:D1387"/>
    <mergeCell ref="E1384:E1387"/>
    <mergeCell ref="F1384:F1387"/>
    <mergeCell ref="D509:H509"/>
    <mergeCell ref="D735:H735"/>
    <mergeCell ref="B502:Q502"/>
    <mergeCell ref="B503:P503"/>
    <mergeCell ref="Q503:Q507"/>
    <mergeCell ref="B504:B507"/>
    <mergeCell ref="C504:C507"/>
    <mergeCell ref="D504:D507"/>
    <mergeCell ref="E504:E507"/>
    <mergeCell ref="F504:F507"/>
    <mergeCell ref="G504:G507"/>
    <mergeCell ref="M504:M507"/>
    <mergeCell ref="D421:H421"/>
    <mergeCell ref="M373:M376"/>
    <mergeCell ref="C377:H377"/>
    <mergeCell ref="D378:H378"/>
    <mergeCell ref="D395:H395"/>
    <mergeCell ref="E396:H396"/>
    <mergeCell ref="E415:H415"/>
    <mergeCell ref="B371:Q371"/>
    <mergeCell ref="B372:P372"/>
    <mergeCell ref="Q372:Q376"/>
    <mergeCell ref="B373:B376"/>
    <mergeCell ref="C373:C376"/>
    <mergeCell ref="D373:D376"/>
    <mergeCell ref="E373:E376"/>
    <mergeCell ref="F373:F376"/>
    <mergeCell ref="G373:G376"/>
    <mergeCell ref="H373:H376"/>
    <mergeCell ref="I373:I376"/>
    <mergeCell ref="D304:H304"/>
    <mergeCell ref="D323:H323"/>
    <mergeCell ref="D346:H346"/>
    <mergeCell ref="D353:H353"/>
    <mergeCell ref="D359:H359"/>
    <mergeCell ref="I299:I302"/>
    <mergeCell ref="M299:M302"/>
    <mergeCell ref="C303:H303"/>
    <mergeCell ref="B297:Q297"/>
    <mergeCell ref="B298:P298"/>
    <mergeCell ref="Q298:Q302"/>
    <mergeCell ref="B299:B302"/>
    <mergeCell ref="C299:C302"/>
    <mergeCell ref="D299:D302"/>
    <mergeCell ref="E299:E302"/>
    <mergeCell ref="F299:F302"/>
    <mergeCell ref="G299:G302"/>
    <mergeCell ref="H299:H302"/>
    <mergeCell ref="D251:H251"/>
    <mergeCell ref="D270:H270"/>
    <mergeCell ref="D287:H287"/>
    <mergeCell ref="M207:M210"/>
    <mergeCell ref="C211:H211"/>
    <mergeCell ref="D212:H212"/>
    <mergeCell ref="D219:H219"/>
    <mergeCell ref="D229:H229"/>
    <mergeCell ref="D238:H238"/>
    <mergeCell ref="C207:C210"/>
    <mergeCell ref="D207:D210"/>
    <mergeCell ref="E207:E210"/>
    <mergeCell ref="F207:F210"/>
    <mergeCell ref="G207:G210"/>
    <mergeCell ref="H207:H210"/>
    <mergeCell ref="I207:I210"/>
    <mergeCell ref="C8:H8"/>
    <mergeCell ref="H113:H116"/>
    <mergeCell ref="I113:I116"/>
    <mergeCell ref="C117:H117"/>
    <mergeCell ref="D118:H118"/>
    <mergeCell ref="D121:H121"/>
    <mergeCell ref="E122:H122"/>
    <mergeCell ref="E125:H125"/>
    <mergeCell ref="E132:H132"/>
    <mergeCell ref="B111:Q111"/>
    <mergeCell ref="B112:P112"/>
    <mergeCell ref="Q112:Q116"/>
    <mergeCell ref="B113:B116"/>
    <mergeCell ref="C113:C116"/>
    <mergeCell ref="D113:D116"/>
    <mergeCell ref="E113:E116"/>
    <mergeCell ref="M113:M116"/>
    <mergeCell ref="D44:H44"/>
    <mergeCell ref="D30:H30"/>
    <mergeCell ref="E20:H20"/>
    <mergeCell ref="E23:H23"/>
    <mergeCell ref="E10:H10"/>
    <mergeCell ref="C87:H87"/>
    <mergeCell ref="D88:H88"/>
    <mergeCell ref="B2:Q2"/>
    <mergeCell ref="B3:P3"/>
    <mergeCell ref="Q3:Q7"/>
    <mergeCell ref="M4:M7"/>
    <mergeCell ref="H4:H7"/>
    <mergeCell ref="G4:G7"/>
    <mergeCell ref="B4:B7"/>
    <mergeCell ref="C4:C7"/>
    <mergeCell ref="E4:E7"/>
    <mergeCell ref="F4:F7"/>
    <mergeCell ref="I4:I7"/>
    <mergeCell ref="D4:D7"/>
    <mergeCell ref="D101:H101"/>
    <mergeCell ref="D83:D86"/>
    <mergeCell ref="E83:E86"/>
    <mergeCell ref="F83:F86"/>
    <mergeCell ref="G83:G86"/>
    <mergeCell ref="H83:H86"/>
    <mergeCell ref="D75:H75"/>
    <mergeCell ref="D66:H66"/>
    <mergeCell ref="D78:H78"/>
  </mergeCells>
  <phoneticPr fontId="1" type="noConversion"/>
  <pageMargins left="0.55118110236220474" right="0.39370078740157483" top="0.43307086614173229" bottom="0.39370078740157483" header="0.47244094488188981" footer="0.51181102362204722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938C3-FF3E-4540-825F-81B5233102E3}">
  <sheetPr codeName="Sheet12"/>
  <dimension ref="B1:W1657"/>
  <sheetViews>
    <sheetView zoomScale="80" zoomScaleNormal="80" zoomScaleSheetLayoutView="80" workbookViewId="0"/>
  </sheetViews>
  <sheetFormatPr defaultRowHeight="12.75" x14ac:dyDescent="0.2"/>
  <cols>
    <col min="1" max="1" width="16.42578125" style="5" customWidth="1"/>
    <col min="2" max="2" width="3.5703125" style="5" customWidth="1"/>
    <col min="3" max="3" width="45.28515625" style="5" customWidth="1"/>
    <col min="4" max="4" width="14.7109375" style="5" customWidth="1"/>
    <col min="5" max="5" width="13.7109375" style="5" customWidth="1"/>
    <col min="6" max="6" width="15.85546875" style="5" customWidth="1"/>
    <col min="7" max="7" width="0.85546875" style="5" customWidth="1"/>
    <col min="8" max="8" width="15.28515625" style="5" customWidth="1"/>
    <col min="9" max="9" width="15" style="5" customWidth="1"/>
    <col min="10" max="10" width="17.28515625" style="5" customWidth="1"/>
    <col min="11" max="11" width="1" style="5" customWidth="1"/>
    <col min="12" max="12" width="17.140625" style="5" customWidth="1"/>
    <col min="13" max="13" width="13.7109375" style="5" customWidth="1"/>
    <col min="14" max="14" width="13.42578125" style="5" customWidth="1"/>
    <col min="15" max="16" width="9.140625" style="5"/>
    <col min="17" max="17" width="15.42578125" style="5" customWidth="1"/>
    <col min="18" max="18" width="15" style="5" customWidth="1"/>
    <col min="19" max="16384" width="9.140625" style="5"/>
  </cols>
  <sheetData>
    <row r="1" spans="2:14" ht="7.5" customHeight="1" x14ac:dyDescent="0.2"/>
    <row r="2" spans="2:14" s="186" customFormat="1" ht="57" customHeight="1" x14ac:dyDescent="0.2">
      <c r="B2" s="468"/>
      <c r="C2" s="469"/>
      <c r="D2" s="317" t="s">
        <v>594</v>
      </c>
      <c r="E2" s="317" t="s">
        <v>733</v>
      </c>
      <c r="F2" s="317" t="s">
        <v>741</v>
      </c>
      <c r="G2" s="317"/>
      <c r="H2" s="317" t="s">
        <v>595</v>
      </c>
      <c r="I2" s="317" t="s">
        <v>733</v>
      </c>
      <c r="J2" s="317" t="s">
        <v>742</v>
      </c>
      <c r="K2" s="317"/>
      <c r="L2" s="317" t="s">
        <v>597</v>
      </c>
      <c r="M2" s="317" t="s">
        <v>733</v>
      </c>
      <c r="N2" s="317" t="s">
        <v>743</v>
      </c>
    </row>
    <row r="3" spans="2:14" ht="3.75" customHeight="1" x14ac:dyDescent="0.2">
      <c r="B3" s="250"/>
      <c r="C3" s="251"/>
      <c r="D3" s="251"/>
      <c r="E3" s="251"/>
      <c r="F3" s="251"/>
      <c r="G3" s="251"/>
      <c r="H3" s="85"/>
      <c r="I3" s="85"/>
      <c r="J3" s="85"/>
      <c r="K3" s="251"/>
      <c r="L3" s="85"/>
    </row>
    <row r="4" spans="2:14" s="248" customFormat="1" ht="15" x14ac:dyDescent="0.25">
      <c r="B4" s="252">
        <v>1</v>
      </c>
      <c r="C4" s="253" t="s">
        <v>333</v>
      </c>
      <c r="D4" s="254">
        <f>'Príjmy 2026'!E386</f>
        <v>83634657</v>
      </c>
      <c r="E4" s="254">
        <f>'Príjmy 2026'!F386</f>
        <v>36044</v>
      </c>
      <c r="F4" s="254">
        <f>D4+E4</f>
        <v>83670701</v>
      </c>
      <c r="G4" s="255"/>
      <c r="H4" s="254">
        <f>'Príjmy 2026'!E387</f>
        <v>49540152</v>
      </c>
      <c r="I4" s="254">
        <f>'Príjmy 2026'!F387</f>
        <v>15500</v>
      </c>
      <c r="J4" s="254">
        <f>H4+I4</f>
        <v>49555652</v>
      </c>
      <c r="K4" s="255"/>
      <c r="L4" s="254">
        <f t="shared" ref="L4:L17" si="0">D4+H4</f>
        <v>133174809</v>
      </c>
      <c r="M4" s="254">
        <f t="shared" ref="M4:N17" si="1">E4+I4</f>
        <v>51544</v>
      </c>
      <c r="N4" s="254">
        <f t="shared" si="1"/>
        <v>133226353</v>
      </c>
    </row>
    <row r="5" spans="2:14" s="248" customFormat="1" ht="15" x14ac:dyDescent="0.25">
      <c r="B5" s="252">
        <v>2</v>
      </c>
      <c r="C5" s="253" t="s">
        <v>334</v>
      </c>
      <c r="D5" s="254">
        <f>SUM(D6:D17)</f>
        <v>81803921</v>
      </c>
      <c r="E5" s="254">
        <f t="shared" ref="E5" si="2">SUM(E6:E17)</f>
        <v>10202</v>
      </c>
      <c r="F5" s="254">
        <f t="shared" ref="F5:F18" si="3">D5+E5</f>
        <v>81814123</v>
      </c>
      <c r="G5" s="255"/>
      <c r="H5" s="254">
        <f>SUM(H6:H17)</f>
        <v>75214043</v>
      </c>
      <c r="I5" s="254">
        <f t="shared" ref="I5" si="4">SUM(I6:I17)</f>
        <v>41342</v>
      </c>
      <c r="J5" s="254">
        <f t="shared" ref="J5:J19" si="5">H5+I5</f>
        <v>75255385</v>
      </c>
      <c r="K5" s="255"/>
      <c r="L5" s="254">
        <f t="shared" si="0"/>
        <v>157017964</v>
      </c>
      <c r="M5" s="254">
        <f t="shared" si="1"/>
        <v>51544</v>
      </c>
      <c r="N5" s="254">
        <f t="shared" si="1"/>
        <v>157069508</v>
      </c>
    </row>
    <row r="6" spans="2:14" ht="14.25" x14ac:dyDescent="0.2">
      <c r="B6" s="252">
        <v>3</v>
      </c>
      <c r="C6" s="94" t="s">
        <v>25</v>
      </c>
      <c r="D6" s="256">
        <f>'Výdavky 2026'!I8</f>
        <v>1585206</v>
      </c>
      <c r="E6" s="256">
        <f>'Výdavky 2026'!J8</f>
        <v>0</v>
      </c>
      <c r="F6" s="256">
        <f t="shared" si="3"/>
        <v>1585206</v>
      </c>
      <c r="G6" s="257"/>
      <c r="H6" s="256">
        <f>'Výdavky 2026'!M8</f>
        <v>3190307</v>
      </c>
      <c r="I6" s="256">
        <f>'Výdavky 2026'!N8</f>
        <v>0</v>
      </c>
      <c r="J6" s="256">
        <f t="shared" si="5"/>
        <v>3190307</v>
      </c>
      <c r="K6" s="257"/>
      <c r="L6" s="256">
        <f t="shared" si="0"/>
        <v>4775513</v>
      </c>
      <c r="M6" s="256">
        <f t="shared" si="1"/>
        <v>0</v>
      </c>
      <c r="N6" s="256">
        <f t="shared" si="1"/>
        <v>4775513</v>
      </c>
    </row>
    <row r="7" spans="2:14" ht="14.25" x14ac:dyDescent="0.2">
      <c r="B7" s="252">
        <v>4</v>
      </c>
      <c r="C7" s="94" t="s">
        <v>26</v>
      </c>
      <c r="D7" s="256">
        <f>'Výdavky 2026'!I87</f>
        <v>254970</v>
      </c>
      <c r="E7" s="256">
        <f>'Výdavky 2026'!J87</f>
        <v>0</v>
      </c>
      <c r="F7" s="256">
        <f t="shared" si="3"/>
        <v>254970</v>
      </c>
      <c r="G7" s="257"/>
      <c r="H7" s="256">
        <f>'Výdavky 2026'!M87</f>
        <v>37930</v>
      </c>
      <c r="I7" s="256">
        <f>'Výdavky 2026'!N87</f>
        <v>0</v>
      </c>
      <c r="J7" s="256">
        <f t="shared" si="5"/>
        <v>37930</v>
      </c>
      <c r="K7" s="257"/>
      <c r="L7" s="256">
        <f t="shared" si="0"/>
        <v>292900</v>
      </c>
      <c r="M7" s="256">
        <f t="shared" si="1"/>
        <v>0</v>
      </c>
      <c r="N7" s="256">
        <f t="shared" si="1"/>
        <v>292900</v>
      </c>
    </row>
    <row r="8" spans="2:14" ht="14.25" x14ac:dyDescent="0.2">
      <c r="B8" s="252">
        <v>5</v>
      </c>
      <c r="C8" s="94" t="s">
        <v>27</v>
      </c>
      <c r="D8" s="256">
        <f>'Výdavky 2026'!I117</f>
        <v>8574602</v>
      </c>
      <c r="E8" s="256">
        <f>'Výdavky 2026'!J117</f>
        <v>-15000</v>
      </c>
      <c r="F8" s="256">
        <f t="shared" si="3"/>
        <v>8559602</v>
      </c>
      <c r="G8" s="257"/>
      <c r="H8" s="256">
        <f>'Výdavky 2026'!M117</f>
        <v>6307504</v>
      </c>
      <c r="I8" s="256">
        <f>'Výdavky 2026'!N117</f>
        <v>15000</v>
      </c>
      <c r="J8" s="256">
        <f t="shared" si="5"/>
        <v>6322504</v>
      </c>
      <c r="K8" s="257"/>
      <c r="L8" s="256">
        <f t="shared" si="0"/>
        <v>14882106</v>
      </c>
      <c r="M8" s="256">
        <f t="shared" si="1"/>
        <v>0</v>
      </c>
      <c r="N8" s="256">
        <f t="shared" si="1"/>
        <v>14882106</v>
      </c>
    </row>
    <row r="9" spans="2:14" ht="14.25" x14ac:dyDescent="0.2">
      <c r="B9" s="252">
        <v>6</v>
      </c>
      <c r="C9" s="94" t="s">
        <v>28</v>
      </c>
      <c r="D9" s="256">
        <f>'Výdavky 2026'!I211</f>
        <v>1083820</v>
      </c>
      <c r="E9" s="256">
        <f>'Výdavky 2026'!J211</f>
        <v>1500</v>
      </c>
      <c r="F9" s="256">
        <f t="shared" si="3"/>
        <v>1085320</v>
      </c>
      <c r="G9" s="257"/>
      <c r="H9" s="256">
        <f>'Výdavky 2026'!M211</f>
        <v>1079332</v>
      </c>
      <c r="I9" s="256">
        <f>'Výdavky 2026'!N211</f>
        <v>0</v>
      </c>
      <c r="J9" s="256">
        <f t="shared" si="5"/>
        <v>1079332</v>
      </c>
      <c r="K9" s="257"/>
      <c r="L9" s="256">
        <f t="shared" si="0"/>
        <v>2163152</v>
      </c>
      <c r="M9" s="256">
        <f t="shared" si="1"/>
        <v>1500</v>
      </c>
      <c r="N9" s="256">
        <f t="shared" si="1"/>
        <v>2164652</v>
      </c>
    </row>
    <row r="10" spans="2:14" ht="14.25" x14ac:dyDescent="0.2">
      <c r="B10" s="252">
        <v>7</v>
      </c>
      <c r="C10" s="94" t="s">
        <v>380</v>
      </c>
      <c r="D10" s="256">
        <f>'Výdavky 2026'!I303</f>
        <v>2729175</v>
      </c>
      <c r="E10" s="256">
        <f>'Výdavky 2026'!J303</f>
        <v>0</v>
      </c>
      <c r="F10" s="256">
        <f t="shared" si="3"/>
        <v>2729175</v>
      </c>
      <c r="G10" s="257"/>
      <c r="H10" s="256">
        <f>'Výdavky 2026'!M303</f>
        <v>9529750</v>
      </c>
      <c r="I10" s="256">
        <f>'Výdavky 2026'!N303</f>
        <v>0</v>
      </c>
      <c r="J10" s="256">
        <f t="shared" si="5"/>
        <v>9529750</v>
      </c>
      <c r="K10" s="257"/>
      <c r="L10" s="256">
        <f t="shared" si="0"/>
        <v>12258925</v>
      </c>
      <c r="M10" s="256">
        <f t="shared" si="1"/>
        <v>0</v>
      </c>
      <c r="N10" s="256">
        <f t="shared" si="1"/>
        <v>12258925</v>
      </c>
    </row>
    <row r="11" spans="2:14" ht="14.25" x14ac:dyDescent="0.2">
      <c r="B11" s="252">
        <v>8</v>
      </c>
      <c r="C11" s="94" t="s">
        <v>29</v>
      </c>
      <c r="D11" s="256">
        <f>'Výdavky 2026'!I377</f>
        <v>8560033</v>
      </c>
      <c r="E11" s="256">
        <f>'Výdavky 2026'!J377</f>
        <v>0</v>
      </c>
      <c r="F11" s="256">
        <f t="shared" si="3"/>
        <v>8560033</v>
      </c>
      <c r="G11" s="257"/>
      <c r="H11" s="256">
        <f>'Výdavky 2026'!M377</f>
        <v>13443185</v>
      </c>
      <c r="I11" s="256">
        <f>'Výdavky 2026'!N377</f>
        <v>0</v>
      </c>
      <c r="J11" s="256">
        <f t="shared" si="5"/>
        <v>13443185</v>
      </c>
      <c r="K11" s="257"/>
      <c r="L11" s="256">
        <f t="shared" si="0"/>
        <v>22003218</v>
      </c>
      <c r="M11" s="256">
        <f t="shared" si="1"/>
        <v>0</v>
      </c>
      <c r="N11" s="256">
        <f t="shared" si="1"/>
        <v>22003218</v>
      </c>
    </row>
    <row r="12" spans="2:14" ht="14.25" x14ac:dyDescent="0.2">
      <c r="B12" s="252">
        <v>9</v>
      </c>
      <c r="C12" s="94" t="s">
        <v>379</v>
      </c>
      <c r="D12" s="256">
        <f>'Výdavky 2026'!I508</f>
        <v>39602661</v>
      </c>
      <c r="E12" s="256">
        <f>'Výdavky 2026'!J508</f>
        <v>3702</v>
      </c>
      <c r="F12" s="256">
        <f t="shared" si="3"/>
        <v>39606363</v>
      </c>
      <c r="G12" s="257"/>
      <c r="H12" s="256">
        <f>'Výdavky 2026'!M508</f>
        <v>2736647</v>
      </c>
      <c r="I12" s="256">
        <f>'Výdavky 2026'!N508</f>
        <v>2842</v>
      </c>
      <c r="J12" s="256">
        <f t="shared" si="5"/>
        <v>2739489</v>
      </c>
      <c r="K12" s="257"/>
      <c r="L12" s="256">
        <f t="shared" si="0"/>
        <v>42339308</v>
      </c>
      <c r="M12" s="256">
        <f t="shared" si="1"/>
        <v>6544</v>
      </c>
      <c r="N12" s="256">
        <f t="shared" si="1"/>
        <v>42345852</v>
      </c>
    </row>
    <row r="13" spans="2:14" ht="14.25" x14ac:dyDescent="0.2">
      <c r="B13" s="252">
        <v>10</v>
      </c>
      <c r="C13" s="94" t="s">
        <v>378</v>
      </c>
      <c r="D13" s="256">
        <f>'Výdavky 2026'!I1388</f>
        <v>3159345</v>
      </c>
      <c r="E13" s="256">
        <f>'Výdavky 2026'!J1388</f>
        <v>43500</v>
      </c>
      <c r="F13" s="256">
        <f t="shared" si="3"/>
        <v>3202845</v>
      </c>
      <c r="G13" s="257"/>
      <c r="H13" s="256">
        <f>'Výdavky 2026'!M1388</f>
        <v>27982682</v>
      </c>
      <c r="I13" s="256">
        <f>'Výdavky 2026'!N1388</f>
        <v>0</v>
      </c>
      <c r="J13" s="256">
        <f t="shared" si="5"/>
        <v>27982682</v>
      </c>
      <c r="K13" s="257"/>
      <c r="L13" s="256">
        <f t="shared" si="0"/>
        <v>31142027</v>
      </c>
      <c r="M13" s="256">
        <f t="shared" si="1"/>
        <v>43500</v>
      </c>
      <c r="N13" s="256">
        <f t="shared" si="1"/>
        <v>31185527</v>
      </c>
    </row>
    <row r="14" spans="2:14" ht="14.25" x14ac:dyDescent="0.2">
      <c r="B14" s="252">
        <v>11</v>
      </c>
      <c r="C14" s="94" t="s">
        <v>30</v>
      </c>
      <c r="D14" s="256">
        <f>'Výdavky 2026'!I1533</f>
        <v>3038335</v>
      </c>
      <c r="E14" s="256">
        <f>'Výdavky 2026'!J1533</f>
        <v>-7000</v>
      </c>
      <c r="F14" s="256">
        <f t="shared" si="3"/>
        <v>3031335</v>
      </c>
      <c r="G14" s="257"/>
      <c r="H14" s="256">
        <f>'Výdavky 2026'!M1533</f>
        <v>8588290</v>
      </c>
      <c r="I14" s="256">
        <f>'Výdavky 2026'!N1533</f>
        <v>7000</v>
      </c>
      <c r="J14" s="256">
        <f t="shared" si="5"/>
        <v>8595290</v>
      </c>
      <c r="K14" s="257"/>
      <c r="L14" s="256">
        <f t="shared" si="0"/>
        <v>11626625</v>
      </c>
      <c r="M14" s="256">
        <f t="shared" si="1"/>
        <v>0</v>
      </c>
      <c r="N14" s="256">
        <f t="shared" si="1"/>
        <v>11626625</v>
      </c>
    </row>
    <row r="15" spans="2:14" ht="14.25" x14ac:dyDescent="0.2">
      <c r="B15" s="252">
        <v>12</v>
      </c>
      <c r="C15" s="94" t="s">
        <v>31</v>
      </c>
      <c r="D15" s="256">
        <f>'Výdavky 2026'!I1630</f>
        <v>6497537</v>
      </c>
      <c r="E15" s="256">
        <f>'Výdavky 2026'!J1630</f>
        <v>0</v>
      </c>
      <c r="F15" s="256">
        <f t="shared" si="3"/>
        <v>6497537</v>
      </c>
      <c r="G15" s="257"/>
      <c r="H15" s="256">
        <f>'Výdavky 2026'!M1630</f>
        <v>1866566</v>
      </c>
      <c r="I15" s="256">
        <f>'Výdavky 2026'!N1630</f>
        <v>0</v>
      </c>
      <c r="J15" s="256">
        <f t="shared" si="5"/>
        <v>1866566</v>
      </c>
      <c r="K15" s="257"/>
      <c r="L15" s="256">
        <f t="shared" si="0"/>
        <v>8364103</v>
      </c>
      <c r="M15" s="256">
        <f t="shared" si="1"/>
        <v>0</v>
      </c>
      <c r="N15" s="256">
        <f t="shared" si="1"/>
        <v>8364103</v>
      </c>
    </row>
    <row r="16" spans="2:14" ht="14.25" x14ac:dyDescent="0.2">
      <c r="B16" s="252">
        <v>13</v>
      </c>
      <c r="C16" s="94" t="s">
        <v>32</v>
      </c>
      <c r="D16" s="256">
        <f>'Výdavky 2026'!I1737</f>
        <v>6294807</v>
      </c>
      <c r="E16" s="256">
        <f>'Výdavky 2026'!J1737</f>
        <v>-16500</v>
      </c>
      <c r="F16" s="256">
        <f t="shared" si="3"/>
        <v>6278307</v>
      </c>
      <c r="G16" s="257"/>
      <c r="H16" s="256">
        <f>'Výdavky 2026'!M1737</f>
        <v>450200</v>
      </c>
      <c r="I16" s="256">
        <f>'Výdavky 2026'!N1737</f>
        <v>16500</v>
      </c>
      <c r="J16" s="256">
        <f t="shared" si="5"/>
        <v>466700</v>
      </c>
      <c r="K16" s="257"/>
      <c r="L16" s="256">
        <f t="shared" si="0"/>
        <v>6745007</v>
      </c>
      <c r="M16" s="256">
        <f t="shared" si="1"/>
        <v>0</v>
      </c>
      <c r="N16" s="256">
        <f t="shared" si="1"/>
        <v>6745007</v>
      </c>
    </row>
    <row r="17" spans="2:16" ht="14.25" x14ac:dyDescent="0.2">
      <c r="B17" s="252">
        <v>14</v>
      </c>
      <c r="C17" s="94" t="s">
        <v>33</v>
      </c>
      <c r="D17" s="256">
        <f>'Výdavky 2026'!I1914</f>
        <v>423430</v>
      </c>
      <c r="E17" s="256">
        <f>'Výdavky 2026'!J1914</f>
        <v>0</v>
      </c>
      <c r="F17" s="256">
        <f t="shared" si="3"/>
        <v>423430</v>
      </c>
      <c r="G17" s="257"/>
      <c r="H17" s="256">
        <f>'Výdavky 2026'!M1914</f>
        <v>1650</v>
      </c>
      <c r="I17" s="256">
        <f>'Výdavky 2026'!N1914</f>
        <v>0</v>
      </c>
      <c r="J17" s="256">
        <f t="shared" si="5"/>
        <v>1650</v>
      </c>
      <c r="K17" s="257"/>
      <c r="L17" s="256">
        <f t="shared" si="0"/>
        <v>425080</v>
      </c>
      <c r="M17" s="256">
        <f t="shared" si="1"/>
        <v>0</v>
      </c>
      <c r="N17" s="256">
        <f t="shared" si="1"/>
        <v>425080</v>
      </c>
    </row>
    <row r="18" spans="2:16" s="249" customFormat="1" ht="15" x14ac:dyDescent="0.2">
      <c r="B18" s="258">
        <v>15</v>
      </c>
      <c r="C18" s="259" t="s">
        <v>34</v>
      </c>
      <c r="D18" s="260">
        <f>D4-D5</f>
        <v>1830736</v>
      </c>
      <c r="E18" s="260">
        <f t="shared" ref="E18" si="6">E4-E5</f>
        <v>25842</v>
      </c>
      <c r="F18" s="260">
        <f t="shared" si="3"/>
        <v>1856578</v>
      </c>
      <c r="G18" s="261"/>
      <c r="H18" s="259"/>
      <c r="I18" s="259"/>
      <c r="J18" s="259">
        <f t="shared" si="5"/>
        <v>0</v>
      </c>
      <c r="K18" s="261"/>
      <c r="L18" s="259"/>
      <c r="M18" s="259"/>
      <c r="N18" s="259"/>
    </row>
    <row r="19" spans="2:16" s="249" customFormat="1" ht="15" x14ac:dyDescent="0.2">
      <c r="B19" s="258">
        <v>16</v>
      </c>
      <c r="C19" s="259" t="s">
        <v>405</v>
      </c>
      <c r="D19" s="259"/>
      <c r="E19" s="259"/>
      <c r="F19" s="259"/>
      <c r="G19" s="261"/>
      <c r="H19" s="260">
        <f>H4-H5</f>
        <v>-25673891</v>
      </c>
      <c r="I19" s="260">
        <f t="shared" ref="I19" si="7">I4-I5</f>
        <v>-25842</v>
      </c>
      <c r="J19" s="260">
        <f t="shared" si="5"/>
        <v>-25699733</v>
      </c>
      <c r="K19" s="261"/>
      <c r="L19" s="259"/>
      <c r="M19" s="259"/>
      <c r="N19" s="259"/>
    </row>
    <row r="20" spans="2:16" s="249" customFormat="1" ht="15" x14ac:dyDescent="0.2">
      <c r="B20" s="262">
        <v>17</v>
      </c>
      <c r="C20" s="263" t="s">
        <v>406</v>
      </c>
      <c r="D20" s="263"/>
      <c r="E20" s="263"/>
      <c r="F20" s="263"/>
      <c r="G20" s="264"/>
      <c r="H20" s="263"/>
      <c r="I20" s="263"/>
      <c r="J20" s="263"/>
      <c r="K20" s="264"/>
      <c r="L20" s="265">
        <f>L4-L5</f>
        <v>-23843155</v>
      </c>
      <c r="M20" s="265">
        <f t="shared" ref="M20:N20" si="8">M4-M5</f>
        <v>0</v>
      </c>
      <c r="N20" s="265">
        <f t="shared" si="8"/>
        <v>-23843155</v>
      </c>
    </row>
    <row r="21" spans="2:16" ht="4.5" customHeight="1" x14ac:dyDescent="0.2"/>
    <row r="22" spans="2:16" ht="15" x14ac:dyDescent="0.2">
      <c r="B22" s="474" t="s">
        <v>107</v>
      </c>
      <c r="C22" s="475"/>
      <c r="D22" s="475"/>
      <c r="E22" s="475"/>
      <c r="F22" s="475"/>
      <c r="G22" s="475"/>
      <c r="H22" s="475"/>
      <c r="I22" s="475"/>
      <c r="J22" s="475"/>
      <c r="K22" s="475"/>
      <c r="L22" s="475"/>
      <c r="M22" s="475"/>
      <c r="N22" s="475"/>
    </row>
    <row r="23" spans="2:16" s="248" customFormat="1" ht="15" x14ac:dyDescent="0.25">
      <c r="B23" s="252">
        <v>1</v>
      </c>
      <c r="C23" s="472" t="s">
        <v>35</v>
      </c>
      <c r="D23" s="473"/>
      <c r="E23" s="473"/>
      <c r="F23" s="473"/>
      <c r="G23" s="473"/>
      <c r="H23" s="473"/>
      <c r="I23" s="386"/>
      <c r="J23" s="386"/>
      <c r="K23" s="266"/>
      <c r="L23" s="276">
        <f>SUM(L24:L37)</f>
        <v>27707499</v>
      </c>
      <c r="M23" s="276">
        <f>SUM(M24:M37)</f>
        <v>0</v>
      </c>
      <c r="N23" s="276">
        <f>L23+M23</f>
        <v>27707499</v>
      </c>
    </row>
    <row r="24" spans="2:16" ht="15" x14ac:dyDescent="0.25">
      <c r="B24" s="252">
        <f>B23+1</f>
        <v>2</v>
      </c>
      <c r="C24" s="466" t="s">
        <v>335</v>
      </c>
      <c r="D24" s="467"/>
      <c r="E24" s="467"/>
      <c r="F24" s="467"/>
      <c r="G24" s="467"/>
      <c r="H24" s="467"/>
      <c r="I24" s="268"/>
      <c r="J24" s="268"/>
      <c r="K24" s="251"/>
      <c r="L24" s="255">
        <f>1290000+1842600</f>
        <v>3132600</v>
      </c>
      <c r="M24" s="255">
        <f>-4700-18967-68082-9895-1324686-27202-729020</f>
        <v>-2182552</v>
      </c>
      <c r="N24" s="255">
        <f t="shared" ref="N24:N43" si="9">L24+M24</f>
        <v>950048</v>
      </c>
      <c r="P24" s="392"/>
    </row>
    <row r="25" spans="2:16" ht="15" x14ac:dyDescent="0.25">
      <c r="B25" s="252">
        <f>B24+1</f>
        <v>3</v>
      </c>
      <c r="C25" s="466" t="s">
        <v>746</v>
      </c>
      <c r="D25" s="467"/>
      <c r="E25" s="467"/>
      <c r="F25" s="467"/>
      <c r="G25" s="467"/>
      <c r="H25" s="467"/>
      <c r="I25" s="268"/>
      <c r="J25" s="268"/>
      <c r="K25" s="251"/>
      <c r="L25" s="255">
        <v>0</v>
      </c>
      <c r="M25" s="255">
        <v>4700</v>
      </c>
      <c r="N25" s="255">
        <f t="shared" si="9"/>
        <v>4700</v>
      </c>
    </row>
    <row r="26" spans="2:16" ht="15" x14ac:dyDescent="0.25">
      <c r="B26" s="252">
        <f t="shared" ref="B26:B42" si="10">B25+1</f>
        <v>4</v>
      </c>
      <c r="C26" s="466" t="s">
        <v>753</v>
      </c>
      <c r="D26" s="467"/>
      <c r="E26" s="467"/>
      <c r="F26" s="467"/>
      <c r="G26" s="467"/>
      <c r="H26" s="467"/>
      <c r="I26" s="268"/>
      <c r="J26" s="268"/>
      <c r="K26" s="251"/>
      <c r="L26" s="255">
        <v>0</v>
      </c>
      <c r="M26" s="255">
        <v>18967</v>
      </c>
      <c r="N26" s="255">
        <f t="shared" si="9"/>
        <v>18967</v>
      </c>
    </row>
    <row r="27" spans="2:16" ht="15" x14ac:dyDescent="0.25">
      <c r="B27" s="252">
        <f t="shared" si="10"/>
        <v>5</v>
      </c>
      <c r="C27" s="466" t="s">
        <v>754</v>
      </c>
      <c r="D27" s="467"/>
      <c r="E27" s="467"/>
      <c r="F27" s="467"/>
      <c r="G27" s="467"/>
      <c r="H27" s="467"/>
      <c r="I27" s="268"/>
      <c r="J27" s="268"/>
      <c r="K27" s="251"/>
      <c r="L27" s="255">
        <v>0</v>
      </c>
      <c r="M27" s="255">
        <v>68082</v>
      </c>
      <c r="N27" s="255">
        <f t="shared" si="9"/>
        <v>68082</v>
      </c>
    </row>
    <row r="28" spans="2:16" ht="15" x14ac:dyDescent="0.25">
      <c r="B28" s="252">
        <f t="shared" si="10"/>
        <v>6</v>
      </c>
      <c r="C28" s="466" t="s">
        <v>755</v>
      </c>
      <c r="D28" s="467"/>
      <c r="E28" s="467"/>
      <c r="F28" s="467"/>
      <c r="G28" s="467"/>
      <c r="H28" s="467"/>
      <c r="I28" s="268"/>
      <c r="J28" s="268"/>
      <c r="K28" s="251"/>
      <c r="L28" s="255">
        <v>0</v>
      </c>
      <c r="M28" s="255">
        <v>9895</v>
      </c>
      <c r="N28" s="255">
        <f t="shared" si="9"/>
        <v>9895</v>
      </c>
    </row>
    <row r="29" spans="2:16" ht="15" x14ac:dyDescent="0.25">
      <c r="B29" s="252">
        <f t="shared" si="10"/>
        <v>7</v>
      </c>
      <c r="C29" s="267" t="s">
        <v>750</v>
      </c>
      <c r="D29" s="268"/>
      <c r="E29" s="268"/>
      <c r="F29" s="268"/>
      <c r="G29" s="268"/>
      <c r="H29" s="268"/>
      <c r="I29" s="268"/>
      <c r="J29" s="268"/>
      <c r="K29" s="251"/>
      <c r="L29" s="255">
        <v>0</v>
      </c>
      <c r="M29" s="255">
        <v>1324686</v>
      </c>
      <c r="N29" s="255">
        <f t="shared" si="9"/>
        <v>1324686</v>
      </c>
    </row>
    <row r="30" spans="2:16" ht="15" x14ac:dyDescent="0.25">
      <c r="B30" s="252">
        <f t="shared" si="10"/>
        <v>8</v>
      </c>
      <c r="C30" s="267" t="s">
        <v>751</v>
      </c>
      <c r="D30" s="268"/>
      <c r="E30" s="268"/>
      <c r="F30" s="268"/>
      <c r="G30" s="268"/>
      <c r="H30" s="268"/>
      <c r="I30" s="268"/>
      <c r="J30" s="268"/>
      <c r="K30" s="251"/>
      <c r="L30" s="255">
        <v>0</v>
      </c>
      <c r="M30" s="255">
        <v>27202</v>
      </c>
      <c r="N30" s="255">
        <f t="shared" si="9"/>
        <v>27202</v>
      </c>
    </row>
    <row r="31" spans="2:16" ht="15" x14ac:dyDescent="0.25">
      <c r="B31" s="252">
        <f t="shared" si="10"/>
        <v>9</v>
      </c>
      <c r="C31" s="267" t="s">
        <v>752</v>
      </c>
      <c r="D31" s="268"/>
      <c r="E31" s="268"/>
      <c r="F31" s="268"/>
      <c r="G31" s="268"/>
      <c r="H31" s="268"/>
      <c r="I31" s="268"/>
      <c r="J31" s="268"/>
      <c r="K31" s="251"/>
      <c r="L31" s="255">
        <v>0</v>
      </c>
      <c r="M31" s="255">
        <v>729020</v>
      </c>
      <c r="N31" s="255">
        <f t="shared" si="9"/>
        <v>729020</v>
      </c>
    </row>
    <row r="32" spans="2:16" ht="15" x14ac:dyDescent="0.25">
      <c r="B32" s="252">
        <f t="shared" si="10"/>
        <v>10</v>
      </c>
      <c r="C32" s="267" t="s">
        <v>571</v>
      </c>
      <c r="D32" s="268"/>
      <c r="E32" s="268"/>
      <c r="F32" s="268"/>
      <c r="G32" s="268"/>
      <c r="H32" s="268"/>
      <c r="I32" s="268"/>
      <c r="J32" s="268"/>
      <c r="K32" s="251"/>
      <c r="L32" s="255">
        <f>53000+1500000+366650+12000+51440+1271770+500000+632645</f>
        <v>4387505</v>
      </c>
      <c r="M32" s="255"/>
      <c r="N32" s="255">
        <f t="shared" si="9"/>
        <v>4387505</v>
      </c>
    </row>
    <row r="33" spans="2:23" ht="15" x14ac:dyDescent="0.25">
      <c r="B33" s="252">
        <f t="shared" si="10"/>
        <v>11</v>
      </c>
      <c r="C33" s="267" t="s">
        <v>413</v>
      </c>
      <c r="D33" s="268"/>
      <c r="E33" s="268"/>
      <c r="F33" s="268"/>
      <c r="G33" s="268"/>
      <c r="H33" s="268"/>
      <c r="I33" s="268"/>
      <c r="J33" s="268"/>
      <c r="K33" s="251"/>
      <c r="L33" s="255">
        <v>205200</v>
      </c>
      <c r="M33" s="255"/>
      <c r="N33" s="255">
        <f t="shared" si="9"/>
        <v>205200</v>
      </c>
    </row>
    <row r="34" spans="2:23" ht="15" x14ac:dyDescent="0.25">
      <c r="B34" s="252">
        <f t="shared" si="10"/>
        <v>12</v>
      </c>
      <c r="C34" s="466" t="s">
        <v>336</v>
      </c>
      <c r="D34" s="467"/>
      <c r="E34" s="467"/>
      <c r="F34" s="467"/>
      <c r="G34" s="467"/>
      <c r="H34" s="467"/>
      <c r="I34" s="268"/>
      <c r="J34" s="268"/>
      <c r="K34" s="251"/>
      <c r="L34" s="255">
        <f>5000000+360000+380000+10000+300000+300000+150000</f>
        <v>6500000</v>
      </c>
      <c r="M34" s="255"/>
      <c r="N34" s="255">
        <f t="shared" si="9"/>
        <v>6500000</v>
      </c>
    </row>
    <row r="35" spans="2:23" ht="15" x14ac:dyDescent="0.25">
      <c r="B35" s="252">
        <f t="shared" si="10"/>
        <v>13</v>
      </c>
      <c r="C35" s="267" t="s">
        <v>536</v>
      </c>
      <c r="D35" s="364"/>
      <c r="E35" s="364"/>
      <c r="F35" s="364"/>
      <c r="G35" s="364"/>
      <c r="H35" s="365"/>
      <c r="I35" s="387"/>
      <c r="J35" s="387"/>
      <c r="K35" s="251"/>
      <c r="L35" s="255">
        <f>4269444+212641+109</f>
        <v>4482194</v>
      </c>
      <c r="M35" s="255"/>
      <c r="N35" s="255">
        <f t="shared" si="9"/>
        <v>4482194</v>
      </c>
    </row>
    <row r="36" spans="2:23" ht="15" x14ac:dyDescent="0.25">
      <c r="B36" s="252">
        <f t="shared" si="10"/>
        <v>14</v>
      </c>
      <c r="C36" s="267" t="s">
        <v>497</v>
      </c>
      <c r="D36" s="366"/>
      <c r="E36" s="366"/>
      <c r="F36" s="366"/>
      <c r="G36" s="366"/>
      <c r="H36" s="367"/>
      <c r="I36" s="388"/>
      <c r="J36" s="388"/>
      <c r="K36" s="251"/>
      <c r="L36" s="255">
        <v>540000</v>
      </c>
      <c r="M36" s="255"/>
      <c r="N36" s="255">
        <f t="shared" si="9"/>
        <v>540000</v>
      </c>
    </row>
    <row r="37" spans="2:23" ht="15.75" x14ac:dyDescent="0.25">
      <c r="B37" s="252">
        <f t="shared" si="10"/>
        <v>15</v>
      </c>
      <c r="C37" s="267" t="s">
        <v>498</v>
      </c>
      <c r="D37" s="368"/>
      <c r="E37" s="368"/>
      <c r="F37" s="368"/>
      <c r="G37" s="368"/>
      <c r="H37" s="369"/>
      <c r="I37" s="389"/>
      <c r="J37" s="389"/>
      <c r="K37" s="251"/>
      <c r="L37" s="255">
        <v>8460000</v>
      </c>
      <c r="M37" s="255"/>
      <c r="N37" s="255">
        <f t="shared" si="9"/>
        <v>8460000</v>
      </c>
      <c r="Q37" s="390"/>
      <c r="R37" s="390"/>
      <c r="S37" s="390"/>
      <c r="T37" s="390"/>
      <c r="U37" s="390"/>
      <c r="V37" s="390"/>
      <c r="W37" s="390"/>
    </row>
    <row r="38" spans="2:23" s="248" customFormat="1" ht="15.75" x14ac:dyDescent="0.25">
      <c r="B38" s="252">
        <f t="shared" si="10"/>
        <v>16</v>
      </c>
      <c r="C38" s="472" t="s">
        <v>598</v>
      </c>
      <c r="D38" s="473"/>
      <c r="E38" s="473"/>
      <c r="F38" s="473"/>
      <c r="G38" s="473"/>
      <c r="H38" s="473"/>
      <c r="I38" s="386"/>
      <c r="J38" s="386"/>
      <c r="K38" s="266"/>
      <c r="L38" s="276">
        <f>SUM(L39:L42)</f>
        <v>3864344</v>
      </c>
      <c r="M38" s="276">
        <f t="shared" ref="M38" si="11">SUM(M39:M42)</f>
        <v>0</v>
      </c>
      <c r="N38" s="276">
        <f t="shared" si="9"/>
        <v>3864344</v>
      </c>
      <c r="Q38" s="390"/>
      <c r="R38" s="390"/>
      <c r="S38" s="390"/>
      <c r="T38" s="390"/>
      <c r="U38" s="390"/>
      <c r="V38" s="390"/>
      <c r="W38" s="390"/>
    </row>
    <row r="39" spans="2:23" s="248" customFormat="1" ht="15.75" x14ac:dyDescent="0.25">
      <c r="B39" s="252">
        <f t="shared" si="10"/>
        <v>17</v>
      </c>
      <c r="C39" s="466" t="s">
        <v>710</v>
      </c>
      <c r="D39" s="467"/>
      <c r="E39" s="467"/>
      <c r="F39" s="467"/>
      <c r="G39" s="467"/>
      <c r="H39" s="467"/>
      <c r="I39" s="268"/>
      <c r="J39" s="268"/>
      <c r="K39" s="251"/>
      <c r="L39" s="275">
        <v>619344</v>
      </c>
      <c r="M39" s="275"/>
      <c r="N39" s="275">
        <f t="shared" si="9"/>
        <v>619344</v>
      </c>
      <c r="Q39" s="390"/>
      <c r="R39" s="390"/>
      <c r="S39" s="390"/>
      <c r="T39" s="390"/>
      <c r="U39" s="390"/>
      <c r="V39" s="390"/>
      <c r="W39" s="390"/>
    </row>
    <row r="40" spans="2:23" ht="15.75" x14ac:dyDescent="0.25">
      <c r="B40" s="252">
        <f t="shared" si="10"/>
        <v>18</v>
      </c>
      <c r="C40" s="466" t="s">
        <v>337</v>
      </c>
      <c r="D40" s="467"/>
      <c r="E40" s="467"/>
      <c r="F40" s="467"/>
      <c r="G40" s="467"/>
      <c r="H40" s="467"/>
      <c r="I40" s="268"/>
      <c r="J40" s="268"/>
      <c r="K40" s="251"/>
      <c r="L40" s="275">
        <f>3100000-20000</f>
        <v>3080000</v>
      </c>
      <c r="M40" s="275"/>
      <c r="N40" s="275">
        <f t="shared" si="9"/>
        <v>3080000</v>
      </c>
      <c r="Q40" s="390"/>
      <c r="R40" s="390"/>
      <c r="S40" s="390"/>
      <c r="T40" s="390"/>
      <c r="U40" s="390"/>
      <c r="V40" s="390"/>
      <c r="W40" s="390"/>
    </row>
    <row r="41" spans="2:23" ht="15.75" x14ac:dyDescent="0.25">
      <c r="B41" s="252">
        <f t="shared" si="10"/>
        <v>19</v>
      </c>
      <c r="C41" s="466" t="s">
        <v>452</v>
      </c>
      <c r="D41" s="467"/>
      <c r="E41" s="467"/>
      <c r="F41" s="467"/>
      <c r="G41" s="467"/>
      <c r="H41" s="467"/>
      <c r="I41" s="268"/>
      <c r="J41" s="268"/>
      <c r="K41" s="251"/>
      <c r="L41" s="275">
        <v>60000</v>
      </c>
      <c r="M41" s="275"/>
      <c r="N41" s="275">
        <f t="shared" si="9"/>
        <v>60000</v>
      </c>
      <c r="Q41" s="390"/>
      <c r="R41" s="390"/>
      <c r="S41" s="390"/>
      <c r="T41" s="390"/>
      <c r="U41" s="390"/>
      <c r="V41" s="390"/>
      <c r="W41" s="390"/>
    </row>
    <row r="42" spans="2:23" ht="15.75" x14ac:dyDescent="0.25">
      <c r="B42" s="252">
        <f t="shared" si="10"/>
        <v>20</v>
      </c>
      <c r="C42" s="466" t="s">
        <v>338</v>
      </c>
      <c r="D42" s="467"/>
      <c r="E42" s="467"/>
      <c r="F42" s="467"/>
      <c r="G42" s="467"/>
      <c r="H42" s="467"/>
      <c r="I42" s="268"/>
      <c r="J42" s="268"/>
      <c r="K42" s="251"/>
      <c r="L42" s="275">
        <v>105000</v>
      </c>
      <c r="M42" s="275"/>
      <c r="N42" s="275">
        <f t="shared" si="9"/>
        <v>105000</v>
      </c>
      <c r="Q42" s="390"/>
      <c r="R42" s="390"/>
      <c r="S42" s="390"/>
      <c r="T42" s="390"/>
      <c r="U42" s="390"/>
      <c r="V42" s="390"/>
      <c r="W42" s="390"/>
    </row>
    <row r="43" spans="2:23" s="249" customFormat="1" ht="25.5" customHeight="1" x14ac:dyDescent="0.2">
      <c r="B43" s="252">
        <f>B42+1</f>
        <v>21</v>
      </c>
      <c r="C43" s="470" t="s">
        <v>36</v>
      </c>
      <c r="D43" s="471"/>
      <c r="E43" s="471"/>
      <c r="F43" s="471"/>
      <c r="G43" s="471"/>
      <c r="H43" s="471"/>
      <c r="I43" s="385"/>
      <c r="J43" s="385"/>
      <c r="K43" s="269"/>
      <c r="L43" s="270">
        <f>L20+L23-L38</f>
        <v>0</v>
      </c>
      <c r="M43" s="270">
        <f>M20+M23-M38</f>
        <v>0</v>
      </c>
      <c r="N43" s="270">
        <f t="shared" si="9"/>
        <v>0</v>
      </c>
      <c r="Q43" s="391"/>
      <c r="R43" s="391"/>
      <c r="S43" s="391"/>
      <c r="T43" s="391"/>
      <c r="U43" s="391"/>
      <c r="V43" s="391"/>
      <c r="W43" s="391"/>
    </row>
    <row r="44" spans="2:23" ht="15" x14ac:dyDescent="0.2">
      <c r="Q44" s="390"/>
      <c r="R44" s="390"/>
      <c r="S44" s="390"/>
      <c r="T44" s="390"/>
      <c r="U44" s="390"/>
      <c r="V44" s="390"/>
      <c r="W44" s="390"/>
    </row>
    <row r="45" spans="2:23" ht="15.75" thickBot="1" x14ac:dyDescent="0.25">
      <c r="Q45" s="390"/>
      <c r="R45" s="390"/>
      <c r="S45" s="390"/>
      <c r="T45" s="390"/>
      <c r="U45" s="390"/>
      <c r="V45" s="390"/>
      <c r="W45" s="390"/>
    </row>
    <row r="46" spans="2:23" ht="15" x14ac:dyDescent="0.2">
      <c r="B46" s="296" t="s">
        <v>572</v>
      </c>
      <c r="C46" s="297"/>
      <c r="D46" s="297"/>
      <c r="E46" s="297"/>
      <c r="F46" s="297"/>
      <c r="G46" s="298"/>
      <c r="H46" s="298"/>
      <c r="I46" s="298"/>
      <c r="J46" s="298"/>
      <c r="K46" s="298"/>
      <c r="L46" s="298"/>
      <c r="M46" s="298"/>
      <c r="N46" s="298"/>
      <c r="Q46" s="390"/>
      <c r="R46" s="390"/>
      <c r="S46" s="390"/>
      <c r="T46" s="390"/>
      <c r="U46" s="390"/>
      <c r="V46" s="390"/>
      <c r="W46" s="390"/>
    </row>
    <row r="47" spans="2:23" ht="15.75" x14ac:dyDescent="0.25">
      <c r="B47" s="299">
        <v>1</v>
      </c>
      <c r="C47" s="267" t="s">
        <v>573</v>
      </c>
      <c r="D47" s="268"/>
      <c r="E47" s="268"/>
      <c r="F47" s="268"/>
      <c r="G47" s="312"/>
      <c r="H47" s="312"/>
      <c r="I47" s="312"/>
      <c r="J47" s="312"/>
      <c r="K47" s="309"/>
      <c r="L47" s="300">
        <v>3582528</v>
      </c>
      <c r="M47" s="300"/>
      <c r="N47" s="300">
        <v>3582528</v>
      </c>
      <c r="Q47" s="390"/>
      <c r="R47" s="390"/>
      <c r="S47" s="390"/>
      <c r="T47" s="390"/>
      <c r="U47" s="390"/>
      <c r="V47" s="390"/>
      <c r="W47" s="390"/>
    </row>
    <row r="48" spans="2:23" ht="36" x14ac:dyDescent="0.2">
      <c r="B48" s="301">
        <v>2</v>
      </c>
      <c r="C48" s="302" t="s">
        <v>574</v>
      </c>
      <c r="D48" s="303"/>
      <c r="E48" s="303"/>
      <c r="F48" s="303"/>
      <c r="G48" s="313"/>
      <c r="H48" s="313"/>
      <c r="I48" s="313"/>
      <c r="J48" s="313"/>
      <c r="K48" s="310"/>
      <c r="L48" s="304">
        <v>1983649</v>
      </c>
      <c r="M48" s="304"/>
      <c r="N48" s="304">
        <v>1983649</v>
      </c>
      <c r="Q48" s="390"/>
      <c r="R48" s="390"/>
      <c r="S48" s="390"/>
      <c r="T48" s="390"/>
      <c r="U48" s="390"/>
      <c r="V48" s="390"/>
      <c r="W48" s="390"/>
    </row>
    <row r="49" spans="2:23" ht="15.75" x14ac:dyDescent="0.25">
      <c r="B49" s="299">
        <v>3</v>
      </c>
      <c r="C49" s="267" t="s">
        <v>575</v>
      </c>
      <c r="D49" s="268"/>
      <c r="E49" s="268"/>
      <c r="F49" s="268"/>
      <c r="G49" s="312"/>
      <c r="H49" s="312"/>
      <c r="I49" s="312"/>
      <c r="J49" s="312"/>
      <c r="K49" s="309"/>
      <c r="L49" s="300">
        <f>L32+L33</f>
        <v>4592705</v>
      </c>
      <c r="M49" s="300"/>
      <c r="N49" s="300">
        <f>N32+N33</f>
        <v>4592705</v>
      </c>
      <c r="Q49" s="390"/>
      <c r="R49" s="390"/>
      <c r="S49" s="390"/>
      <c r="T49" s="390"/>
      <c r="U49" s="390"/>
      <c r="V49" s="390"/>
      <c r="W49" s="390"/>
    </row>
    <row r="50" spans="2:23" ht="15.75" thickBot="1" x14ac:dyDescent="0.3">
      <c r="B50" s="305">
        <v>4</v>
      </c>
      <c r="C50" s="306" t="s">
        <v>576</v>
      </c>
      <c r="D50" s="307"/>
      <c r="E50" s="307"/>
      <c r="F50" s="307"/>
      <c r="G50" s="314"/>
      <c r="H50" s="314"/>
      <c r="I50" s="314"/>
      <c r="J50" s="314"/>
      <c r="K50" s="311"/>
      <c r="L50" s="308">
        <f>L47+L48-L49</f>
        <v>973472</v>
      </c>
      <c r="M50" s="308"/>
      <c r="N50" s="308">
        <f t="shared" ref="N50" si="12">N47+N48-N49</f>
        <v>973472</v>
      </c>
    </row>
    <row r="1657" s="271" customFormat="1" x14ac:dyDescent="0.2"/>
  </sheetData>
  <mergeCells count="15">
    <mergeCell ref="C39:H39"/>
    <mergeCell ref="B2:C2"/>
    <mergeCell ref="C41:H41"/>
    <mergeCell ref="C43:H43"/>
    <mergeCell ref="C38:H38"/>
    <mergeCell ref="C40:H40"/>
    <mergeCell ref="C34:H34"/>
    <mergeCell ref="C23:H23"/>
    <mergeCell ref="C24:H24"/>
    <mergeCell ref="C42:H42"/>
    <mergeCell ref="C25:H25"/>
    <mergeCell ref="B22:N22"/>
    <mergeCell ref="C26:H26"/>
    <mergeCell ref="C28:H28"/>
    <mergeCell ref="C27:H27"/>
  </mergeCells>
  <phoneticPr fontId="1" type="noConversion"/>
  <pageMargins left="0.15748031496062992" right="0.15748031496062992" top="0.39370078740157483" bottom="0.59055118110236227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Príjmy 2026</vt:lpstr>
      <vt:lpstr>Výdavky 2026</vt:lpstr>
      <vt:lpstr>Sumarizácia 2026</vt:lpstr>
      <vt:lpstr>'Príjmy 2026'!Oblasť_tlače</vt:lpstr>
      <vt:lpstr>'Sumarizácia 2026'!Oblasť_tlače</vt:lpstr>
      <vt:lpstr>'Výdavky 2026'!Oblasť_tlače</vt:lpstr>
    </vt:vector>
  </TitlesOfParts>
  <Company>corageo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masarik.daniel</dc:creator>
  <cp:lastModifiedBy>Žilková Andrea, Ing.</cp:lastModifiedBy>
  <cp:lastPrinted>2026-09-08T07:31:50Z</cp:lastPrinted>
  <dcterms:created xsi:type="dcterms:W3CDTF">2014-05-27T11:25:41Z</dcterms:created>
  <dcterms:modified xsi:type="dcterms:W3CDTF">2026-09-08T07:31:56Z</dcterms:modified>
</cp:coreProperties>
</file>