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Objects="none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Ekomonicky utvar\- Oddelenie  financne\MFT602\CAPOVA\ROZPOČET 2025\Záverečný účet 2025\Materiály\"/>
    </mc:Choice>
  </mc:AlternateContent>
  <xr:revisionPtr revIDLastSave="0" documentId="13_ncr:1_{8C21A51E-3BEF-48AA-9345-376C924EDCE8}" xr6:coauthVersionLast="47" xr6:coauthVersionMax="47" xr10:uidLastSave="{00000000-0000-0000-0000-000000000000}"/>
  <bookViews>
    <workbookView xWindow="-120" yWindow="-120" windowWidth="29040" windowHeight="15720" tabRatio="952" xr2:uid="{0468E873-DFAB-4663-9284-069D4DE40F5C}"/>
  </bookViews>
  <sheets>
    <sheet name="Príjmy 2025" sheetId="13" r:id="rId1"/>
    <sheet name="Výdavky 2025" sheetId="14" r:id="rId2"/>
    <sheet name="Sumarizácia 2025" sheetId="15" r:id="rId3"/>
  </sheets>
  <definedNames>
    <definedName name="Data" localSheetId="2">#REF!</definedName>
    <definedName name="Data" localSheetId="1">#REF!</definedName>
    <definedName name="Data">#REF!</definedName>
    <definedName name="Gatl">#REF!</definedName>
    <definedName name="_xlnm.Print_Area" localSheetId="0">'Príjmy 2025'!$B$1:$G$403</definedName>
    <definedName name="_xlnm.Print_Area" localSheetId="2">'Sumarizácia 2025'!$B$2:$Q$51</definedName>
    <definedName name="_xlnm.Print_Area" localSheetId="1">'Výdavky 2025'!$B$1:$S$1957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2" i="13" l="1"/>
  <c r="L362" i="13"/>
  <c r="F26" i="13"/>
  <c r="F28" i="13"/>
  <c r="F23" i="13"/>
  <c r="B1937" i="14"/>
  <c r="B1938" i="14" s="1"/>
  <c r="B1939" i="14" s="1"/>
  <c r="B1940" i="14" s="1"/>
  <c r="B1941" i="14" s="1"/>
  <c r="B1942" i="14" s="1"/>
  <c r="B1943" i="14" s="1"/>
  <c r="B1944" i="14" s="1"/>
  <c r="B1945" i="14" s="1"/>
  <c r="B1946" i="14" s="1"/>
  <c r="B1947" i="14" s="1"/>
  <c r="B1948" i="14" s="1"/>
  <c r="B1949" i="14" s="1"/>
  <c r="B1950" i="14" s="1"/>
  <c r="B1951" i="14" s="1"/>
  <c r="B1952" i="14" s="1"/>
  <c r="B1953" i="14" s="1"/>
  <c r="B1954" i="14" s="1"/>
  <c r="B1955" i="14" s="1"/>
  <c r="B1956" i="14" s="1"/>
  <c r="J1939" i="14"/>
  <c r="K1940" i="14"/>
  <c r="Q1940" i="14"/>
  <c r="R1940" i="14"/>
  <c r="I1941" i="14"/>
  <c r="I1939" i="14" s="1"/>
  <c r="Q1941" i="14"/>
  <c r="R1941" i="14"/>
  <c r="J1942" i="14"/>
  <c r="R1942" i="14" s="1"/>
  <c r="I1943" i="14"/>
  <c r="I1942" i="14" s="1"/>
  <c r="Q1942" i="14" s="1"/>
  <c r="K1943" i="14"/>
  <c r="Q1943" i="14"/>
  <c r="R1943" i="14"/>
  <c r="M1945" i="14"/>
  <c r="N1945" i="14"/>
  <c r="N1944" i="14" s="1"/>
  <c r="O1946" i="14"/>
  <c r="Q1946" i="14"/>
  <c r="R1946" i="14"/>
  <c r="Q1947" i="14"/>
  <c r="R1947" i="14"/>
  <c r="I1949" i="14"/>
  <c r="R1949" i="14"/>
  <c r="I1950" i="14"/>
  <c r="K1950" i="14" s="1"/>
  <c r="R1950" i="14"/>
  <c r="J1951" i="14"/>
  <c r="J1948" i="14" s="1"/>
  <c r="R1948" i="14" s="1"/>
  <c r="I1952" i="14"/>
  <c r="K1952" i="14" s="1"/>
  <c r="R1952" i="14"/>
  <c r="I1953" i="14"/>
  <c r="K1953" i="14"/>
  <c r="Q1953" i="14"/>
  <c r="R1953" i="14"/>
  <c r="S1953" i="14" s="1"/>
  <c r="K1954" i="14"/>
  <c r="Q1954" i="14"/>
  <c r="R1954" i="14"/>
  <c r="S1954" i="14" s="1"/>
  <c r="K1955" i="14"/>
  <c r="Q1955" i="14"/>
  <c r="R1955" i="14"/>
  <c r="I1956" i="14"/>
  <c r="K1956" i="14" s="1"/>
  <c r="R1956" i="14"/>
  <c r="B1745" i="14"/>
  <c r="B1746" i="14" s="1"/>
  <c r="B1747" i="14" s="1"/>
  <c r="B1748" i="14" s="1"/>
  <c r="B1749" i="14" s="1"/>
  <c r="B1750" i="14" s="1"/>
  <c r="B1751" i="14" s="1"/>
  <c r="B1752" i="14" s="1"/>
  <c r="B1753" i="14" s="1"/>
  <c r="B1754" i="14" s="1"/>
  <c r="B1755" i="14" s="1"/>
  <c r="B1756" i="14" s="1"/>
  <c r="B1757" i="14" s="1"/>
  <c r="B1758" i="14" s="1"/>
  <c r="B1759" i="14" s="1"/>
  <c r="B1760" i="14" s="1"/>
  <c r="B1761" i="14" s="1"/>
  <c r="B1762" i="14" s="1"/>
  <c r="B1763" i="14" s="1"/>
  <c r="B1764" i="14" s="1"/>
  <c r="B1765" i="14" s="1"/>
  <c r="B1766" i="14" s="1"/>
  <c r="B1767" i="14" s="1"/>
  <c r="B1768" i="14" s="1"/>
  <c r="B1769" i="14" s="1"/>
  <c r="B1770" i="14" s="1"/>
  <c r="B1771" i="14" s="1"/>
  <c r="B1772" i="14" s="1"/>
  <c r="B1773" i="14" s="1"/>
  <c r="B1774" i="14" s="1"/>
  <c r="B1775" i="14" s="1"/>
  <c r="B1776" i="14" s="1"/>
  <c r="B1777" i="14" s="1"/>
  <c r="B1778" i="14" s="1"/>
  <c r="B1779" i="14" s="1"/>
  <c r="M1748" i="14"/>
  <c r="Q1748" i="14" s="1"/>
  <c r="N1748" i="14"/>
  <c r="O1749" i="14"/>
  <c r="Q1749" i="14"/>
  <c r="R1749" i="14"/>
  <c r="N1750" i="14"/>
  <c r="M1751" i="14"/>
  <c r="O1751" i="14" s="1"/>
  <c r="R1751" i="14"/>
  <c r="I1753" i="14"/>
  <c r="K1753" i="14" s="1"/>
  <c r="R1753" i="14"/>
  <c r="I1754" i="14"/>
  <c r="Q1754" i="14" s="1"/>
  <c r="R1754" i="14"/>
  <c r="J1755" i="14"/>
  <c r="J1752" i="14" s="1"/>
  <c r="I1756" i="14"/>
  <c r="R1756" i="14"/>
  <c r="I1757" i="14"/>
  <c r="K1757" i="14" s="1"/>
  <c r="R1757" i="14"/>
  <c r="I1758" i="14"/>
  <c r="K1758" i="14" s="1"/>
  <c r="R1758" i="14"/>
  <c r="I1759" i="14"/>
  <c r="Q1759" i="14" s="1"/>
  <c r="R1759" i="14"/>
  <c r="K1760" i="14"/>
  <c r="Q1760" i="14"/>
  <c r="R1760" i="14"/>
  <c r="M1762" i="14"/>
  <c r="M1761" i="14" s="1"/>
  <c r="N1762" i="14"/>
  <c r="N1761" i="14" s="1"/>
  <c r="R1762" i="14"/>
  <c r="O1763" i="14"/>
  <c r="Q1763" i="14"/>
  <c r="R1763" i="14"/>
  <c r="O1764" i="14"/>
  <c r="Q1764" i="14"/>
  <c r="R1764" i="14"/>
  <c r="O1765" i="14"/>
  <c r="Q1765" i="14"/>
  <c r="R1765" i="14"/>
  <c r="Q1766" i="14"/>
  <c r="R1766" i="14"/>
  <c r="J1768" i="14"/>
  <c r="J1767" i="14" s="1"/>
  <c r="R1767" i="14" s="1"/>
  <c r="I1769" i="14"/>
  <c r="K1769" i="14" s="1"/>
  <c r="R1769" i="14"/>
  <c r="K1770" i="14"/>
  <c r="Q1770" i="14"/>
  <c r="R1770" i="14"/>
  <c r="S1770" i="14" s="1"/>
  <c r="J1772" i="14"/>
  <c r="K1773" i="14"/>
  <c r="Q1773" i="14"/>
  <c r="R1773" i="14"/>
  <c r="K1774" i="14"/>
  <c r="Q1774" i="14"/>
  <c r="R1774" i="14"/>
  <c r="I1775" i="14"/>
  <c r="I1772" i="14" s="1"/>
  <c r="Q1772" i="14" s="1"/>
  <c r="R1775" i="14"/>
  <c r="K1776" i="14"/>
  <c r="Q1776" i="14"/>
  <c r="R1776" i="14"/>
  <c r="K1777" i="14"/>
  <c r="Q1777" i="14"/>
  <c r="R1777" i="14"/>
  <c r="K1778" i="14"/>
  <c r="Q1778" i="14"/>
  <c r="R1778" i="14"/>
  <c r="K1779" i="14"/>
  <c r="Q1779" i="14"/>
  <c r="R1779" i="14"/>
  <c r="M1780" i="14"/>
  <c r="M1771" i="14" s="1"/>
  <c r="N1780" i="14"/>
  <c r="R1780" i="14" s="1"/>
  <c r="O1781" i="14"/>
  <c r="Q1781" i="14"/>
  <c r="R1781" i="14"/>
  <c r="K1783" i="14"/>
  <c r="Q1783" i="14"/>
  <c r="R1783" i="14"/>
  <c r="I1784" i="14"/>
  <c r="Q1784" i="14" s="1"/>
  <c r="J1784" i="14"/>
  <c r="R1784" i="14" s="1"/>
  <c r="K1785" i="14"/>
  <c r="Q1785" i="14"/>
  <c r="R1785" i="14"/>
  <c r="I1786" i="14"/>
  <c r="K1786" i="14" s="1"/>
  <c r="R1786" i="14"/>
  <c r="J1789" i="14"/>
  <c r="J1788" i="14" s="1"/>
  <c r="R1788" i="14" s="1"/>
  <c r="I1790" i="14"/>
  <c r="K1790" i="14" s="1"/>
  <c r="R1790" i="14"/>
  <c r="K1791" i="14"/>
  <c r="Q1791" i="14"/>
  <c r="R1791" i="14"/>
  <c r="I1795" i="14"/>
  <c r="R1795" i="14"/>
  <c r="I1796" i="14"/>
  <c r="K1796" i="14" s="1"/>
  <c r="R1796" i="14"/>
  <c r="J1797" i="14"/>
  <c r="J1794" i="14" s="1"/>
  <c r="K1798" i="14"/>
  <c r="Q1798" i="14"/>
  <c r="R1798" i="14"/>
  <c r="I1799" i="14"/>
  <c r="K1799" i="14" s="1"/>
  <c r="R1799" i="14"/>
  <c r="K1800" i="14"/>
  <c r="Q1800" i="14"/>
  <c r="R1800" i="14"/>
  <c r="K1801" i="14"/>
  <c r="Q1801" i="14"/>
  <c r="R1801" i="14"/>
  <c r="I1802" i="14"/>
  <c r="R1802" i="14"/>
  <c r="K1803" i="14"/>
  <c r="Q1803" i="14"/>
  <c r="R1803" i="14"/>
  <c r="M1805" i="14"/>
  <c r="Q1805" i="14" s="1"/>
  <c r="N1805" i="14"/>
  <c r="O1806" i="14"/>
  <c r="Q1806" i="14"/>
  <c r="R1806" i="14"/>
  <c r="I1809" i="14"/>
  <c r="K1809" i="14" s="1"/>
  <c r="R1809" i="14"/>
  <c r="I1810" i="14"/>
  <c r="Q1810" i="14" s="1"/>
  <c r="R1810" i="14"/>
  <c r="J1811" i="14"/>
  <c r="J1808" i="14" s="1"/>
  <c r="I1812" i="14"/>
  <c r="Q1812" i="14" s="1"/>
  <c r="R1812" i="14"/>
  <c r="I1813" i="14"/>
  <c r="K1813" i="14" s="1"/>
  <c r="R1813" i="14"/>
  <c r="I1814" i="14"/>
  <c r="K1814" i="14" s="1"/>
  <c r="R1814" i="14"/>
  <c r="I1815" i="14"/>
  <c r="Q1815" i="14" s="1"/>
  <c r="R1815" i="14"/>
  <c r="K1816" i="14"/>
  <c r="Q1816" i="14"/>
  <c r="R1816" i="14"/>
  <c r="S1816" i="14" s="1"/>
  <c r="K1817" i="14"/>
  <c r="Q1817" i="14"/>
  <c r="R1817" i="14"/>
  <c r="M1819" i="14"/>
  <c r="N1819" i="14"/>
  <c r="O1820" i="14"/>
  <c r="Q1820" i="14"/>
  <c r="R1820" i="14"/>
  <c r="K1823" i="14"/>
  <c r="Q1823" i="14"/>
  <c r="R1823" i="14"/>
  <c r="I1824" i="14"/>
  <c r="I1822" i="14" s="1"/>
  <c r="J1824" i="14"/>
  <c r="K1825" i="14"/>
  <c r="Q1825" i="14"/>
  <c r="R1825" i="14"/>
  <c r="J1828" i="14"/>
  <c r="I1829" i="14"/>
  <c r="R1829" i="14"/>
  <c r="I1830" i="14"/>
  <c r="K1830" i="14" s="1"/>
  <c r="R1830" i="14"/>
  <c r="I1831" i="14"/>
  <c r="Q1831" i="14" s="1"/>
  <c r="R1831" i="14"/>
  <c r="I1832" i="14"/>
  <c r="Q1832" i="14" s="1"/>
  <c r="J1832" i="14"/>
  <c r="K1833" i="14"/>
  <c r="Q1833" i="14"/>
  <c r="R1833" i="14"/>
  <c r="S1833" i="14" s="1"/>
  <c r="K1834" i="14"/>
  <c r="Q1834" i="14"/>
  <c r="R1834" i="14"/>
  <c r="I1837" i="14"/>
  <c r="R1837" i="14"/>
  <c r="I1838" i="14"/>
  <c r="K1838" i="14" s="1"/>
  <c r="R1838" i="14"/>
  <c r="J1839" i="14"/>
  <c r="J1836" i="14" s="1"/>
  <c r="K1840" i="14"/>
  <c r="Q1840" i="14"/>
  <c r="R1840" i="14"/>
  <c r="I1841" i="14"/>
  <c r="K1841" i="14" s="1"/>
  <c r="R1841" i="14"/>
  <c r="K1842" i="14"/>
  <c r="Q1842" i="14"/>
  <c r="R1842" i="14"/>
  <c r="S1842" i="14" s="1"/>
  <c r="K1843" i="14"/>
  <c r="Q1843" i="14"/>
  <c r="R1843" i="14"/>
  <c r="I1844" i="14"/>
  <c r="R1844" i="14"/>
  <c r="K1845" i="14"/>
  <c r="Q1845" i="14"/>
  <c r="R1845" i="14"/>
  <c r="I1846" i="14"/>
  <c r="K1846" i="14" s="1"/>
  <c r="R1846" i="14"/>
  <c r="I1847" i="14"/>
  <c r="Q1847" i="14" s="1"/>
  <c r="R1847" i="14"/>
  <c r="M1849" i="14"/>
  <c r="N1849" i="14"/>
  <c r="O1849" i="14" s="1"/>
  <c r="O1850" i="14"/>
  <c r="Q1850" i="14"/>
  <c r="R1850" i="14"/>
  <c r="J1852" i="14"/>
  <c r="J1851" i="14" s="1"/>
  <c r="R1851" i="14" s="1"/>
  <c r="I1853" i="14"/>
  <c r="R1853" i="14"/>
  <c r="K1854" i="14"/>
  <c r="Q1854" i="14"/>
  <c r="R1854" i="14"/>
  <c r="K1855" i="14"/>
  <c r="Q1855" i="14"/>
  <c r="R1855" i="14"/>
  <c r="I1856" i="14"/>
  <c r="Q1856" i="14" s="1"/>
  <c r="R1856" i="14"/>
  <c r="I1858" i="14"/>
  <c r="Q1858" i="14" s="1"/>
  <c r="J1858" i="14"/>
  <c r="K1859" i="14"/>
  <c r="Q1859" i="14"/>
  <c r="R1859" i="14"/>
  <c r="I1861" i="14"/>
  <c r="R1861" i="14"/>
  <c r="I1862" i="14"/>
  <c r="Q1862" i="14" s="1"/>
  <c r="K1862" i="14"/>
  <c r="R1862" i="14"/>
  <c r="J1863" i="14"/>
  <c r="R1863" i="14" s="1"/>
  <c r="K1864" i="14"/>
  <c r="Q1864" i="14"/>
  <c r="R1864" i="14"/>
  <c r="I1865" i="14"/>
  <c r="R1865" i="14"/>
  <c r="I1866" i="14"/>
  <c r="Q1866" i="14" s="1"/>
  <c r="R1866" i="14"/>
  <c r="K1867" i="14"/>
  <c r="Q1867" i="14"/>
  <c r="R1867" i="14"/>
  <c r="I1868" i="14"/>
  <c r="K1868" i="14" s="1"/>
  <c r="R1868" i="14"/>
  <c r="K1869" i="14"/>
  <c r="Q1869" i="14"/>
  <c r="R1869" i="14"/>
  <c r="K1870" i="14"/>
  <c r="Q1870" i="14"/>
  <c r="R1870" i="14"/>
  <c r="I1871" i="14"/>
  <c r="Q1871" i="14" s="1"/>
  <c r="R1871" i="14"/>
  <c r="M1873" i="14"/>
  <c r="N1873" i="14"/>
  <c r="R1873" i="14" s="1"/>
  <c r="O1874" i="14"/>
  <c r="Q1874" i="14"/>
  <c r="R1874" i="14"/>
  <c r="O1875" i="14"/>
  <c r="Q1875" i="14"/>
  <c r="R1875" i="14"/>
  <c r="M1876" i="14"/>
  <c r="Q1876" i="14" s="1"/>
  <c r="N1876" i="14"/>
  <c r="R1876" i="14" s="1"/>
  <c r="O1877" i="14"/>
  <c r="Q1877" i="14"/>
  <c r="R1877" i="14"/>
  <c r="N1878" i="14"/>
  <c r="R1878" i="14" s="1"/>
  <c r="O1879" i="14"/>
  <c r="Q1879" i="14"/>
  <c r="R1879" i="14"/>
  <c r="O1880" i="14"/>
  <c r="Q1880" i="14"/>
  <c r="R1880" i="14"/>
  <c r="M1881" i="14"/>
  <c r="Q1881" i="14" s="1"/>
  <c r="R1881" i="14"/>
  <c r="J1883" i="14"/>
  <c r="R1883" i="14" s="1"/>
  <c r="I1884" i="14"/>
  <c r="I1883" i="14" s="1"/>
  <c r="R1884" i="14"/>
  <c r="I1886" i="14"/>
  <c r="K1886" i="14" s="1"/>
  <c r="R1886" i="14"/>
  <c r="I1887" i="14"/>
  <c r="K1887" i="14" s="1"/>
  <c r="R1887" i="14"/>
  <c r="J1888" i="14"/>
  <c r="J1885" i="14" s="1"/>
  <c r="R1885" i="14" s="1"/>
  <c r="K1889" i="14"/>
  <c r="Q1889" i="14"/>
  <c r="R1889" i="14"/>
  <c r="K1890" i="14"/>
  <c r="Q1890" i="14"/>
  <c r="R1890" i="14"/>
  <c r="K1891" i="14"/>
  <c r="Q1891" i="14"/>
  <c r="R1891" i="14"/>
  <c r="K1892" i="14"/>
  <c r="Q1892" i="14"/>
  <c r="R1892" i="14"/>
  <c r="K1893" i="14"/>
  <c r="Q1893" i="14"/>
  <c r="R1893" i="14"/>
  <c r="I1894" i="14"/>
  <c r="Q1894" i="14" s="1"/>
  <c r="R1894" i="14"/>
  <c r="I1895" i="14"/>
  <c r="K1895" i="14" s="1"/>
  <c r="R1895" i="14"/>
  <c r="I1897" i="14"/>
  <c r="J1897" i="14"/>
  <c r="K1898" i="14"/>
  <c r="Q1898" i="14"/>
  <c r="R1898" i="14"/>
  <c r="I1900" i="14"/>
  <c r="J1900" i="14"/>
  <c r="K1901" i="14"/>
  <c r="Q1901" i="14"/>
  <c r="R1901" i="14"/>
  <c r="I1902" i="14"/>
  <c r="Q1902" i="14" s="1"/>
  <c r="J1902" i="14"/>
  <c r="R1902" i="14" s="1"/>
  <c r="K1903" i="14"/>
  <c r="Q1903" i="14"/>
  <c r="R1903" i="14"/>
  <c r="I1906" i="14"/>
  <c r="K1906" i="14" s="1"/>
  <c r="R1906" i="14"/>
  <c r="I1907" i="14"/>
  <c r="R1907" i="14"/>
  <c r="I1908" i="14"/>
  <c r="Q1908" i="14" s="1"/>
  <c r="J1908" i="14"/>
  <c r="R1908" i="14" s="1"/>
  <c r="S1908" i="14" s="1"/>
  <c r="K1909" i="14"/>
  <c r="Q1909" i="14"/>
  <c r="R1909" i="14"/>
  <c r="K1910" i="14"/>
  <c r="Q1910" i="14"/>
  <c r="R1910" i="14"/>
  <c r="K1911" i="14"/>
  <c r="Q1911" i="14"/>
  <c r="R1911" i="14"/>
  <c r="K1912" i="14"/>
  <c r="Q1912" i="14"/>
  <c r="R1912" i="14"/>
  <c r="K1913" i="14"/>
  <c r="Q1913" i="14"/>
  <c r="R1913" i="14"/>
  <c r="I1916" i="14"/>
  <c r="Q1916" i="14" s="1"/>
  <c r="R1916" i="14"/>
  <c r="I1917" i="14"/>
  <c r="Q1917" i="14" s="1"/>
  <c r="K1917" i="14"/>
  <c r="R1917" i="14"/>
  <c r="J1918" i="14"/>
  <c r="K1919" i="14"/>
  <c r="Q1919" i="14"/>
  <c r="R1919" i="14"/>
  <c r="K1920" i="14"/>
  <c r="Q1920" i="14"/>
  <c r="R1920" i="14"/>
  <c r="I1921" i="14"/>
  <c r="R1921" i="14"/>
  <c r="K1922" i="14"/>
  <c r="Q1922" i="14"/>
  <c r="R1922" i="14"/>
  <c r="I1923" i="14"/>
  <c r="K1923" i="14" s="1"/>
  <c r="R1923" i="14"/>
  <c r="I1924" i="14"/>
  <c r="R1924" i="14"/>
  <c r="I1925" i="14"/>
  <c r="K1925" i="14"/>
  <c r="Q1925" i="14"/>
  <c r="R1925" i="14"/>
  <c r="Q1926" i="14"/>
  <c r="R1926" i="14"/>
  <c r="B1638" i="14"/>
  <c r="B1639" i="14" s="1"/>
  <c r="B1640" i="14" s="1"/>
  <c r="B1641" i="14" s="1"/>
  <c r="B1642" i="14" s="1"/>
  <c r="B1643" i="14" s="1"/>
  <c r="B1644" i="14" s="1"/>
  <c r="B1645" i="14" s="1"/>
  <c r="B1646" i="14" s="1"/>
  <c r="B1647" i="14" s="1"/>
  <c r="B1648" i="14" s="1"/>
  <c r="B1649" i="14" s="1"/>
  <c r="B1650" i="14" s="1"/>
  <c r="B1651" i="14" s="1"/>
  <c r="B1652" i="14" s="1"/>
  <c r="B1653" i="14" s="1"/>
  <c r="B1654" i="14" s="1"/>
  <c r="B1655" i="14" s="1"/>
  <c r="B1656" i="14" s="1"/>
  <c r="B1657" i="14" s="1"/>
  <c r="B1658" i="14" s="1"/>
  <c r="B1659" i="14" s="1"/>
  <c r="B1660" i="14" s="1"/>
  <c r="B1661" i="14" s="1"/>
  <c r="B1662" i="14" s="1"/>
  <c r="B1663" i="14" s="1"/>
  <c r="B1664" i="14" s="1"/>
  <c r="B1665" i="14" s="1"/>
  <c r="B1666" i="14" s="1"/>
  <c r="B1667" i="14" s="1"/>
  <c r="B1668" i="14" s="1"/>
  <c r="B1669" i="14" s="1"/>
  <c r="B1670" i="14" s="1"/>
  <c r="B1671" i="14" s="1"/>
  <c r="B1672" i="14" s="1"/>
  <c r="B1673" i="14" s="1"/>
  <c r="B1674" i="14" s="1"/>
  <c r="B1675" i="14" s="1"/>
  <c r="B1676" i="14" s="1"/>
  <c r="B1677" i="14" s="1"/>
  <c r="B1678" i="14" s="1"/>
  <c r="B1679" i="14" s="1"/>
  <c r="B1680" i="14" s="1"/>
  <c r="B1681" i="14" s="1"/>
  <c r="B1682" i="14" s="1"/>
  <c r="B1683" i="14" s="1"/>
  <c r="B1684" i="14" s="1"/>
  <c r="B1685" i="14" s="1"/>
  <c r="B1686" i="14" s="1"/>
  <c r="B1687" i="14" s="1"/>
  <c r="B1688" i="14" s="1"/>
  <c r="B1689" i="14" s="1"/>
  <c r="B1690" i="14" s="1"/>
  <c r="B1691" i="14" s="1"/>
  <c r="B1692" i="14" s="1"/>
  <c r="B1693" i="14" s="1"/>
  <c r="B1694" i="14" s="1"/>
  <c r="B1695" i="14" s="1"/>
  <c r="B1696" i="14" s="1"/>
  <c r="B1697" i="14" s="1"/>
  <c r="B1698" i="14" s="1"/>
  <c r="B1699" i="14" s="1"/>
  <c r="B1700" i="14" s="1"/>
  <c r="B1701" i="14" s="1"/>
  <c r="B1702" i="14" s="1"/>
  <c r="B1703" i="14" s="1"/>
  <c r="B1704" i="14" s="1"/>
  <c r="B1705" i="14" s="1"/>
  <c r="B1706" i="14" s="1"/>
  <c r="B1707" i="14" s="1"/>
  <c r="B1708" i="14" s="1"/>
  <c r="B1709" i="14" s="1"/>
  <c r="B1710" i="14" s="1"/>
  <c r="B1711" i="14" s="1"/>
  <c r="B1712" i="14" s="1"/>
  <c r="B1713" i="14" s="1"/>
  <c r="B1714" i="14" s="1"/>
  <c r="B1715" i="14" s="1"/>
  <c r="B1716" i="14" s="1"/>
  <c r="B1717" i="14" s="1"/>
  <c r="B1718" i="14" s="1"/>
  <c r="B1719" i="14" s="1"/>
  <c r="B1720" i="14" s="1"/>
  <c r="B1721" i="14" s="1"/>
  <c r="B1722" i="14" s="1"/>
  <c r="B1723" i="14" s="1"/>
  <c r="B1724" i="14" s="1"/>
  <c r="B1725" i="14" s="1"/>
  <c r="B1726" i="14" s="1"/>
  <c r="B1727" i="14" s="1"/>
  <c r="B1728" i="14" s="1"/>
  <c r="B1729" i="14" s="1"/>
  <c r="B1730" i="14" s="1"/>
  <c r="B1731" i="14" s="1"/>
  <c r="B1732" i="14" s="1"/>
  <c r="B1733" i="14" s="1"/>
  <c r="B1734" i="14" s="1"/>
  <c r="B1735" i="14" s="1"/>
  <c r="I1639" i="14"/>
  <c r="Q1639" i="14" s="1"/>
  <c r="J1639" i="14"/>
  <c r="K1640" i="14"/>
  <c r="Q1640" i="14"/>
  <c r="R1640" i="14"/>
  <c r="M1642" i="14"/>
  <c r="N1642" i="14"/>
  <c r="O1643" i="14"/>
  <c r="Q1643" i="14"/>
  <c r="R1643" i="14"/>
  <c r="N1644" i="14"/>
  <c r="R1644" i="14" s="1"/>
  <c r="O1645" i="14"/>
  <c r="Q1645" i="14"/>
  <c r="R1645" i="14"/>
  <c r="M1646" i="14"/>
  <c r="O1646" i="14" s="1"/>
  <c r="R1646" i="14"/>
  <c r="M1647" i="14"/>
  <c r="R1647" i="14"/>
  <c r="I1650" i="14"/>
  <c r="Q1650" i="14" s="1"/>
  <c r="J1650" i="14"/>
  <c r="R1650" i="14" s="1"/>
  <c r="I1651" i="14"/>
  <c r="Q1651" i="14" s="1"/>
  <c r="J1651" i="14"/>
  <c r="R1651" i="14" s="1"/>
  <c r="J1653" i="14"/>
  <c r="K1653" i="14" s="1"/>
  <c r="Q1653" i="14"/>
  <c r="I1654" i="14"/>
  <c r="Q1654" i="14" s="1"/>
  <c r="J1654" i="14"/>
  <c r="R1654" i="14" s="1"/>
  <c r="J1655" i="14"/>
  <c r="K1655" i="14" s="1"/>
  <c r="Q1655" i="14"/>
  <c r="I1656" i="14"/>
  <c r="Q1656" i="14" s="1"/>
  <c r="J1656" i="14"/>
  <c r="J1657" i="14"/>
  <c r="K1657" i="14" s="1"/>
  <c r="Q1657" i="14"/>
  <c r="I1658" i="14"/>
  <c r="Q1658" i="14" s="1"/>
  <c r="J1658" i="14"/>
  <c r="I1659" i="14"/>
  <c r="Q1659" i="14" s="1"/>
  <c r="J1659" i="14"/>
  <c r="R1659" i="14" s="1"/>
  <c r="M1661" i="14"/>
  <c r="N1661" i="14"/>
  <c r="N1660" i="14" s="1"/>
  <c r="O1662" i="14"/>
  <c r="Q1662" i="14"/>
  <c r="R1662" i="14"/>
  <c r="I1664" i="14"/>
  <c r="Q1664" i="14" s="1"/>
  <c r="R1664" i="14"/>
  <c r="I1665" i="14"/>
  <c r="R1665" i="14"/>
  <c r="J1666" i="14"/>
  <c r="J1663" i="14" s="1"/>
  <c r="R1666" i="14"/>
  <c r="I1667" i="14"/>
  <c r="R1667" i="14"/>
  <c r="K1668" i="14"/>
  <c r="Q1668" i="14"/>
  <c r="R1668" i="14"/>
  <c r="I1669" i="14"/>
  <c r="Q1669" i="14" s="1"/>
  <c r="R1669" i="14"/>
  <c r="K1670" i="14"/>
  <c r="Q1670" i="14"/>
  <c r="R1670" i="14"/>
  <c r="I1671" i="14"/>
  <c r="K1671" i="14" s="1"/>
  <c r="R1671" i="14"/>
  <c r="K1672" i="14"/>
  <c r="Q1672" i="14"/>
  <c r="R1672" i="14"/>
  <c r="M1674" i="14"/>
  <c r="M1673" i="14" s="1"/>
  <c r="N1674" i="14"/>
  <c r="N1673" i="14" s="1"/>
  <c r="O1675" i="14"/>
  <c r="Q1675" i="14"/>
  <c r="R1675" i="14"/>
  <c r="O1676" i="14"/>
  <c r="Q1676" i="14"/>
  <c r="R1676" i="14"/>
  <c r="O1677" i="14"/>
  <c r="Q1677" i="14"/>
  <c r="R1677" i="14"/>
  <c r="O1678" i="14"/>
  <c r="Q1678" i="14"/>
  <c r="R1678" i="14"/>
  <c r="S1678" i="14" s="1"/>
  <c r="K1682" i="14"/>
  <c r="Q1682" i="14"/>
  <c r="R1682" i="14"/>
  <c r="K1683" i="14"/>
  <c r="Q1683" i="14"/>
  <c r="R1683" i="14"/>
  <c r="I1684" i="14"/>
  <c r="I1681" i="14" s="1"/>
  <c r="Q1681" i="14" s="1"/>
  <c r="J1684" i="14"/>
  <c r="J1681" i="14" s="1"/>
  <c r="J1680" i="14" s="1"/>
  <c r="R1684" i="14"/>
  <c r="K1685" i="14"/>
  <c r="Q1685" i="14"/>
  <c r="R1685" i="14"/>
  <c r="K1686" i="14"/>
  <c r="Q1686" i="14"/>
  <c r="R1686" i="14"/>
  <c r="M1688" i="14"/>
  <c r="N1688" i="14"/>
  <c r="O1689" i="14"/>
  <c r="Q1689" i="14"/>
  <c r="R1689" i="14"/>
  <c r="N1690" i="14"/>
  <c r="M1691" i="14"/>
  <c r="Q1691" i="14" s="1"/>
  <c r="R1691" i="14"/>
  <c r="O1692" i="14"/>
  <c r="Q1692" i="14"/>
  <c r="R1692" i="14"/>
  <c r="J1694" i="14"/>
  <c r="J1693" i="14" s="1"/>
  <c r="I1695" i="14"/>
  <c r="R1695" i="14"/>
  <c r="J1697" i="14"/>
  <c r="K1698" i="14"/>
  <c r="Q1698" i="14"/>
  <c r="R1698" i="14"/>
  <c r="I1699" i="14"/>
  <c r="R1699" i="14"/>
  <c r="I1700" i="14"/>
  <c r="K1700" i="14" s="1"/>
  <c r="R1700" i="14"/>
  <c r="J1701" i="14"/>
  <c r="R1701" i="14" s="1"/>
  <c r="I1702" i="14"/>
  <c r="Q1702" i="14" s="1"/>
  <c r="R1702" i="14"/>
  <c r="M1704" i="14"/>
  <c r="Q1704" i="14" s="1"/>
  <c r="N1704" i="14"/>
  <c r="R1704" i="14" s="1"/>
  <c r="O1705" i="14"/>
  <c r="Q1705" i="14"/>
  <c r="R1705" i="14"/>
  <c r="N1706" i="14"/>
  <c r="R1706" i="14" s="1"/>
  <c r="M1707" i="14"/>
  <c r="R1707" i="14"/>
  <c r="O1708" i="14"/>
  <c r="Q1708" i="14"/>
  <c r="R1708" i="14"/>
  <c r="M1709" i="14"/>
  <c r="N1709" i="14"/>
  <c r="O1709" i="14"/>
  <c r="Q1709" i="14"/>
  <c r="R1709" i="14"/>
  <c r="S1709" i="14" s="1"/>
  <c r="O1710" i="14"/>
  <c r="Q1710" i="14"/>
  <c r="R1710" i="14"/>
  <c r="I1712" i="14"/>
  <c r="I1711" i="14" s="1"/>
  <c r="Q1711" i="14" s="1"/>
  <c r="J1712" i="14"/>
  <c r="J1711" i="14" s="1"/>
  <c r="K1713" i="14"/>
  <c r="Q1713" i="14"/>
  <c r="R1713" i="14"/>
  <c r="I1715" i="14"/>
  <c r="I1714" i="14" s="1"/>
  <c r="Q1714" i="14" s="1"/>
  <c r="J1715" i="14"/>
  <c r="J1714" i="14" s="1"/>
  <c r="K1716" i="14"/>
  <c r="Q1716" i="14"/>
  <c r="R1716" i="14"/>
  <c r="I1719" i="14"/>
  <c r="I1718" i="14" s="1"/>
  <c r="J1719" i="14"/>
  <c r="R1719" i="14" s="1"/>
  <c r="K1720" i="14"/>
  <c r="Q1720" i="14"/>
  <c r="R1720" i="14"/>
  <c r="K1721" i="14"/>
  <c r="Q1721" i="14"/>
  <c r="R1721" i="14"/>
  <c r="K1722" i="14"/>
  <c r="Q1722" i="14"/>
  <c r="R1722" i="14"/>
  <c r="K1723" i="14"/>
  <c r="Q1723" i="14"/>
  <c r="R1723" i="14"/>
  <c r="I1726" i="14"/>
  <c r="Q1726" i="14" s="1"/>
  <c r="R1726" i="14"/>
  <c r="I1727" i="14"/>
  <c r="Q1727" i="14" s="1"/>
  <c r="R1727" i="14"/>
  <c r="S1727" i="14" s="1"/>
  <c r="J1728" i="14"/>
  <c r="K1729" i="14"/>
  <c r="Q1729" i="14"/>
  <c r="R1729" i="14"/>
  <c r="K1730" i="14"/>
  <c r="Q1730" i="14"/>
  <c r="R1730" i="14"/>
  <c r="I1731" i="14"/>
  <c r="Q1731" i="14" s="1"/>
  <c r="K1731" i="14"/>
  <c r="R1731" i="14"/>
  <c r="K1732" i="14"/>
  <c r="Q1732" i="14"/>
  <c r="R1732" i="14"/>
  <c r="I1733" i="14"/>
  <c r="K1733" i="14"/>
  <c r="Q1733" i="14"/>
  <c r="R1733" i="14"/>
  <c r="I1734" i="14"/>
  <c r="K1734" i="14" s="1"/>
  <c r="Q1734" i="14"/>
  <c r="R1734" i="14"/>
  <c r="K1735" i="14"/>
  <c r="Q1735" i="14"/>
  <c r="R1735" i="14"/>
  <c r="S1735" i="14" s="1"/>
  <c r="B1562" i="14"/>
  <c r="B1563" i="14" s="1"/>
  <c r="B1564" i="14" s="1"/>
  <c r="B1565" i="14" s="1"/>
  <c r="B1566" i="14" s="1"/>
  <c r="B1567" i="14" s="1"/>
  <c r="B1568" i="14" s="1"/>
  <c r="B1569" i="14" s="1"/>
  <c r="B1570" i="14" s="1"/>
  <c r="B1571" i="14" s="1"/>
  <c r="B1572" i="14" s="1"/>
  <c r="B1573" i="14" s="1"/>
  <c r="B1574" i="14" s="1"/>
  <c r="B1575" i="14" s="1"/>
  <c r="B1576" i="14" s="1"/>
  <c r="B1577" i="14" s="1"/>
  <c r="B1578" i="14" s="1"/>
  <c r="B1579" i="14" s="1"/>
  <c r="B1580" i="14" s="1"/>
  <c r="B1581" i="14" s="1"/>
  <c r="B1582" i="14" s="1"/>
  <c r="B1583" i="14" s="1"/>
  <c r="B1584" i="14" s="1"/>
  <c r="B1585" i="14" s="1"/>
  <c r="B1586" i="14" s="1"/>
  <c r="B1587" i="14" s="1"/>
  <c r="B1588" i="14" s="1"/>
  <c r="B1589" i="14" s="1"/>
  <c r="B1590" i="14" s="1"/>
  <c r="B1591" i="14" s="1"/>
  <c r="B1592" i="14" s="1"/>
  <c r="B1593" i="14" s="1"/>
  <c r="B1594" i="14" s="1"/>
  <c r="B1595" i="14" s="1"/>
  <c r="B1596" i="14" s="1"/>
  <c r="B1597" i="14" s="1"/>
  <c r="B1598" i="14" s="1"/>
  <c r="B1599" i="14" s="1"/>
  <c r="B1600" i="14" s="1"/>
  <c r="B1601" i="14" s="1"/>
  <c r="B1602" i="14" s="1"/>
  <c r="B1603" i="14" s="1"/>
  <c r="B1604" i="14" s="1"/>
  <c r="B1605" i="14" s="1"/>
  <c r="B1606" i="14" s="1"/>
  <c r="B1607" i="14" s="1"/>
  <c r="B1608" i="14" s="1"/>
  <c r="B1609" i="14" s="1"/>
  <c r="B1610" i="14" s="1"/>
  <c r="B1611" i="14" s="1"/>
  <c r="B1612" i="14" s="1"/>
  <c r="B1613" i="14" s="1"/>
  <c r="B1614" i="14" s="1"/>
  <c r="B1615" i="14" s="1"/>
  <c r="B1616" i="14" s="1"/>
  <c r="B1617" i="14" s="1"/>
  <c r="B1618" i="14" s="1"/>
  <c r="B1619" i="14" s="1"/>
  <c r="B1620" i="14" s="1"/>
  <c r="B1621" i="14" s="1"/>
  <c r="B1622" i="14" s="1"/>
  <c r="B1623" i="14" s="1"/>
  <c r="B1624" i="14" s="1"/>
  <c r="B1625" i="14" s="1"/>
  <c r="B1626" i="14" s="1"/>
  <c r="J1563" i="14"/>
  <c r="R1563" i="14" s="1"/>
  <c r="I1564" i="14"/>
  <c r="K1564" i="14" s="1"/>
  <c r="R1564" i="14"/>
  <c r="K1565" i="14"/>
  <c r="Q1565" i="14"/>
  <c r="R1565" i="14"/>
  <c r="K1566" i="14"/>
  <c r="Q1566" i="14"/>
  <c r="R1566" i="14"/>
  <c r="K1567" i="14"/>
  <c r="Q1567" i="14"/>
  <c r="R1567" i="14"/>
  <c r="K1568" i="14"/>
  <c r="Q1568" i="14"/>
  <c r="R1568" i="14"/>
  <c r="K1569" i="14"/>
  <c r="Q1569" i="14"/>
  <c r="R1569" i="14"/>
  <c r="S1569" i="14" s="1"/>
  <c r="I1570" i="14"/>
  <c r="K1570" i="14" s="1"/>
  <c r="R1570" i="14"/>
  <c r="K1571" i="14"/>
  <c r="Q1571" i="14"/>
  <c r="R1571" i="14"/>
  <c r="S1571" i="14" s="1"/>
  <c r="K1572" i="14"/>
  <c r="Q1572" i="14"/>
  <c r="R1572" i="14"/>
  <c r="I1573" i="14"/>
  <c r="R1573" i="14"/>
  <c r="K1574" i="14"/>
  <c r="Q1574" i="14"/>
  <c r="R1574" i="14"/>
  <c r="K1575" i="14"/>
  <c r="Q1575" i="14"/>
  <c r="R1575" i="14"/>
  <c r="S1575" i="14" s="1"/>
  <c r="K1576" i="14"/>
  <c r="Q1576" i="14"/>
  <c r="R1576" i="14"/>
  <c r="K1577" i="14"/>
  <c r="Q1577" i="14"/>
  <c r="R1577" i="14"/>
  <c r="I1578" i="14"/>
  <c r="Q1578" i="14" s="1"/>
  <c r="R1578" i="14"/>
  <c r="I1579" i="14"/>
  <c r="R1579" i="14"/>
  <c r="J1581" i="14"/>
  <c r="K1582" i="14"/>
  <c r="Q1582" i="14"/>
  <c r="R1582" i="14"/>
  <c r="S1582" i="14" s="1"/>
  <c r="K1583" i="14"/>
  <c r="Q1583" i="14"/>
  <c r="R1583" i="14"/>
  <c r="S1583" i="14" s="1"/>
  <c r="I1584" i="14"/>
  <c r="K1584" i="14" s="1"/>
  <c r="R1584" i="14"/>
  <c r="K1586" i="14"/>
  <c r="Q1586" i="14"/>
  <c r="R1586" i="14"/>
  <c r="K1587" i="14"/>
  <c r="Q1587" i="14"/>
  <c r="R1587" i="14"/>
  <c r="J1588" i="14"/>
  <c r="J1585" i="14" s="1"/>
  <c r="R1588" i="14"/>
  <c r="I1589" i="14"/>
  <c r="R1589" i="14"/>
  <c r="K1590" i="14"/>
  <c r="Q1590" i="14"/>
  <c r="R1590" i="14"/>
  <c r="K1591" i="14"/>
  <c r="Q1591" i="14"/>
  <c r="R1591" i="14"/>
  <c r="I1592" i="14"/>
  <c r="Q1592" i="14" s="1"/>
  <c r="R1592" i="14"/>
  <c r="S1592" i="14"/>
  <c r="M1594" i="14"/>
  <c r="Q1594" i="14" s="1"/>
  <c r="N1594" i="14"/>
  <c r="O1595" i="14"/>
  <c r="Q1595" i="14"/>
  <c r="R1595" i="14"/>
  <c r="O1596" i="14"/>
  <c r="Q1596" i="14"/>
  <c r="R1596" i="14"/>
  <c r="O1597" i="14"/>
  <c r="Q1597" i="14"/>
  <c r="R1597" i="14"/>
  <c r="N1598" i="14"/>
  <c r="R1598" i="14" s="1"/>
  <c r="O1599" i="14"/>
  <c r="Q1599" i="14"/>
  <c r="R1599" i="14"/>
  <c r="O1600" i="14"/>
  <c r="Q1600" i="14"/>
  <c r="R1600" i="14"/>
  <c r="M1601" i="14"/>
  <c r="M1598" i="14" s="1"/>
  <c r="Q1598" i="14" s="1"/>
  <c r="O1601" i="14"/>
  <c r="Q1601" i="14"/>
  <c r="R1601" i="14"/>
  <c r="K1603" i="14"/>
  <c r="Q1603" i="14"/>
  <c r="R1603" i="14"/>
  <c r="I1604" i="14"/>
  <c r="K1604" i="14" s="1"/>
  <c r="R1604" i="14"/>
  <c r="J1605" i="14"/>
  <c r="J1602" i="14" s="1"/>
  <c r="K1606" i="14"/>
  <c r="Q1606" i="14"/>
  <c r="R1606" i="14"/>
  <c r="I1607" i="14"/>
  <c r="Q1607" i="14" s="1"/>
  <c r="R1607" i="14"/>
  <c r="I1608" i="14"/>
  <c r="R1608" i="14"/>
  <c r="K1609" i="14"/>
  <c r="Q1609" i="14"/>
  <c r="R1609" i="14"/>
  <c r="I1610" i="14"/>
  <c r="R1610" i="14"/>
  <c r="K1611" i="14"/>
  <c r="Q1611" i="14"/>
  <c r="R1611" i="14"/>
  <c r="M1613" i="14"/>
  <c r="Q1613" i="14" s="1"/>
  <c r="N1613" i="14"/>
  <c r="R1613" i="14" s="1"/>
  <c r="O1614" i="14"/>
  <c r="Q1614" i="14"/>
  <c r="R1614" i="14"/>
  <c r="N1615" i="14"/>
  <c r="R1615" i="14" s="1"/>
  <c r="M1616" i="14"/>
  <c r="O1616" i="14"/>
  <c r="R1616" i="14"/>
  <c r="J1618" i="14"/>
  <c r="R1618" i="14" s="1"/>
  <c r="I1619" i="14"/>
  <c r="I1618" i="14" s="1"/>
  <c r="Q1618" i="14" s="1"/>
  <c r="R1619" i="14"/>
  <c r="J1620" i="14"/>
  <c r="R1620" i="14" s="1"/>
  <c r="K1621" i="14"/>
  <c r="Q1621" i="14"/>
  <c r="R1621" i="14"/>
  <c r="I1622" i="14"/>
  <c r="Q1622" i="14" s="1"/>
  <c r="K1622" i="14"/>
  <c r="R1622" i="14"/>
  <c r="K1623" i="14"/>
  <c r="Q1623" i="14"/>
  <c r="R1623" i="14"/>
  <c r="I1624" i="14"/>
  <c r="Q1624" i="14" s="1"/>
  <c r="R1624" i="14"/>
  <c r="M1625" i="14"/>
  <c r="M1617" i="14" s="1"/>
  <c r="N1625" i="14"/>
  <c r="O1626" i="14"/>
  <c r="Q1626" i="14"/>
  <c r="R1626" i="14"/>
  <c r="S1626" i="14" s="1"/>
  <c r="B1406" i="14"/>
  <c r="B1407" i="14" s="1"/>
  <c r="B1408" i="14" s="1"/>
  <c r="B1409" i="14" s="1"/>
  <c r="B1410" i="14" s="1"/>
  <c r="B1411" i="14" s="1"/>
  <c r="B1412" i="14" s="1"/>
  <c r="B1413" i="14" s="1"/>
  <c r="B1414" i="14" s="1"/>
  <c r="B1415" i="14" s="1"/>
  <c r="B1416" i="14" s="1"/>
  <c r="B1417" i="14" s="1"/>
  <c r="B1418" i="14" s="1"/>
  <c r="B1419" i="14" s="1"/>
  <c r="B1420" i="14" s="1"/>
  <c r="B1421" i="14" s="1"/>
  <c r="B1422" i="14" s="1"/>
  <c r="B1423" i="14" s="1"/>
  <c r="B1424" i="14" s="1"/>
  <c r="B1425" i="14" s="1"/>
  <c r="B1426" i="14" s="1"/>
  <c r="B1427" i="14" s="1"/>
  <c r="B1428" i="14" s="1"/>
  <c r="B1429" i="14" s="1"/>
  <c r="B1430" i="14" s="1"/>
  <c r="B1431" i="14" s="1"/>
  <c r="B1432" i="14" s="1"/>
  <c r="B1433" i="14" s="1"/>
  <c r="B1434" i="14" s="1"/>
  <c r="B1435" i="14" s="1"/>
  <c r="B1436" i="14" s="1"/>
  <c r="B1437" i="14" s="1"/>
  <c r="B1438" i="14" s="1"/>
  <c r="B1439" i="14" s="1"/>
  <c r="B1440" i="14" s="1"/>
  <c r="B1441" i="14" s="1"/>
  <c r="B1442" i="14" s="1"/>
  <c r="B1443" i="14" s="1"/>
  <c r="B1444" i="14" s="1"/>
  <c r="B1445" i="14" s="1"/>
  <c r="B1446" i="14" s="1"/>
  <c r="B1447" i="14" s="1"/>
  <c r="B1448" i="14" s="1"/>
  <c r="B1449" i="14" s="1"/>
  <c r="B1450" i="14" s="1"/>
  <c r="B1451" i="14" s="1"/>
  <c r="B1452" i="14" s="1"/>
  <c r="B1453" i="14" s="1"/>
  <c r="B1454" i="14" s="1"/>
  <c r="B1455" i="14" s="1"/>
  <c r="B1456" i="14" s="1"/>
  <c r="B1457" i="14" s="1"/>
  <c r="B1458" i="14" s="1"/>
  <c r="B1459" i="14" s="1"/>
  <c r="B1460" i="14" s="1"/>
  <c r="B1461" i="14" s="1"/>
  <c r="B1462" i="14" s="1"/>
  <c r="B1463" i="14" s="1"/>
  <c r="B1464" i="14" s="1"/>
  <c r="B1465" i="14" s="1"/>
  <c r="B1466" i="14" s="1"/>
  <c r="B1467" i="14" s="1"/>
  <c r="B1468" i="14" s="1"/>
  <c r="B1469" i="14" s="1"/>
  <c r="B1470" i="14" s="1"/>
  <c r="B1471" i="14" s="1"/>
  <c r="B1472" i="14" s="1"/>
  <c r="B1473" i="14" s="1"/>
  <c r="B1474" i="14" s="1"/>
  <c r="B1475" i="14" s="1"/>
  <c r="B1476" i="14" s="1"/>
  <c r="B1477" i="14" s="1"/>
  <c r="B1478" i="14" s="1"/>
  <c r="B1479" i="14" s="1"/>
  <c r="B1480" i="14" s="1"/>
  <c r="B1481" i="14" s="1"/>
  <c r="B1482" i="14" s="1"/>
  <c r="B1483" i="14" s="1"/>
  <c r="B1484" i="14" s="1"/>
  <c r="B1485" i="14" s="1"/>
  <c r="B1486" i="14" s="1"/>
  <c r="B1487" i="14" s="1"/>
  <c r="B1488" i="14" s="1"/>
  <c r="B1489" i="14" s="1"/>
  <c r="B1490" i="14" s="1"/>
  <c r="B1491" i="14" s="1"/>
  <c r="B1492" i="14" s="1"/>
  <c r="B1493" i="14" s="1"/>
  <c r="B1494" i="14" s="1"/>
  <c r="B1495" i="14" s="1"/>
  <c r="B1496" i="14" s="1"/>
  <c r="B1497" i="14" s="1"/>
  <c r="B1498" i="14" s="1"/>
  <c r="B1499" i="14" s="1"/>
  <c r="B1500" i="14" s="1"/>
  <c r="B1501" i="14" s="1"/>
  <c r="B1502" i="14" s="1"/>
  <c r="B1503" i="14" s="1"/>
  <c r="B1504" i="14" s="1"/>
  <c r="B1505" i="14" s="1"/>
  <c r="B1506" i="14" s="1"/>
  <c r="B1507" i="14" s="1"/>
  <c r="B1508" i="14" s="1"/>
  <c r="B1509" i="14" s="1"/>
  <c r="B1510" i="14" s="1"/>
  <c r="B1511" i="14" s="1"/>
  <c r="B1512" i="14" s="1"/>
  <c r="B1513" i="14" s="1"/>
  <c r="B1514" i="14" s="1"/>
  <c r="B1515" i="14" s="1"/>
  <c r="B1516" i="14" s="1"/>
  <c r="B1517" i="14" s="1"/>
  <c r="B1518" i="14" s="1"/>
  <c r="B1519" i="14" s="1"/>
  <c r="B1520" i="14" s="1"/>
  <c r="B1521" i="14" s="1"/>
  <c r="B1522" i="14" s="1"/>
  <c r="B1523" i="14" s="1"/>
  <c r="B1524" i="14" s="1"/>
  <c r="B1525" i="14" s="1"/>
  <c r="B1526" i="14" s="1"/>
  <c r="B1527" i="14" s="1"/>
  <c r="B1528" i="14" s="1"/>
  <c r="B1529" i="14" s="1"/>
  <c r="B1530" i="14" s="1"/>
  <c r="B1531" i="14" s="1"/>
  <c r="B1532" i="14" s="1"/>
  <c r="B1533" i="14" s="1"/>
  <c r="B1534" i="14" s="1"/>
  <c r="B1535" i="14" s="1"/>
  <c r="B1536" i="14" s="1"/>
  <c r="B1537" i="14" s="1"/>
  <c r="B1538" i="14" s="1"/>
  <c r="B1539" i="14" s="1"/>
  <c r="B1540" i="14" s="1"/>
  <c r="B1541" i="14" s="1"/>
  <c r="B1542" i="14" s="1"/>
  <c r="B1543" i="14" s="1"/>
  <c r="B1544" i="14" s="1"/>
  <c r="I1407" i="14"/>
  <c r="Q1407" i="14" s="1"/>
  <c r="J1407" i="14"/>
  <c r="R1407" i="14" s="1"/>
  <c r="K1408" i="14"/>
  <c r="Q1408" i="14"/>
  <c r="R1408" i="14"/>
  <c r="J1410" i="14"/>
  <c r="J1409" i="14" s="1"/>
  <c r="I1411" i="14"/>
  <c r="K1411" i="14"/>
  <c r="Q1411" i="14"/>
  <c r="R1411" i="14"/>
  <c r="K1412" i="14"/>
  <c r="Q1412" i="14"/>
  <c r="R1412" i="14"/>
  <c r="K1413" i="14"/>
  <c r="Q1413" i="14"/>
  <c r="R1413" i="14"/>
  <c r="K1414" i="14"/>
  <c r="Q1414" i="14"/>
  <c r="R1414" i="14"/>
  <c r="S1414" i="14" s="1"/>
  <c r="K1415" i="14"/>
  <c r="Q1415" i="14"/>
  <c r="R1415" i="14"/>
  <c r="K1416" i="14"/>
  <c r="Q1416" i="14"/>
  <c r="R1416" i="14"/>
  <c r="K1417" i="14"/>
  <c r="Q1417" i="14"/>
  <c r="R1417" i="14"/>
  <c r="K1418" i="14"/>
  <c r="Q1418" i="14"/>
  <c r="R1418" i="14"/>
  <c r="I1419" i="14"/>
  <c r="K1419" i="14" s="1"/>
  <c r="R1419" i="14"/>
  <c r="K1420" i="14"/>
  <c r="Q1420" i="14"/>
  <c r="R1420" i="14"/>
  <c r="K1421" i="14"/>
  <c r="Q1421" i="14"/>
  <c r="R1421" i="14"/>
  <c r="K1422" i="14"/>
  <c r="Q1422" i="14"/>
  <c r="R1422" i="14"/>
  <c r="K1423" i="14"/>
  <c r="Q1423" i="14"/>
  <c r="R1423" i="14"/>
  <c r="M1424" i="14"/>
  <c r="N1424" i="14"/>
  <c r="O1425" i="14"/>
  <c r="Q1425" i="14"/>
  <c r="R1425" i="14"/>
  <c r="I1428" i="14"/>
  <c r="Q1428" i="14" s="1"/>
  <c r="J1428" i="14"/>
  <c r="J1427" i="14" s="1"/>
  <c r="K1429" i="14"/>
  <c r="Q1429" i="14"/>
  <c r="R1429" i="14"/>
  <c r="K1430" i="14"/>
  <c r="Q1430" i="14"/>
  <c r="R1430" i="14"/>
  <c r="S1430" i="14" s="1"/>
  <c r="N1432" i="14"/>
  <c r="N1431" i="14" s="1"/>
  <c r="O1433" i="14"/>
  <c r="Q1433" i="14"/>
  <c r="R1433" i="14"/>
  <c r="O1434" i="14"/>
  <c r="Q1434" i="14"/>
  <c r="R1434" i="14"/>
  <c r="M1435" i="14"/>
  <c r="M1432" i="14" s="1"/>
  <c r="M1431" i="14" s="1"/>
  <c r="O1435" i="14"/>
  <c r="Q1435" i="14"/>
  <c r="R1435" i="14"/>
  <c r="I1437" i="14"/>
  <c r="J1437" i="14"/>
  <c r="K1438" i="14"/>
  <c r="Q1438" i="14"/>
  <c r="R1438" i="14"/>
  <c r="K1439" i="14"/>
  <c r="Q1439" i="14"/>
  <c r="R1439" i="14"/>
  <c r="K1440" i="14"/>
  <c r="Q1440" i="14"/>
  <c r="R1440" i="14"/>
  <c r="N1442" i="14"/>
  <c r="N1441" i="14" s="1"/>
  <c r="M1443" i="14"/>
  <c r="M1442" i="14" s="1"/>
  <c r="M1441" i="14" s="1"/>
  <c r="R1443" i="14"/>
  <c r="O1444" i="14"/>
  <c r="Q1444" i="14"/>
  <c r="R1444" i="14"/>
  <c r="S1444" i="14" s="1"/>
  <c r="O1445" i="14"/>
  <c r="Q1445" i="14"/>
  <c r="R1445" i="14"/>
  <c r="I1447" i="14"/>
  <c r="Q1447" i="14" s="1"/>
  <c r="J1447" i="14"/>
  <c r="R1447" i="14" s="1"/>
  <c r="S1447" i="14" s="1"/>
  <c r="K1448" i="14"/>
  <c r="Q1448" i="14"/>
  <c r="R1448" i="14"/>
  <c r="M1450" i="14"/>
  <c r="Q1450" i="14" s="1"/>
  <c r="N1450" i="14"/>
  <c r="O1451" i="14"/>
  <c r="Q1451" i="14"/>
  <c r="R1451" i="14"/>
  <c r="N1452" i="14"/>
  <c r="M1453" i="14"/>
  <c r="M1452" i="14" s="1"/>
  <c r="R1453" i="14"/>
  <c r="O1454" i="14"/>
  <c r="Q1454" i="14"/>
  <c r="R1454" i="14"/>
  <c r="O1455" i="14"/>
  <c r="Q1455" i="14"/>
  <c r="R1455" i="14"/>
  <c r="N1457" i="14"/>
  <c r="M1458" i="14"/>
  <c r="M1457" i="14" s="1"/>
  <c r="Q1457" i="14" s="1"/>
  <c r="O1458" i="14"/>
  <c r="R1458" i="14"/>
  <c r="N1459" i="14"/>
  <c r="M1460" i="14"/>
  <c r="M1459" i="14" s="1"/>
  <c r="Q1459" i="14" s="1"/>
  <c r="R1460" i="14"/>
  <c r="I1462" i="14"/>
  <c r="K1462" i="14" s="1"/>
  <c r="R1462" i="14"/>
  <c r="I1463" i="14"/>
  <c r="R1463" i="14"/>
  <c r="J1464" i="14"/>
  <c r="J1461" i="14" s="1"/>
  <c r="K1465" i="14"/>
  <c r="Q1465" i="14"/>
  <c r="R1465" i="14"/>
  <c r="I1466" i="14"/>
  <c r="K1466" i="14" s="1"/>
  <c r="R1466" i="14"/>
  <c r="I1467" i="14"/>
  <c r="K1467" i="14" s="1"/>
  <c r="R1467" i="14"/>
  <c r="K1468" i="14"/>
  <c r="Q1468" i="14"/>
  <c r="R1468" i="14"/>
  <c r="I1469" i="14"/>
  <c r="R1469" i="14"/>
  <c r="I1470" i="14"/>
  <c r="R1470" i="14"/>
  <c r="M1472" i="14"/>
  <c r="Q1472" i="14" s="1"/>
  <c r="N1472" i="14"/>
  <c r="R1472" i="14" s="1"/>
  <c r="O1473" i="14"/>
  <c r="Q1473" i="14"/>
  <c r="R1473" i="14"/>
  <c r="O1474" i="14"/>
  <c r="Q1474" i="14"/>
  <c r="R1474" i="14"/>
  <c r="M1475" i="14"/>
  <c r="Q1475" i="14" s="1"/>
  <c r="N1475" i="14"/>
  <c r="O1476" i="14"/>
  <c r="Q1476" i="14"/>
  <c r="R1476" i="14"/>
  <c r="M1477" i="14"/>
  <c r="Q1477" i="14" s="1"/>
  <c r="N1477" i="14"/>
  <c r="O1478" i="14"/>
  <c r="Q1478" i="14"/>
  <c r="R1478" i="14"/>
  <c r="I1480" i="14"/>
  <c r="I1479" i="14" s="1"/>
  <c r="Q1479" i="14" s="1"/>
  <c r="J1480" i="14"/>
  <c r="J1479" i="14" s="1"/>
  <c r="K1481" i="14"/>
  <c r="Q1481" i="14"/>
  <c r="R1481" i="14"/>
  <c r="N1484" i="14"/>
  <c r="M1485" i="14"/>
  <c r="O1485" i="14" s="1"/>
  <c r="R1485" i="14"/>
  <c r="I1487" i="14"/>
  <c r="Q1487" i="14" s="1"/>
  <c r="J1487" i="14"/>
  <c r="R1487" i="14" s="1"/>
  <c r="S1487" i="14" s="1"/>
  <c r="I1488" i="14"/>
  <c r="Q1488" i="14" s="1"/>
  <c r="J1488" i="14"/>
  <c r="R1488" i="14" s="1"/>
  <c r="I1490" i="14"/>
  <c r="J1490" i="14"/>
  <c r="J1491" i="14"/>
  <c r="Q1491" i="14"/>
  <c r="I1492" i="14"/>
  <c r="Q1492" i="14" s="1"/>
  <c r="J1492" i="14"/>
  <c r="R1492" i="14" s="1"/>
  <c r="I1493" i="14"/>
  <c r="J1493" i="14"/>
  <c r="R1493" i="14" s="1"/>
  <c r="I1494" i="14"/>
  <c r="Q1494" i="14" s="1"/>
  <c r="R1494" i="14"/>
  <c r="Q1495" i="14"/>
  <c r="R1495" i="14"/>
  <c r="M1498" i="14"/>
  <c r="N1498" i="14"/>
  <c r="R1498" i="14" s="1"/>
  <c r="O1499" i="14"/>
  <c r="Q1499" i="14"/>
  <c r="R1499" i="14"/>
  <c r="N1500" i="14"/>
  <c r="O1501" i="14"/>
  <c r="Q1501" i="14"/>
  <c r="R1501" i="14"/>
  <c r="O1502" i="14"/>
  <c r="Q1502" i="14"/>
  <c r="R1502" i="14"/>
  <c r="M1503" i="14"/>
  <c r="R1503" i="14"/>
  <c r="O1504" i="14"/>
  <c r="Q1504" i="14"/>
  <c r="R1504" i="14"/>
  <c r="O1505" i="14"/>
  <c r="Q1505" i="14"/>
  <c r="R1505" i="14"/>
  <c r="O1506" i="14"/>
  <c r="Q1506" i="14"/>
  <c r="R1506" i="14"/>
  <c r="O1507" i="14"/>
  <c r="Q1507" i="14"/>
  <c r="R1507" i="14"/>
  <c r="O1508" i="14"/>
  <c r="Q1508" i="14"/>
  <c r="R1508" i="14"/>
  <c r="O1509" i="14"/>
  <c r="Q1509" i="14"/>
  <c r="R1509" i="14"/>
  <c r="O1510" i="14"/>
  <c r="Q1510" i="14"/>
  <c r="R1510" i="14"/>
  <c r="O1511" i="14"/>
  <c r="Q1511" i="14"/>
  <c r="R1511" i="14"/>
  <c r="N1512" i="14"/>
  <c r="O1513" i="14"/>
  <c r="Q1513" i="14"/>
  <c r="R1513" i="14"/>
  <c r="O1514" i="14"/>
  <c r="Q1514" i="14"/>
  <c r="R1514" i="14"/>
  <c r="O1515" i="14"/>
  <c r="Q1515" i="14"/>
  <c r="R1515" i="14"/>
  <c r="O1516" i="14"/>
  <c r="Q1516" i="14"/>
  <c r="R1516" i="14"/>
  <c r="M1517" i="14"/>
  <c r="O1517" i="14" s="1"/>
  <c r="R1517" i="14"/>
  <c r="M1518" i="14"/>
  <c r="O1518" i="14" s="1"/>
  <c r="R1518" i="14"/>
  <c r="M1519" i="14"/>
  <c r="Q1519" i="14" s="1"/>
  <c r="R1519" i="14"/>
  <c r="M1520" i="14"/>
  <c r="O1520" i="14" s="1"/>
  <c r="R1520" i="14"/>
  <c r="M1521" i="14"/>
  <c r="O1521" i="14" s="1"/>
  <c r="R1521" i="14"/>
  <c r="O1522" i="14"/>
  <c r="Q1522" i="14"/>
  <c r="R1522" i="14"/>
  <c r="M1523" i="14"/>
  <c r="R1523" i="14"/>
  <c r="M1524" i="14"/>
  <c r="Q1524" i="14" s="1"/>
  <c r="O1524" i="14"/>
  <c r="R1524" i="14"/>
  <c r="M1525" i="14"/>
  <c r="R1525" i="14"/>
  <c r="O1526" i="14"/>
  <c r="Q1526" i="14"/>
  <c r="R1526" i="14"/>
  <c r="M1527" i="14"/>
  <c r="O1527" i="14" s="1"/>
  <c r="Q1527" i="14"/>
  <c r="R1527" i="14"/>
  <c r="O1528" i="14"/>
  <c r="Q1528" i="14"/>
  <c r="R1528" i="14"/>
  <c r="O1529" i="14"/>
  <c r="Q1529" i="14"/>
  <c r="R1529" i="14"/>
  <c r="M1530" i="14"/>
  <c r="O1530" i="14" s="1"/>
  <c r="R1530" i="14"/>
  <c r="I1532" i="14"/>
  <c r="R1532" i="14"/>
  <c r="I1533" i="14"/>
  <c r="Q1533" i="14" s="1"/>
  <c r="K1533" i="14"/>
  <c r="R1533" i="14"/>
  <c r="J1534" i="14"/>
  <c r="R1534" i="14" s="1"/>
  <c r="I1535" i="14"/>
  <c r="K1535" i="14" s="1"/>
  <c r="R1535" i="14"/>
  <c r="I1536" i="14"/>
  <c r="R1536" i="14"/>
  <c r="K1537" i="14"/>
  <c r="Q1537" i="14"/>
  <c r="R1537" i="14"/>
  <c r="I1538" i="14"/>
  <c r="K1538" i="14" s="1"/>
  <c r="R1538" i="14"/>
  <c r="K1539" i="14"/>
  <c r="Q1539" i="14"/>
  <c r="R1539" i="14"/>
  <c r="K1540" i="14"/>
  <c r="Q1540" i="14"/>
  <c r="R1540" i="14"/>
  <c r="I1541" i="14"/>
  <c r="Q1541" i="14" s="1"/>
  <c r="K1541" i="14"/>
  <c r="R1541" i="14"/>
  <c r="M1543" i="14"/>
  <c r="M1542" i="14" s="1"/>
  <c r="N1543" i="14"/>
  <c r="N1542" i="14" s="1"/>
  <c r="O1544" i="14"/>
  <c r="Q1544" i="14"/>
  <c r="R1544" i="14"/>
  <c r="B504" i="14"/>
  <c r="B505" i="14" s="1"/>
  <c r="B506" i="14" s="1"/>
  <c r="I506" i="14"/>
  <c r="K506" i="14" s="1"/>
  <c r="R506" i="14"/>
  <c r="B507" i="14"/>
  <c r="B508" i="14" s="1"/>
  <c r="B509" i="14" s="1"/>
  <c r="B510" i="14" s="1"/>
  <c r="B511" i="14" s="1"/>
  <c r="B512" i="14" s="1"/>
  <c r="B513" i="14" s="1"/>
  <c r="B514" i="14" s="1"/>
  <c r="B515" i="14" s="1"/>
  <c r="B516" i="14" s="1"/>
  <c r="B517" i="14" s="1"/>
  <c r="B518" i="14" s="1"/>
  <c r="B519" i="14" s="1"/>
  <c r="B520" i="14" s="1"/>
  <c r="B521" i="14" s="1"/>
  <c r="B522" i="14" s="1"/>
  <c r="B523" i="14" s="1"/>
  <c r="B524" i="14" s="1"/>
  <c r="B525" i="14" s="1"/>
  <c r="B526" i="14" s="1"/>
  <c r="B527" i="14" s="1"/>
  <c r="B528" i="14" s="1"/>
  <c r="B529" i="14" s="1"/>
  <c r="B530" i="14" s="1"/>
  <c r="B531" i="14" s="1"/>
  <c r="B532" i="14" s="1"/>
  <c r="B533" i="14" s="1"/>
  <c r="B534" i="14" s="1"/>
  <c r="B535" i="14" s="1"/>
  <c r="B536" i="14" s="1"/>
  <c r="B537" i="14" s="1"/>
  <c r="B538" i="14" s="1"/>
  <c r="B539" i="14" s="1"/>
  <c r="B540" i="14" s="1"/>
  <c r="B541" i="14" s="1"/>
  <c r="B542" i="14" s="1"/>
  <c r="B543" i="14" s="1"/>
  <c r="B544" i="14" s="1"/>
  <c r="B545" i="14" s="1"/>
  <c r="B546" i="14" s="1"/>
  <c r="B547" i="14" s="1"/>
  <c r="B548" i="14" s="1"/>
  <c r="B549" i="14" s="1"/>
  <c r="B550" i="14" s="1"/>
  <c r="B551" i="14" s="1"/>
  <c r="B552" i="14" s="1"/>
  <c r="B553" i="14" s="1"/>
  <c r="B554" i="14" s="1"/>
  <c r="B555" i="14" s="1"/>
  <c r="B556" i="14" s="1"/>
  <c r="B557" i="14" s="1"/>
  <c r="B558" i="14" s="1"/>
  <c r="B559" i="14" s="1"/>
  <c r="B560" i="14" s="1"/>
  <c r="B561" i="14" s="1"/>
  <c r="B562" i="14" s="1"/>
  <c r="B563" i="14" s="1"/>
  <c r="B564" i="14" s="1"/>
  <c r="B565" i="14" s="1"/>
  <c r="B566" i="14" s="1"/>
  <c r="B567" i="14" s="1"/>
  <c r="B568" i="14" s="1"/>
  <c r="B569" i="14" s="1"/>
  <c r="B570" i="14" s="1"/>
  <c r="B571" i="14" s="1"/>
  <c r="B572" i="14" s="1"/>
  <c r="B573" i="14" s="1"/>
  <c r="B574" i="14" s="1"/>
  <c r="B575" i="14" s="1"/>
  <c r="B576" i="14" s="1"/>
  <c r="B577" i="14" s="1"/>
  <c r="B578" i="14" s="1"/>
  <c r="B579" i="14" s="1"/>
  <c r="B580" i="14" s="1"/>
  <c r="B581" i="14" s="1"/>
  <c r="B582" i="14" s="1"/>
  <c r="B583" i="14" s="1"/>
  <c r="B584" i="14" s="1"/>
  <c r="B585" i="14" s="1"/>
  <c r="B586" i="14" s="1"/>
  <c r="B587" i="14" s="1"/>
  <c r="B588" i="14" s="1"/>
  <c r="B589" i="14" s="1"/>
  <c r="B590" i="14" s="1"/>
  <c r="B591" i="14" s="1"/>
  <c r="B592" i="14" s="1"/>
  <c r="B593" i="14" s="1"/>
  <c r="B594" i="14" s="1"/>
  <c r="B595" i="14" s="1"/>
  <c r="B596" i="14" s="1"/>
  <c r="B597" i="14" s="1"/>
  <c r="B598" i="14" s="1"/>
  <c r="B599" i="14" s="1"/>
  <c r="B600" i="14" s="1"/>
  <c r="B601" i="14" s="1"/>
  <c r="B602" i="14" s="1"/>
  <c r="B603" i="14" s="1"/>
  <c r="B604" i="14" s="1"/>
  <c r="B605" i="14" s="1"/>
  <c r="B606" i="14" s="1"/>
  <c r="B607" i="14" s="1"/>
  <c r="B608" i="14" s="1"/>
  <c r="B609" i="14" s="1"/>
  <c r="B610" i="14" s="1"/>
  <c r="B611" i="14" s="1"/>
  <c r="B612" i="14" s="1"/>
  <c r="B613" i="14" s="1"/>
  <c r="B614" i="14" s="1"/>
  <c r="B615" i="14" s="1"/>
  <c r="B616" i="14" s="1"/>
  <c r="B617" i="14" s="1"/>
  <c r="B618" i="14" s="1"/>
  <c r="B619" i="14" s="1"/>
  <c r="B620" i="14" s="1"/>
  <c r="B621" i="14" s="1"/>
  <c r="B622" i="14" s="1"/>
  <c r="B623" i="14" s="1"/>
  <c r="B624" i="14" s="1"/>
  <c r="B625" i="14" s="1"/>
  <c r="B626" i="14" s="1"/>
  <c r="B627" i="14" s="1"/>
  <c r="B628" i="14" s="1"/>
  <c r="B629" i="14" s="1"/>
  <c r="B630" i="14" s="1"/>
  <c r="B631" i="14" s="1"/>
  <c r="B632" i="14" s="1"/>
  <c r="B633" i="14" s="1"/>
  <c r="B634" i="14" s="1"/>
  <c r="B635" i="14" s="1"/>
  <c r="B636" i="14" s="1"/>
  <c r="B637" i="14" s="1"/>
  <c r="B638" i="14" s="1"/>
  <c r="B639" i="14" s="1"/>
  <c r="B640" i="14" s="1"/>
  <c r="B641" i="14" s="1"/>
  <c r="B642" i="14" s="1"/>
  <c r="B643" i="14" s="1"/>
  <c r="B644" i="14" s="1"/>
  <c r="B645" i="14" s="1"/>
  <c r="B646" i="14" s="1"/>
  <c r="B647" i="14" s="1"/>
  <c r="B648" i="14" s="1"/>
  <c r="B649" i="14" s="1"/>
  <c r="B650" i="14" s="1"/>
  <c r="B651" i="14" s="1"/>
  <c r="B652" i="14" s="1"/>
  <c r="B653" i="14" s="1"/>
  <c r="B654" i="14" s="1"/>
  <c r="B655" i="14" s="1"/>
  <c r="B656" i="14" s="1"/>
  <c r="B657" i="14" s="1"/>
  <c r="B658" i="14" s="1"/>
  <c r="B659" i="14" s="1"/>
  <c r="B660" i="14" s="1"/>
  <c r="B661" i="14" s="1"/>
  <c r="B662" i="14" s="1"/>
  <c r="B663" i="14" s="1"/>
  <c r="B664" i="14" s="1"/>
  <c r="B665" i="14" s="1"/>
  <c r="B666" i="14" s="1"/>
  <c r="B667" i="14" s="1"/>
  <c r="B668" i="14" s="1"/>
  <c r="B669" i="14" s="1"/>
  <c r="B670" i="14" s="1"/>
  <c r="B671" i="14" s="1"/>
  <c r="B672" i="14" s="1"/>
  <c r="B673" i="14" s="1"/>
  <c r="B674" i="14" s="1"/>
  <c r="B675" i="14" s="1"/>
  <c r="B676" i="14" s="1"/>
  <c r="B677" i="14" s="1"/>
  <c r="B678" i="14" s="1"/>
  <c r="B679" i="14" s="1"/>
  <c r="B680" i="14" s="1"/>
  <c r="B681" i="14" s="1"/>
  <c r="B682" i="14" s="1"/>
  <c r="B683" i="14" s="1"/>
  <c r="B684" i="14" s="1"/>
  <c r="B685" i="14" s="1"/>
  <c r="B686" i="14" s="1"/>
  <c r="B687" i="14" s="1"/>
  <c r="B688" i="14" s="1"/>
  <c r="B689" i="14" s="1"/>
  <c r="B690" i="14" s="1"/>
  <c r="B691" i="14" s="1"/>
  <c r="B692" i="14" s="1"/>
  <c r="B693" i="14" s="1"/>
  <c r="B694" i="14" s="1"/>
  <c r="B695" i="14" s="1"/>
  <c r="B696" i="14" s="1"/>
  <c r="B697" i="14" s="1"/>
  <c r="B698" i="14" s="1"/>
  <c r="B699" i="14" s="1"/>
  <c r="B700" i="14" s="1"/>
  <c r="B701" i="14" s="1"/>
  <c r="B702" i="14" s="1"/>
  <c r="B703" i="14" s="1"/>
  <c r="B704" i="14" s="1"/>
  <c r="B705" i="14" s="1"/>
  <c r="B706" i="14" s="1"/>
  <c r="B707" i="14" s="1"/>
  <c r="B708" i="14" s="1"/>
  <c r="B709" i="14" s="1"/>
  <c r="B710" i="14" s="1"/>
  <c r="B711" i="14" s="1"/>
  <c r="B712" i="14" s="1"/>
  <c r="B713" i="14" s="1"/>
  <c r="B714" i="14" s="1"/>
  <c r="B715" i="14" s="1"/>
  <c r="B716" i="14" s="1"/>
  <c r="B717" i="14" s="1"/>
  <c r="B718" i="14" s="1"/>
  <c r="B719" i="14" s="1"/>
  <c r="B720" i="14" s="1"/>
  <c r="B721" i="14" s="1"/>
  <c r="B722" i="14" s="1"/>
  <c r="B723" i="14" s="1"/>
  <c r="B724" i="14" s="1"/>
  <c r="B725" i="14" s="1"/>
  <c r="B726" i="14" s="1"/>
  <c r="B727" i="14" s="1"/>
  <c r="B728" i="14" s="1"/>
  <c r="B729" i="14" s="1"/>
  <c r="B730" i="14" s="1"/>
  <c r="B731" i="14" s="1"/>
  <c r="B732" i="14" s="1"/>
  <c r="B733" i="14" s="1"/>
  <c r="B734" i="14" s="1"/>
  <c r="B735" i="14" s="1"/>
  <c r="B736" i="14" s="1"/>
  <c r="B737" i="14" s="1"/>
  <c r="B738" i="14" s="1"/>
  <c r="B739" i="14" s="1"/>
  <c r="B740" i="14" s="1"/>
  <c r="B741" i="14" s="1"/>
  <c r="B742" i="14" s="1"/>
  <c r="B743" i="14" s="1"/>
  <c r="B744" i="14" s="1"/>
  <c r="B745" i="14" s="1"/>
  <c r="B746" i="14" s="1"/>
  <c r="B747" i="14" s="1"/>
  <c r="B748" i="14" s="1"/>
  <c r="B749" i="14" s="1"/>
  <c r="B750" i="14" s="1"/>
  <c r="B751" i="14" s="1"/>
  <c r="B752" i="14" s="1"/>
  <c r="B753" i="14" s="1"/>
  <c r="B754" i="14" s="1"/>
  <c r="B755" i="14" s="1"/>
  <c r="B756" i="14" s="1"/>
  <c r="B757" i="14" s="1"/>
  <c r="B758" i="14" s="1"/>
  <c r="B759" i="14" s="1"/>
  <c r="B760" i="14" s="1"/>
  <c r="B761" i="14" s="1"/>
  <c r="B762" i="14" s="1"/>
  <c r="B763" i="14" s="1"/>
  <c r="B764" i="14" s="1"/>
  <c r="B765" i="14" s="1"/>
  <c r="B766" i="14" s="1"/>
  <c r="B767" i="14" s="1"/>
  <c r="B768" i="14" s="1"/>
  <c r="B769" i="14" s="1"/>
  <c r="B770" i="14" s="1"/>
  <c r="B771" i="14" s="1"/>
  <c r="B772" i="14" s="1"/>
  <c r="B773" i="14" s="1"/>
  <c r="B774" i="14" s="1"/>
  <c r="B775" i="14" s="1"/>
  <c r="B776" i="14" s="1"/>
  <c r="B777" i="14" s="1"/>
  <c r="B778" i="14" s="1"/>
  <c r="B779" i="14" s="1"/>
  <c r="B780" i="14" s="1"/>
  <c r="B781" i="14" s="1"/>
  <c r="B782" i="14" s="1"/>
  <c r="B783" i="14" s="1"/>
  <c r="B784" i="14" s="1"/>
  <c r="B785" i="14" s="1"/>
  <c r="B786" i="14" s="1"/>
  <c r="B787" i="14" s="1"/>
  <c r="B788" i="14" s="1"/>
  <c r="B789" i="14" s="1"/>
  <c r="B790" i="14" s="1"/>
  <c r="B791" i="14" s="1"/>
  <c r="B792" i="14" s="1"/>
  <c r="B793" i="14" s="1"/>
  <c r="B794" i="14" s="1"/>
  <c r="B795" i="14" s="1"/>
  <c r="B796" i="14" s="1"/>
  <c r="B797" i="14" s="1"/>
  <c r="B798" i="14" s="1"/>
  <c r="B799" i="14" s="1"/>
  <c r="B800" i="14" s="1"/>
  <c r="B801" i="14" s="1"/>
  <c r="B802" i="14" s="1"/>
  <c r="B803" i="14" s="1"/>
  <c r="B804" i="14" s="1"/>
  <c r="B805" i="14" s="1"/>
  <c r="B806" i="14" s="1"/>
  <c r="B807" i="14" s="1"/>
  <c r="B808" i="14" s="1"/>
  <c r="B809" i="14" s="1"/>
  <c r="B810" i="14" s="1"/>
  <c r="B811" i="14" s="1"/>
  <c r="B812" i="14" s="1"/>
  <c r="B813" i="14" s="1"/>
  <c r="B814" i="14" s="1"/>
  <c r="B815" i="14" s="1"/>
  <c r="B816" i="14" s="1"/>
  <c r="B817" i="14" s="1"/>
  <c r="B818" i="14" s="1"/>
  <c r="B819" i="14" s="1"/>
  <c r="B820" i="14" s="1"/>
  <c r="B821" i="14" s="1"/>
  <c r="B822" i="14" s="1"/>
  <c r="B823" i="14" s="1"/>
  <c r="B824" i="14" s="1"/>
  <c r="B825" i="14" s="1"/>
  <c r="B826" i="14" s="1"/>
  <c r="B827" i="14" s="1"/>
  <c r="B828" i="14" s="1"/>
  <c r="B829" i="14" s="1"/>
  <c r="B830" i="14" s="1"/>
  <c r="B831" i="14" s="1"/>
  <c r="B832" i="14" s="1"/>
  <c r="B833" i="14" s="1"/>
  <c r="B834" i="14" s="1"/>
  <c r="B835" i="14" s="1"/>
  <c r="B836" i="14" s="1"/>
  <c r="B837" i="14" s="1"/>
  <c r="B838" i="14" s="1"/>
  <c r="B839" i="14" s="1"/>
  <c r="B840" i="14" s="1"/>
  <c r="B841" i="14" s="1"/>
  <c r="B842" i="14" s="1"/>
  <c r="B843" i="14" s="1"/>
  <c r="B844" i="14" s="1"/>
  <c r="B845" i="14" s="1"/>
  <c r="B846" i="14" s="1"/>
  <c r="B847" i="14" s="1"/>
  <c r="B848" i="14" s="1"/>
  <c r="B849" i="14" s="1"/>
  <c r="B850" i="14" s="1"/>
  <c r="B851" i="14" s="1"/>
  <c r="B852" i="14" s="1"/>
  <c r="B853" i="14" s="1"/>
  <c r="B854" i="14" s="1"/>
  <c r="B855" i="14" s="1"/>
  <c r="B856" i="14" s="1"/>
  <c r="B857" i="14" s="1"/>
  <c r="B858" i="14" s="1"/>
  <c r="B859" i="14" s="1"/>
  <c r="B860" i="14" s="1"/>
  <c r="B861" i="14" s="1"/>
  <c r="B862" i="14" s="1"/>
  <c r="B863" i="14" s="1"/>
  <c r="B864" i="14" s="1"/>
  <c r="B865" i="14" s="1"/>
  <c r="B866" i="14" s="1"/>
  <c r="B867" i="14" s="1"/>
  <c r="B868" i="14" s="1"/>
  <c r="B869" i="14" s="1"/>
  <c r="B870" i="14" s="1"/>
  <c r="B871" i="14" s="1"/>
  <c r="B872" i="14" s="1"/>
  <c r="B873" i="14" s="1"/>
  <c r="B874" i="14" s="1"/>
  <c r="B875" i="14" s="1"/>
  <c r="B876" i="14" s="1"/>
  <c r="B877" i="14" s="1"/>
  <c r="B878" i="14" s="1"/>
  <c r="B879" i="14" s="1"/>
  <c r="B880" i="14" s="1"/>
  <c r="B881" i="14" s="1"/>
  <c r="B882" i="14" s="1"/>
  <c r="B883" i="14" s="1"/>
  <c r="B884" i="14" s="1"/>
  <c r="B885" i="14" s="1"/>
  <c r="B886" i="14" s="1"/>
  <c r="B887" i="14" s="1"/>
  <c r="B888" i="14" s="1"/>
  <c r="B889" i="14" s="1"/>
  <c r="B890" i="14" s="1"/>
  <c r="B891" i="14" s="1"/>
  <c r="B892" i="14" s="1"/>
  <c r="B893" i="14" s="1"/>
  <c r="B894" i="14" s="1"/>
  <c r="B895" i="14" s="1"/>
  <c r="B896" i="14" s="1"/>
  <c r="B897" i="14" s="1"/>
  <c r="B898" i="14" s="1"/>
  <c r="B899" i="14" s="1"/>
  <c r="B900" i="14" s="1"/>
  <c r="B901" i="14" s="1"/>
  <c r="B902" i="14" s="1"/>
  <c r="B903" i="14" s="1"/>
  <c r="B904" i="14" s="1"/>
  <c r="B905" i="14" s="1"/>
  <c r="B906" i="14" s="1"/>
  <c r="B907" i="14" s="1"/>
  <c r="B908" i="14" s="1"/>
  <c r="B909" i="14" s="1"/>
  <c r="B910" i="14" s="1"/>
  <c r="B911" i="14" s="1"/>
  <c r="B912" i="14" s="1"/>
  <c r="B913" i="14" s="1"/>
  <c r="B914" i="14" s="1"/>
  <c r="B915" i="14" s="1"/>
  <c r="B916" i="14" s="1"/>
  <c r="B917" i="14" s="1"/>
  <c r="B918" i="14" s="1"/>
  <c r="B919" i="14" s="1"/>
  <c r="B920" i="14" s="1"/>
  <c r="B921" i="14" s="1"/>
  <c r="B922" i="14" s="1"/>
  <c r="B923" i="14" s="1"/>
  <c r="B924" i="14" s="1"/>
  <c r="B925" i="14" s="1"/>
  <c r="B926" i="14" s="1"/>
  <c r="B927" i="14" s="1"/>
  <c r="B928" i="14" s="1"/>
  <c r="B929" i="14" s="1"/>
  <c r="B930" i="14" s="1"/>
  <c r="B931" i="14" s="1"/>
  <c r="B932" i="14" s="1"/>
  <c r="B933" i="14" s="1"/>
  <c r="B934" i="14" s="1"/>
  <c r="B935" i="14" s="1"/>
  <c r="B936" i="14" s="1"/>
  <c r="B937" i="14" s="1"/>
  <c r="B938" i="14" s="1"/>
  <c r="B939" i="14" s="1"/>
  <c r="B940" i="14" s="1"/>
  <c r="B941" i="14" s="1"/>
  <c r="B942" i="14" s="1"/>
  <c r="B943" i="14" s="1"/>
  <c r="B944" i="14" s="1"/>
  <c r="B945" i="14" s="1"/>
  <c r="B946" i="14" s="1"/>
  <c r="B947" i="14" s="1"/>
  <c r="B948" i="14" s="1"/>
  <c r="B949" i="14" s="1"/>
  <c r="B950" i="14" s="1"/>
  <c r="B951" i="14" s="1"/>
  <c r="B952" i="14" s="1"/>
  <c r="B953" i="14" s="1"/>
  <c r="B954" i="14" s="1"/>
  <c r="B955" i="14" s="1"/>
  <c r="B956" i="14" s="1"/>
  <c r="B957" i="14" s="1"/>
  <c r="B958" i="14" s="1"/>
  <c r="B959" i="14" s="1"/>
  <c r="B960" i="14" s="1"/>
  <c r="B961" i="14" s="1"/>
  <c r="B962" i="14" s="1"/>
  <c r="B963" i="14" s="1"/>
  <c r="B964" i="14" s="1"/>
  <c r="B965" i="14" s="1"/>
  <c r="B966" i="14" s="1"/>
  <c r="B967" i="14" s="1"/>
  <c r="B968" i="14" s="1"/>
  <c r="B969" i="14" s="1"/>
  <c r="B970" i="14" s="1"/>
  <c r="B971" i="14" s="1"/>
  <c r="B972" i="14" s="1"/>
  <c r="B973" i="14" s="1"/>
  <c r="B974" i="14" s="1"/>
  <c r="B975" i="14" s="1"/>
  <c r="B976" i="14" s="1"/>
  <c r="B977" i="14" s="1"/>
  <c r="B978" i="14" s="1"/>
  <c r="B979" i="14" s="1"/>
  <c r="B980" i="14" s="1"/>
  <c r="B981" i="14" s="1"/>
  <c r="B982" i="14" s="1"/>
  <c r="B983" i="14" s="1"/>
  <c r="B984" i="14" s="1"/>
  <c r="B985" i="14" s="1"/>
  <c r="B986" i="14" s="1"/>
  <c r="B987" i="14" s="1"/>
  <c r="B988" i="14" s="1"/>
  <c r="B989" i="14" s="1"/>
  <c r="B990" i="14" s="1"/>
  <c r="B991" i="14" s="1"/>
  <c r="B992" i="14" s="1"/>
  <c r="B993" i="14" s="1"/>
  <c r="B994" i="14" s="1"/>
  <c r="B995" i="14" s="1"/>
  <c r="B996" i="14" s="1"/>
  <c r="B997" i="14" s="1"/>
  <c r="B998" i="14" s="1"/>
  <c r="B999" i="14" s="1"/>
  <c r="B1000" i="14" s="1"/>
  <c r="B1001" i="14" s="1"/>
  <c r="B1002" i="14" s="1"/>
  <c r="B1003" i="14" s="1"/>
  <c r="B1004" i="14" s="1"/>
  <c r="B1005" i="14" s="1"/>
  <c r="B1006" i="14" s="1"/>
  <c r="B1007" i="14" s="1"/>
  <c r="B1008" i="14" s="1"/>
  <c r="B1009" i="14" s="1"/>
  <c r="B1010" i="14" s="1"/>
  <c r="B1011" i="14" s="1"/>
  <c r="B1012" i="14" s="1"/>
  <c r="B1013" i="14" s="1"/>
  <c r="B1014" i="14" s="1"/>
  <c r="B1015" i="14" s="1"/>
  <c r="B1016" i="14" s="1"/>
  <c r="B1017" i="14" s="1"/>
  <c r="B1018" i="14" s="1"/>
  <c r="B1019" i="14" s="1"/>
  <c r="B1020" i="14" s="1"/>
  <c r="B1021" i="14" s="1"/>
  <c r="B1022" i="14" s="1"/>
  <c r="B1023" i="14" s="1"/>
  <c r="B1024" i="14" s="1"/>
  <c r="B1025" i="14" s="1"/>
  <c r="B1026" i="14" s="1"/>
  <c r="B1027" i="14" s="1"/>
  <c r="B1028" i="14" s="1"/>
  <c r="B1029" i="14" s="1"/>
  <c r="B1030" i="14" s="1"/>
  <c r="B1031" i="14" s="1"/>
  <c r="B1032" i="14" s="1"/>
  <c r="B1033" i="14" s="1"/>
  <c r="B1034" i="14" s="1"/>
  <c r="B1035" i="14" s="1"/>
  <c r="B1036" i="14" s="1"/>
  <c r="B1037" i="14" s="1"/>
  <c r="B1038" i="14" s="1"/>
  <c r="B1039" i="14" s="1"/>
  <c r="B1040" i="14" s="1"/>
  <c r="B1041" i="14" s="1"/>
  <c r="B1042" i="14" s="1"/>
  <c r="B1043" i="14" s="1"/>
  <c r="B1044" i="14" s="1"/>
  <c r="B1045" i="14" s="1"/>
  <c r="B1046" i="14" s="1"/>
  <c r="B1047" i="14" s="1"/>
  <c r="B1048" i="14" s="1"/>
  <c r="B1049" i="14" s="1"/>
  <c r="B1050" i="14" s="1"/>
  <c r="B1051" i="14" s="1"/>
  <c r="B1052" i="14" s="1"/>
  <c r="B1053" i="14" s="1"/>
  <c r="B1054" i="14" s="1"/>
  <c r="B1055" i="14" s="1"/>
  <c r="B1056" i="14" s="1"/>
  <c r="B1057" i="14" s="1"/>
  <c r="B1058" i="14" s="1"/>
  <c r="B1059" i="14" s="1"/>
  <c r="B1060" i="14" s="1"/>
  <c r="B1061" i="14" s="1"/>
  <c r="B1062" i="14" s="1"/>
  <c r="B1063" i="14" s="1"/>
  <c r="B1064" i="14" s="1"/>
  <c r="B1065" i="14" s="1"/>
  <c r="B1066" i="14" s="1"/>
  <c r="B1067" i="14" s="1"/>
  <c r="B1068" i="14" s="1"/>
  <c r="B1069" i="14" s="1"/>
  <c r="B1070" i="14" s="1"/>
  <c r="B1071" i="14" s="1"/>
  <c r="B1072" i="14" s="1"/>
  <c r="B1073" i="14" s="1"/>
  <c r="B1074" i="14" s="1"/>
  <c r="B1075" i="14" s="1"/>
  <c r="B1076" i="14" s="1"/>
  <c r="B1077" i="14" s="1"/>
  <c r="B1078" i="14" s="1"/>
  <c r="B1079" i="14" s="1"/>
  <c r="B1080" i="14" s="1"/>
  <c r="B1081" i="14" s="1"/>
  <c r="B1082" i="14" s="1"/>
  <c r="B1083" i="14" s="1"/>
  <c r="B1084" i="14" s="1"/>
  <c r="B1085" i="14" s="1"/>
  <c r="B1086" i="14" s="1"/>
  <c r="B1087" i="14" s="1"/>
  <c r="B1088" i="14" s="1"/>
  <c r="B1089" i="14" s="1"/>
  <c r="B1090" i="14" s="1"/>
  <c r="B1091" i="14" s="1"/>
  <c r="B1092" i="14" s="1"/>
  <c r="B1093" i="14" s="1"/>
  <c r="B1094" i="14" s="1"/>
  <c r="B1095" i="14" s="1"/>
  <c r="B1096" i="14" s="1"/>
  <c r="B1097" i="14" s="1"/>
  <c r="B1098" i="14" s="1"/>
  <c r="B1099" i="14" s="1"/>
  <c r="B1100" i="14" s="1"/>
  <c r="B1101" i="14" s="1"/>
  <c r="B1102" i="14" s="1"/>
  <c r="B1103" i="14" s="1"/>
  <c r="B1104" i="14" s="1"/>
  <c r="B1105" i="14" s="1"/>
  <c r="B1106" i="14" s="1"/>
  <c r="B1107" i="14" s="1"/>
  <c r="B1108" i="14" s="1"/>
  <c r="B1109" i="14" s="1"/>
  <c r="B1110" i="14" s="1"/>
  <c r="B1111" i="14" s="1"/>
  <c r="B1112" i="14" s="1"/>
  <c r="B1113" i="14" s="1"/>
  <c r="B1114" i="14" s="1"/>
  <c r="B1115" i="14" s="1"/>
  <c r="B1116" i="14" s="1"/>
  <c r="B1117" i="14" s="1"/>
  <c r="B1118" i="14" s="1"/>
  <c r="B1119" i="14" s="1"/>
  <c r="B1120" i="14" s="1"/>
  <c r="B1121" i="14" s="1"/>
  <c r="B1122" i="14" s="1"/>
  <c r="B1123" i="14" s="1"/>
  <c r="B1124" i="14" s="1"/>
  <c r="B1125" i="14" s="1"/>
  <c r="B1126" i="14" s="1"/>
  <c r="B1127" i="14" s="1"/>
  <c r="B1128" i="14" s="1"/>
  <c r="B1129" i="14" s="1"/>
  <c r="B1130" i="14" s="1"/>
  <c r="B1131" i="14" s="1"/>
  <c r="B1132" i="14" s="1"/>
  <c r="B1133" i="14" s="1"/>
  <c r="B1134" i="14" s="1"/>
  <c r="B1135" i="14" s="1"/>
  <c r="B1136" i="14" s="1"/>
  <c r="B1137" i="14" s="1"/>
  <c r="B1138" i="14" s="1"/>
  <c r="B1139" i="14" s="1"/>
  <c r="B1140" i="14" s="1"/>
  <c r="B1141" i="14" s="1"/>
  <c r="B1142" i="14" s="1"/>
  <c r="B1143" i="14" s="1"/>
  <c r="B1144" i="14" s="1"/>
  <c r="B1145" i="14" s="1"/>
  <c r="B1146" i="14" s="1"/>
  <c r="B1147" i="14" s="1"/>
  <c r="B1148" i="14" s="1"/>
  <c r="B1149" i="14" s="1"/>
  <c r="B1150" i="14" s="1"/>
  <c r="B1151" i="14" s="1"/>
  <c r="B1152" i="14" s="1"/>
  <c r="B1153" i="14" s="1"/>
  <c r="B1154" i="14" s="1"/>
  <c r="B1155" i="14" s="1"/>
  <c r="B1156" i="14" s="1"/>
  <c r="B1157" i="14" s="1"/>
  <c r="B1158" i="14" s="1"/>
  <c r="B1159" i="14" s="1"/>
  <c r="B1160" i="14" s="1"/>
  <c r="B1161" i="14" s="1"/>
  <c r="B1162" i="14" s="1"/>
  <c r="B1163" i="14" s="1"/>
  <c r="B1164" i="14" s="1"/>
  <c r="B1165" i="14" s="1"/>
  <c r="B1166" i="14" s="1"/>
  <c r="B1167" i="14" s="1"/>
  <c r="B1168" i="14" s="1"/>
  <c r="B1169" i="14" s="1"/>
  <c r="B1170" i="14" s="1"/>
  <c r="B1171" i="14" s="1"/>
  <c r="B1172" i="14" s="1"/>
  <c r="B1173" i="14" s="1"/>
  <c r="B1174" i="14" s="1"/>
  <c r="B1175" i="14" s="1"/>
  <c r="B1176" i="14" s="1"/>
  <c r="B1177" i="14" s="1"/>
  <c r="B1178" i="14" s="1"/>
  <c r="B1179" i="14" s="1"/>
  <c r="B1180" i="14" s="1"/>
  <c r="B1181" i="14" s="1"/>
  <c r="B1182" i="14" s="1"/>
  <c r="B1183" i="14" s="1"/>
  <c r="B1184" i="14" s="1"/>
  <c r="B1185" i="14" s="1"/>
  <c r="B1186" i="14" s="1"/>
  <c r="B1187" i="14" s="1"/>
  <c r="B1188" i="14" s="1"/>
  <c r="B1189" i="14" s="1"/>
  <c r="B1190" i="14" s="1"/>
  <c r="B1191" i="14" s="1"/>
  <c r="B1192" i="14" s="1"/>
  <c r="B1193" i="14" s="1"/>
  <c r="B1194" i="14" s="1"/>
  <c r="B1195" i="14" s="1"/>
  <c r="B1196" i="14" s="1"/>
  <c r="B1197" i="14" s="1"/>
  <c r="B1198" i="14" s="1"/>
  <c r="B1199" i="14" s="1"/>
  <c r="B1200" i="14" s="1"/>
  <c r="B1201" i="14" s="1"/>
  <c r="B1202" i="14" s="1"/>
  <c r="B1203" i="14" s="1"/>
  <c r="B1204" i="14" s="1"/>
  <c r="B1205" i="14" s="1"/>
  <c r="B1206" i="14" s="1"/>
  <c r="B1207" i="14" s="1"/>
  <c r="B1208" i="14" s="1"/>
  <c r="B1209" i="14" s="1"/>
  <c r="B1210" i="14" s="1"/>
  <c r="B1211" i="14" s="1"/>
  <c r="B1212" i="14" s="1"/>
  <c r="B1213" i="14" s="1"/>
  <c r="B1214" i="14" s="1"/>
  <c r="B1215" i="14" s="1"/>
  <c r="B1216" i="14" s="1"/>
  <c r="B1217" i="14" s="1"/>
  <c r="B1218" i="14" s="1"/>
  <c r="B1219" i="14" s="1"/>
  <c r="B1220" i="14" s="1"/>
  <c r="B1221" i="14" s="1"/>
  <c r="B1222" i="14" s="1"/>
  <c r="B1223" i="14" s="1"/>
  <c r="B1224" i="14" s="1"/>
  <c r="B1225" i="14" s="1"/>
  <c r="B1226" i="14" s="1"/>
  <c r="B1227" i="14" s="1"/>
  <c r="B1228" i="14" s="1"/>
  <c r="B1229" i="14" s="1"/>
  <c r="B1230" i="14" s="1"/>
  <c r="B1231" i="14" s="1"/>
  <c r="B1232" i="14" s="1"/>
  <c r="B1233" i="14" s="1"/>
  <c r="B1234" i="14" s="1"/>
  <c r="B1235" i="14" s="1"/>
  <c r="B1236" i="14" s="1"/>
  <c r="B1237" i="14" s="1"/>
  <c r="B1238" i="14" s="1"/>
  <c r="B1239" i="14" s="1"/>
  <c r="B1240" i="14" s="1"/>
  <c r="B1241" i="14" s="1"/>
  <c r="B1242" i="14" s="1"/>
  <c r="B1243" i="14" s="1"/>
  <c r="B1244" i="14" s="1"/>
  <c r="B1245" i="14" s="1"/>
  <c r="B1246" i="14" s="1"/>
  <c r="B1247" i="14" s="1"/>
  <c r="B1248" i="14" s="1"/>
  <c r="B1249" i="14" s="1"/>
  <c r="B1250" i="14" s="1"/>
  <c r="B1251" i="14" s="1"/>
  <c r="B1252" i="14" s="1"/>
  <c r="B1253" i="14" s="1"/>
  <c r="B1254" i="14" s="1"/>
  <c r="B1255" i="14" s="1"/>
  <c r="B1256" i="14" s="1"/>
  <c r="B1257" i="14" s="1"/>
  <c r="B1258" i="14" s="1"/>
  <c r="B1259" i="14" s="1"/>
  <c r="B1260" i="14" s="1"/>
  <c r="B1261" i="14" s="1"/>
  <c r="B1262" i="14" s="1"/>
  <c r="B1263" i="14" s="1"/>
  <c r="B1264" i="14" s="1"/>
  <c r="B1265" i="14" s="1"/>
  <c r="B1266" i="14" s="1"/>
  <c r="B1267" i="14" s="1"/>
  <c r="B1268" i="14" s="1"/>
  <c r="B1269" i="14" s="1"/>
  <c r="B1270" i="14" s="1"/>
  <c r="B1271" i="14" s="1"/>
  <c r="B1272" i="14" s="1"/>
  <c r="B1273" i="14" s="1"/>
  <c r="B1274" i="14" s="1"/>
  <c r="B1275" i="14" s="1"/>
  <c r="B1276" i="14" s="1"/>
  <c r="B1277" i="14" s="1"/>
  <c r="B1278" i="14" s="1"/>
  <c r="B1279" i="14" s="1"/>
  <c r="B1280" i="14" s="1"/>
  <c r="B1281" i="14" s="1"/>
  <c r="B1282" i="14" s="1"/>
  <c r="B1283" i="14" s="1"/>
  <c r="B1284" i="14" s="1"/>
  <c r="B1285" i="14" s="1"/>
  <c r="B1286" i="14" s="1"/>
  <c r="B1287" i="14" s="1"/>
  <c r="B1288" i="14" s="1"/>
  <c r="B1289" i="14" s="1"/>
  <c r="B1290" i="14" s="1"/>
  <c r="B1291" i="14" s="1"/>
  <c r="B1292" i="14" s="1"/>
  <c r="B1293" i="14" s="1"/>
  <c r="B1294" i="14" s="1"/>
  <c r="B1295" i="14" s="1"/>
  <c r="B1296" i="14" s="1"/>
  <c r="B1297" i="14" s="1"/>
  <c r="B1298" i="14" s="1"/>
  <c r="B1299" i="14" s="1"/>
  <c r="B1300" i="14" s="1"/>
  <c r="B1301" i="14" s="1"/>
  <c r="B1302" i="14" s="1"/>
  <c r="B1303" i="14" s="1"/>
  <c r="B1304" i="14" s="1"/>
  <c r="B1305" i="14" s="1"/>
  <c r="B1306" i="14" s="1"/>
  <c r="B1307" i="14" s="1"/>
  <c r="B1308" i="14" s="1"/>
  <c r="B1309" i="14" s="1"/>
  <c r="B1310" i="14" s="1"/>
  <c r="B1311" i="14" s="1"/>
  <c r="B1312" i="14" s="1"/>
  <c r="B1313" i="14" s="1"/>
  <c r="B1314" i="14" s="1"/>
  <c r="B1315" i="14" s="1"/>
  <c r="B1316" i="14" s="1"/>
  <c r="B1317" i="14" s="1"/>
  <c r="B1318" i="14" s="1"/>
  <c r="B1319" i="14" s="1"/>
  <c r="B1320" i="14" s="1"/>
  <c r="B1321" i="14" s="1"/>
  <c r="B1322" i="14" s="1"/>
  <c r="B1323" i="14" s="1"/>
  <c r="B1324" i="14" s="1"/>
  <c r="B1325" i="14" s="1"/>
  <c r="B1326" i="14" s="1"/>
  <c r="B1327" i="14" s="1"/>
  <c r="B1328" i="14" s="1"/>
  <c r="B1329" i="14" s="1"/>
  <c r="B1330" i="14" s="1"/>
  <c r="B1331" i="14" s="1"/>
  <c r="B1332" i="14" s="1"/>
  <c r="B1333" i="14" s="1"/>
  <c r="B1334" i="14" s="1"/>
  <c r="B1335" i="14" s="1"/>
  <c r="B1336" i="14" s="1"/>
  <c r="B1337" i="14" s="1"/>
  <c r="B1338" i="14" s="1"/>
  <c r="B1339" i="14" s="1"/>
  <c r="B1340" i="14" s="1"/>
  <c r="B1341" i="14" s="1"/>
  <c r="B1342" i="14" s="1"/>
  <c r="B1343" i="14" s="1"/>
  <c r="B1344" i="14" s="1"/>
  <c r="B1345" i="14" s="1"/>
  <c r="B1346" i="14" s="1"/>
  <c r="B1347" i="14" s="1"/>
  <c r="B1348" i="14" s="1"/>
  <c r="B1349" i="14" s="1"/>
  <c r="B1350" i="14" s="1"/>
  <c r="B1351" i="14" s="1"/>
  <c r="B1352" i="14" s="1"/>
  <c r="B1353" i="14" s="1"/>
  <c r="B1354" i="14" s="1"/>
  <c r="B1355" i="14" s="1"/>
  <c r="B1356" i="14" s="1"/>
  <c r="B1357" i="14" s="1"/>
  <c r="B1358" i="14" s="1"/>
  <c r="B1359" i="14" s="1"/>
  <c r="B1360" i="14" s="1"/>
  <c r="B1361" i="14" s="1"/>
  <c r="B1362" i="14" s="1"/>
  <c r="B1363" i="14" s="1"/>
  <c r="B1364" i="14" s="1"/>
  <c r="B1365" i="14" s="1"/>
  <c r="B1366" i="14" s="1"/>
  <c r="B1367" i="14" s="1"/>
  <c r="B1368" i="14" s="1"/>
  <c r="B1369" i="14" s="1"/>
  <c r="B1370" i="14" s="1"/>
  <c r="B1371" i="14" s="1"/>
  <c r="B1372" i="14" s="1"/>
  <c r="B1373" i="14" s="1"/>
  <c r="B1374" i="14" s="1"/>
  <c r="B1375" i="14" s="1"/>
  <c r="B1376" i="14" s="1"/>
  <c r="B1377" i="14" s="1"/>
  <c r="B1378" i="14" s="1"/>
  <c r="B1379" i="14" s="1"/>
  <c r="B1380" i="14" s="1"/>
  <c r="B1381" i="14" s="1"/>
  <c r="B1382" i="14" s="1"/>
  <c r="B1383" i="14" s="1"/>
  <c r="B1384" i="14" s="1"/>
  <c r="B1385" i="14" s="1"/>
  <c r="B1386" i="14" s="1"/>
  <c r="B1387" i="14" s="1"/>
  <c r="B1388" i="14" s="1"/>
  <c r="B1389" i="14" s="1"/>
  <c r="B1390" i="14" s="1"/>
  <c r="B1391" i="14" s="1"/>
  <c r="B1392" i="14" s="1"/>
  <c r="B1393" i="14" s="1"/>
  <c r="B1394" i="14" s="1"/>
  <c r="B1395" i="14" s="1"/>
  <c r="I507" i="14"/>
  <c r="Q507" i="14" s="1"/>
  <c r="R507" i="14"/>
  <c r="J508" i="14"/>
  <c r="I509" i="14"/>
  <c r="Q509" i="14" s="1"/>
  <c r="R509" i="14"/>
  <c r="I510" i="14"/>
  <c r="Q510" i="14" s="1"/>
  <c r="R510" i="14"/>
  <c r="S510" i="14" s="1"/>
  <c r="I511" i="14"/>
  <c r="K511" i="14" s="1"/>
  <c r="R511" i="14"/>
  <c r="I512" i="14"/>
  <c r="K512" i="14" s="1"/>
  <c r="R512" i="14"/>
  <c r="I513" i="14"/>
  <c r="K513" i="14" s="1"/>
  <c r="R513" i="14"/>
  <c r="I514" i="14"/>
  <c r="R514" i="14"/>
  <c r="K515" i="14"/>
  <c r="Q515" i="14"/>
  <c r="R515" i="14"/>
  <c r="I516" i="14"/>
  <c r="R516" i="14"/>
  <c r="N518" i="14"/>
  <c r="N517" i="14" s="1"/>
  <c r="M519" i="14"/>
  <c r="R519" i="14"/>
  <c r="I521" i="14"/>
  <c r="Q521" i="14" s="1"/>
  <c r="J521" i="14"/>
  <c r="R521" i="14" s="1"/>
  <c r="K522" i="14"/>
  <c r="Q522" i="14"/>
  <c r="R522" i="14"/>
  <c r="K523" i="14"/>
  <c r="Q523" i="14"/>
  <c r="R523" i="14"/>
  <c r="K524" i="14"/>
  <c r="Q524" i="14"/>
  <c r="R524" i="14"/>
  <c r="I526" i="14"/>
  <c r="Q526" i="14" s="1"/>
  <c r="R526" i="14"/>
  <c r="I527" i="14"/>
  <c r="K527" i="14" s="1"/>
  <c r="R527" i="14"/>
  <c r="J528" i="14"/>
  <c r="R528" i="14" s="1"/>
  <c r="I529" i="14"/>
  <c r="K529" i="14" s="1"/>
  <c r="R529" i="14"/>
  <c r="I530" i="14"/>
  <c r="R530" i="14"/>
  <c r="I531" i="14"/>
  <c r="K531" i="14" s="1"/>
  <c r="R531" i="14"/>
  <c r="I532" i="14"/>
  <c r="R532" i="14"/>
  <c r="I533" i="14"/>
  <c r="K533" i="14" s="1"/>
  <c r="R533" i="14"/>
  <c r="I534" i="14"/>
  <c r="R534" i="14"/>
  <c r="I535" i="14"/>
  <c r="K535" i="14" s="1"/>
  <c r="R535" i="14"/>
  <c r="M537" i="14"/>
  <c r="Q537" i="14" s="1"/>
  <c r="N537" i="14"/>
  <c r="O538" i="14"/>
  <c r="Q538" i="14"/>
  <c r="R538" i="14"/>
  <c r="I540" i="14"/>
  <c r="Q540" i="14" s="1"/>
  <c r="R540" i="14"/>
  <c r="I541" i="14"/>
  <c r="K541" i="14" s="1"/>
  <c r="R541" i="14"/>
  <c r="J542" i="14"/>
  <c r="J539" i="14" s="1"/>
  <c r="I543" i="14"/>
  <c r="K543" i="14" s="1"/>
  <c r="R543" i="14"/>
  <c r="I544" i="14"/>
  <c r="R544" i="14"/>
  <c r="I545" i="14"/>
  <c r="R545" i="14"/>
  <c r="I546" i="14"/>
  <c r="K546" i="14" s="1"/>
  <c r="R546" i="14"/>
  <c r="I547" i="14"/>
  <c r="Q547" i="14" s="1"/>
  <c r="R547" i="14"/>
  <c r="I548" i="14"/>
  <c r="Q548" i="14" s="1"/>
  <c r="R548" i="14"/>
  <c r="I549" i="14"/>
  <c r="R549" i="14"/>
  <c r="M551" i="14"/>
  <c r="Q551" i="14" s="1"/>
  <c r="N551" i="14"/>
  <c r="R551" i="14" s="1"/>
  <c r="O552" i="14"/>
  <c r="Q552" i="14"/>
  <c r="R552" i="14"/>
  <c r="N553" i="14"/>
  <c r="M554" i="14"/>
  <c r="M553" i="14" s="1"/>
  <c r="R554" i="14"/>
  <c r="I556" i="14"/>
  <c r="Q556" i="14" s="1"/>
  <c r="R556" i="14"/>
  <c r="I557" i="14"/>
  <c r="K557" i="14" s="1"/>
  <c r="R557" i="14"/>
  <c r="J558" i="14"/>
  <c r="J555" i="14" s="1"/>
  <c r="I559" i="14"/>
  <c r="K559" i="14" s="1"/>
  <c r="R559" i="14"/>
  <c r="I560" i="14"/>
  <c r="K560" i="14" s="1"/>
  <c r="R560" i="14"/>
  <c r="I561" i="14"/>
  <c r="K561" i="14" s="1"/>
  <c r="R561" i="14"/>
  <c r="I562" i="14"/>
  <c r="R562" i="14"/>
  <c r="I563" i="14"/>
  <c r="K563" i="14" s="1"/>
  <c r="Q563" i="14"/>
  <c r="R563" i="14"/>
  <c r="I564" i="14"/>
  <c r="K564" i="14" s="1"/>
  <c r="R564" i="14"/>
  <c r="I565" i="14"/>
  <c r="K565" i="14" s="1"/>
  <c r="R565" i="14"/>
  <c r="N567" i="14"/>
  <c r="N566" i="14" s="1"/>
  <c r="O568" i="14"/>
  <c r="Q568" i="14"/>
  <c r="R568" i="14"/>
  <c r="M569" i="14"/>
  <c r="M567" i="14" s="1"/>
  <c r="M566" i="14" s="1"/>
  <c r="R569" i="14"/>
  <c r="O570" i="14"/>
  <c r="Q570" i="14"/>
  <c r="R570" i="14"/>
  <c r="I572" i="14"/>
  <c r="R572" i="14"/>
  <c r="I573" i="14"/>
  <c r="R573" i="14"/>
  <c r="J574" i="14"/>
  <c r="I575" i="14"/>
  <c r="R575" i="14"/>
  <c r="I576" i="14"/>
  <c r="Q576" i="14" s="1"/>
  <c r="K576" i="14"/>
  <c r="R576" i="14"/>
  <c r="I577" i="14"/>
  <c r="Q577" i="14" s="1"/>
  <c r="R577" i="14"/>
  <c r="I578" i="14"/>
  <c r="Q578" i="14" s="1"/>
  <c r="R578" i="14"/>
  <c r="I579" i="14"/>
  <c r="R579" i="14"/>
  <c r="I580" i="14"/>
  <c r="K580" i="14" s="1"/>
  <c r="R580" i="14"/>
  <c r="I581" i="14"/>
  <c r="K581" i="14" s="1"/>
  <c r="R581" i="14"/>
  <c r="M583" i="14"/>
  <c r="M582" i="14" s="1"/>
  <c r="N583" i="14"/>
  <c r="O583" i="14" s="1"/>
  <c r="O584" i="14"/>
  <c r="Q584" i="14"/>
  <c r="R584" i="14"/>
  <c r="I586" i="14"/>
  <c r="R586" i="14"/>
  <c r="I587" i="14"/>
  <c r="R587" i="14"/>
  <c r="J588" i="14"/>
  <c r="I589" i="14"/>
  <c r="K589" i="14" s="1"/>
  <c r="R589" i="14"/>
  <c r="I590" i="14"/>
  <c r="K590" i="14" s="1"/>
  <c r="R590" i="14"/>
  <c r="I591" i="14"/>
  <c r="K591" i="14" s="1"/>
  <c r="R591" i="14"/>
  <c r="I592" i="14"/>
  <c r="K592" i="14"/>
  <c r="Q592" i="14"/>
  <c r="R592" i="14"/>
  <c r="I593" i="14"/>
  <c r="K593" i="14" s="1"/>
  <c r="R593" i="14"/>
  <c r="I594" i="14"/>
  <c r="Q594" i="14" s="1"/>
  <c r="K594" i="14"/>
  <c r="R594" i="14"/>
  <c r="I595" i="14"/>
  <c r="K595" i="14" s="1"/>
  <c r="R595" i="14"/>
  <c r="I597" i="14"/>
  <c r="K597" i="14" s="1"/>
  <c r="R597" i="14"/>
  <c r="I598" i="14"/>
  <c r="R598" i="14"/>
  <c r="J599" i="14"/>
  <c r="J596" i="14" s="1"/>
  <c r="I600" i="14"/>
  <c r="K600" i="14"/>
  <c r="Q600" i="14"/>
  <c r="R600" i="14"/>
  <c r="S600" i="14" s="1"/>
  <c r="I601" i="14"/>
  <c r="R601" i="14"/>
  <c r="I602" i="14"/>
  <c r="K602" i="14" s="1"/>
  <c r="R602" i="14"/>
  <c r="I603" i="14"/>
  <c r="Q603" i="14" s="1"/>
  <c r="R603" i="14"/>
  <c r="I604" i="14"/>
  <c r="R604" i="14"/>
  <c r="I605" i="14"/>
  <c r="K605" i="14" s="1"/>
  <c r="Q605" i="14"/>
  <c r="R605" i="14"/>
  <c r="I606" i="14"/>
  <c r="R606" i="14"/>
  <c r="M608" i="14"/>
  <c r="Q608" i="14" s="1"/>
  <c r="N608" i="14"/>
  <c r="O609" i="14"/>
  <c r="Q609" i="14"/>
  <c r="R609" i="14"/>
  <c r="S609" i="14" s="1"/>
  <c r="I611" i="14"/>
  <c r="R611" i="14"/>
  <c r="I612" i="14"/>
  <c r="Q612" i="14" s="1"/>
  <c r="K612" i="14"/>
  <c r="R612" i="14"/>
  <c r="J613" i="14"/>
  <c r="I614" i="14"/>
  <c r="K614" i="14" s="1"/>
  <c r="R614" i="14"/>
  <c r="I615" i="14"/>
  <c r="R615" i="14"/>
  <c r="I616" i="14"/>
  <c r="K616" i="14" s="1"/>
  <c r="R616" i="14"/>
  <c r="I617" i="14"/>
  <c r="R617" i="14"/>
  <c r="I618" i="14"/>
  <c r="Q618" i="14" s="1"/>
  <c r="R618" i="14"/>
  <c r="I619" i="14"/>
  <c r="K619" i="14" s="1"/>
  <c r="R619" i="14"/>
  <c r="I620" i="14"/>
  <c r="K620" i="14" s="1"/>
  <c r="R620" i="14"/>
  <c r="M622" i="14"/>
  <c r="Q622" i="14" s="1"/>
  <c r="N622" i="14"/>
  <c r="N621" i="14" s="1"/>
  <c r="N610" i="14" s="1"/>
  <c r="O623" i="14"/>
  <c r="Q623" i="14"/>
  <c r="R623" i="14"/>
  <c r="O624" i="14"/>
  <c r="Q624" i="14"/>
  <c r="R624" i="14"/>
  <c r="O625" i="14"/>
  <c r="Q625" i="14"/>
  <c r="R625" i="14"/>
  <c r="S625" i="14" s="1"/>
  <c r="I627" i="14"/>
  <c r="Q627" i="14" s="1"/>
  <c r="R627" i="14"/>
  <c r="I628" i="14"/>
  <c r="Q628" i="14" s="1"/>
  <c r="R628" i="14"/>
  <c r="J629" i="14"/>
  <c r="J626" i="14" s="1"/>
  <c r="I630" i="14"/>
  <c r="K630" i="14" s="1"/>
  <c r="R630" i="14"/>
  <c r="I631" i="14"/>
  <c r="K631" i="14" s="1"/>
  <c r="R631" i="14"/>
  <c r="I632" i="14"/>
  <c r="R632" i="14"/>
  <c r="I633" i="14"/>
  <c r="R633" i="14"/>
  <c r="I634" i="14"/>
  <c r="K634" i="14" s="1"/>
  <c r="Q634" i="14"/>
  <c r="R634" i="14"/>
  <c r="I635" i="14"/>
  <c r="Q635" i="14" s="1"/>
  <c r="K635" i="14"/>
  <c r="R635" i="14"/>
  <c r="I636" i="14"/>
  <c r="Q636" i="14" s="1"/>
  <c r="R636" i="14"/>
  <c r="N638" i="14"/>
  <c r="R638" i="14" s="1"/>
  <c r="M639" i="14"/>
  <c r="M638" i="14" s="1"/>
  <c r="M637" i="14" s="1"/>
  <c r="Q637" i="14" s="1"/>
  <c r="R639" i="14"/>
  <c r="I641" i="14"/>
  <c r="Q641" i="14" s="1"/>
  <c r="R641" i="14"/>
  <c r="I642" i="14"/>
  <c r="K642" i="14" s="1"/>
  <c r="Q642" i="14"/>
  <c r="R642" i="14"/>
  <c r="J643" i="14"/>
  <c r="J640" i="14" s="1"/>
  <c r="I644" i="14"/>
  <c r="Q644" i="14" s="1"/>
  <c r="R644" i="14"/>
  <c r="I645" i="14"/>
  <c r="K645" i="14" s="1"/>
  <c r="R645" i="14"/>
  <c r="I646" i="14"/>
  <c r="K646" i="14" s="1"/>
  <c r="R646" i="14"/>
  <c r="I647" i="14"/>
  <c r="R647" i="14"/>
  <c r="I648" i="14"/>
  <c r="R648" i="14"/>
  <c r="I649" i="14"/>
  <c r="K649" i="14" s="1"/>
  <c r="R649" i="14"/>
  <c r="I650" i="14"/>
  <c r="K650" i="14" s="1"/>
  <c r="R650" i="14"/>
  <c r="N652" i="14"/>
  <c r="N651" i="14" s="1"/>
  <c r="R652" i="14"/>
  <c r="M653" i="14"/>
  <c r="R653" i="14"/>
  <c r="M654" i="14"/>
  <c r="R654" i="14"/>
  <c r="I656" i="14"/>
  <c r="K656" i="14" s="1"/>
  <c r="R656" i="14"/>
  <c r="I657" i="14"/>
  <c r="K657" i="14" s="1"/>
  <c r="Q657" i="14"/>
  <c r="R657" i="14"/>
  <c r="J658" i="14"/>
  <c r="I659" i="14"/>
  <c r="K659" i="14" s="1"/>
  <c r="R659" i="14"/>
  <c r="I660" i="14"/>
  <c r="R660" i="14"/>
  <c r="I661" i="14"/>
  <c r="R661" i="14"/>
  <c r="I662" i="14"/>
  <c r="K662" i="14" s="1"/>
  <c r="R662" i="14"/>
  <c r="I663" i="14"/>
  <c r="Q663" i="14" s="1"/>
  <c r="K663" i="14"/>
  <c r="R663" i="14"/>
  <c r="I664" i="14"/>
  <c r="K664" i="14" s="1"/>
  <c r="R664" i="14"/>
  <c r="I665" i="14"/>
  <c r="K665" i="14" s="1"/>
  <c r="R665" i="14"/>
  <c r="I667" i="14"/>
  <c r="Q667" i="14"/>
  <c r="R667" i="14"/>
  <c r="I668" i="14"/>
  <c r="R668" i="14"/>
  <c r="J669" i="14"/>
  <c r="J666" i="14" s="1"/>
  <c r="R666" i="14" s="1"/>
  <c r="I670" i="14"/>
  <c r="R670" i="14"/>
  <c r="I671" i="14"/>
  <c r="Q671" i="14" s="1"/>
  <c r="R671" i="14"/>
  <c r="I672" i="14"/>
  <c r="K672" i="14" s="1"/>
  <c r="R672" i="14"/>
  <c r="I673" i="14"/>
  <c r="Q673" i="14" s="1"/>
  <c r="K673" i="14"/>
  <c r="R673" i="14"/>
  <c r="I674" i="14"/>
  <c r="Q674" i="14" s="1"/>
  <c r="R674" i="14"/>
  <c r="I675" i="14"/>
  <c r="R675" i="14"/>
  <c r="I676" i="14"/>
  <c r="Q676" i="14" s="1"/>
  <c r="R676" i="14"/>
  <c r="I678" i="14"/>
  <c r="K678" i="14" s="1"/>
  <c r="R678" i="14"/>
  <c r="I679" i="14"/>
  <c r="R679" i="14"/>
  <c r="J680" i="14"/>
  <c r="I681" i="14"/>
  <c r="K681" i="14" s="1"/>
  <c r="R681" i="14"/>
  <c r="I682" i="14"/>
  <c r="R682" i="14"/>
  <c r="I683" i="14"/>
  <c r="Q683" i="14" s="1"/>
  <c r="R683" i="14"/>
  <c r="I684" i="14"/>
  <c r="R684" i="14"/>
  <c r="I685" i="14"/>
  <c r="K685" i="14" s="1"/>
  <c r="R685" i="14"/>
  <c r="I686" i="14"/>
  <c r="Q686" i="14" s="1"/>
  <c r="R686" i="14"/>
  <c r="I687" i="14"/>
  <c r="R687" i="14"/>
  <c r="N689" i="14"/>
  <c r="M690" i="14"/>
  <c r="R690" i="14"/>
  <c r="I692" i="14"/>
  <c r="K692" i="14" s="1"/>
  <c r="R692" i="14"/>
  <c r="I693" i="14"/>
  <c r="R693" i="14"/>
  <c r="J694" i="14"/>
  <c r="I695" i="14"/>
  <c r="R695" i="14"/>
  <c r="I696" i="14"/>
  <c r="Q696" i="14" s="1"/>
  <c r="R696" i="14"/>
  <c r="I697" i="14"/>
  <c r="Q697" i="14" s="1"/>
  <c r="K697" i="14"/>
  <c r="R697" i="14"/>
  <c r="I698" i="14"/>
  <c r="R698" i="14"/>
  <c r="I699" i="14"/>
  <c r="Q699" i="14" s="1"/>
  <c r="R699" i="14"/>
  <c r="I700" i="14"/>
  <c r="K700" i="14" s="1"/>
  <c r="R700" i="14"/>
  <c r="I701" i="14"/>
  <c r="Q701" i="14" s="1"/>
  <c r="R701" i="14"/>
  <c r="M703" i="14"/>
  <c r="M702" i="14" s="1"/>
  <c r="N703" i="14"/>
  <c r="R703" i="14" s="1"/>
  <c r="O704" i="14"/>
  <c r="Q704" i="14"/>
  <c r="R704" i="14"/>
  <c r="I706" i="14"/>
  <c r="R706" i="14"/>
  <c r="I707" i="14"/>
  <c r="Q707" i="14" s="1"/>
  <c r="R707" i="14"/>
  <c r="J708" i="14"/>
  <c r="I709" i="14"/>
  <c r="R709" i="14"/>
  <c r="I710" i="14"/>
  <c r="R710" i="14"/>
  <c r="I711" i="14"/>
  <c r="K711" i="14" s="1"/>
  <c r="R711" i="14"/>
  <c r="I712" i="14"/>
  <c r="K712" i="14" s="1"/>
  <c r="R712" i="14"/>
  <c r="I713" i="14"/>
  <c r="Q713" i="14" s="1"/>
  <c r="R713" i="14"/>
  <c r="I714" i="14"/>
  <c r="R714" i="14"/>
  <c r="I715" i="14"/>
  <c r="K715" i="14" s="1"/>
  <c r="R715" i="14"/>
  <c r="I717" i="14"/>
  <c r="K717" i="14" s="1"/>
  <c r="R717" i="14"/>
  <c r="I718" i="14"/>
  <c r="R718" i="14"/>
  <c r="J719" i="14"/>
  <c r="J716" i="14" s="1"/>
  <c r="R716" i="14" s="1"/>
  <c r="I720" i="14"/>
  <c r="K720" i="14" s="1"/>
  <c r="R720" i="14"/>
  <c r="I721" i="14"/>
  <c r="Q721" i="14" s="1"/>
  <c r="R721" i="14"/>
  <c r="I722" i="14"/>
  <c r="R722" i="14"/>
  <c r="I723" i="14"/>
  <c r="R723" i="14"/>
  <c r="I724" i="14"/>
  <c r="R724" i="14"/>
  <c r="I725" i="14"/>
  <c r="K725" i="14" s="1"/>
  <c r="R725" i="14"/>
  <c r="I726" i="14"/>
  <c r="K726" i="14" s="1"/>
  <c r="R726" i="14"/>
  <c r="J728" i="14"/>
  <c r="I729" i="14"/>
  <c r="R729" i="14"/>
  <c r="I730" i="14"/>
  <c r="Q730" i="14" s="1"/>
  <c r="R730" i="14"/>
  <c r="I731" i="14"/>
  <c r="Q731" i="14" s="1"/>
  <c r="K731" i="14"/>
  <c r="R731" i="14"/>
  <c r="I733" i="14"/>
  <c r="R733" i="14"/>
  <c r="I734" i="14"/>
  <c r="R734" i="14"/>
  <c r="J735" i="14"/>
  <c r="R735" i="14" s="1"/>
  <c r="I736" i="14"/>
  <c r="Q736" i="14" s="1"/>
  <c r="R736" i="14"/>
  <c r="I737" i="14"/>
  <c r="R737" i="14"/>
  <c r="I738" i="14"/>
  <c r="K738" i="14"/>
  <c r="Q738" i="14"/>
  <c r="R738" i="14"/>
  <c r="I739" i="14"/>
  <c r="K739" i="14" s="1"/>
  <c r="R739" i="14"/>
  <c r="I740" i="14"/>
  <c r="R740" i="14"/>
  <c r="K741" i="14"/>
  <c r="Q741" i="14"/>
  <c r="R741" i="14"/>
  <c r="I742" i="14"/>
  <c r="Q742" i="14" s="1"/>
  <c r="R742" i="14"/>
  <c r="I743" i="14"/>
  <c r="Q743" i="14" s="1"/>
  <c r="R743" i="14"/>
  <c r="I744" i="14"/>
  <c r="Q744" i="14" s="1"/>
  <c r="R744" i="14"/>
  <c r="I745" i="14"/>
  <c r="Q745" i="14" s="1"/>
  <c r="K745" i="14"/>
  <c r="R745" i="14"/>
  <c r="J746" i="14"/>
  <c r="R746" i="14"/>
  <c r="I747" i="14"/>
  <c r="Q747" i="14" s="1"/>
  <c r="R747" i="14"/>
  <c r="I748" i="14"/>
  <c r="K748" i="14"/>
  <c r="Q748" i="14"/>
  <c r="R748" i="14"/>
  <c r="I749" i="14"/>
  <c r="K749" i="14" s="1"/>
  <c r="Q749" i="14"/>
  <c r="R749" i="14"/>
  <c r="I750" i="14"/>
  <c r="K750" i="14"/>
  <c r="Q750" i="14"/>
  <c r="R750" i="14"/>
  <c r="I751" i="14"/>
  <c r="Q751" i="14" s="1"/>
  <c r="R751" i="14"/>
  <c r="I752" i="14"/>
  <c r="R752" i="14"/>
  <c r="I753" i="14"/>
  <c r="Q753" i="14" s="1"/>
  <c r="R753" i="14"/>
  <c r="I754" i="14"/>
  <c r="R754" i="14"/>
  <c r="K755" i="14"/>
  <c r="Q755" i="14"/>
  <c r="R755" i="14"/>
  <c r="S755" i="14" s="1"/>
  <c r="M757" i="14"/>
  <c r="N757" i="14"/>
  <c r="R757" i="14" s="1"/>
  <c r="O758" i="14"/>
  <c r="Q758" i="14"/>
  <c r="R758" i="14"/>
  <c r="I760" i="14"/>
  <c r="R760" i="14"/>
  <c r="I761" i="14"/>
  <c r="K761" i="14" s="1"/>
  <c r="R761" i="14"/>
  <c r="J762" i="14"/>
  <c r="R762" i="14" s="1"/>
  <c r="I763" i="14"/>
  <c r="Q763" i="14" s="1"/>
  <c r="R763" i="14"/>
  <c r="I764" i="14"/>
  <c r="K764" i="14" s="1"/>
  <c r="R764" i="14"/>
  <c r="I765" i="14"/>
  <c r="Q765" i="14" s="1"/>
  <c r="R765" i="14"/>
  <c r="I766" i="14"/>
  <c r="R766" i="14"/>
  <c r="I767" i="14"/>
  <c r="K767" i="14" s="1"/>
  <c r="R767" i="14"/>
  <c r="I768" i="14"/>
  <c r="K768" i="14" s="1"/>
  <c r="R768" i="14"/>
  <c r="I769" i="14"/>
  <c r="R769" i="14"/>
  <c r="J770" i="14"/>
  <c r="R770" i="14" s="1"/>
  <c r="K771" i="14"/>
  <c r="Q771" i="14"/>
  <c r="R771" i="14"/>
  <c r="I772" i="14"/>
  <c r="R772" i="14"/>
  <c r="I773" i="14"/>
  <c r="Q773" i="14" s="1"/>
  <c r="R773" i="14"/>
  <c r="K774" i="14"/>
  <c r="Q774" i="14"/>
  <c r="R774" i="14"/>
  <c r="I775" i="14"/>
  <c r="Q775" i="14" s="1"/>
  <c r="R775" i="14"/>
  <c r="K776" i="14"/>
  <c r="Q776" i="14"/>
  <c r="R776" i="14"/>
  <c r="I777" i="14"/>
  <c r="Q777" i="14" s="1"/>
  <c r="R777" i="14"/>
  <c r="I778" i="14"/>
  <c r="R778" i="14"/>
  <c r="K779" i="14"/>
  <c r="Q779" i="14"/>
  <c r="R779" i="14"/>
  <c r="N781" i="14"/>
  <c r="M782" i="14"/>
  <c r="O782" i="14" s="1"/>
  <c r="R782" i="14"/>
  <c r="I784" i="14"/>
  <c r="R784" i="14"/>
  <c r="I785" i="14"/>
  <c r="R785" i="14"/>
  <c r="J786" i="14"/>
  <c r="I787" i="14"/>
  <c r="K787" i="14"/>
  <c r="R787" i="14"/>
  <c r="I788" i="14"/>
  <c r="K788" i="14" s="1"/>
  <c r="R788" i="14"/>
  <c r="I789" i="14"/>
  <c r="Q789" i="14" s="1"/>
  <c r="R789" i="14"/>
  <c r="K790" i="14"/>
  <c r="Q790" i="14"/>
  <c r="R790" i="14"/>
  <c r="S790" i="14" s="1"/>
  <c r="I791" i="14"/>
  <c r="R791" i="14"/>
  <c r="I792" i="14"/>
  <c r="Q792" i="14" s="1"/>
  <c r="R792" i="14"/>
  <c r="I793" i="14"/>
  <c r="Q793" i="14" s="1"/>
  <c r="R793" i="14"/>
  <c r="S793" i="14" s="1"/>
  <c r="I794" i="14"/>
  <c r="R794" i="14"/>
  <c r="J795" i="14"/>
  <c r="I796" i="14"/>
  <c r="Q796" i="14" s="1"/>
  <c r="K796" i="14"/>
  <c r="R796" i="14"/>
  <c r="I797" i="14"/>
  <c r="Q797" i="14" s="1"/>
  <c r="R797" i="14"/>
  <c r="I798" i="14"/>
  <c r="R798" i="14"/>
  <c r="I799" i="14"/>
  <c r="R799" i="14"/>
  <c r="K800" i="14"/>
  <c r="Q800" i="14"/>
  <c r="R800" i="14"/>
  <c r="I801" i="14"/>
  <c r="R801" i="14"/>
  <c r="I802" i="14"/>
  <c r="K802" i="14" s="1"/>
  <c r="R802" i="14"/>
  <c r="I803" i="14"/>
  <c r="R803" i="14"/>
  <c r="K804" i="14"/>
  <c r="Q804" i="14"/>
  <c r="R804" i="14"/>
  <c r="N806" i="14"/>
  <c r="N805" i="14" s="1"/>
  <c r="M807" i="14"/>
  <c r="M806" i="14" s="1"/>
  <c r="Q806" i="14" s="1"/>
  <c r="O807" i="14"/>
  <c r="Q807" i="14"/>
  <c r="R807" i="14"/>
  <c r="K809" i="14"/>
  <c r="Q809" i="14"/>
  <c r="R809" i="14"/>
  <c r="S809" i="14" s="1"/>
  <c r="K810" i="14"/>
  <c r="Q810" i="14"/>
  <c r="R810" i="14"/>
  <c r="J811" i="14"/>
  <c r="I812" i="14"/>
  <c r="R812" i="14"/>
  <c r="I813" i="14"/>
  <c r="R813" i="14"/>
  <c r="I814" i="14"/>
  <c r="Q814" i="14" s="1"/>
  <c r="R814" i="14"/>
  <c r="I815" i="14"/>
  <c r="R815" i="14"/>
  <c r="I816" i="14"/>
  <c r="K816" i="14" s="1"/>
  <c r="R816" i="14"/>
  <c r="I817" i="14"/>
  <c r="K817" i="14" s="1"/>
  <c r="R817" i="14"/>
  <c r="I818" i="14"/>
  <c r="Q818" i="14" s="1"/>
  <c r="R818" i="14"/>
  <c r="I819" i="14"/>
  <c r="Q819" i="14" s="1"/>
  <c r="R819" i="14"/>
  <c r="I820" i="14"/>
  <c r="K820" i="14" s="1"/>
  <c r="R820" i="14"/>
  <c r="I821" i="14"/>
  <c r="K821" i="14" s="1"/>
  <c r="R821" i="14"/>
  <c r="J822" i="14"/>
  <c r="I823" i="14"/>
  <c r="R823" i="14"/>
  <c r="I824" i="14"/>
  <c r="K824" i="14" s="1"/>
  <c r="R824" i="14"/>
  <c r="I825" i="14"/>
  <c r="Q825" i="14" s="1"/>
  <c r="K825" i="14"/>
  <c r="R825" i="14"/>
  <c r="K826" i="14"/>
  <c r="Q826" i="14"/>
  <c r="R826" i="14"/>
  <c r="I827" i="14"/>
  <c r="R827" i="14"/>
  <c r="I828" i="14"/>
  <c r="K828" i="14" s="1"/>
  <c r="R828" i="14"/>
  <c r="I829" i="14"/>
  <c r="Q829" i="14" s="1"/>
  <c r="R829" i="14"/>
  <c r="I830" i="14"/>
  <c r="K830" i="14" s="1"/>
  <c r="R830" i="14"/>
  <c r="K831" i="14"/>
  <c r="Q831" i="14"/>
  <c r="R831" i="14"/>
  <c r="N833" i="14"/>
  <c r="M834" i="14"/>
  <c r="M833" i="14" s="1"/>
  <c r="M832" i="14" s="1"/>
  <c r="R834" i="14"/>
  <c r="I836" i="14"/>
  <c r="K836" i="14"/>
  <c r="Q836" i="14"/>
  <c r="R836" i="14"/>
  <c r="S836" i="14" s="1"/>
  <c r="I837" i="14"/>
  <c r="R837" i="14"/>
  <c r="J838" i="14"/>
  <c r="K839" i="14"/>
  <c r="Q839" i="14"/>
  <c r="R839" i="14"/>
  <c r="I840" i="14"/>
  <c r="K840" i="14" s="1"/>
  <c r="R840" i="14"/>
  <c r="I841" i="14"/>
  <c r="K841" i="14" s="1"/>
  <c r="R841" i="14"/>
  <c r="K842" i="14"/>
  <c r="Q842" i="14"/>
  <c r="R842" i="14"/>
  <c r="I843" i="14"/>
  <c r="K843" i="14" s="1"/>
  <c r="R843" i="14"/>
  <c r="I844" i="14"/>
  <c r="R844" i="14"/>
  <c r="I845" i="14"/>
  <c r="Q845" i="14" s="1"/>
  <c r="K845" i="14"/>
  <c r="R845" i="14"/>
  <c r="I846" i="14"/>
  <c r="R846" i="14"/>
  <c r="I847" i="14"/>
  <c r="K847" i="14" s="1"/>
  <c r="R847" i="14"/>
  <c r="J848" i="14"/>
  <c r="K849" i="14"/>
  <c r="Q849" i="14"/>
  <c r="R849" i="14"/>
  <c r="I850" i="14"/>
  <c r="R850" i="14"/>
  <c r="I851" i="14"/>
  <c r="K851" i="14" s="1"/>
  <c r="R851" i="14"/>
  <c r="K852" i="14"/>
  <c r="Q852" i="14"/>
  <c r="R852" i="14"/>
  <c r="I853" i="14"/>
  <c r="Q853" i="14" s="1"/>
  <c r="K853" i="14"/>
  <c r="R853" i="14"/>
  <c r="I854" i="14"/>
  <c r="K854" i="14" s="1"/>
  <c r="R854" i="14"/>
  <c r="I855" i="14"/>
  <c r="K855" i="14" s="1"/>
  <c r="Q855" i="14"/>
  <c r="R855" i="14"/>
  <c r="K856" i="14"/>
  <c r="Q856" i="14"/>
  <c r="R856" i="14"/>
  <c r="N858" i="14"/>
  <c r="M859" i="14"/>
  <c r="M858" i="14" s="1"/>
  <c r="R859" i="14"/>
  <c r="O860" i="14"/>
  <c r="Q860" i="14"/>
  <c r="R860" i="14"/>
  <c r="N861" i="14"/>
  <c r="M862" i="14"/>
  <c r="Q862" i="14" s="1"/>
  <c r="R862" i="14"/>
  <c r="I864" i="14"/>
  <c r="R864" i="14"/>
  <c r="I865" i="14"/>
  <c r="Q865" i="14" s="1"/>
  <c r="K865" i="14"/>
  <c r="R865" i="14"/>
  <c r="J866" i="14"/>
  <c r="R866" i="14" s="1"/>
  <c r="K867" i="14"/>
  <c r="Q867" i="14"/>
  <c r="R867" i="14"/>
  <c r="I868" i="14"/>
  <c r="K868" i="14" s="1"/>
  <c r="R868" i="14"/>
  <c r="I869" i="14"/>
  <c r="K869" i="14" s="1"/>
  <c r="R869" i="14"/>
  <c r="I870" i="14"/>
  <c r="K870" i="14" s="1"/>
  <c r="R870" i="14"/>
  <c r="I871" i="14"/>
  <c r="Q871" i="14" s="1"/>
  <c r="R871" i="14"/>
  <c r="I872" i="14"/>
  <c r="Q872" i="14" s="1"/>
  <c r="R872" i="14"/>
  <c r="I873" i="14"/>
  <c r="R873" i="14"/>
  <c r="I874" i="14"/>
  <c r="R874" i="14"/>
  <c r="I875" i="14"/>
  <c r="Q875" i="14" s="1"/>
  <c r="R875" i="14"/>
  <c r="J876" i="14"/>
  <c r="R876" i="14" s="1"/>
  <c r="I877" i="14"/>
  <c r="K877" i="14" s="1"/>
  <c r="R877" i="14"/>
  <c r="I878" i="14"/>
  <c r="Q878" i="14" s="1"/>
  <c r="R878" i="14"/>
  <c r="I879" i="14"/>
  <c r="K879" i="14" s="1"/>
  <c r="R879" i="14"/>
  <c r="K880" i="14"/>
  <c r="Q880" i="14"/>
  <c r="R880" i="14"/>
  <c r="I881" i="14"/>
  <c r="K881" i="14" s="1"/>
  <c r="R881" i="14"/>
  <c r="I882" i="14"/>
  <c r="R882" i="14"/>
  <c r="I883" i="14"/>
  <c r="K883" i="14" s="1"/>
  <c r="R883" i="14"/>
  <c r="I884" i="14"/>
  <c r="Q884" i="14" s="1"/>
  <c r="R884" i="14"/>
  <c r="K885" i="14"/>
  <c r="Q885" i="14"/>
  <c r="R885" i="14"/>
  <c r="K886" i="14"/>
  <c r="Q886" i="14"/>
  <c r="R886" i="14"/>
  <c r="M888" i="14"/>
  <c r="Q888" i="14" s="1"/>
  <c r="N888" i="14"/>
  <c r="R888" i="14" s="1"/>
  <c r="O889" i="14"/>
  <c r="Q889" i="14"/>
  <c r="R889" i="14"/>
  <c r="S889" i="14"/>
  <c r="N890" i="14"/>
  <c r="O891" i="14"/>
  <c r="Q891" i="14"/>
  <c r="R891" i="14"/>
  <c r="M892" i="14"/>
  <c r="O892" i="14" s="1"/>
  <c r="R892" i="14"/>
  <c r="I894" i="14"/>
  <c r="K894" i="14" s="1"/>
  <c r="R894" i="14"/>
  <c r="I895" i="14"/>
  <c r="K895" i="14" s="1"/>
  <c r="R895" i="14"/>
  <c r="J896" i="14"/>
  <c r="R896" i="14" s="1"/>
  <c r="K897" i="14"/>
  <c r="Q897" i="14"/>
  <c r="R897" i="14"/>
  <c r="I898" i="14"/>
  <c r="Q898" i="14" s="1"/>
  <c r="R898" i="14"/>
  <c r="I899" i="14"/>
  <c r="Q899" i="14" s="1"/>
  <c r="R899" i="14"/>
  <c r="K900" i="14"/>
  <c r="Q900" i="14"/>
  <c r="R900" i="14"/>
  <c r="K901" i="14"/>
  <c r="Q901" i="14"/>
  <c r="R901" i="14"/>
  <c r="I902" i="14"/>
  <c r="R902" i="14"/>
  <c r="K903" i="14"/>
  <c r="Q903" i="14"/>
  <c r="R903" i="14"/>
  <c r="I904" i="14"/>
  <c r="K904" i="14" s="1"/>
  <c r="R904" i="14"/>
  <c r="I905" i="14"/>
  <c r="K905" i="14" s="1"/>
  <c r="R905" i="14"/>
  <c r="J906" i="14"/>
  <c r="R906" i="14" s="1"/>
  <c r="K907" i="14"/>
  <c r="Q907" i="14"/>
  <c r="R907" i="14"/>
  <c r="I908" i="14"/>
  <c r="R908" i="14"/>
  <c r="I909" i="14"/>
  <c r="R909" i="14"/>
  <c r="K910" i="14"/>
  <c r="Q910" i="14"/>
  <c r="R910" i="14"/>
  <c r="K911" i="14"/>
  <c r="Q911" i="14"/>
  <c r="R911" i="14"/>
  <c r="I912" i="14"/>
  <c r="R912" i="14"/>
  <c r="I913" i="14"/>
  <c r="R913" i="14"/>
  <c r="K914" i="14"/>
  <c r="Q914" i="14"/>
  <c r="R914" i="14"/>
  <c r="M916" i="14"/>
  <c r="Q916" i="14" s="1"/>
  <c r="N916" i="14"/>
  <c r="O917" i="14"/>
  <c r="Q917" i="14"/>
  <c r="R917" i="14"/>
  <c r="M918" i="14"/>
  <c r="Q918" i="14" s="1"/>
  <c r="N918" i="14"/>
  <c r="O919" i="14"/>
  <c r="Q919" i="14"/>
  <c r="R919" i="14"/>
  <c r="I921" i="14"/>
  <c r="R921" i="14"/>
  <c r="I922" i="14"/>
  <c r="Q922" i="14" s="1"/>
  <c r="K922" i="14"/>
  <c r="R922" i="14"/>
  <c r="J923" i="14"/>
  <c r="R923" i="14" s="1"/>
  <c r="I924" i="14"/>
  <c r="R924" i="14"/>
  <c r="I925" i="14"/>
  <c r="K925" i="14" s="1"/>
  <c r="R925" i="14"/>
  <c r="K926" i="14"/>
  <c r="Q926" i="14"/>
  <c r="R926" i="14"/>
  <c r="K927" i="14"/>
  <c r="Q927" i="14"/>
  <c r="R927" i="14"/>
  <c r="K928" i="14"/>
  <c r="Q928" i="14"/>
  <c r="R928" i="14"/>
  <c r="I929" i="14"/>
  <c r="Q929" i="14" s="1"/>
  <c r="R929" i="14"/>
  <c r="I930" i="14"/>
  <c r="R930" i="14"/>
  <c r="I931" i="14"/>
  <c r="K931" i="14" s="1"/>
  <c r="R931" i="14"/>
  <c r="I932" i="14"/>
  <c r="R932" i="14"/>
  <c r="J933" i="14"/>
  <c r="R933" i="14" s="1"/>
  <c r="I934" i="14"/>
  <c r="Q934" i="14" s="1"/>
  <c r="R934" i="14"/>
  <c r="I935" i="14"/>
  <c r="R935" i="14"/>
  <c r="I936" i="14"/>
  <c r="Q936" i="14" s="1"/>
  <c r="R936" i="14"/>
  <c r="S936" i="14" s="1"/>
  <c r="I937" i="14"/>
  <c r="R937" i="14"/>
  <c r="I938" i="14"/>
  <c r="R938" i="14"/>
  <c r="K939" i="14"/>
  <c r="Q939" i="14"/>
  <c r="R939" i="14"/>
  <c r="M941" i="14"/>
  <c r="N941" i="14"/>
  <c r="Q941" i="14"/>
  <c r="O942" i="14"/>
  <c r="Q942" i="14"/>
  <c r="R942" i="14"/>
  <c r="M943" i="14"/>
  <c r="N943" i="14"/>
  <c r="O944" i="14"/>
  <c r="Q944" i="14"/>
  <c r="R944" i="14"/>
  <c r="J946" i="14"/>
  <c r="R946" i="14" s="1"/>
  <c r="I947" i="14"/>
  <c r="R947" i="14"/>
  <c r="I948" i="14"/>
  <c r="K948" i="14" s="1"/>
  <c r="R948" i="14"/>
  <c r="I949" i="14"/>
  <c r="R949" i="14"/>
  <c r="I950" i="14"/>
  <c r="R950" i="14"/>
  <c r="I951" i="14"/>
  <c r="K951" i="14"/>
  <c r="R951" i="14"/>
  <c r="I952" i="14"/>
  <c r="R952" i="14"/>
  <c r="I953" i="14"/>
  <c r="R953" i="14"/>
  <c r="I954" i="14"/>
  <c r="R954" i="14"/>
  <c r="I955" i="14"/>
  <c r="K955" i="14" s="1"/>
  <c r="R955" i="14"/>
  <c r="I957" i="14"/>
  <c r="R957" i="14"/>
  <c r="I958" i="14"/>
  <c r="R958" i="14"/>
  <c r="J959" i="14"/>
  <c r="I960" i="14"/>
  <c r="R960" i="14"/>
  <c r="I961" i="14"/>
  <c r="Q961" i="14" s="1"/>
  <c r="R961" i="14"/>
  <c r="I962" i="14"/>
  <c r="K962" i="14" s="1"/>
  <c r="R962" i="14"/>
  <c r="K963" i="14"/>
  <c r="Q963" i="14"/>
  <c r="R963" i="14"/>
  <c r="I964" i="14"/>
  <c r="R964" i="14"/>
  <c r="I965" i="14"/>
  <c r="R965" i="14"/>
  <c r="I966" i="14"/>
  <c r="K966" i="14" s="1"/>
  <c r="R966" i="14"/>
  <c r="I967" i="14"/>
  <c r="R967" i="14"/>
  <c r="I969" i="14"/>
  <c r="Q969" i="14" s="1"/>
  <c r="R969" i="14"/>
  <c r="I970" i="14"/>
  <c r="K970" i="14" s="1"/>
  <c r="R970" i="14"/>
  <c r="J971" i="14"/>
  <c r="I972" i="14"/>
  <c r="K972" i="14" s="1"/>
  <c r="R972" i="14"/>
  <c r="I973" i="14"/>
  <c r="R973" i="14"/>
  <c r="I974" i="14"/>
  <c r="R974" i="14"/>
  <c r="K975" i="14"/>
  <c r="Q975" i="14"/>
  <c r="R975" i="14"/>
  <c r="I976" i="14"/>
  <c r="Q976" i="14" s="1"/>
  <c r="R976" i="14"/>
  <c r="I977" i="14"/>
  <c r="K977" i="14" s="1"/>
  <c r="R977" i="14"/>
  <c r="I979" i="14"/>
  <c r="Q979" i="14" s="1"/>
  <c r="R979" i="14"/>
  <c r="I980" i="14"/>
  <c r="Q980" i="14" s="1"/>
  <c r="R980" i="14"/>
  <c r="I981" i="14"/>
  <c r="Q981" i="14" s="1"/>
  <c r="J981" i="14"/>
  <c r="K982" i="14"/>
  <c r="Q982" i="14"/>
  <c r="R982" i="14"/>
  <c r="K983" i="14"/>
  <c r="Q983" i="14"/>
  <c r="R983" i="14"/>
  <c r="K984" i="14"/>
  <c r="Q984" i="14"/>
  <c r="R984" i="14"/>
  <c r="I985" i="14"/>
  <c r="R985" i="14"/>
  <c r="I987" i="14"/>
  <c r="K987" i="14" s="1"/>
  <c r="R987" i="14"/>
  <c r="I988" i="14"/>
  <c r="R988" i="14"/>
  <c r="J989" i="14"/>
  <c r="J986" i="14" s="1"/>
  <c r="K990" i="14"/>
  <c r="Q990" i="14"/>
  <c r="R990" i="14"/>
  <c r="I991" i="14"/>
  <c r="K991" i="14" s="1"/>
  <c r="R991" i="14"/>
  <c r="I992" i="14"/>
  <c r="R992" i="14"/>
  <c r="I993" i="14"/>
  <c r="K993" i="14" s="1"/>
  <c r="Q993" i="14"/>
  <c r="R993" i="14"/>
  <c r="I994" i="14"/>
  <c r="R994" i="14"/>
  <c r="I996" i="14"/>
  <c r="R996" i="14"/>
  <c r="I997" i="14"/>
  <c r="R997" i="14"/>
  <c r="J998" i="14"/>
  <c r="R998" i="14" s="1"/>
  <c r="I999" i="14"/>
  <c r="K999" i="14" s="1"/>
  <c r="R999" i="14"/>
  <c r="I1000" i="14"/>
  <c r="K1000" i="14" s="1"/>
  <c r="Q1000" i="14"/>
  <c r="R1000" i="14"/>
  <c r="I1001" i="14"/>
  <c r="K1001" i="14" s="1"/>
  <c r="R1001" i="14"/>
  <c r="I1002" i="14"/>
  <c r="R1002" i="14"/>
  <c r="I1003" i="14"/>
  <c r="K1003" i="14" s="1"/>
  <c r="R1003" i="14"/>
  <c r="I1005" i="14"/>
  <c r="R1005" i="14"/>
  <c r="I1006" i="14"/>
  <c r="K1006" i="14" s="1"/>
  <c r="R1006" i="14"/>
  <c r="J1007" i="14"/>
  <c r="J1004" i="14" s="1"/>
  <c r="R1004" i="14" s="1"/>
  <c r="I1008" i="14"/>
  <c r="K1008" i="14" s="1"/>
  <c r="R1008" i="14"/>
  <c r="I1009" i="14"/>
  <c r="K1009" i="14" s="1"/>
  <c r="R1009" i="14"/>
  <c r="I1010" i="14"/>
  <c r="R1010" i="14"/>
  <c r="I1011" i="14"/>
  <c r="K1011" i="14" s="1"/>
  <c r="Q1011" i="14"/>
  <c r="R1011" i="14"/>
  <c r="I1012" i="14"/>
  <c r="K1012" i="14" s="1"/>
  <c r="R1012" i="14"/>
  <c r="I1014" i="14"/>
  <c r="Q1014" i="14" s="1"/>
  <c r="R1014" i="14"/>
  <c r="I1015" i="14"/>
  <c r="Q1015" i="14" s="1"/>
  <c r="R1015" i="14"/>
  <c r="J1016" i="14"/>
  <c r="J1013" i="14" s="1"/>
  <c r="R1013" i="14" s="1"/>
  <c r="R1016" i="14"/>
  <c r="K1017" i="14"/>
  <c r="Q1017" i="14"/>
  <c r="R1017" i="14"/>
  <c r="K1018" i="14"/>
  <c r="Q1018" i="14"/>
  <c r="R1018" i="14"/>
  <c r="I1019" i="14"/>
  <c r="R1019" i="14"/>
  <c r="I1020" i="14"/>
  <c r="R1020" i="14"/>
  <c r="K1021" i="14"/>
  <c r="Q1021" i="14"/>
  <c r="R1021" i="14"/>
  <c r="I1023" i="14"/>
  <c r="R1023" i="14"/>
  <c r="I1024" i="14"/>
  <c r="R1024" i="14"/>
  <c r="J1025" i="14"/>
  <c r="J1022" i="14" s="1"/>
  <c r="R1022" i="14" s="1"/>
  <c r="K1026" i="14"/>
  <c r="Q1026" i="14"/>
  <c r="R1026" i="14"/>
  <c r="S1026" i="14" s="1"/>
  <c r="K1027" i="14"/>
  <c r="Q1027" i="14"/>
  <c r="R1027" i="14"/>
  <c r="I1028" i="14"/>
  <c r="K1028" i="14" s="1"/>
  <c r="R1028" i="14"/>
  <c r="K1029" i="14"/>
  <c r="Q1029" i="14"/>
  <c r="R1029" i="14"/>
  <c r="I1030" i="14"/>
  <c r="R1030" i="14"/>
  <c r="I1032" i="14"/>
  <c r="R1032" i="14"/>
  <c r="I1033" i="14"/>
  <c r="R1033" i="14"/>
  <c r="J1034" i="14"/>
  <c r="K1035" i="14"/>
  <c r="Q1035" i="14"/>
  <c r="R1035" i="14"/>
  <c r="K1036" i="14"/>
  <c r="Q1036" i="14"/>
  <c r="R1036" i="14"/>
  <c r="S1036" i="14" s="1"/>
  <c r="I1037" i="14"/>
  <c r="R1037" i="14"/>
  <c r="I1038" i="14"/>
  <c r="R1038" i="14"/>
  <c r="I1039" i="14"/>
  <c r="K1039" i="14" s="1"/>
  <c r="R1039" i="14"/>
  <c r="I1041" i="14"/>
  <c r="K1041" i="14" s="1"/>
  <c r="R1041" i="14"/>
  <c r="I1042" i="14"/>
  <c r="Q1042" i="14" s="1"/>
  <c r="R1042" i="14"/>
  <c r="J1043" i="14"/>
  <c r="K1044" i="14"/>
  <c r="Q1044" i="14"/>
  <c r="R1044" i="14"/>
  <c r="I1045" i="14"/>
  <c r="K1045" i="14" s="1"/>
  <c r="R1045" i="14"/>
  <c r="I1046" i="14"/>
  <c r="K1046" i="14" s="1"/>
  <c r="R1046" i="14"/>
  <c r="I1047" i="14"/>
  <c r="Q1047" i="14" s="1"/>
  <c r="R1047" i="14"/>
  <c r="I1048" i="14"/>
  <c r="R1048" i="14"/>
  <c r="I1049" i="14"/>
  <c r="R1049" i="14"/>
  <c r="K1050" i="14"/>
  <c r="Q1050" i="14"/>
  <c r="R1050" i="14"/>
  <c r="N1052" i="14"/>
  <c r="N1051" i="14" s="1"/>
  <c r="R1051" i="14" s="1"/>
  <c r="R1052" i="14"/>
  <c r="M1053" i="14"/>
  <c r="O1053" i="14" s="1"/>
  <c r="R1053" i="14"/>
  <c r="I1055" i="14"/>
  <c r="Q1055" i="14" s="1"/>
  <c r="J1055" i="14"/>
  <c r="R1055" i="14" s="1"/>
  <c r="K1056" i="14"/>
  <c r="Q1056" i="14"/>
  <c r="R1056" i="14"/>
  <c r="J1057" i="14"/>
  <c r="I1058" i="14"/>
  <c r="K1058" i="14" s="1"/>
  <c r="R1058" i="14"/>
  <c r="I1059" i="14"/>
  <c r="Q1059" i="14" s="1"/>
  <c r="R1059" i="14"/>
  <c r="S1059" i="14" s="1"/>
  <c r="I1060" i="14"/>
  <c r="K1060" i="14" s="1"/>
  <c r="R1060" i="14"/>
  <c r="I1061" i="14"/>
  <c r="K1061" i="14" s="1"/>
  <c r="R1061" i="14"/>
  <c r="I1062" i="14"/>
  <c r="Q1062" i="14" s="1"/>
  <c r="R1062" i="14"/>
  <c r="I1063" i="14"/>
  <c r="K1063" i="14" s="1"/>
  <c r="Q1063" i="14"/>
  <c r="R1063" i="14"/>
  <c r="I1064" i="14"/>
  <c r="K1064" i="14"/>
  <c r="Q1064" i="14"/>
  <c r="R1064" i="14"/>
  <c r="I1065" i="14"/>
  <c r="K1065" i="14" s="1"/>
  <c r="R1065" i="14"/>
  <c r="I1066" i="14"/>
  <c r="R1066" i="14"/>
  <c r="I1067" i="14"/>
  <c r="R1067" i="14"/>
  <c r="I1068" i="14"/>
  <c r="R1068" i="14"/>
  <c r="I1071" i="14"/>
  <c r="K1071" i="14"/>
  <c r="R1071" i="14"/>
  <c r="I1072" i="14"/>
  <c r="R1072" i="14"/>
  <c r="J1073" i="14"/>
  <c r="J1070" i="14" s="1"/>
  <c r="R1070" i="14" s="1"/>
  <c r="R1073" i="14"/>
  <c r="K1074" i="14"/>
  <c r="Q1074" i="14"/>
  <c r="R1074" i="14"/>
  <c r="I1075" i="14"/>
  <c r="R1075" i="14"/>
  <c r="K1076" i="14"/>
  <c r="Q1076" i="14"/>
  <c r="R1076" i="14"/>
  <c r="K1077" i="14"/>
  <c r="Q1077" i="14"/>
  <c r="R1077" i="14"/>
  <c r="K1078" i="14"/>
  <c r="Q1078" i="14"/>
  <c r="R1078" i="14"/>
  <c r="I1079" i="14"/>
  <c r="R1079" i="14"/>
  <c r="I1080" i="14"/>
  <c r="K1080" i="14" s="1"/>
  <c r="R1080" i="14"/>
  <c r="I1082" i="14"/>
  <c r="R1082" i="14"/>
  <c r="I1083" i="14"/>
  <c r="K1083" i="14" s="1"/>
  <c r="R1083" i="14"/>
  <c r="J1084" i="14"/>
  <c r="J1081" i="14" s="1"/>
  <c r="I1085" i="14"/>
  <c r="K1085" i="14" s="1"/>
  <c r="R1085" i="14"/>
  <c r="K1086" i="14"/>
  <c r="Q1086" i="14"/>
  <c r="R1086" i="14"/>
  <c r="I1087" i="14"/>
  <c r="K1087" i="14" s="1"/>
  <c r="R1087" i="14"/>
  <c r="I1088" i="14"/>
  <c r="R1088" i="14"/>
  <c r="K1089" i="14"/>
  <c r="Q1089" i="14"/>
  <c r="R1089" i="14"/>
  <c r="M1091" i="14"/>
  <c r="N1091" i="14"/>
  <c r="N1090" i="14" s="1"/>
  <c r="O1092" i="14"/>
  <c r="Q1092" i="14"/>
  <c r="R1092" i="14"/>
  <c r="S1092" i="14" s="1"/>
  <c r="I1094" i="14"/>
  <c r="Q1094" i="14" s="1"/>
  <c r="R1094" i="14"/>
  <c r="I1095" i="14"/>
  <c r="K1095" i="14" s="1"/>
  <c r="R1095" i="14"/>
  <c r="J1096" i="14"/>
  <c r="R1096" i="14" s="1"/>
  <c r="I1097" i="14"/>
  <c r="K1097" i="14" s="1"/>
  <c r="R1097" i="14"/>
  <c r="I1098" i="14"/>
  <c r="K1098" i="14" s="1"/>
  <c r="R1098" i="14"/>
  <c r="I1099" i="14"/>
  <c r="K1099" i="14" s="1"/>
  <c r="R1099" i="14"/>
  <c r="I1100" i="14"/>
  <c r="Q1100" i="14" s="1"/>
  <c r="R1100" i="14"/>
  <c r="I1101" i="14"/>
  <c r="Q1101" i="14" s="1"/>
  <c r="R1101" i="14"/>
  <c r="M1103" i="14"/>
  <c r="Q1103" i="14" s="1"/>
  <c r="N1103" i="14"/>
  <c r="R1103" i="14" s="1"/>
  <c r="O1104" i="14"/>
  <c r="Q1104" i="14"/>
  <c r="R1104" i="14"/>
  <c r="M1105" i="14"/>
  <c r="N1105" i="14"/>
  <c r="R1105" i="14" s="1"/>
  <c r="O1106" i="14"/>
  <c r="Q1106" i="14"/>
  <c r="R1106" i="14"/>
  <c r="I1108" i="14"/>
  <c r="Q1108" i="14" s="1"/>
  <c r="R1108" i="14"/>
  <c r="I1109" i="14"/>
  <c r="R1109" i="14"/>
  <c r="J1110" i="14"/>
  <c r="K1111" i="14"/>
  <c r="Q1111" i="14"/>
  <c r="R1111" i="14"/>
  <c r="K1112" i="14"/>
  <c r="Q1112" i="14"/>
  <c r="R1112" i="14"/>
  <c r="S1112" i="14" s="1"/>
  <c r="I1113" i="14"/>
  <c r="K1113" i="14" s="1"/>
  <c r="R1113" i="14"/>
  <c r="I1114" i="14"/>
  <c r="K1114" i="14" s="1"/>
  <c r="R1114" i="14"/>
  <c r="K1115" i="14"/>
  <c r="Q1115" i="14"/>
  <c r="R1115" i="14"/>
  <c r="I1117" i="14"/>
  <c r="R1117" i="14"/>
  <c r="I1118" i="14"/>
  <c r="K1118" i="14" s="1"/>
  <c r="R1118" i="14"/>
  <c r="J1119" i="14"/>
  <c r="J1116" i="14" s="1"/>
  <c r="K1120" i="14"/>
  <c r="Q1120" i="14"/>
  <c r="R1120" i="14"/>
  <c r="K1121" i="14"/>
  <c r="Q1121" i="14"/>
  <c r="R1121" i="14"/>
  <c r="I1122" i="14"/>
  <c r="R1122" i="14"/>
  <c r="I1123" i="14"/>
  <c r="R1123" i="14"/>
  <c r="I1124" i="14"/>
  <c r="R1124" i="14"/>
  <c r="M1126" i="14"/>
  <c r="N1126" i="14"/>
  <c r="O1127" i="14"/>
  <c r="Q1127" i="14"/>
  <c r="R1127" i="14"/>
  <c r="I1129" i="14"/>
  <c r="K1129" i="14" s="1"/>
  <c r="R1129" i="14"/>
  <c r="I1130" i="14"/>
  <c r="K1130" i="14" s="1"/>
  <c r="R1130" i="14"/>
  <c r="J1131" i="14"/>
  <c r="R1131" i="14" s="1"/>
  <c r="K1132" i="14"/>
  <c r="Q1132" i="14"/>
  <c r="R1132" i="14"/>
  <c r="K1133" i="14"/>
  <c r="Q1133" i="14"/>
  <c r="R1133" i="14"/>
  <c r="S1133" i="14" s="1"/>
  <c r="K1134" i="14"/>
  <c r="Q1134" i="14"/>
  <c r="R1134" i="14"/>
  <c r="I1135" i="14"/>
  <c r="I1131" i="14" s="1"/>
  <c r="R1135" i="14"/>
  <c r="I1136" i="14"/>
  <c r="K1136" i="14" s="1"/>
  <c r="R1136" i="14"/>
  <c r="I1138" i="14"/>
  <c r="Q1138" i="14" s="1"/>
  <c r="R1138" i="14"/>
  <c r="I1139" i="14"/>
  <c r="R1139" i="14"/>
  <c r="J1140" i="14"/>
  <c r="K1141" i="14"/>
  <c r="Q1141" i="14"/>
  <c r="R1141" i="14"/>
  <c r="K1142" i="14"/>
  <c r="Q1142" i="14"/>
  <c r="R1142" i="14"/>
  <c r="K1143" i="14"/>
  <c r="Q1143" i="14"/>
  <c r="R1143" i="14"/>
  <c r="I1144" i="14"/>
  <c r="K1144" i="14" s="1"/>
  <c r="R1144" i="14"/>
  <c r="K1145" i="14"/>
  <c r="Q1145" i="14"/>
  <c r="R1145" i="14"/>
  <c r="S1145" i="14"/>
  <c r="I1147" i="14"/>
  <c r="K1147" i="14" s="1"/>
  <c r="R1147" i="14"/>
  <c r="I1148" i="14"/>
  <c r="Q1148" i="14" s="1"/>
  <c r="R1148" i="14"/>
  <c r="J1149" i="14"/>
  <c r="J1146" i="14" s="1"/>
  <c r="R1146" i="14" s="1"/>
  <c r="K1150" i="14"/>
  <c r="Q1150" i="14"/>
  <c r="R1150" i="14"/>
  <c r="I1151" i="14"/>
  <c r="K1151" i="14" s="1"/>
  <c r="R1151" i="14"/>
  <c r="I1152" i="14"/>
  <c r="R1152" i="14"/>
  <c r="I1153" i="14"/>
  <c r="R1153" i="14"/>
  <c r="I1154" i="14"/>
  <c r="Q1154" i="14" s="1"/>
  <c r="R1154" i="14"/>
  <c r="I1156" i="14"/>
  <c r="Q1156" i="14" s="1"/>
  <c r="K1156" i="14"/>
  <c r="R1156" i="14"/>
  <c r="I1157" i="14"/>
  <c r="R1157" i="14"/>
  <c r="J1158" i="14"/>
  <c r="J1155" i="14" s="1"/>
  <c r="R1155" i="14" s="1"/>
  <c r="R1158" i="14"/>
  <c r="K1159" i="14"/>
  <c r="Q1159" i="14"/>
  <c r="R1159" i="14"/>
  <c r="K1160" i="14"/>
  <c r="Q1160" i="14"/>
  <c r="R1160" i="14"/>
  <c r="K1161" i="14"/>
  <c r="Q1161" i="14"/>
  <c r="R1161" i="14"/>
  <c r="I1162" i="14"/>
  <c r="R1162" i="14"/>
  <c r="I1163" i="14"/>
  <c r="K1163" i="14" s="1"/>
  <c r="R1163" i="14"/>
  <c r="I1165" i="14"/>
  <c r="R1165" i="14"/>
  <c r="I1166" i="14"/>
  <c r="K1166" i="14"/>
  <c r="Q1166" i="14"/>
  <c r="R1166" i="14"/>
  <c r="J1167" i="14"/>
  <c r="R1167" i="14" s="1"/>
  <c r="K1168" i="14"/>
  <c r="Q1168" i="14"/>
  <c r="R1168" i="14"/>
  <c r="K1169" i="14"/>
  <c r="Q1169" i="14"/>
  <c r="R1169" i="14"/>
  <c r="K1170" i="14"/>
  <c r="Q1170" i="14"/>
  <c r="R1170" i="14"/>
  <c r="I1171" i="14"/>
  <c r="I1167" i="14" s="1"/>
  <c r="R1171" i="14"/>
  <c r="K1172" i="14"/>
  <c r="Q1172" i="14"/>
  <c r="R1172" i="14"/>
  <c r="I1174" i="14"/>
  <c r="R1174" i="14"/>
  <c r="I1175" i="14"/>
  <c r="K1175" i="14" s="1"/>
  <c r="R1175" i="14"/>
  <c r="J1176" i="14"/>
  <c r="J1173" i="14" s="1"/>
  <c r="K1177" i="14"/>
  <c r="Q1177" i="14"/>
  <c r="R1177" i="14"/>
  <c r="I1178" i="14"/>
  <c r="R1178" i="14"/>
  <c r="I1179" i="14"/>
  <c r="Q1179" i="14" s="1"/>
  <c r="R1179" i="14"/>
  <c r="I1180" i="14"/>
  <c r="K1180" i="14" s="1"/>
  <c r="R1180" i="14"/>
  <c r="K1181" i="14"/>
  <c r="Q1181" i="14"/>
  <c r="R1181" i="14"/>
  <c r="N1183" i="14"/>
  <c r="M1184" i="14"/>
  <c r="Q1184" i="14" s="1"/>
  <c r="O1184" i="14"/>
  <c r="R1184" i="14"/>
  <c r="M1185" i="14"/>
  <c r="R1185" i="14"/>
  <c r="M1186" i="14"/>
  <c r="N1186" i="14"/>
  <c r="R1186" i="14" s="1"/>
  <c r="O1187" i="14"/>
  <c r="Q1187" i="14"/>
  <c r="R1187" i="14"/>
  <c r="S1187" i="14" s="1"/>
  <c r="I1189" i="14"/>
  <c r="K1189" i="14" s="1"/>
  <c r="R1189" i="14"/>
  <c r="I1190" i="14"/>
  <c r="K1190" i="14" s="1"/>
  <c r="R1190" i="14"/>
  <c r="J1191" i="14"/>
  <c r="R1191" i="14" s="1"/>
  <c r="I1192" i="14"/>
  <c r="R1192" i="14"/>
  <c r="K1193" i="14"/>
  <c r="Q1193" i="14"/>
  <c r="R1193" i="14"/>
  <c r="K1194" i="14"/>
  <c r="Q1194" i="14"/>
  <c r="R1194" i="14"/>
  <c r="S1194" i="14" s="1"/>
  <c r="I1195" i="14"/>
  <c r="Q1195" i="14" s="1"/>
  <c r="K1195" i="14"/>
  <c r="R1195" i="14"/>
  <c r="K1196" i="14"/>
  <c r="Q1196" i="14"/>
  <c r="R1196" i="14"/>
  <c r="S1196" i="14" s="1"/>
  <c r="M1198" i="14"/>
  <c r="N1198" i="14"/>
  <c r="N1197" i="14" s="1"/>
  <c r="N1188" i="14" s="1"/>
  <c r="O1199" i="14"/>
  <c r="Q1199" i="14"/>
  <c r="R1199" i="14"/>
  <c r="I1201" i="14"/>
  <c r="K1201" i="14" s="1"/>
  <c r="R1201" i="14"/>
  <c r="I1202" i="14"/>
  <c r="R1202" i="14"/>
  <c r="J1203" i="14"/>
  <c r="K1204" i="14"/>
  <c r="Q1204" i="14"/>
  <c r="R1204" i="14"/>
  <c r="K1205" i="14"/>
  <c r="Q1205" i="14"/>
  <c r="R1205" i="14"/>
  <c r="S1205" i="14" s="1"/>
  <c r="K1206" i="14"/>
  <c r="Q1206" i="14"/>
  <c r="R1206" i="14"/>
  <c r="I1207" i="14"/>
  <c r="R1207" i="14"/>
  <c r="K1208" i="14"/>
  <c r="Q1208" i="14"/>
  <c r="R1208" i="14"/>
  <c r="S1208" i="14" s="1"/>
  <c r="I1210" i="14"/>
  <c r="K1210" i="14" s="1"/>
  <c r="R1210" i="14"/>
  <c r="I1211" i="14"/>
  <c r="K1211" i="14" s="1"/>
  <c r="R1211" i="14"/>
  <c r="J1212" i="14"/>
  <c r="K1213" i="14"/>
  <c r="Q1213" i="14"/>
  <c r="R1213" i="14"/>
  <c r="K1214" i="14"/>
  <c r="Q1214" i="14"/>
  <c r="R1214" i="14"/>
  <c r="K1215" i="14"/>
  <c r="Q1215" i="14"/>
  <c r="R1215" i="14"/>
  <c r="I1216" i="14"/>
  <c r="R1216" i="14"/>
  <c r="K1217" i="14"/>
  <c r="Q1217" i="14"/>
  <c r="R1217" i="14"/>
  <c r="I1219" i="14"/>
  <c r="K1219" i="14" s="1"/>
  <c r="R1219" i="14"/>
  <c r="I1220" i="14"/>
  <c r="R1220" i="14"/>
  <c r="J1221" i="14"/>
  <c r="J1218" i="14" s="1"/>
  <c r="R1218" i="14" s="1"/>
  <c r="I1222" i="14"/>
  <c r="K1222" i="14" s="1"/>
  <c r="R1222" i="14"/>
  <c r="K1223" i="14"/>
  <c r="Q1223" i="14"/>
  <c r="R1223" i="14"/>
  <c r="K1224" i="14"/>
  <c r="Q1224" i="14"/>
  <c r="R1224" i="14"/>
  <c r="I1225" i="14"/>
  <c r="R1225" i="14"/>
  <c r="K1226" i="14"/>
  <c r="Q1226" i="14"/>
  <c r="R1226" i="14"/>
  <c r="S1226" i="14" s="1"/>
  <c r="I1228" i="14"/>
  <c r="K1228" i="14" s="1"/>
  <c r="R1228" i="14"/>
  <c r="I1229" i="14"/>
  <c r="Q1229" i="14" s="1"/>
  <c r="R1229" i="14"/>
  <c r="J1230" i="14"/>
  <c r="I1231" i="14"/>
  <c r="R1231" i="14"/>
  <c r="I1232" i="14"/>
  <c r="K1232" i="14" s="1"/>
  <c r="R1232" i="14"/>
  <c r="I1233" i="14"/>
  <c r="Q1233" i="14" s="1"/>
  <c r="R1233" i="14"/>
  <c r="I1234" i="14"/>
  <c r="K1234" i="14" s="1"/>
  <c r="R1234" i="14"/>
  <c r="I1235" i="14"/>
  <c r="R1235" i="14"/>
  <c r="I1236" i="14"/>
  <c r="Q1236" i="14" s="1"/>
  <c r="R1236" i="14"/>
  <c r="I1237" i="14"/>
  <c r="R1237" i="14"/>
  <c r="J1238" i="14"/>
  <c r="I1239" i="14"/>
  <c r="Q1239" i="14" s="1"/>
  <c r="R1239" i="14"/>
  <c r="I1240" i="14"/>
  <c r="K1240" i="14" s="1"/>
  <c r="R1240" i="14"/>
  <c r="I1241" i="14"/>
  <c r="R1241" i="14"/>
  <c r="I1242" i="14"/>
  <c r="R1242" i="14"/>
  <c r="I1243" i="14"/>
  <c r="R1243" i="14"/>
  <c r="N1245" i="14"/>
  <c r="M1246" i="14"/>
  <c r="O1246" i="14" s="1"/>
  <c r="R1246" i="14"/>
  <c r="M1247" i="14"/>
  <c r="Q1247" i="14" s="1"/>
  <c r="N1247" i="14"/>
  <c r="O1248" i="14"/>
  <c r="Q1248" i="14"/>
  <c r="R1248" i="14"/>
  <c r="S1248" i="14" s="1"/>
  <c r="I1250" i="14"/>
  <c r="R1250" i="14"/>
  <c r="I1251" i="14"/>
  <c r="K1251" i="14" s="1"/>
  <c r="R1251" i="14"/>
  <c r="J1252" i="14"/>
  <c r="I1253" i="14"/>
  <c r="I1252" i="14" s="1"/>
  <c r="Q1252" i="14" s="1"/>
  <c r="R1253" i="14"/>
  <c r="K1254" i="14"/>
  <c r="Q1254" i="14"/>
  <c r="R1254" i="14"/>
  <c r="I1255" i="14"/>
  <c r="R1255" i="14"/>
  <c r="I1256" i="14"/>
  <c r="K1256" i="14"/>
  <c r="Q1256" i="14"/>
  <c r="R1256" i="14"/>
  <c r="I1257" i="14"/>
  <c r="Q1257" i="14" s="1"/>
  <c r="R1257" i="14"/>
  <c r="J1258" i="14"/>
  <c r="K1259" i="14"/>
  <c r="Q1259" i="14"/>
  <c r="R1259" i="14"/>
  <c r="I1260" i="14"/>
  <c r="I1258" i="14" s="1"/>
  <c r="Q1258" i="14" s="1"/>
  <c r="Q1260" i="14"/>
  <c r="R1260" i="14"/>
  <c r="K1261" i="14"/>
  <c r="Q1261" i="14"/>
  <c r="R1261" i="14"/>
  <c r="K1262" i="14"/>
  <c r="Q1262" i="14"/>
  <c r="R1262" i="14"/>
  <c r="K1263" i="14"/>
  <c r="Q1263" i="14"/>
  <c r="R1263" i="14"/>
  <c r="M1265" i="14"/>
  <c r="Q1265" i="14" s="1"/>
  <c r="N1265" i="14"/>
  <c r="O1266" i="14"/>
  <c r="Q1266" i="14"/>
  <c r="R1266" i="14"/>
  <c r="O1267" i="14"/>
  <c r="Q1267" i="14"/>
  <c r="R1267" i="14"/>
  <c r="O1268" i="14"/>
  <c r="Q1268" i="14"/>
  <c r="R1268" i="14"/>
  <c r="M1269" i="14"/>
  <c r="N1269" i="14"/>
  <c r="R1269" i="14" s="1"/>
  <c r="O1270" i="14"/>
  <c r="Q1270" i="14"/>
  <c r="R1270" i="14"/>
  <c r="S1270" i="14" s="1"/>
  <c r="Q1271" i="14"/>
  <c r="R1271" i="14"/>
  <c r="K1273" i="14"/>
  <c r="Q1273" i="14"/>
  <c r="R1273" i="14"/>
  <c r="I1274" i="14"/>
  <c r="K1274" i="14" s="1"/>
  <c r="R1274" i="14"/>
  <c r="J1275" i="14"/>
  <c r="I1276" i="14"/>
  <c r="R1276" i="14"/>
  <c r="I1277" i="14"/>
  <c r="K1277" i="14" s="1"/>
  <c r="R1277" i="14"/>
  <c r="K1278" i="14"/>
  <c r="Q1278" i="14"/>
  <c r="R1278" i="14"/>
  <c r="K1279" i="14"/>
  <c r="Q1279" i="14"/>
  <c r="R1279" i="14"/>
  <c r="I1280" i="14"/>
  <c r="Q1280" i="14" s="1"/>
  <c r="R1280" i="14"/>
  <c r="I1281" i="14"/>
  <c r="Q1281" i="14" s="1"/>
  <c r="K1281" i="14"/>
  <c r="R1281" i="14"/>
  <c r="I1282" i="14"/>
  <c r="R1282" i="14"/>
  <c r="J1283" i="14"/>
  <c r="I1284" i="14"/>
  <c r="R1284" i="14"/>
  <c r="I1285" i="14"/>
  <c r="K1285" i="14" s="1"/>
  <c r="R1285" i="14"/>
  <c r="K1286" i="14"/>
  <c r="Q1286" i="14"/>
  <c r="R1286" i="14"/>
  <c r="K1287" i="14"/>
  <c r="Q1287" i="14"/>
  <c r="R1287" i="14"/>
  <c r="I1288" i="14"/>
  <c r="K1288" i="14" s="1"/>
  <c r="R1288" i="14"/>
  <c r="M1290" i="14"/>
  <c r="N1290" i="14"/>
  <c r="N1289" i="14" s="1"/>
  <c r="N1272" i="14" s="1"/>
  <c r="O1291" i="14"/>
  <c r="Q1291" i="14"/>
  <c r="R1291" i="14"/>
  <c r="J1293" i="14"/>
  <c r="I1294" i="14"/>
  <c r="R1294" i="14"/>
  <c r="I1295" i="14"/>
  <c r="K1295" i="14"/>
  <c r="R1295" i="14"/>
  <c r="I1296" i="14"/>
  <c r="K1296" i="14" s="1"/>
  <c r="R1296" i="14"/>
  <c r="J1297" i="14"/>
  <c r="R1297" i="14" s="1"/>
  <c r="I1298" i="14"/>
  <c r="Q1298" i="14" s="1"/>
  <c r="R1298" i="14"/>
  <c r="I1299" i="14"/>
  <c r="Q1299" i="14" s="1"/>
  <c r="R1299" i="14"/>
  <c r="K1300" i="14"/>
  <c r="Q1300" i="14"/>
  <c r="R1300" i="14"/>
  <c r="K1301" i="14"/>
  <c r="Q1301" i="14"/>
  <c r="R1301" i="14"/>
  <c r="I1302" i="14"/>
  <c r="Q1302" i="14" s="1"/>
  <c r="K1302" i="14"/>
  <c r="R1302" i="14"/>
  <c r="I1303" i="14"/>
  <c r="Q1303" i="14" s="1"/>
  <c r="K1303" i="14"/>
  <c r="R1303" i="14"/>
  <c r="I1304" i="14"/>
  <c r="R1304" i="14"/>
  <c r="J1305" i="14"/>
  <c r="R1305" i="14" s="1"/>
  <c r="I1306" i="14"/>
  <c r="Q1306" i="14" s="1"/>
  <c r="R1306" i="14"/>
  <c r="I1307" i="14"/>
  <c r="K1307" i="14" s="1"/>
  <c r="R1307" i="14"/>
  <c r="K1308" i="14"/>
  <c r="Q1308" i="14"/>
  <c r="R1308" i="14"/>
  <c r="S1308" i="14"/>
  <c r="K1309" i="14"/>
  <c r="Q1309" i="14"/>
  <c r="R1309" i="14"/>
  <c r="I1310" i="14"/>
  <c r="R1310" i="14"/>
  <c r="M1312" i="14"/>
  <c r="Q1312" i="14" s="1"/>
  <c r="N1312" i="14"/>
  <c r="N1311" i="14" s="1"/>
  <c r="O1313" i="14"/>
  <c r="Q1313" i="14"/>
  <c r="R1313" i="14"/>
  <c r="I1315" i="14"/>
  <c r="K1315" i="14" s="1"/>
  <c r="R1315" i="14"/>
  <c r="I1316" i="14"/>
  <c r="Q1316" i="14" s="1"/>
  <c r="K1316" i="14"/>
  <c r="R1316" i="14"/>
  <c r="J1317" i="14"/>
  <c r="R1317" i="14" s="1"/>
  <c r="K1318" i="14"/>
  <c r="Q1318" i="14"/>
  <c r="R1318" i="14"/>
  <c r="K1319" i="14"/>
  <c r="Q1319" i="14"/>
  <c r="R1319" i="14"/>
  <c r="I1320" i="14"/>
  <c r="K1320" i="14" s="1"/>
  <c r="R1320" i="14"/>
  <c r="I1321" i="14"/>
  <c r="Q1321" i="14" s="1"/>
  <c r="R1321" i="14"/>
  <c r="K1322" i="14"/>
  <c r="Q1322" i="14"/>
  <c r="R1322" i="14"/>
  <c r="I1323" i="14"/>
  <c r="R1323" i="14"/>
  <c r="I1324" i="14"/>
  <c r="Q1324" i="14" s="1"/>
  <c r="R1324" i="14"/>
  <c r="J1325" i="14"/>
  <c r="R1325" i="14" s="1"/>
  <c r="K1326" i="14"/>
  <c r="Q1326" i="14"/>
  <c r="R1326" i="14"/>
  <c r="I1327" i="14"/>
  <c r="K1327" i="14" s="1"/>
  <c r="R1327" i="14"/>
  <c r="I1328" i="14"/>
  <c r="R1328" i="14"/>
  <c r="I1329" i="14"/>
  <c r="R1329" i="14"/>
  <c r="K1330" i="14"/>
  <c r="Q1330" i="14"/>
  <c r="R1330" i="14"/>
  <c r="N1332" i="14"/>
  <c r="R1332" i="14" s="1"/>
  <c r="M1333" i="14"/>
  <c r="O1333" i="14" s="1"/>
  <c r="R1333" i="14"/>
  <c r="O1334" i="14"/>
  <c r="Q1334" i="14"/>
  <c r="R1334" i="14"/>
  <c r="K1336" i="14"/>
  <c r="Q1336" i="14"/>
  <c r="R1336" i="14"/>
  <c r="K1337" i="14"/>
  <c r="Q1337" i="14"/>
  <c r="R1337" i="14"/>
  <c r="I1338" i="14"/>
  <c r="Q1338" i="14" s="1"/>
  <c r="J1338" i="14"/>
  <c r="K1339" i="14"/>
  <c r="Q1339" i="14"/>
  <c r="R1339" i="14"/>
  <c r="K1340" i="14"/>
  <c r="Q1340" i="14"/>
  <c r="R1340" i="14"/>
  <c r="S1340" i="14" s="1"/>
  <c r="K1341" i="14"/>
  <c r="Q1341" i="14"/>
  <c r="R1341" i="14"/>
  <c r="K1342" i="14"/>
  <c r="Q1342" i="14"/>
  <c r="R1342" i="14"/>
  <c r="K1343" i="14"/>
  <c r="Q1343" i="14"/>
  <c r="R1343" i="14"/>
  <c r="I1344" i="14"/>
  <c r="K1344" i="14" s="1"/>
  <c r="R1344" i="14"/>
  <c r="I1345" i="14"/>
  <c r="Q1345" i="14" s="1"/>
  <c r="J1345" i="14"/>
  <c r="R1345" i="14" s="1"/>
  <c r="J1346" i="14"/>
  <c r="R1346" i="14" s="1"/>
  <c r="K1347" i="14"/>
  <c r="Q1347" i="14"/>
  <c r="R1347" i="14"/>
  <c r="K1348" i="14"/>
  <c r="Q1348" i="14"/>
  <c r="R1348" i="14"/>
  <c r="I1349" i="14"/>
  <c r="Q1349" i="14" s="1"/>
  <c r="R1349" i="14"/>
  <c r="K1350" i="14"/>
  <c r="Q1350" i="14"/>
  <c r="R1350" i="14"/>
  <c r="K1351" i="14"/>
  <c r="Q1351" i="14"/>
  <c r="R1351" i="14"/>
  <c r="I1352" i="14"/>
  <c r="R1352" i="14"/>
  <c r="M1354" i="14"/>
  <c r="M1353" i="14" s="1"/>
  <c r="N1354" i="14"/>
  <c r="N1353" i="14" s="1"/>
  <c r="O1355" i="14"/>
  <c r="Q1355" i="14"/>
  <c r="R1355" i="14"/>
  <c r="J1357" i="14"/>
  <c r="I1358" i="14"/>
  <c r="K1358" i="14" s="1"/>
  <c r="R1358" i="14"/>
  <c r="K1359" i="14"/>
  <c r="Q1359" i="14"/>
  <c r="R1359" i="14"/>
  <c r="I1360" i="14"/>
  <c r="R1360" i="14"/>
  <c r="I1361" i="14"/>
  <c r="R1361" i="14"/>
  <c r="J1362" i="14"/>
  <c r="R1362" i="14" s="1"/>
  <c r="K1363" i="14"/>
  <c r="Q1363" i="14"/>
  <c r="R1363" i="14"/>
  <c r="I1364" i="14"/>
  <c r="K1364" i="14" s="1"/>
  <c r="R1364" i="14"/>
  <c r="I1365" i="14"/>
  <c r="R1365" i="14"/>
  <c r="I1366" i="14"/>
  <c r="Q1366" i="14" s="1"/>
  <c r="K1366" i="14"/>
  <c r="R1366" i="14"/>
  <c r="I1367" i="14"/>
  <c r="K1367" i="14" s="1"/>
  <c r="R1367" i="14"/>
  <c r="I1368" i="14"/>
  <c r="Q1368" i="14" s="1"/>
  <c r="R1368" i="14"/>
  <c r="I1369" i="14"/>
  <c r="R1369" i="14"/>
  <c r="I1370" i="14"/>
  <c r="K1370" i="14" s="1"/>
  <c r="R1370" i="14"/>
  <c r="J1371" i="14"/>
  <c r="K1372" i="14"/>
  <c r="Q1372" i="14"/>
  <c r="R1372" i="14"/>
  <c r="K1373" i="14"/>
  <c r="Q1373" i="14"/>
  <c r="R1373" i="14"/>
  <c r="K1374" i="14"/>
  <c r="Q1374" i="14"/>
  <c r="R1374" i="14"/>
  <c r="I1375" i="14"/>
  <c r="Q1375" i="14" s="1"/>
  <c r="R1375" i="14"/>
  <c r="N1377" i="14"/>
  <c r="M1378" i="14"/>
  <c r="M1377" i="14" s="1"/>
  <c r="M1376" i="14" s="1"/>
  <c r="M1356" i="14" s="1"/>
  <c r="R1378" i="14"/>
  <c r="I1380" i="14"/>
  <c r="Q1380" i="14"/>
  <c r="J1381" i="14"/>
  <c r="R1381" i="14" s="1"/>
  <c r="Q1381" i="14"/>
  <c r="K1382" i="14"/>
  <c r="Q1382" i="14"/>
  <c r="R1382" i="14"/>
  <c r="I1384" i="14"/>
  <c r="J1384" i="14"/>
  <c r="R1384" i="14" s="1"/>
  <c r="I1385" i="14"/>
  <c r="Q1385" i="14" s="1"/>
  <c r="J1385" i="14"/>
  <c r="I1387" i="14"/>
  <c r="R1387" i="14"/>
  <c r="I1388" i="14"/>
  <c r="Q1388" i="14" s="1"/>
  <c r="J1388" i="14"/>
  <c r="R1388" i="14" s="1"/>
  <c r="I1389" i="14"/>
  <c r="Q1389" i="14" s="1"/>
  <c r="R1389" i="14"/>
  <c r="J1391" i="14"/>
  <c r="R1391" i="14" s="1"/>
  <c r="I1392" i="14"/>
  <c r="K1392" i="14" s="1"/>
  <c r="R1392" i="14"/>
  <c r="I1393" i="14"/>
  <c r="R1393" i="14"/>
  <c r="K1394" i="14"/>
  <c r="Q1394" i="14"/>
  <c r="R1394" i="14"/>
  <c r="K1395" i="14"/>
  <c r="Q1395" i="14"/>
  <c r="R1395" i="14"/>
  <c r="B372" i="14"/>
  <c r="B373" i="14" s="1"/>
  <c r="B374" i="14" s="1"/>
  <c r="B375" i="14" s="1"/>
  <c r="B376" i="14" s="1"/>
  <c r="B377" i="14" s="1"/>
  <c r="B378" i="14" s="1"/>
  <c r="B379" i="14" s="1"/>
  <c r="B380" i="14" s="1"/>
  <c r="B381" i="14" s="1"/>
  <c r="B382" i="14" s="1"/>
  <c r="B383" i="14" s="1"/>
  <c r="B384" i="14" s="1"/>
  <c r="B385" i="14" s="1"/>
  <c r="B386" i="14" s="1"/>
  <c r="B387" i="14" s="1"/>
  <c r="B388" i="14" s="1"/>
  <c r="B389" i="14" s="1"/>
  <c r="B390" i="14" s="1"/>
  <c r="B391" i="14" s="1"/>
  <c r="B392" i="14" s="1"/>
  <c r="B393" i="14" s="1"/>
  <c r="B394" i="14" s="1"/>
  <c r="B395" i="14" s="1"/>
  <c r="B396" i="14" s="1"/>
  <c r="B397" i="14" s="1"/>
  <c r="B398" i="14" s="1"/>
  <c r="B399" i="14" s="1"/>
  <c r="B400" i="14" s="1"/>
  <c r="B401" i="14" s="1"/>
  <c r="B402" i="14" s="1"/>
  <c r="B403" i="14" s="1"/>
  <c r="B404" i="14" s="1"/>
  <c r="B405" i="14" s="1"/>
  <c r="B406" i="14" s="1"/>
  <c r="B407" i="14" s="1"/>
  <c r="B408" i="14" s="1"/>
  <c r="B409" i="14" s="1"/>
  <c r="B410" i="14" s="1"/>
  <c r="B411" i="14" s="1"/>
  <c r="B412" i="14" s="1"/>
  <c r="B413" i="14" s="1"/>
  <c r="B414" i="14" s="1"/>
  <c r="B415" i="14" s="1"/>
  <c r="B416" i="14" s="1"/>
  <c r="B417" i="14" s="1"/>
  <c r="B418" i="14" s="1"/>
  <c r="B419" i="14" s="1"/>
  <c r="B420" i="14" s="1"/>
  <c r="B421" i="14" s="1"/>
  <c r="B422" i="14" s="1"/>
  <c r="B423" i="14" s="1"/>
  <c r="B424" i="14" s="1"/>
  <c r="B425" i="14" s="1"/>
  <c r="B426" i="14" s="1"/>
  <c r="B427" i="14" s="1"/>
  <c r="B428" i="14" s="1"/>
  <c r="B429" i="14" s="1"/>
  <c r="B430" i="14" s="1"/>
  <c r="B431" i="14" s="1"/>
  <c r="B432" i="14" s="1"/>
  <c r="B433" i="14" s="1"/>
  <c r="B434" i="14" s="1"/>
  <c r="B435" i="14" s="1"/>
  <c r="B436" i="14" s="1"/>
  <c r="B437" i="14" s="1"/>
  <c r="B438" i="14" s="1"/>
  <c r="B439" i="14" s="1"/>
  <c r="B440" i="14" s="1"/>
  <c r="B441" i="14" s="1"/>
  <c r="B442" i="14" s="1"/>
  <c r="B443" i="14" s="1"/>
  <c r="B444" i="14" s="1"/>
  <c r="B445" i="14" s="1"/>
  <c r="B446" i="14" s="1"/>
  <c r="B447" i="14" s="1"/>
  <c r="B448" i="14" s="1"/>
  <c r="B449" i="14" s="1"/>
  <c r="B450" i="14" s="1"/>
  <c r="B451" i="14" s="1"/>
  <c r="B452" i="14" s="1"/>
  <c r="B453" i="14" s="1"/>
  <c r="B454" i="14" s="1"/>
  <c r="B455" i="14" s="1"/>
  <c r="B456" i="14" s="1"/>
  <c r="B457" i="14" s="1"/>
  <c r="B458" i="14" s="1"/>
  <c r="B459" i="14" s="1"/>
  <c r="B460" i="14" s="1"/>
  <c r="B461" i="14" s="1"/>
  <c r="B462" i="14" s="1"/>
  <c r="B463" i="14" s="1"/>
  <c r="B464" i="14" s="1"/>
  <c r="B465" i="14" s="1"/>
  <c r="B466" i="14" s="1"/>
  <c r="B467" i="14" s="1"/>
  <c r="B468" i="14" s="1"/>
  <c r="B469" i="14" s="1"/>
  <c r="B470" i="14" s="1"/>
  <c r="B471" i="14" s="1"/>
  <c r="B472" i="14" s="1"/>
  <c r="B473" i="14" s="1"/>
  <c r="B474" i="14" s="1"/>
  <c r="B475" i="14" s="1"/>
  <c r="B476" i="14" s="1"/>
  <c r="B477" i="14" s="1"/>
  <c r="B478" i="14" s="1"/>
  <c r="B479" i="14" s="1"/>
  <c r="B480" i="14" s="1"/>
  <c r="B481" i="14" s="1"/>
  <c r="B482" i="14" s="1"/>
  <c r="B483" i="14" s="1"/>
  <c r="B484" i="14" s="1"/>
  <c r="B485" i="14" s="1"/>
  <c r="B486" i="14" s="1"/>
  <c r="B487" i="14" s="1"/>
  <c r="B489" i="14" s="1"/>
  <c r="B490" i="14" s="1"/>
  <c r="B491" i="14" s="1"/>
  <c r="B492" i="14" s="1"/>
  <c r="B493" i="14" s="1"/>
  <c r="B494" i="14" s="1"/>
  <c r="I373" i="14"/>
  <c r="Q373" i="14" s="1"/>
  <c r="J373" i="14"/>
  <c r="K374" i="14"/>
  <c r="J375" i="14"/>
  <c r="R375" i="14" s="1"/>
  <c r="K376" i="14"/>
  <c r="Q376" i="14"/>
  <c r="R376" i="14"/>
  <c r="I377" i="14"/>
  <c r="R377" i="14"/>
  <c r="K378" i="14"/>
  <c r="Q378" i="14"/>
  <c r="R378" i="14"/>
  <c r="K379" i="14"/>
  <c r="Q379" i="14"/>
  <c r="R379" i="14"/>
  <c r="N381" i="14"/>
  <c r="R381" i="14" s="1"/>
  <c r="M382" i="14"/>
  <c r="M381" i="14" s="1"/>
  <c r="R382" i="14"/>
  <c r="O383" i="14"/>
  <c r="Q383" i="14"/>
  <c r="R383" i="14"/>
  <c r="O384" i="14"/>
  <c r="Q384" i="14"/>
  <c r="R384" i="14"/>
  <c r="O385" i="14"/>
  <c r="Q385" i="14"/>
  <c r="R385" i="14"/>
  <c r="N386" i="14"/>
  <c r="R386" i="14" s="1"/>
  <c r="O387" i="14"/>
  <c r="Q387" i="14"/>
  <c r="R387" i="14"/>
  <c r="M388" i="14"/>
  <c r="O388" i="14" s="1"/>
  <c r="R388" i="14"/>
  <c r="O389" i="14"/>
  <c r="Q389" i="14"/>
  <c r="R389" i="14"/>
  <c r="O390" i="14"/>
  <c r="Q390" i="14"/>
  <c r="R390" i="14"/>
  <c r="I393" i="14"/>
  <c r="Q393" i="14" s="1"/>
  <c r="J393" i="14"/>
  <c r="K394" i="14"/>
  <c r="Q394" i="14"/>
  <c r="R394" i="14"/>
  <c r="K395" i="14"/>
  <c r="Q395" i="14"/>
  <c r="R395" i="14"/>
  <c r="I397" i="14"/>
  <c r="K397" i="14" s="1"/>
  <c r="R397" i="14"/>
  <c r="I398" i="14"/>
  <c r="R398" i="14"/>
  <c r="J399" i="14"/>
  <c r="R399" i="14" s="1"/>
  <c r="K400" i="14"/>
  <c r="Q400" i="14"/>
  <c r="R400" i="14"/>
  <c r="I401" i="14"/>
  <c r="R401" i="14"/>
  <c r="K402" i="14"/>
  <c r="Q402" i="14"/>
  <c r="R402" i="14"/>
  <c r="I403" i="14"/>
  <c r="K403" i="14" s="1"/>
  <c r="R403" i="14"/>
  <c r="K404" i="14"/>
  <c r="Q404" i="14"/>
  <c r="R404" i="14"/>
  <c r="I405" i="14"/>
  <c r="R405" i="14"/>
  <c r="I406" i="14"/>
  <c r="R406" i="14"/>
  <c r="M408" i="14"/>
  <c r="Q408" i="14" s="1"/>
  <c r="N408" i="14"/>
  <c r="O409" i="14"/>
  <c r="Q409" i="14"/>
  <c r="R409" i="14"/>
  <c r="S409" i="14" s="1"/>
  <c r="M410" i="14"/>
  <c r="Q410" i="14" s="1"/>
  <c r="N410" i="14"/>
  <c r="O411" i="14"/>
  <c r="Q411" i="14"/>
  <c r="R411" i="14"/>
  <c r="J413" i="14"/>
  <c r="J412" i="14" s="1"/>
  <c r="K414" i="14"/>
  <c r="Q414" i="14"/>
  <c r="R414" i="14"/>
  <c r="I415" i="14"/>
  <c r="K415" i="14" s="1"/>
  <c r="R415" i="14"/>
  <c r="I416" i="14"/>
  <c r="K416" i="14" s="1"/>
  <c r="R416" i="14"/>
  <c r="M418" i="14"/>
  <c r="Q418" i="14" s="1"/>
  <c r="N418" i="14"/>
  <c r="O419" i="14"/>
  <c r="Q419" i="14"/>
  <c r="R419" i="14"/>
  <c r="N422" i="14"/>
  <c r="R422" i="14" s="1"/>
  <c r="O423" i="14"/>
  <c r="Q423" i="14"/>
  <c r="R423" i="14"/>
  <c r="O424" i="14"/>
  <c r="Q424" i="14"/>
  <c r="R424" i="14"/>
  <c r="O425" i="14"/>
  <c r="Q425" i="14"/>
  <c r="R425" i="14"/>
  <c r="O426" i="14"/>
  <c r="Q426" i="14"/>
  <c r="R426" i="14"/>
  <c r="O427" i="14"/>
  <c r="Q427" i="14"/>
  <c r="R427" i="14"/>
  <c r="M428" i="14"/>
  <c r="Q428" i="14" s="1"/>
  <c r="R428" i="14"/>
  <c r="O429" i="14"/>
  <c r="Q429" i="14"/>
  <c r="R429" i="14"/>
  <c r="O430" i="14"/>
  <c r="Q430" i="14"/>
  <c r="R430" i="14"/>
  <c r="S430" i="14" s="1"/>
  <c r="O431" i="14"/>
  <c r="Q431" i="14"/>
  <c r="R431" i="14"/>
  <c r="O432" i="14"/>
  <c r="Q432" i="14"/>
  <c r="R432" i="14"/>
  <c r="O433" i="14"/>
  <c r="Q433" i="14"/>
  <c r="R433" i="14"/>
  <c r="M434" i="14"/>
  <c r="O434" i="14" s="1"/>
  <c r="R434" i="14"/>
  <c r="M435" i="14"/>
  <c r="O435" i="14" s="1"/>
  <c r="R435" i="14"/>
  <c r="M436" i="14"/>
  <c r="Q436" i="14" s="1"/>
  <c r="R436" i="14"/>
  <c r="M437" i="14"/>
  <c r="O437" i="14" s="1"/>
  <c r="R437" i="14"/>
  <c r="O438" i="14"/>
  <c r="Q438" i="14"/>
  <c r="R438" i="14"/>
  <c r="O439" i="14"/>
  <c r="Q439" i="14"/>
  <c r="R439" i="14"/>
  <c r="O440" i="14"/>
  <c r="Q440" i="14"/>
  <c r="R440" i="14"/>
  <c r="O441" i="14"/>
  <c r="Q441" i="14"/>
  <c r="R441" i="14"/>
  <c r="M442" i="14"/>
  <c r="R442" i="14"/>
  <c r="O443" i="14"/>
  <c r="Q443" i="14"/>
  <c r="R443" i="14"/>
  <c r="O444" i="14"/>
  <c r="Q444" i="14"/>
  <c r="R444" i="14"/>
  <c r="O445" i="14"/>
  <c r="Q445" i="14"/>
  <c r="R445" i="14"/>
  <c r="S445" i="14" s="1"/>
  <c r="O446" i="14"/>
  <c r="Q446" i="14"/>
  <c r="R446" i="14"/>
  <c r="O447" i="14"/>
  <c r="Q447" i="14"/>
  <c r="R447" i="14"/>
  <c r="O448" i="14"/>
  <c r="Q448" i="14"/>
  <c r="R448" i="14"/>
  <c r="O449" i="14"/>
  <c r="Q449" i="14"/>
  <c r="R449" i="14"/>
  <c r="O450" i="14"/>
  <c r="Q450" i="14"/>
  <c r="R450" i="14"/>
  <c r="O451" i="14"/>
  <c r="Q451" i="14"/>
  <c r="R451" i="14"/>
  <c r="M452" i="14"/>
  <c r="O452" i="14" s="1"/>
  <c r="R452" i="14"/>
  <c r="M453" i="14"/>
  <c r="R453" i="14"/>
  <c r="O454" i="14"/>
  <c r="Q454" i="14"/>
  <c r="R454" i="14"/>
  <c r="O455" i="14"/>
  <c r="Q455" i="14"/>
  <c r="R455" i="14"/>
  <c r="O456" i="14"/>
  <c r="Q456" i="14"/>
  <c r="R456" i="14"/>
  <c r="N457" i="14"/>
  <c r="R457" i="14" s="1"/>
  <c r="M458" i="14"/>
  <c r="O458" i="14" s="1"/>
  <c r="R458" i="14"/>
  <c r="M459" i="14"/>
  <c r="O459" i="14" s="1"/>
  <c r="R459" i="14"/>
  <c r="M460" i="14"/>
  <c r="Q460" i="14" s="1"/>
  <c r="R460" i="14"/>
  <c r="M461" i="14"/>
  <c r="O461" i="14" s="1"/>
  <c r="R461" i="14"/>
  <c r="M462" i="14"/>
  <c r="R462" i="14"/>
  <c r="O463" i="14"/>
  <c r="Q463" i="14"/>
  <c r="R463" i="14"/>
  <c r="O464" i="14"/>
  <c r="Q464" i="14"/>
  <c r="R464" i="14"/>
  <c r="M465" i="14"/>
  <c r="O465" i="14" s="1"/>
  <c r="R465" i="14"/>
  <c r="O466" i="14"/>
  <c r="Q466" i="14"/>
  <c r="R466" i="14"/>
  <c r="M467" i="14"/>
  <c r="R467" i="14"/>
  <c r="O468" i="14"/>
  <c r="Q468" i="14"/>
  <c r="R468" i="14"/>
  <c r="O469" i="14"/>
  <c r="Q469" i="14"/>
  <c r="R469" i="14"/>
  <c r="M470" i="14"/>
  <c r="O470" i="14" s="1"/>
  <c r="R470" i="14"/>
  <c r="M471" i="14"/>
  <c r="Q471" i="14" s="1"/>
  <c r="R471" i="14"/>
  <c r="O472" i="14"/>
  <c r="Q472" i="14"/>
  <c r="R472" i="14"/>
  <c r="O473" i="14"/>
  <c r="Q473" i="14"/>
  <c r="R473" i="14"/>
  <c r="M474" i="14"/>
  <c r="O474" i="14" s="1"/>
  <c r="R474" i="14"/>
  <c r="M475" i="14"/>
  <c r="Q475" i="14" s="1"/>
  <c r="R475" i="14"/>
  <c r="O476" i="14"/>
  <c r="Q476" i="14"/>
  <c r="R476" i="14"/>
  <c r="O477" i="14"/>
  <c r="Q477" i="14"/>
  <c r="R477" i="14"/>
  <c r="O478" i="14"/>
  <c r="Q478" i="14"/>
  <c r="R478" i="14"/>
  <c r="M479" i="14"/>
  <c r="O479" i="14" s="1"/>
  <c r="R479" i="14"/>
  <c r="O480" i="14"/>
  <c r="Q480" i="14"/>
  <c r="R480" i="14"/>
  <c r="M481" i="14"/>
  <c r="R481" i="14"/>
  <c r="M482" i="14"/>
  <c r="O482" i="14" s="1"/>
  <c r="R482" i="14"/>
  <c r="M483" i="14"/>
  <c r="Q483" i="14" s="1"/>
  <c r="R483" i="14"/>
  <c r="M484" i="14"/>
  <c r="R484" i="14"/>
  <c r="M485" i="14"/>
  <c r="O485" i="14" s="1"/>
  <c r="R485" i="14"/>
  <c r="M486" i="14"/>
  <c r="Q486" i="14" s="1"/>
  <c r="R486" i="14"/>
  <c r="M487" i="14"/>
  <c r="Q487" i="14" s="1"/>
  <c r="R487" i="14"/>
  <c r="O488" i="14"/>
  <c r="Q488" i="14"/>
  <c r="R488" i="14"/>
  <c r="M489" i="14"/>
  <c r="Q489" i="14" s="1"/>
  <c r="R489" i="14"/>
  <c r="M490" i="14"/>
  <c r="R490" i="14"/>
  <c r="M491" i="14"/>
  <c r="R491" i="14"/>
  <c r="M492" i="14"/>
  <c r="O492" i="14" s="1"/>
  <c r="R492" i="14"/>
  <c r="O493" i="14"/>
  <c r="Q493" i="14"/>
  <c r="R493" i="14"/>
  <c r="O494" i="14"/>
  <c r="Q494" i="14"/>
  <c r="R494" i="14"/>
  <c r="B299" i="14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355" i="14" s="1"/>
  <c r="B356" i="14" s="1"/>
  <c r="B357" i="14" s="1"/>
  <c r="B358" i="14" s="1"/>
  <c r="B359" i="14" s="1"/>
  <c r="B360" i="14" s="1"/>
  <c r="B361" i="14" s="1"/>
  <c r="I300" i="14"/>
  <c r="Q300" i="14" s="1"/>
  <c r="R300" i="14"/>
  <c r="I301" i="14"/>
  <c r="Q301" i="14" s="1"/>
  <c r="R301" i="14"/>
  <c r="J302" i="14"/>
  <c r="I303" i="14"/>
  <c r="K303" i="14" s="1"/>
  <c r="R303" i="14"/>
  <c r="K304" i="14"/>
  <c r="Q304" i="14"/>
  <c r="R304" i="14"/>
  <c r="I305" i="14"/>
  <c r="Q305" i="14" s="1"/>
  <c r="K305" i="14"/>
  <c r="R305" i="14"/>
  <c r="K306" i="14"/>
  <c r="Q306" i="14"/>
  <c r="R306" i="14"/>
  <c r="K307" i="14"/>
  <c r="Q307" i="14"/>
  <c r="R307" i="14"/>
  <c r="K308" i="14"/>
  <c r="Q308" i="14"/>
  <c r="R308" i="14"/>
  <c r="K309" i="14"/>
  <c r="Q309" i="14"/>
  <c r="R309" i="14"/>
  <c r="I310" i="14"/>
  <c r="R310" i="14"/>
  <c r="M312" i="14"/>
  <c r="Q312" i="14" s="1"/>
  <c r="N312" i="14"/>
  <c r="R312" i="14" s="1"/>
  <c r="O313" i="14"/>
  <c r="Q313" i="14"/>
  <c r="R313" i="14"/>
  <c r="N314" i="14"/>
  <c r="R314" i="14" s="1"/>
  <c r="M315" i="14"/>
  <c r="O315" i="14" s="1"/>
  <c r="R315" i="14"/>
  <c r="M318" i="14"/>
  <c r="Q318" i="14" s="1"/>
  <c r="N318" i="14"/>
  <c r="O319" i="14"/>
  <c r="Q319" i="14"/>
  <c r="R319" i="14"/>
  <c r="N320" i="14"/>
  <c r="M321" i="14"/>
  <c r="R321" i="14"/>
  <c r="O322" i="14"/>
  <c r="Q322" i="14"/>
  <c r="R322" i="14"/>
  <c r="M323" i="14"/>
  <c r="Q323" i="14" s="1"/>
  <c r="N323" i="14"/>
  <c r="O324" i="14"/>
  <c r="Q324" i="14"/>
  <c r="R324" i="14"/>
  <c r="O325" i="14"/>
  <c r="Q325" i="14"/>
  <c r="R325" i="14"/>
  <c r="O326" i="14"/>
  <c r="Q326" i="14"/>
  <c r="R326" i="14"/>
  <c r="I328" i="14"/>
  <c r="R328" i="14"/>
  <c r="I329" i="14"/>
  <c r="K329" i="14"/>
  <c r="Q329" i="14"/>
  <c r="R329" i="14"/>
  <c r="J330" i="14"/>
  <c r="J327" i="14" s="1"/>
  <c r="I331" i="14"/>
  <c r="R331" i="14"/>
  <c r="I332" i="14"/>
  <c r="K332" i="14" s="1"/>
  <c r="R332" i="14"/>
  <c r="K333" i="14"/>
  <c r="Q333" i="14"/>
  <c r="R333" i="14"/>
  <c r="I334" i="14"/>
  <c r="K334" i="14" s="1"/>
  <c r="R334" i="14"/>
  <c r="I335" i="14"/>
  <c r="K335" i="14" s="1"/>
  <c r="R335" i="14"/>
  <c r="K336" i="14"/>
  <c r="Q336" i="14"/>
  <c r="R336" i="14"/>
  <c r="M338" i="14"/>
  <c r="M337" i="14" s="1"/>
  <c r="N338" i="14"/>
  <c r="N337" i="14" s="1"/>
  <c r="O339" i="14"/>
  <c r="Q339" i="14"/>
  <c r="R339" i="14"/>
  <c r="I341" i="14"/>
  <c r="I340" i="14" s="1"/>
  <c r="J341" i="14"/>
  <c r="J340" i="14" s="1"/>
  <c r="K342" i="14"/>
  <c r="Q342" i="14"/>
  <c r="R342" i="14"/>
  <c r="K343" i="14"/>
  <c r="Q343" i="14"/>
  <c r="R343" i="14"/>
  <c r="N345" i="14"/>
  <c r="N344" i="14" s="1"/>
  <c r="M346" i="14"/>
  <c r="M345" i="14" s="1"/>
  <c r="Q345" i="14" s="1"/>
  <c r="R346" i="14"/>
  <c r="J348" i="14"/>
  <c r="Q348" i="14"/>
  <c r="J349" i="14"/>
  <c r="R349" i="14" s="1"/>
  <c r="I350" i="14"/>
  <c r="I349" i="14" s="1"/>
  <c r="R350" i="14"/>
  <c r="K351" i="14"/>
  <c r="Q351" i="14"/>
  <c r="R351" i="14"/>
  <c r="K352" i="14"/>
  <c r="Q352" i="14"/>
  <c r="R352" i="14"/>
  <c r="K354" i="14"/>
  <c r="Q354" i="14"/>
  <c r="R354" i="14"/>
  <c r="I355" i="14"/>
  <c r="Q355" i="14" s="1"/>
  <c r="J355" i="14"/>
  <c r="K356" i="14"/>
  <c r="Q356" i="14"/>
  <c r="R356" i="14"/>
  <c r="K357" i="14"/>
  <c r="Q357" i="14"/>
  <c r="R357" i="14"/>
  <c r="K358" i="14"/>
  <c r="Q358" i="14"/>
  <c r="R358" i="14"/>
  <c r="I359" i="14"/>
  <c r="Q359" i="14" s="1"/>
  <c r="J359" i="14"/>
  <c r="K360" i="14"/>
  <c r="Q360" i="14"/>
  <c r="R360" i="14"/>
  <c r="K361" i="14"/>
  <c r="Q361" i="14"/>
  <c r="R361" i="14"/>
  <c r="B217" i="14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I218" i="14"/>
  <c r="R218" i="14"/>
  <c r="J219" i="14"/>
  <c r="J217" i="14" s="1"/>
  <c r="K220" i="14"/>
  <c r="Q220" i="14"/>
  <c r="R220" i="14"/>
  <c r="I221" i="14"/>
  <c r="K221" i="14" s="1"/>
  <c r="R221" i="14"/>
  <c r="I222" i="14"/>
  <c r="K222" i="14" s="1"/>
  <c r="R222" i="14"/>
  <c r="I224" i="14"/>
  <c r="Q224" i="14" s="1"/>
  <c r="R224" i="14"/>
  <c r="I225" i="14"/>
  <c r="R225" i="14"/>
  <c r="J226" i="14"/>
  <c r="R226" i="14" s="1"/>
  <c r="K227" i="14"/>
  <c r="Q227" i="14"/>
  <c r="R227" i="14"/>
  <c r="K228" i="14"/>
  <c r="Q228" i="14"/>
  <c r="R228" i="14"/>
  <c r="K229" i="14"/>
  <c r="Q229" i="14"/>
  <c r="R229" i="14"/>
  <c r="K230" i="14"/>
  <c r="Q230" i="14"/>
  <c r="R230" i="14"/>
  <c r="I231" i="14"/>
  <c r="K231" i="14" s="1"/>
  <c r="R231" i="14"/>
  <c r="I232" i="14"/>
  <c r="K232" i="14" s="1"/>
  <c r="R232" i="14"/>
  <c r="I234" i="14"/>
  <c r="R234" i="14"/>
  <c r="I235" i="14"/>
  <c r="K235" i="14" s="1"/>
  <c r="R235" i="14"/>
  <c r="I236" i="14"/>
  <c r="Q236" i="14" s="1"/>
  <c r="J236" i="14"/>
  <c r="K237" i="14"/>
  <c r="Q237" i="14"/>
  <c r="R237" i="14"/>
  <c r="K238" i="14"/>
  <c r="Q238" i="14"/>
  <c r="R238" i="14"/>
  <c r="K239" i="14"/>
  <c r="Q239" i="14"/>
  <c r="R239" i="14"/>
  <c r="K240" i="14"/>
  <c r="Q240" i="14"/>
  <c r="R240" i="14"/>
  <c r="I241" i="14"/>
  <c r="K241" i="14" s="1"/>
  <c r="R241" i="14"/>
  <c r="I244" i="14"/>
  <c r="R244" i="14"/>
  <c r="I245" i="14"/>
  <c r="R245" i="14"/>
  <c r="I246" i="14"/>
  <c r="J246" i="14"/>
  <c r="R246" i="14" s="1"/>
  <c r="K247" i="14"/>
  <c r="Q247" i="14"/>
  <c r="R247" i="14"/>
  <c r="K248" i="14"/>
  <c r="Q248" i="14"/>
  <c r="R248" i="14"/>
  <c r="K249" i="14"/>
  <c r="Q249" i="14"/>
  <c r="R249" i="14"/>
  <c r="S249" i="14"/>
  <c r="K250" i="14"/>
  <c r="Q250" i="14"/>
  <c r="R250" i="14"/>
  <c r="K251" i="14"/>
  <c r="Q251" i="14"/>
  <c r="R251" i="14"/>
  <c r="N253" i="14"/>
  <c r="N252" i="14" s="1"/>
  <c r="O254" i="14"/>
  <c r="Q254" i="14"/>
  <c r="R254" i="14"/>
  <c r="M255" i="14"/>
  <c r="M253" i="14" s="1"/>
  <c r="M252" i="14" s="1"/>
  <c r="R255" i="14"/>
  <c r="O256" i="14"/>
  <c r="Q256" i="14"/>
  <c r="R256" i="14"/>
  <c r="I259" i="14"/>
  <c r="K259" i="14" s="1"/>
  <c r="R259" i="14"/>
  <c r="I260" i="14"/>
  <c r="K260" i="14" s="1"/>
  <c r="Q260" i="14"/>
  <c r="R260" i="14"/>
  <c r="J261" i="14"/>
  <c r="R261" i="14" s="1"/>
  <c r="K262" i="14"/>
  <c r="Q262" i="14"/>
  <c r="R262" i="14"/>
  <c r="I263" i="14"/>
  <c r="K263" i="14" s="1"/>
  <c r="R263" i="14"/>
  <c r="K264" i="14"/>
  <c r="Q264" i="14"/>
  <c r="R264" i="14"/>
  <c r="K265" i="14"/>
  <c r="Q265" i="14"/>
  <c r="R265" i="14"/>
  <c r="I266" i="14"/>
  <c r="R266" i="14"/>
  <c r="K267" i="14"/>
  <c r="Q267" i="14"/>
  <c r="R267" i="14"/>
  <c r="I269" i="14"/>
  <c r="I268" i="14" s="1"/>
  <c r="J269" i="14"/>
  <c r="R269" i="14" s="1"/>
  <c r="Q269" i="14"/>
  <c r="K270" i="14"/>
  <c r="Q270" i="14"/>
  <c r="R270" i="14"/>
  <c r="S270" i="14" s="1"/>
  <c r="K271" i="14"/>
  <c r="Q271" i="14"/>
  <c r="R271" i="14"/>
  <c r="K272" i="14"/>
  <c r="Q272" i="14"/>
  <c r="R272" i="14"/>
  <c r="K273" i="14"/>
  <c r="Q273" i="14"/>
  <c r="R273" i="14"/>
  <c r="N275" i="14"/>
  <c r="R275" i="14" s="1"/>
  <c r="O276" i="14"/>
  <c r="Q276" i="14"/>
  <c r="R276" i="14"/>
  <c r="M277" i="14"/>
  <c r="O277" i="14" s="1"/>
  <c r="R277" i="14"/>
  <c r="N278" i="14"/>
  <c r="O279" i="14"/>
  <c r="Q279" i="14"/>
  <c r="R279" i="14"/>
  <c r="S279" i="14" s="1"/>
  <c r="O280" i="14"/>
  <c r="Q280" i="14"/>
  <c r="R280" i="14"/>
  <c r="M281" i="14"/>
  <c r="O281" i="14" s="1"/>
  <c r="R281" i="14"/>
  <c r="I284" i="14"/>
  <c r="I283" i="14" s="1"/>
  <c r="J284" i="14"/>
  <c r="R284" i="14" s="1"/>
  <c r="K285" i="14"/>
  <c r="Q285" i="14"/>
  <c r="R285" i="14"/>
  <c r="K286" i="14"/>
  <c r="Q286" i="14"/>
  <c r="R286" i="14"/>
  <c r="K287" i="14"/>
  <c r="Q287" i="14"/>
  <c r="R287" i="14"/>
  <c r="S287" i="14" s="1"/>
  <c r="K288" i="14"/>
  <c r="Q288" i="14"/>
  <c r="R288" i="14"/>
  <c r="B112" i="14"/>
  <c r="B113" i="14" s="1"/>
  <c r="B114" i="14" s="1"/>
  <c r="B115" i="14" s="1"/>
  <c r="B116" i="14" s="1"/>
  <c r="B117" i="14" s="1"/>
  <c r="B118" i="14" s="1"/>
  <c r="B119" i="14" s="1"/>
  <c r="B120" i="14" s="1"/>
  <c r="B121" i="14" s="1"/>
  <c r="B122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49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6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J113" i="14"/>
  <c r="I114" i="14"/>
  <c r="I113" i="14" s="1"/>
  <c r="R114" i="14"/>
  <c r="I117" i="14"/>
  <c r="I116" i="14" s="1"/>
  <c r="J117" i="14"/>
  <c r="J116" i="14" s="1"/>
  <c r="K118" i="14"/>
  <c r="Q118" i="14"/>
  <c r="R118" i="14"/>
  <c r="J120" i="14"/>
  <c r="K121" i="14"/>
  <c r="Q121" i="14"/>
  <c r="R121" i="14"/>
  <c r="I122" i="14"/>
  <c r="K122" i="14" s="1"/>
  <c r="R122" i="14"/>
  <c r="M124" i="14"/>
  <c r="N124" i="14"/>
  <c r="N123" i="14" s="1"/>
  <c r="O125" i="14"/>
  <c r="Q125" i="14"/>
  <c r="R125" i="14"/>
  <c r="J127" i="14"/>
  <c r="K128" i="14"/>
  <c r="Q128" i="14"/>
  <c r="R128" i="14"/>
  <c r="I129" i="14"/>
  <c r="K129" i="14" s="1"/>
  <c r="R129" i="14"/>
  <c r="N131" i="14"/>
  <c r="R131" i="14" s="1"/>
  <c r="M132" i="14"/>
  <c r="O132" i="14" s="1"/>
  <c r="R132" i="14"/>
  <c r="O133" i="14"/>
  <c r="Q133" i="14"/>
  <c r="R133" i="14"/>
  <c r="I135" i="14"/>
  <c r="J135" i="14"/>
  <c r="J134" i="14" s="1"/>
  <c r="K136" i="14"/>
  <c r="Q136" i="14"/>
  <c r="R136" i="14"/>
  <c r="K137" i="14"/>
  <c r="Q137" i="14"/>
  <c r="R137" i="14"/>
  <c r="J139" i="14"/>
  <c r="J138" i="14" s="1"/>
  <c r="K140" i="14"/>
  <c r="Q140" i="14"/>
  <c r="R140" i="14"/>
  <c r="S140" i="14" s="1"/>
  <c r="K141" i="14"/>
  <c r="Q141" i="14"/>
  <c r="R141" i="14"/>
  <c r="I142" i="14"/>
  <c r="Q142" i="14" s="1"/>
  <c r="R142" i="14"/>
  <c r="I143" i="14"/>
  <c r="R143" i="14"/>
  <c r="M145" i="14"/>
  <c r="Q145" i="14" s="1"/>
  <c r="N145" i="14"/>
  <c r="O146" i="14"/>
  <c r="Q146" i="14"/>
  <c r="R146" i="14"/>
  <c r="M147" i="14"/>
  <c r="Q147" i="14" s="1"/>
  <c r="N147" i="14"/>
  <c r="R147" i="14" s="1"/>
  <c r="O148" i="14"/>
  <c r="Q148" i="14"/>
  <c r="R148" i="14"/>
  <c r="O149" i="14"/>
  <c r="Q149" i="14"/>
  <c r="R149" i="14"/>
  <c r="O150" i="14"/>
  <c r="Q150" i="14"/>
  <c r="R150" i="14"/>
  <c r="O151" i="14"/>
  <c r="Q151" i="14"/>
  <c r="R151" i="14"/>
  <c r="S151" i="14" s="1"/>
  <c r="O152" i="14"/>
  <c r="Q152" i="14"/>
  <c r="R152" i="14"/>
  <c r="N153" i="14"/>
  <c r="R153" i="14" s="1"/>
  <c r="O154" i="14"/>
  <c r="Q154" i="14"/>
  <c r="R154" i="14"/>
  <c r="M155" i="14"/>
  <c r="O155" i="14" s="1"/>
  <c r="R155" i="14"/>
  <c r="M156" i="14"/>
  <c r="O156" i="14" s="1"/>
  <c r="Q156" i="14"/>
  <c r="R156" i="14"/>
  <c r="O157" i="14"/>
  <c r="Q157" i="14"/>
  <c r="R157" i="14"/>
  <c r="M158" i="14"/>
  <c r="R158" i="14"/>
  <c r="O159" i="14"/>
  <c r="Q159" i="14"/>
  <c r="R159" i="14"/>
  <c r="M160" i="14"/>
  <c r="O160" i="14" s="1"/>
  <c r="R160" i="14"/>
  <c r="M161" i="14"/>
  <c r="R161" i="14"/>
  <c r="O162" i="14"/>
  <c r="Q162" i="14"/>
  <c r="R162" i="14"/>
  <c r="M163" i="14"/>
  <c r="R163" i="14"/>
  <c r="O164" i="14"/>
  <c r="Q164" i="14"/>
  <c r="R164" i="14"/>
  <c r="M165" i="14"/>
  <c r="Q165" i="14" s="1"/>
  <c r="N165" i="14"/>
  <c r="R165" i="14" s="1"/>
  <c r="O166" i="14"/>
  <c r="Q166" i="14"/>
  <c r="R166" i="14"/>
  <c r="I168" i="14"/>
  <c r="Q168" i="14" s="1"/>
  <c r="R168" i="14"/>
  <c r="I169" i="14"/>
  <c r="J169" i="14"/>
  <c r="R169" i="14" s="1"/>
  <c r="J170" i="14"/>
  <c r="I171" i="14"/>
  <c r="K171" i="14" s="1"/>
  <c r="R171" i="14"/>
  <c r="I172" i="14"/>
  <c r="Q172" i="14" s="1"/>
  <c r="R172" i="14"/>
  <c r="I173" i="14"/>
  <c r="K173" i="14" s="1"/>
  <c r="R173" i="14"/>
  <c r="I174" i="14"/>
  <c r="K174" i="14" s="1"/>
  <c r="R174" i="14"/>
  <c r="J175" i="14"/>
  <c r="R175" i="14" s="1"/>
  <c r="I176" i="14"/>
  <c r="I175" i="14" s="1"/>
  <c r="R176" i="14"/>
  <c r="I177" i="14"/>
  <c r="R177" i="14"/>
  <c r="I178" i="14"/>
  <c r="K178" i="14" s="1"/>
  <c r="R178" i="14"/>
  <c r="M180" i="14"/>
  <c r="N180" i="14"/>
  <c r="R180" i="14" s="1"/>
  <c r="O181" i="14"/>
  <c r="Q181" i="14"/>
  <c r="R181" i="14"/>
  <c r="O182" i="14"/>
  <c r="Q182" i="14"/>
  <c r="R182" i="14"/>
  <c r="N183" i="14"/>
  <c r="M184" i="14"/>
  <c r="M183" i="14" s="1"/>
  <c r="Q183" i="14" s="1"/>
  <c r="R184" i="14"/>
  <c r="O185" i="14"/>
  <c r="Q185" i="14"/>
  <c r="R185" i="14"/>
  <c r="O186" i="14"/>
  <c r="Q186" i="14"/>
  <c r="R186" i="14"/>
  <c r="I188" i="14"/>
  <c r="J188" i="14"/>
  <c r="R188" i="14" s="1"/>
  <c r="K189" i="14"/>
  <c r="Q189" i="14"/>
  <c r="R189" i="14"/>
  <c r="I190" i="14"/>
  <c r="Q190" i="14" s="1"/>
  <c r="J190" i="14"/>
  <c r="K191" i="14"/>
  <c r="Q191" i="14"/>
  <c r="R191" i="14"/>
  <c r="J193" i="14"/>
  <c r="R193" i="14" s="1"/>
  <c r="K194" i="14"/>
  <c r="Q194" i="14"/>
  <c r="R194" i="14"/>
  <c r="I195" i="14"/>
  <c r="K195" i="14" s="1"/>
  <c r="R195" i="14"/>
  <c r="K196" i="14"/>
  <c r="Q196" i="14"/>
  <c r="R196" i="14"/>
  <c r="K197" i="14"/>
  <c r="Q197" i="14"/>
  <c r="R197" i="14"/>
  <c r="K198" i="14"/>
  <c r="Q198" i="14"/>
  <c r="R198" i="14"/>
  <c r="N200" i="14"/>
  <c r="R200" i="14" s="1"/>
  <c r="M201" i="14"/>
  <c r="O201" i="14" s="1"/>
  <c r="R201" i="14"/>
  <c r="I203" i="14"/>
  <c r="I202" i="14" s="1"/>
  <c r="Q202" i="14" s="1"/>
  <c r="J203" i="14"/>
  <c r="R203" i="14" s="1"/>
  <c r="K204" i="14"/>
  <c r="Q204" i="14"/>
  <c r="R204" i="14"/>
  <c r="K205" i="14"/>
  <c r="Q205" i="14"/>
  <c r="R205" i="14"/>
  <c r="S205" i="14" s="1"/>
  <c r="K206" i="14"/>
  <c r="Q206" i="14"/>
  <c r="R206" i="14"/>
  <c r="B89" i="14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B100" i="14" s="1"/>
  <c r="B101" i="14" s="1"/>
  <c r="B102" i="14" s="1"/>
  <c r="I90" i="14"/>
  <c r="J90" i="14"/>
  <c r="R90" i="14" s="1"/>
  <c r="Q90" i="14"/>
  <c r="K91" i="14"/>
  <c r="S91" i="14" s="1"/>
  <c r="Q91" i="14"/>
  <c r="R91" i="14"/>
  <c r="J92" i="14"/>
  <c r="R92" i="14" s="1"/>
  <c r="I93" i="14"/>
  <c r="I92" i="14" s="1"/>
  <c r="Q92" i="14" s="1"/>
  <c r="Q93" i="14"/>
  <c r="R93" i="14"/>
  <c r="K94" i="14"/>
  <c r="S94" i="14" s="1"/>
  <c r="Q94" i="14"/>
  <c r="R94" i="14"/>
  <c r="K95" i="14"/>
  <c r="S95" i="14" s="1"/>
  <c r="Q95" i="14"/>
  <c r="R95" i="14"/>
  <c r="J96" i="14"/>
  <c r="R96" i="14" s="1"/>
  <c r="I97" i="14"/>
  <c r="R97" i="14"/>
  <c r="I99" i="14"/>
  <c r="J99" i="14"/>
  <c r="R99" i="14" s="1"/>
  <c r="Q99" i="14"/>
  <c r="K100" i="14"/>
  <c r="S100" i="14" s="1"/>
  <c r="Q100" i="14"/>
  <c r="R100" i="14"/>
  <c r="I101" i="14"/>
  <c r="Q101" i="14" s="1"/>
  <c r="J101" i="14"/>
  <c r="K102" i="14"/>
  <c r="S102" i="14" s="1"/>
  <c r="Q102" i="14"/>
  <c r="R102" i="14"/>
  <c r="N18" i="15"/>
  <c r="N17" i="15"/>
  <c r="N16" i="15"/>
  <c r="N15" i="15"/>
  <c r="N14" i="15"/>
  <c r="N13" i="15"/>
  <c r="N12" i="15"/>
  <c r="N11" i="15"/>
  <c r="N10" i="15"/>
  <c r="N9" i="15"/>
  <c r="N8" i="15"/>
  <c r="N7" i="15"/>
  <c r="N5" i="15"/>
  <c r="I6" i="15"/>
  <c r="I20" i="15" s="1"/>
  <c r="D6" i="15"/>
  <c r="D19" i="15" s="1"/>
  <c r="N39" i="15"/>
  <c r="N24" i="15"/>
  <c r="K93" i="14" l="1"/>
  <c r="S93" i="14" s="1"/>
  <c r="Q171" i="14"/>
  <c r="K934" i="14"/>
  <c r="S1522" i="14"/>
  <c r="K1658" i="14"/>
  <c r="S676" i="14"/>
  <c r="S855" i="14"/>
  <c r="Q847" i="14"/>
  <c r="S847" i="14" s="1"/>
  <c r="K818" i="14"/>
  <c r="K696" i="14"/>
  <c r="Q639" i="14"/>
  <c r="S628" i="14"/>
  <c r="S1539" i="14"/>
  <c r="S1529" i="14"/>
  <c r="Q1485" i="14"/>
  <c r="S1485" i="14" s="1"/>
  <c r="K1916" i="14"/>
  <c r="S1855" i="14"/>
  <c r="S128" i="14"/>
  <c r="M278" i="14"/>
  <c r="Q278" i="14" s="1"/>
  <c r="S1321" i="14"/>
  <c r="S1566" i="14"/>
  <c r="S333" i="14"/>
  <c r="S324" i="14"/>
  <c r="Q1367" i="14"/>
  <c r="S1925" i="14"/>
  <c r="K1815" i="14"/>
  <c r="S1779" i="14"/>
  <c r="S928" i="14"/>
  <c r="K872" i="14"/>
  <c r="O862" i="14"/>
  <c r="S852" i="14"/>
  <c r="K753" i="14"/>
  <c r="R518" i="14"/>
  <c r="K1607" i="14"/>
  <c r="K1669" i="14"/>
  <c r="R1658" i="14"/>
  <c r="S1658" i="14" s="1"/>
  <c r="S1181" i="14"/>
  <c r="S1103" i="14"/>
  <c r="S900" i="14"/>
  <c r="Q583" i="14"/>
  <c r="Q1846" i="14"/>
  <c r="S1846" i="14" s="1"/>
  <c r="S1511" i="14"/>
  <c r="O1625" i="14"/>
  <c r="S1778" i="14"/>
  <c r="K90" i="14"/>
  <c r="S90" i="14" s="1"/>
  <c r="S322" i="14"/>
  <c r="O489" i="14"/>
  <c r="K1578" i="14"/>
  <c r="S1199" i="14"/>
  <c r="K1100" i="14"/>
  <c r="K976" i="14"/>
  <c r="Q879" i="14"/>
  <c r="S743" i="14"/>
  <c r="Q665" i="14"/>
  <c r="S665" i="14" s="1"/>
  <c r="S1729" i="14"/>
  <c r="K1656" i="14"/>
  <c r="S1309" i="14"/>
  <c r="Q883" i="14"/>
  <c r="S883" i="14" s="1"/>
  <c r="S522" i="14"/>
  <c r="S1689" i="14"/>
  <c r="S189" i="14"/>
  <c r="S152" i="14"/>
  <c r="O460" i="14"/>
  <c r="S1301" i="14"/>
  <c r="R1176" i="14"/>
  <c r="K676" i="14"/>
  <c r="K1659" i="14"/>
  <c r="S1898" i="14"/>
  <c r="K1775" i="14"/>
  <c r="S166" i="14"/>
  <c r="Q458" i="14"/>
  <c r="S458" i="14" s="1"/>
  <c r="S1334" i="14"/>
  <c r="Q1288" i="14"/>
  <c r="S1288" i="14" s="1"/>
  <c r="S1106" i="14"/>
  <c r="S1086" i="14"/>
  <c r="K1047" i="14"/>
  <c r="K707" i="14"/>
  <c r="Q529" i="14"/>
  <c r="S529" i="14" s="1"/>
  <c r="S1698" i="14"/>
  <c r="S1676" i="14"/>
  <c r="S185" i="14"/>
  <c r="K236" i="14"/>
  <c r="S227" i="14"/>
  <c r="S480" i="14"/>
  <c r="S1322" i="14"/>
  <c r="Q1163" i="14"/>
  <c r="S1163" i="14" s="1"/>
  <c r="S1154" i="14"/>
  <c r="S888" i="14"/>
  <c r="S871" i="14"/>
  <c r="K683" i="14"/>
  <c r="Q631" i="14"/>
  <c r="S1473" i="14"/>
  <c r="S1422" i="14"/>
  <c r="S1716" i="14"/>
  <c r="K1894" i="14"/>
  <c r="R1951" i="14"/>
  <c r="K1941" i="14"/>
  <c r="S1603" i="14"/>
  <c r="S309" i="14"/>
  <c r="S376" i="14"/>
  <c r="K1389" i="14"/>
  <c r="Q1251" i="14"/>
  <c r="S1251" i="14" s="1"/>
  <c r="K1229" i="14"/>
  <c r="R1084" i="14"/>
  <c r="Q1045" i="14"/>
  <c r="S1045" i="14" s="1"/>
  <c r="R1025" i="14"/>
  <c r="Q925" i="14"/>
  <c r="S925" i="14" s="1"/>
  <c r="S897" i="14"/>
  <c r="K713" i="14"/>
  <c r="S1618" i="14"/>
  <c r="S1591" i="14"/>
  <c r="S1733" i="14"/>
  <c r="K1727" i="14"/>
  <c r="Q1684" i="14"/>
  <c r="S1684" i="14" s="1"/>
  <c r="K1883" i="14"/>
  <c r="Q173" i="14"/>
  <c r="S173" i="14" s="1"/>
  <c r="S251" i="14"/>
  <c r="S1388" i="14"/>
  <c r="K1375" i="14"/>
  <c r="S1143" i="14"/>
  <c r="K1015" i="14"/>
  <c r="Q649" i="14"/>
  <c r="S649" i="14" s="1"/>
  <c r="O639" i="14"/>
  <c r="R629" i="14"/>
  <c r="Q619" i="14"/>
  <c r="S619" i="14" s="1"/>
  <c r="Q569" i="14"/>
  <c r="S1494" i="14"/>
  <c r="S1607" i="14"/>
  <c r="S447" i="14"/>
  <c r="S440" i="14"/>
  <c r="K1321" i="14"/>
  <c r="K1179" i="14"/>
  <c r="S1063" i="14"/>
  <c r="S885" i="14"/>
  <c r="Q712" i="14"/>
  <c r="S712" i="14" s="1"/>
  <c r="K578" i="14"/>
  <c r="Q1518" i="14"/>
  <c r="S1664" i="14"/>
  <c r="S1800" i="14"/>
  <c r="S1076" i="14"/>
  <c r="I1728" i="14"/>
  <c r="Q1728" i="14" s="1"/>
  <c r="M1311" i="14"/>
  <c r="Q1311" i="14" s="1"/>
  <c r="Q1151" i="14"/>
  <c r="S379" i="14"/>
  <c r="Q350" i="14"/>
  <c r="S477" i="14"/>
  <c r="K1236" i="14"/>
  <c r="Q711" i="14"/>
  <c r="S711" i="14" s="1"/>
  <c r="Q1712" i="14"/>
  <c r="K1871" i="14"/>
  <c r="K1810" i="14"/>
  <c r="S979" i="14"/>
  <c r="S171" i="14"/>
  <c r="R124" i="14"/>
  <c r="Q231" i="14"/>
  <c r="S231" i="14" s="1"/>
  <c r="K1385" i="14"/>
  <c r="R1354" i="14"/>
  <c r="S1319" i="14"/>
  <c r="S1132" i="14"/>
  <c r="S1111" i="14"/>
  <c r="S911" i="14"/>
  <c r="Q1458" i="14"/>
  <c r="S1458" i="14" s="1"/>
  <c r="R1428" i="14"/>
  <c r="S1428" i="14" s="1"/>
  <c r="K1624" i="14"/>
  <c r="S1731" i="14"/>
  <c r="K1711" i="14"/>
  <c r="R1852" i="14"/>
  <c r="S1651" i="14"/>
  <c r="S1351" i="14"/>
  <c r="S1159" i="14"/>
  <c r="J347" i="14"/>
  <c r="R347" i="14" s="1"/>
  <c r="S990" i="14"/>
  <c r="S1889" i="14"/>
  <c r="S121" i="14"/>
  <c r="Q259" i="14"/>
  <c r="S306" i="14"/>
  <c r="Q485" i="14"/>
  <c r="S485" i="14" s="1"/>
  <c r="S383" i="14"/>
  <c r="S1366" i="14"/>
  <c r="S1267" i="14"/>
  <c r="S1229" i="14"/>
  <c r="Q1211" i="14"/>
  <c r="S1211" i="14" s="1"/>
  <c r="K961" i="14"/>
  <c r="K627" i="14"/>
  <c r="S547" i="14"/>
  <c r="S1528" i="14"/>
  <c r="S1514" i="14"/>
  <c r="S1606" i="14"/>
  <c r="Q1895" i="14"/>
  <c r="S1895" i="14" s="1"/>
  <c r="Q1799" i="14"/>
  <c r="S1799" i="14" s="1"/>
  <c r="S1156" i="14"/>
  <c r="J920" i="14"/>
  <c r="S1572" i="14"/>
  <c r="S1643" i="14"/>
  <c r="Q1906" i="14"/>
  <c r="R1888" i="14"/>
  <c r="R1768" i="14"/>
  <c r="R345" i="14"/>
  <c r="S345" i="14" s="1"/>
  <c r="R1385" i="14"/>
  <c r="S1385" i="14" s="1"/>
  <c r="Q1219" i="14"/>
  <c r="S1219" i="14" s="1"/>
  <c r="Q1147" i="14"/>
  <c r="S1147" i="14" s="1"/>
  <c r="S831" i="14"/>
  <c r="Q546" i="14"/>
  <c r="S546" i="14" s="1"/>
  <c r="Q1520" i="14"/>
  <c r="S1520" i="14" s="1"/>
  <c r="S1506" i="14"/>
  <c r="S1435" i="14"/>
  <c r="S1425" i="14"/>
  <c r="S1418" i="14"/>
  <c r="S1597" i="14"/>
  <c r="R1712" i="14"/>
  <c r="S1776" i="14"/>
  <c r="Q645" i="14"/>
  <c r="S645" i="14" s="1"/>
  <c r="R567" i="14"/>
  <c r="Q557" i="14"/>
  <c r="S557" i="14" s="1"/>
  <c r="S1544" i="14"/>
  <c r="S1704" i="14"/>
  <c r="J1905" i="14"/>
  <c r="J1904" i="14" s="1"/>
  <c r="R1904" i="14" s="1"/>
  <c r="S1806" i="14"/>
  <c r="S631" i="14"/>
  <c r="S641" i="14"/>
  <c r="I1652" i="14"/>
  <c r="I1649" i="14" s="1"/>
  <c r="S763" i="14"/>
  <c r="O483" i="14"/>
  <c r="S460" i="14"/>
  <c r="Q1354" i="14"/>
  <c r="I1283" i="14"/>
  <c r="Q1283" i="14" s="1"/>
  <c r="Q1180" i="14"/>
  <c r="S1180" i="14" s="1"/>
  <c r="Q948" i="14"/>
  <c r="S948" i="14" s="1"/>
  <c r="Q894" i="14"/>
  <c r="S894" i="14" s="1"/>
  <c r="S745" i="14"/>
  <c r="Q1535" i="14"/>
  <c r="Q1604" i="14"/>
  <c r="S1604" i="14" s="1"/>
  <c r="Q1887" i="14"/>
  <c r="S1887" i="14" s="1"/>
  <c r="Q1757" i="14"/>
  <c r="S1757" i="14" s="1"/>
  <c r="S1134" i="14"/>
  <c r="S934" i="14"/>
  <c r="K1258" i="14"/>
  <c r="O475" i="14"/>
  <c r="S1115" i="14"/>
  <c r="S1056" i="14"/>
  <c r="S1017" i="14"/>
  <c r="Q977" i="14"/>
  <c r="S977" i="14" s="1"/>
  <c r="Q830" i="14"/>
  <c r="S830" i="14" s="1"/>
  <c r="K674" i="14"/>
  <c r="Q513" i="14"/>
  <c r="S513" i="14" s="1"/>
  <c r="S1526" i="14"/>
  <c r="O1519" i="14"/>
  <c r="S1587" i="14"/>
  <c r="S1721" i="14"/>
  <c r="S1702" i="14"/>
  <c r="S1640" i="14"/>
  <c r="S1893" i="14"/>
  <c r="Q1775" i="14"/>
  <c r="S1775" i="14" s="1"/>
  <c r="S1343" i="14"/>
  <c r="S983" i="14"/>
  <c r="S1609" i="14"/>
  <c r="S1266" i="14"/>
  <c r="Q761" i="14"/>
  <c r="S761" i="14" s="1"/>
  <c r="S751" i="14"/>
  <c r="S683" i="14"/>
  <c r="S1891" i="14"/>
  <c r="M890" i="14"/>
  <c r="O890" i="14" s="1"/>
  <c r="S548" i="14"/>
  <c r="S204" i="14"/>
  <c r="Q184" i="14"/>
  <c r="S184" i="14" s="1"/>
  <c r="S164" i="14"/>
  <c r="S352" i="14"/>
  <c r="S1326" i="14"/>
  <c r="S1291" i="14"/>
  <c r="S1263" i="14"/>
  <c r="Q1189" i="14"/>
  <c r="S1189" i="14" s="1"/>
  <c r="K1135" i="14"/>
  <c r="S1064" i="14"/>
  <c r="S976" i="14"/>
  <c r="K884" i="14"/>
  <c r="S856" i="14"/>
  <c r="S771" i="14"/>
  <c r="K751" i="14"/>
  <c r="S704" i="14"/>
  <c r="S673" i="14"/>
  <c r="S663" i="14"/>
  <c r="O553" i="14"/>
  <c r="S1504" i="14"/>
  <c r="Q1453" i="14"/>
  <c r="S1453" i="14" s="1"/>
  <c r="O1443" i="14"/>
  <c r="S1416" i="14"/>
  <c r="S1408" i="14"/>
  <c r="S1595" i="14"/>
  <c r="S1803" i="14"/>
  <c r="S423" i="14"/>
  <c r="S1519" i="14"/>
  <c r="I1427" i="14"/>
  <c r="K1427" i="14" s="1"/>
  <c r="S224" i="14"/>
  <c r="S1089" i="14"/>
  <c r="S1042" i="14"/>
  <c r="S825" i="14"/>
  <c r="S644" i="14"/>
  <c r="K1493" i="14"/>
  <c r="S1876" i="14"/>
  <c r="S141" i="14"/>
  <c r="S463" i="14"/>
  <c r="S448" i="14"/>
  <c r="S441" i="14"/>
  <c r="S433" i="14"/>
  <c r="S395" i="14"/>
  <c r="M386" i="14"/>
  <c r="Q386" i="14" s="1"/>
  <c r="S386" i="14" s="1"/>
  <c r="Q1392" i="14"/>
  <c r="S1392" i="14" s="1"/>
  <c r="S1372" i="14"/>
  <c r="O1354" i="14"/>
  <c r="S1286" i="14"/>
  <c r="Q1098" i="14"/>
  <c r="S1098" i="14" s="1"/>
  <c r="S1078" i="14"/>
  <c r="S1014" i="14"/>
  <c r="Q955" i="14"/>
  <c r="S955" i="14" s="1"/>
  <c r="S775" i="14"/>
  <c r="R643" i="14"/>
  <c r="Q559" i="14"/>
  <c r="S559" i="14" s="1"/>
  <c r="K509" i="14"/>
  <c r="Q1462" i="14"/>
  <c r="S1462" i="14" s="1"/>
  <c r="R1442" i="14"/>
  <c r="S1433" i="14"/>
  <c r="S1692" i="14"/>
  <c r="K1684" i="14"/>
  <c r="R1657" i="14"/>
  <c r="S1657" i="14" s="1"/>
  <c r="S1910" i="14"/>
  <c r="S1867" i="14"/>
  <c r="J1386" i="14"/>
  <c r="R1386" i="14" s="1"/>
  <c r="S796" i="14"/>
  <c r="S118" i="14"/>
  <c r="S285" i="14"/>
  <c r="S248" i="14"/>
  <c r="S238" i="14"/>
  <c r="S385" i="14"/>
  <c r="S1363" i="14"/>
  <c r="S1303" i="14"/>
  <c r="S1224" i="14"/>
  <c r="Q1041" i="14"/>
  <c r="S1041" i="14" s="1"/>
  <c r="K1014" i="14"/>
  <c r="S765" i="14"/>
  <c r="S742" i="14"/>
  <c r="I1581" i="14"/>
  <c r="I1580" i="14" s="1"/>
  <c r="Q1580" i="14" s="1"/>
  <c r="Q1884" i="14"/>
  <c r="S1884" i="14" s="1"/>
  <c r="Q1758" i="14"/>
  <c r="S1758" i="14" s="1"/>
  <c r="S1784" i="14"/>
  <c r="K878" i="14"/>
  <c r="K701" i="14"/>
  <c r="K671" i="14"/>
  <c r="Q597" i="14"/>
  <c r="S597" i="14" s="1"/>
  <c r="R558" i="14"/>
  <c r="K1492" i="14"/>
  <c r="S1440" i="14"/>
  <c r="S1611" i="14"/>
  <c r="K1884" i="14"/>
  <c r="S1875" i="14"/>
  <c r="M1804" i="14"/>
  <c r="M1794" i="14" s="1"/>
  <c r="M1793" i="14" s="1"/>
  <c r="S1783" i="14"/>
  <c r="Q764" i="14"/>
  <c r="S764" i="14" s="1"/>
  <c r="Q650" i="14"/>
  <c r="S650" i="14" s="1"/>
  <c r="I1899" i="14"/>
  <c r="Q1899" i="14" s="1"/>
  <c r="K101" i="14"/>
  <c r="S101" i="14" s="1"/>
  <c r="S247" i="14"/>
  <c r="S469" i="14"/>
  <c r="S394" i="14"/>
  <c r="I1371" i="14"/>
  <c r="Q1371" i="14" s="1"/>
  <c r="Q1285" i="14"/>
  <c r="S1285" i="14" s="1"/>
  <c r="K1260" i="14"/>
  <c r="K1253" i="14"/>
  <c r="I1238" i="14"/>
  <c r="Q1238" i="14" s="1"/>
  <c r="S1169" i="14"/>
  <c r="K1059" i="14"/>
  <c r="Q1039" i="14"/>
  <c r="S1039" i="14" s="1"/>
  <c r="Q1012" i="14"/>
  <c r="S1012" i="14" s="1"/>
  <c r="S982" i="14"/>
  <c r="S963" i="14"/>
  <c r="R719" i="14"/>
  <c r="S1508" i="14"/>
  <c r="S1501" i="14"/>
  <c r="S1722" i="14"/>
  <c r="S1913" i="14"/>
  <c r="S1172" i="14"/>
  <c r="S736" i="14"/>
  <c r="S1877" i="14"/>
  <c r="S1817" i="14"/>
  <c r="S1540" i="14"/>
  <c r="Q1232" i="14"/>
  <c r="S1232" i="14" s="1"/>
  <c r="Q991" i="14"/>
  <c r="S991" i="14" s="1"/>
  <c r="Q868" i="14"/>
  <c r="S868" i="14" s="1"/>
  <c r="S792" i="14"/>
  <c r="S980" i="14"/>
  <c r="S686" i="14"/>
  <c r="M621" i="14"/>
  <c r="M610" i="14" s="1"/>
  <c r="O610" i="14" s="1"/>
  <c r="S523" i="14"/>
  <c r="S1094" i="14"/>
  <c r="S1677" i="14"/>
  <c r="S789" i="14"/>
  <c r="S713" i="14"/>
  <c r="J1164" i="14"/>
  <c r="R1164" i="14" s="1"/>
  <c r="S1164" i="14" s="1"/>
  <c r="S1472" i="14"/>
  <c r="S1911" i="14"/>
  <c r="S1749" i="14"/>
  <c r="S272" i="14"/>
  <c r="K355" i="14"/>
  <c r="S431" i="14"/>
  <c r="S411" i="14"/>
  <c r="S1318" i="14"/>
  <c r="S1204" i="14"/>
  <c r="S1000" i="14"/>
  <c r="O943" i="14"/>
  <c r="S891" i="14"/>
  <c r="K792" i="14"/>
  <c r="K641" i="14"/>
  <c r="S584" i="14"/>
  <c r="S1537" i="14"/>
  <c r="S1448" i="14"/>
  <c r="N1687" i="14"/>
  <c r="N1680" i="14" s="1"/>
  <c r="R1680" i="14" s="1"/>
  <c r="S1708" i="14"/>
  <c r="J1860" i="14"/>
  <c r="J1857" i="14" s="1"/>
  <c r="J396" i="14"/>
  <c r="J392" i="14" s="1"/>
  <c r="J1292" i="14"/>
  <c r="Q1284" i="14"/>
  <c r="S1284" i="14" s="1"/>
  <c r="M940" i="14"/>
  <c r="M920" i="14" s="1"/>
  <c r="S829" i="14"/>
  <c r="S603" i="14"/>
  <c r="S556" i="14"/>
  <c r="S1577" i="14"/>
  <c r="Q1671" i="14"/>
  <c r="S1671" i="14" s="1"/>
  <c r="K1664" i="14"/>
  <c r="S1916" i="14"/>
  <c r="S1864" i="14"/>
  <c r="S1834" i="14"/>
  <c r="S1946" i="14"/>
  <c r="S1527" i="14"/>
  <c r="S1141" i="14"/>
  <c r="K1651" i="14"/>
  <c r="I1768" i="14"/>
  <c r="I1767" i="14" s="1"/>
  <c r="Q114" i="14"/>
  <c r="S114" i="14" s="1"/>
  <c r="R236" i="14"/>
  <c r="S236" i="14" s="1"/>
  <c r="O147" i="14"/>
  <c r="I127" i="14"/>
  <c r="I126" i="14" s="1"/>
  <c r="K114" i="14"/>
  <c r="S280" i="14"/>
  <c r="S390" i="14"/>
  <c r="O1378" i="14"/>
  <c r="K1284" i="14"/>
  <c r="S1142" i="14"/>
  <c r="Q1095" i="14"/>
  <c r="S1095" i="14" s="1"/>
  <c r="S907" i="14"/>
  <c r="K829" i="14"/>
  <c r="S800" i="14"/>
  <c r="K603" i="14"/>
  <c r="K556" i="14"/>
  <c r="Q1619" i="14"/>
  <c r="S1619" i="14" s="1"/>
  <c r="S1801" i="14"/>
  <c r="S162" i="14"/>
  <c r="S456" i="14"/>
  <c r="O428" i="14"/>
  <c r="N1376" i="14"/>
  <c r="O1376" i="14" s="1"/>
  <c r="R1377" i="14"/>
  <c r="K1368" i="14"/>
  <c r="K1257" i="14"/>
  <c r="J1227" i="14"/>
  <c r="Q1152" i="14"/>
  <c r="S1152" i="14" s="1"/>
  <c r="K1152" i="14"/>
  <c r="Q1136" i="14"/>
  <c r="S1136" i="14" s="1"/>
  <c r="Q1099" i="14"/>
  <c r="S1099" i="14" s="1"/>
  <c r="S1044" i="14"/>
  <c r="R989" i="14"/>
  <c r="K980" i="14"/>
  <c r="Q972" i="14"/>
  <c r="S972" i="14" s="1"/>
  <c r="S819" i="14"/>
  <c r="S810" i="14"/>
  <c r="K793" i="14"/>
  <c r="K775" i="14"/>
  <c r="S697" i="14"/>
  <c r="K577" i="14"/>
  <c r="S568" i="14"/>
  <c r="S1476" i="14"/>
  <c r="R1605" i="14"/>
  <c r="S1669" i="14"/>
  <c r="R1653" i="14"/>
  <c r="S1653" i="14" s="1"/>
  <c r="K1907" i="14"/>
  <c r="Q1907" i="14"/>
  <c r="S1907" i="14" s="1"/>
  <c r="K1856" i="14"/>
  <c r="K1847" i="14"/>
  <c r="Q1809" i="14"/>
  <c r="S1809" i="14" s="1"/>
  <c r="S154" i="14"/>
  <c r="Q315" i="14"/>
  <c r="S315" i="14" s="1"/>
  <c r="O486" i="14"/>
  <c r="S478" i="14"/>
  <c r="Q434" i="14"/>
  <c r="S434" i="14" s="1"/>
  <c r="O408" i="14"/>
  <c r="I1317" i="14"/>
  <c r="Q1317" i="14" s="1"/>
  <c r="S1317" i="14" s="1"/>
  <c r="Q1320" i="14"/>
  <c r="S1320" i="14" s="1"/>
  <c r="S1151" i="14"/>
  <c r="Q1144" i="14"/>
  <c r="S1144" i="14" s="1"/>
  <c r="I1140" i="14"/>
  <c r="Q1140" i="14" s="1"/>
  <c r="R1007" i="14"/>
  <c r="K837" i="14"/>
  <c r="Q837" i="14"/>
  <c r="S837" i="14" s="1"/>
  <c r="Q828" i="14"/>
  <c r="S828" i="14" s="1"/>
  <c r="K819" i="14"/>
  <c r="K686" i="14"/>
  <c r="Q595" i="14"/>
  <c r="S595" i="14" s="1"/>
  <c r="K1488" i="14"/>
  <c r="S1621" i="14"/>
  <c r="S1613" i="14"/>
  <c r="S1685" i="14"/>
  <c r="S1906" i="14"/>
  <c r="M1944" i="14"/>
  <c r="M1938" i="14" s="1"/>
  <c r="Q1945" i="14"/>
  <c r="K1921" i="14"/>
  <c r="Q1921" i="14"/>
  <c r="S1921" i="14" s="1"/>
  <c r="M861" i="14"/>
  <c r="Q861" i="14" s="1"/>
  <c r="J505" i="14"/>
  <c r="R508" i="14"/>
  <c r="S1474" i="14"/>
  <c r="S1420" i="14"/>
  <c r="Q1625" i="14"/>
  <c r="S1912" i="14"/>
  <c r="S1871" i="14"/>
  <c r="S1825" i="14"/>
  <c r="S159" i="14"/>
  <c r="Q235" i="14"/>
  <c r="S235" i="14" s="1"/>
  <c r="S342" i="14"/>
  <c r="S414" i="14"/>
  <c r="S404" i="14"/>
  <c r="S1341" i="14"/>
  <c r="O941" i="14"/>
  <c r="R941" i="14"/>
  <c r="S941" i="14" s="1"/>
  <c r="S860" i="14"/>
  <c r="Q843" i="14"/>
  <c r="S843" i="14" s="1"/>
  <c r="Q834" i="14"/>
  <c r="S834" i="14" s="1"/>
  <c r="S731" i="14"/>
  <c r="Q703" i="14"/>
  <c r="S703" i="14" s="1"/>
  <c r="Q593" i="14"/>
  <c r="S593" i="14" s="1"/>
  <c r="S507" i="14"/>
  <c r="S1524" i="14"/>
  <c r="K1494" i="14"/>
  <c r="S1445" i="14"/>
  <c r="K1619" i="14"/>
  <c r="M1750" i="14"/>
  <c r="Q1750" i="14" s="1"/>
  <c r="S378" i="14"/>
  <c r="K405" i="14"/>
  <c r="Q405" i="14"/>
  <c r="S405" i="14" s="1"/>
  <c r="S1349" i="14"/>
  <c r="S1302" i="14"/>
  <c r="S1518" i="14"/>
  <c r="I1905" i="14"/>
  <c r="S1879" i="14"/>
  <c r="O484" i="14"/>
  <c r="Q484" i="14"/>
  <c r="S484" i="14" s="1"/>
  <c r="S1382" i="14"/>
  <c r="S1355" i="14"/>
  <c r="K1324" i="14"/>
  <c r="Q1277" i="14"/>
  <c r="S1277" i="14" s="1"/>
  <c r="S1260" i="14"/>
  <c r="S1254" i="14"/>
  <c r="R1149" i="14"/>
  <c r="S1021" i="14"/>
  <c r="Q1003" i="14"/>
  <c r="S1003" i="14" s="1"/>
  <c r="K949" i="14"/>
  <c r="Q949" i="14"/>
  <c r="S949" i="14" s="1"/>
  <c r="Q877" i="14"/>
  <c r="S877" i="14" s="1"/>
  <c r="Q851" i="14"/>
  <c r="S851" i="14" s="1"/>
  <c r="O834" i="14"/>
  <c r="O703" i="14"/>
  <c r="K507" i="14"/>
  <c r="S1510" i="14"/>
  <c r="R1625" i="14"/>
  <c r="N1617" i="14"/>
  <c r="O1617" i="14" s="1"/>
  <c r="K1639" i="14"/>
  <c r="R1639" i="14"/>
  <c r="S1639" i="14" s="1"/>
  <c r="S1894" i="14"/>
  <c r="K1837" i="14"/>
  <c r="Q1837" i="14"/>
  <c r="S1837" i="14" s="1"/>
  <c r="R1824" i="14"/>
  <c r="J1822" i="14"/>
  <c r="S1759" i="14"/>
  <c r="K1207" i="14"/>
  <c r="I1203" i="14"/>
  <c r="Q1203" i="14" s="1"/>
  <c r="O653" i="14"/>
  <c r="Q653" i="14"/>
  <c r="S653" i="14" s="1"/>
  <c r="S515" i="14"/>
  <c r="O1503" i="14"/>
  <c r="M1500" i="14"/>
  <c r="Q1500" i="14" s="1"/>
  <c r="S1691" i="14"/>
  <c r="Q905" i="14"/>
  <c r="S905" i="14" s="1"/>
  <c r="I848" i="14"/>
  <c r="Q848" i="14" s="1"/>
  <c r="Q739" i="14"/>
  <c r="S739" i="14" s="1"/>
  <c r="S730" i="14"/>
  <c r="S627" i="14"/>
  <c r="S618" i="14"/>
  <c r="Q1538" i="14"/>
  <c r="S1538" i="14" s="1"/>
  <c r="M1512" i="14"/>
  <c r="Q1512" i="14" s="1"/>
  <c r="S1624" i="14"/>
  <c r="S1710" i="14"/>
  <c r="O1691" i="14"/>
  <c r="M1690" i="14"/>
  <c r="Q1690" i="14" s="1"/>
  <c r="O1647" i="14"/>
  <c r="Q1647" i="14"/>
  <c r="S1647" i="14" s="1"/>
  <c r="S1919" i="14"/>
  <c r="Q1364" i="14"/>
  <c r="S1364" i="14" s="1"/>
  <c r="N1331" i="14"/>
  <c r="N1314" i="14" s="1"/>
  <c r="R101" i="14"/>
  <c r="K142" i="14"/>
  <c r="S286" i="14"/>
  <c r="K224" i="14"/>
  <c r="S329" i="14"/>
  <c r="K393" i="14"/>
  <c r="K1381" i="14"/>
  <c r="S1347" i="14"/>
  <c r="S1179" i="14"/>
  <c r="Q1065" i="14"/>
  <c r="S1065" i="14" s="1"/>
  <c r="K929" i="14"/>
  <c r="K898" i="14"/>
  <c r="S875" i="14"/>
  <c r="K777" i="14"/>
  <c r="K730" i="14"/>
  <c r="K618" i="14"/>
  <c r="Q1463" i="14"/>
  <c r="S1463" i="14" s="1"/>
  <c r="K1463" i="14"/>
  <c r="K1702" i="14"/>
  <c r="S1850" i="14"/>
  <c r="S1774" i="14"/>
  <c r="S1765" i="14"/>
  <c r="S1342" i="14"/>
  <c r="S1434" i="14"/>
  <c r="S1195" i="14"/>
  <c r="I1034" i="14"/>
  <c r="Q1034" i="14" s="1"/>
  <c r="Q904" i="14"/>
  <c r="S904" i="14" s="1"/>
  <c r="S738" i="14"/>
  <c r="M1449" i="14"/>
  <c r="Q1449" i="14" s="1"/>
  <c r="S1568" i="14"/>
  <c r="S1773" i="14"/>
  <c r="Q832" i="14"/>
  <c r="M808" i="14"/>
  <c r="I1918" i="14"/>
  <c r="I1915" i="14" s="1"/>
  <c r="S1161" i="14"/>
  <c r="Q1010" i="14"/>
  <c r="S1010" i="14" s="1"/>
  <c r="K1010" i="14"/>
  <c r="Q813" i="14"/>
  <c r="S813" i="14" s="1"/>
  <c r="K813" i="14"/>
  <c r="Q1470" i="14"/>
  <c r="S1470" i="14" s="1"/>
  <c r="K1470" i="14"/>
  <c r="R1452" i="14"/>
  <c r="N1449" i="14"/>
  <c r="R1449" i="14" s="1"/>
  <c r="N1818" i="14"/>
  <c r="O1819" i="14"/>
  <c r="R1819" i="14"/>
  <c r="S1256" i="14"/>
  <c r="K909" i="14"/>
  <c r="Q909" i="14"/>
  <c r="S909" i="14" s="1"/>
  <c r="S901" i="14"/>
  <c r="S576" i="14"/>
  <c r="M314" i="14"/>
  <c r="Q314" i="14" s="1"/>
  <c r="S314" i="14" s="1"/>
  <c r="K1033" i="14"/>
  <c r="Q1033" i="14"/>
  <c r="S1033" i="14" s="1"/>
  <c r="K1088" i="14"/>
  <c r="Q1088" i="14"/>
  <c r="S1088" i="14" s="1"/>
  <c r="O490" i="14"/>
  <c r="Q490" i="14"/>
  <c r="S490" i="14" s="1"/>
  <c r="J1390" i="14"/>
  <c r="R1390" i="14" s="1"/>
  <c r="K1066" i="14"/>
  <c r="Q1066" i="14"/>
  <c r="S1066" i="14" s="1"/>
  <c r="S1791" i="14"/>
  <c r="S429" i="14"/>
  <c r="S1654" i="14"/>
  <c r="M1818" i="14"/>
  <c r="M1808" i="14" s="1"/>
  <c r="Q1819" i="14"/>
  <c r="K967" i="14"/>
  <c r="Q967" i="14"/>
  <c r="S967" i="14" s="1"/>
  <c r="K562" i="14"/>
  <c r="Q562" i="14"/>
  <c r="S562" i="14" s="1"/>
  <c r="O487" i="14"/>
  <c r="S472" i="14"/>
  <c r="K1388" i="14"/>
  <c r="O1312" i="14"/>
  <c r="R1312" i="14"/>
  <c r="S1312" i="14" s="1"/>
  <c r="S1280" i="14"/>
  <c r="R1119" i="14"/>
  <c r="S1100" i="14"/>
  <c r="S927" i="14"/>
  <c r="S910" i="14"/>
  <c r="J893" i="14"/>
  <c r="Q802" i="14"/>
  <c r="S802" i="14" s="1"/>
  <c r="S758" i="14"/>
  <c r="S744" i="14"/>
  <c r="I669" i="14"/>
  <c r="Q669" i="14" s="1"/>
  <c r="K670" i="14"/>
  <c r="O569" i="14"/>
  <c r="Q560" i="14"/>
  <c r="S560" i="14" s="1"/>
  <c r="S552" i="14"/>
  <c r="R1491" i="14"/>
  <c r="S1491" i="14" s="1"/>
  <c r="K1491" i="14"/>
  <c r="Q1460" i="14"/>
  <c r="S1460" i="14" s="1"/>
  <c r="S1599" i="14"/>
  <c r="S1866" i="14"/>
  <c r="Q1841" i="14"/>
  <c r="S1841" i="14" s="1"/>
  <c r="K604" i="14"/>
  <c r="Q604" i="14"/>
  <c r="S604" i="14" s="1"/>
  <c r="Q97" i="14"/>
  <c r="K97" i="14"/>
  <c r="S97" i="14" s="1"/>
  <c r="I1828" i="14"/>
  <c r="I1827" i="14" s="1"/>
  <c r="Q1827" i="14" s="1"/>
  <c r="K1829" i="14"/>
  <c r="Q1829" i="14"/>
  <c r="S1829" i="14" s="1"/>
  <c r="S942" i="14"/>
  <c r="Q1467" i="14"/>
  <c r="S1467" i="14" s="1"/>
  <c r="I1464" i="14"/>
  <c r="Q1464" i="14" s="1"/>
  <c r="I1821" i="14"/>
  <c r="Q1821" i="14" s="1"/>
  <c r="Q1822" i="14"/>
  <c r="K1225" i="14"/>
  <c r="Q1225" i="14"/>
  <c r="S1225" i="14" s="1"/>
  <c r="K1242" i="14"/>
  <c r="Q1242" i="14"/>
  <c r="S1242" i="14" s="1"/>
  <c r="I1158" i="14"/>
  <c r="I1155" i="14" s="1"/>
  <c r="K1162" i="14"/>
  <c r="Q1162" i="14"/>
  <c r="S1162" i="14" s="1"/>
  <c r="I261" i="14"/>
  <c r="Q261" i="14" s="1"/>
  <c r="S261" i="14" s="1"/>
  <c r="K266" i="14"/>
  <c r="Q266" i="14"/>
  <c r="S266" i="14" s="1"/>
  <c r="S1298" i="14"/>
  <c r="S1281" i="14"/>
  <c r="S307" i="14"/>
  <c r="O1377" i="14"/>
  <c r="S1287" i="14"/>
  <c r="K1280" i="14"/>
  <c r="I1221" i="14"/>
  <c r="I1218" i="14" s="1"/>
  <c r="O1185" i="14"/>
  <c r="Q1185" i="14"/>
  <c r="S1185" i="14" s="1"/>
  <c r="S1035" i="14"/>
  <c r="Q943" i="14"/>
  <c r="S1468" i="14"/>
  <c r="S1590" i="14"/>
  <c r="K1866" i="14"/>
  <c r="Q1493" i="14"/>
  <c r="S1493" i="14" s="1"/>
  <c r="J1771" i="14"/>
  <c r="S181" i="14"/>
  <c r="K172" i="14"/>
  <c r="S426" i="14"/>
  <c r="S1261" i="14"/>
  <c r="S1236" i="14"/>
  <c r="K1148" i="14"/>
  <c r="S880" i="14"/>
  <c r="Q816" i="14"/>
  <c r="S816" i="14" s="1"/>
  <c r="K743" i="14"/>
  <c r="Q726" i="14"/>
  <c r="S726" i="14" s="1"/>
  <c r="Q717" i="14"/>
  <c r="S717" i="14" s="1"/>
  <c r="S701" i="14"/>
  <c r="Q664" i="14"/>
  <c r="S664" i="14" s="1"/>
  <c r="Q656" i="14"/>
  <c r="S656" i="14" s="1"/>
  <c r="Q564" i="14"/>
  <c r="S564" i="14" s="1"/>
  <c r="K521" i="14"/>
  <c r="K1831" i="14"/>
  <c r="K99" i="14"/>
  <c r="S99" i="14" s="1"/>
  <c r="S1330" i="14"/>
  <c r="S1840" i="14"/>
  <c r="S172" i="14"/>
  <c r="S148" i="14"/>
  <c r="S476" i="14"/>
  <c r="Q1377" i="14"/>
  <c r="S1062" i="14"/>
  <c r="S1027" i="14"/>
  <c r="S917" i="14"/>
  <c r="J863" i="14"/>
  <c r="Q824" i="14"/>
  <c r="S824" i="14" s="1"/>
  <c r="S807" i="14"/>
  <c r="S749" i="14"/>
  <c r="Q616" i="14"/>
  <c r="S616" i="14" s="1"/>
  <c r="M607" i="14"/>
  <c r="M596" i="14" s="1"/>
  <c r="R599" i="14"/>
  <c r="N582" i="14"/>
  <c r="N571" i="14" s="1"/>
  <c r="K548" i="14"/>
  <c r="S538" i="14"/>
  <c r="O1543" i="14"/>
  <c r="Q1521" i="14"/>
  <c r="S1521" i="14" s="1"/>
  <c r="S1515" i="14"/>
  <c r="M1484" i="14"/>
  <c r="O1484" i="14" s="1"/>
  <c r="S1423" i="14"/>
  <c r="K1726" i="14"/>
  <c r="S1682" i="14"/>
  <c r="S1672" i="14"/>
  <c r="N1641" i="14"/>
  <c r="R1641" i="14" s="1"/>
  <c r="Q1923" i="14"/>
  <c r="S1923" i="14" s="1"/>
  <c r="S1892" i="14"/>
  <c r="Q1886" i="14"/>
  <c r="S1886" i="14" s="1"/>
  <c r="S1862" i="14"/>
  <c r="S1798" i="14"/>
  <c r="S1777" i="14"/>
  <c r="Q1956" i="14"/>
  <c r="S1956" i="14" s="1"/>
  <c r="S1940" i="14"/>
  <c r="Q692" i="14"/>
  <c r="S692" i="14" s="1"/>
  <c r="S1601" i="14"/>
  <c r="S1565" i="14"/>
  <c r="R1715" i="14"/>
  <c r="R1656" i="14"/>
  <c r="S1656" i="14" s="1"/>
  <c r="S1869" i="14"/>
  <c r="S1845" i="14"/>
  <c r="S773" i="14"/>
  <c r="K742" i="14"/>
  <c r="Q591" i="14"/>
  <c r="S591" i="14" s="1"/>
  <c r="S563" i="14"/>
  <c r="S1507" i="14"/>
  <c r="S1492" i="14"/>
  <c r="R1464" i="14"/>
  <c r="K1908" i="14"/>
  <c r="Q1838" i="14"/>
  <c r="S1838" i="14" s="1"/>
  <c r="Q1830" i="14"/>
  <c r="S1830" i="14" s="1"/>
  <c r="S1650" i="14"/>
  <c r="I770" i="14"/>
  <c r="K770" i="14" s="1"/>
  <c r="N1872" i="14"/>
  <c r="N1860" i="14" s="1"/>
  <c r="S839" i="14"/>
  <c r="Q255" i="14"/>
  <c r="S255" i="14" s="1"/>
  <c r="S1337" i="14"/>
  <c r="Q1327" i="14"/>
  <c r="S1327" i="14" s="1"/>
  <c r="S1306" i="14"/>
  <c r="N1182" i="14"/>
  <c r="R1182" i="14" s="1"/>
  <c r="S1121" i="14"/>
  <c r="Q1060" i="14"/>
  <c r="S1060" i="14" s="1"/>
  <c r="Q1008" i="14"/>
  <c r="S1008" i="14" s="1"/>
  <c r="Q892" i="14"/>
  <c r="S892" i="14" s="1"/>
  <c r="S1439" i="14"/>
  <c r="Q1584" i="14"/>
  <c r="S1584" i="14" s="1"/>
  <c r="Q1564" i="14"/>
  <c r="S1564" i="14" s="1"/>
  <c r="S1713" i="14"/>
  <c r="Q1868" i="14"/>
  <c r="S1868" i="14" s="1"/>
  <c r="S1812" i="14"/>
  <c r="Q1796" i="14"/>
  <c r="S1796" i="14" s="1"/>
  <c r="K1784" i="14"/>
  <c r="Q1769" i="14"/>
  <c r="S1769" i="14" s="1"/>
  <c r="S639" i="14"/>
  <c r="S186" i="14"/>
  <c r="S136" i="14"/>
  <c r="S264" i="14"/>
  <c r="O255" i="14"/>
  <c r="S237" i="14"/>
  <c r="S229" i="14"/>
  <c r="K300" i="14"/>
  <c r="S466" i="14"/>
  <c r="S451" i="14"/>
  <c r="Q403" i="14"/>
  <c r="S403" i="14" s="1"/>
  <c r="R1290" i="14"/>
  <c r="S1050" i="14"/>
  <c r="Q999" i="14"/>
  <c r="S999" i="14" s="1"/>
  <c r="K871" i="14"/>
  <c r="S862" i="14"/>
  <c r="S804" i="14"/>
  <c r="K763" i="14"/>
  <c r="Q662" i="14"/>
  <c r="S662" i="14" s="1"/>
  <c r="Q630" i="14"/>
  <c r="S630" i="14" s="1"/>
  <c r="S509" i="14"/>
  <c r="S1513" i="14"/>
  <c r="S1421" i="14"/>
  <c r="S1614" i="14"/>
  <c r="K1592" i="14"/>
  <c r="Q1570" i="14"/>
  <c r="S1570" i="14" s="1"/>
  <c r="S1662" i="14"/>
  <c r="S879" i="14"/>
  <c r="S1184" i="14"/>
  <c r="S206" i="14"/>
  <c r="S1350" i="14"/>
  <c r="S1336" i="14"/>
  <c r="S1299" i="14"/>
  <c r="S1120" i="14"/>
  <c r="I1007" i="14"/>
  <c r="K1007" i="14" s="1"/>
  <c r="I959" i="14"/>
  <c r="Q959" i="14" s="1"/>
  <c r="S922" i="14"/>
  <c r="S845" i="14"/>
  <c r="J732" i="14"/>
  <c r="R732" i="14" s="1"/>
  <c r="S578" i="14"/>
  <c r="S569" i="14"/>
  <c r="K1447" i="14"/>
  <c r="S1438" i="14"/>
  <c r="S1429" i="14"/>
  <c r="S1730" i="14"/>
  <c r="S1859" i="14"/>
  <c r="S1760" i="14"/>
  <c r="S1455" i="14"/>
  <c r="K1665" i="14"/>
  <c r="Q1665" i="14"/>
  <c r="S1665" i="14" s="1"/>
  <c r="M123" i="14"/>
  <c r="M119" i="14" s="1"/>
  <c r="O124" i="14"/>
  <c r="I1176" i="14"/>
  <c r="Q1176" i="14" s="1"/>
  <c r="K1178" i="14"/>
  <c r="Q1178" i="14"/>
  <c r="S1178" i="14" s="1"/>
  <c r="Q553" i="14"/>
  <c r="M550" i="14"/>
  <c r="M539" i="14" s="1"/>
  <c r="M1706" i="14"/>
  <c r="O1706" i="14" s="1"/>
  <c r="O1707" i="14"/>
  <c r="Q1707" i="14"/>
  <c r="S1707" i="14" s="1"/>
  <c r="Q1699" i="14"/>
  <c r="S1699" i="14" s="1"/>
  <c r="K1699" i="14"/>
  <c r="K1858" i="14"/>
  <c r="R1858" i="14"/>
  <c r="S1858" i="14" s="1"/>
  <c r="Q163" i="14"/>
  <c r="S163" i="14" s="1"/>
  <c r="O163" i="14"/>
  <c r="K1369" i="14"/>
  <c r="Q1369" i="14"/>
  <c r="S1369" i="14" s="1"/>
  <c r="K1298" i="14"/>
  <c r="I1297" i="14"/>
  <c r="Q1297" i="14" s="1"/>
  <c r="S1297" i="14" s="1"/>
  <c r="M275" i="14"/>
  <c r="Q275" i="14" s="1"/>
  <c r="S275" i="14" s="1"/>
  <c r="Q277" i="14"/>
  <c r="S277" i="14" s="1"/>
  <c r="Q491" i="14"/>
  <c r="S491" i="14" s="1"/>
  <c r="O491" i="14"/>
  <c r="S1368" i="14"/>
  <c r="S1324" i="14"/>
  <c r="Q1274" i="14"/>
  <c r="S1274" i="14" s="1"/>
  <c r="S1148" i="14"/>
  <c r="J1128" i="14"/>
  <c r="R1128" i="14" s="1"/>
  <c r="Q1087" i="14"/>
  <c r="S1087" i="14" s="1"/>
  <c r="Q1046" i="14"/>
  <c r="S1046" i="14" s="1"/>
  <c r="K1924" i="14"/>
  <c r="Q1924" i="14"/>
  <c r="S1924" i="14" s="1"/>
  <c r="S1917" i="14"/>
  <c r="R1849" i="14"/>
  <c r="N1848" i="14"/>
  <c r="N1836" i="14" s="1"/>
  <c r="Q1949" i="14"/>
  <c r="S1949" i="14" s="1"/>
  <c r="R1283" i="14"/>
  <c r="R553" i="14"/>
  <c r="N550" i="14"/>
  <c r="N539" i="14" s="1"/>
  <c r="R539" i="14" s="1"/>
  <c r="S1177" i="14"/>
  <c r="Q1072" i="14"/>
  <c r="S1072" i="14" s="1"/>
  <c r="K1072" i="14"/>
  <c r="K1032" i="14"/>
  <c r="Q1032" i="14"/>
  <c r="S1032" i="14" s="1"/>
  <c r="J956" i="14"/>
  <c r="R956" i="14" s="1"/>
  <c r="R959" i="14"/>
  <c r="K913" i="14"/>
  <c r="Q913" i="14"/>
  <c r="O690" i="14"/>
  <c r="M689" i="14"/>
  <c r="M688" i="14" s="1"/>
  <c r="Q690" i="14"/>
  <c r="S690" i="14" s="1"/>
  <c r="Q1282" i="14"/>
  <c r="S1282" i="14" s="1"/>
  <c r="K1282" i="14"/>
  <c r="K784" i="14"/>
  <c r="Q784" i="14"/>
  <c r="S784" i="14" s="1"/>
  <c r="S196" i="14"/>
  <c r="K177" i="14"/>
  <c r="Q177" i="14"/>
  <c r="S177" i="14" s="1"/>
  <c r="J119" i="14"/>
  <c r="R120" i="14"/>
  <c r="S276" i="14"/>
  <c r="S267" i="14"/>
  <c r="S260" i="14"/>
  <c r="R219" i="14"/>
  <c r="M320" i="14"/>
  <c r="Q320" i="14" s="1"/>
  <c r="O321" i="14"/>
  <c r="Q321" i="14"/>
  <c r="S321" i="14" s="1"/>
  <c r="S454" i="14"/>
  <c r="K1384" i="14"/>
  <c r="Q1384" i="14"/>
  <c r="S1384" i="14" s="1"/>
  <c r="S1214" i="14"/>
  <c r="S1206" i="14"/>
  <c r="R1198" i="14"/>
  <c r="Q1135" i="14"/>
  <c r="S1135" i="14" s="1"/>
  <c r="S1127" i="14"/>
  <c r="K1094" i="14"/>
  <c r="S1029" i="14"/>
  <c r="K791" i="14"/>
  <c r="Q791" i="14"/>
  <c r="S791" i="14" s="1"/>
  <c r="K721" i="14"/>
  <c r="S592" i="14"/>
  <c r="Q565" i="14"/>
  <c r="S565" i="14" s="1"/>
  <c r="I1534" i="14"/>
  <c r="K1487" i="14"/>
  <c r="S1454" i="14"/>
  <c r="N1409" i="14"/>
  <c r="R1424" i="14"/>
  <c r="S1411" i="14"/>
  <c r="S1705" i="14"/>
  <c r="K1650" i="14"/>
  <c r="R1642" i="14"/>
  <c r="S1856" i="14"/>
  <c r="Q1849" i="14"/>
  <c r="M1848" i="14"/>
  <c r="Q1848" i="14" s="1"/>
  <c r="K1802" i="14"/>
  <c r="Q1802" i="14"/>
  <c r="S1802" i="14" s="1"/>
  <c r="K1949" i="14"/>
  <c r="R408" i="14"/>
  <c r="S408" i="14" s="1"/>
  <c r="I1043" i="14"/>
  <c r="I1040" i="14" s="1"/>
  <c r="Q1006" i="14"/>
  <c r="S1006" i="14" s="1"/>
  <c r="K958" i="14"/>
  <c r="Q958" i="14"/>
  <c r="S958" i="14" s="1"/>
  <c r="Q854" i="14"/>
  <c r="S854" i="14" s="1"/>
  <c r="I694" i="14"/>
  <c r="Q694" i="14" s="1"/>
  <c r="M1409" i="14"/>
  <c r="Q1424" i="14"/>
  <c r="K1865" i="14"/>
  <c r="Q1865" i="14"/>
  <c r="S1865" i="14" s="1"/>
  <c r="I1863" i="14"/>
  <c r="Q1863" i="14" s="1"/>
  <c r="S1863" i="14" s="1"/>
  <c r="K1795" i="14"/>
  <c r="Q1795" i="14"/>
  <c r="S1795" i="14" s="1"/>
  <c r="Q1290" i="14"/>
  <c r="M1289" i="14"/>
  <c r="Q1289" i="14" s="1"/>
  <c r="K401" i="14"/>
  <c r="I399" i="14"/>
  <c r="I396" i="14" s="1"/>
  <c r="Q176" i="14"/>
  <c r="S176" i="14" s="1"/>
  <c r="Q241" i="14"/>
  <c r="S241" i="14" s="1"/>
  <c r="I219" i="14"/>
  <c r="Q219" i="14" s="1"/>
  <c r="J299" i="14"/>
  <c r="R302" i="14"/>
  <c r="S468" i="14"/>
  <c r="S439" i="14"/>
  <c r="S400" i="14"/>
  <c r="Q1361" i="14"/>
  <c r="S1361" i="14" s="1"/>
  <c r="K1361" i="14"/>
  <c r="Q1228" i="14"/>
  <c r="S1228" i="14" s="1"/>
  <c r="Q1175" i="14"/>
  <c r="S1175" i="14" s="1"/>
  <c r="J1093" i="14"/>
  <c r="K974" i="14"/>
  <c r="Q974" i="14"/>
  <c r="S974" i="14" s="1"/>
  <c r="K965" i="14"/>
  <c r="Q965" i="14"/>
  <c r="S965" i="14" s="1"/>
  <c r="I822" i="14"/>
  <c r="Q822" i="14" s="1"/>
  <c r="S750" i="14"/>
  <c r="K744" i="14"/>
  <c r="J571" i="14"/>
  <c r="R574" i="14"/>
  <c r="K1469" i="14"/>
  <c r="Q1469" i="14"/>
  <c r="S1469" i="14" s="1"/>
  <c r="O1432" i="14"/>
  <c r="S1734" i="14"/>
  <c r="R1711" i="14"/>
  <c r="S1711" i="14" s="1"/>
  <c r="S1686" i="14"/>
  <c r="K1754" i="14"/>
  <c r="S1941" i="14"/>
  <c r="O1457" i="14"/>
  <c r="R1457" i="14"/>
  <c r="S1457" i="14" s="1"/>
  <c r="I193" i="14"/>
  <c r="Q193" i="14" s="1"/>
  <c r="S193" i="14" s="1"/>
  <c r="Q195" i="14"/>
  <c r="S195" i="14" s="1"/>
  <c r="S259" i="14"/>
  <c r="Q328" i="14"/>
  <c r="S328" i="14" s="1"/>
  <c r="K328" i="14"/>
  <c r="S1374" i="14"/>
  <c r="S1367" i="14"/>
  <c r="S1339" i="14"/>
  <c r="S1316" i="14"/>
  <c r="N1264" i="14"/>
  <c r="N1249" i="14" s="1"/>
  <c r="R1265" i="14"/>
  <c r="S1265" i="14" s="1"/>
  <c r="R1221" i="14"/>
  <c r="K1108" i="14"/>
  <c r="Q1068" i="14"/>
  <c r="S1068" i="14" s="1"/>
  <c r="K1068" i="14"/>
  <c r="Q1061" i="14"/>
  <c r="S1061" i="14" s="1"/>
  <c r="K846" i="14"/>
  <c r="Q846" i="14"/>
  <c r="S846" i="14" s="1"/>
  <c r="K765" i="14"/>
  <c r="O757" i="14"/>
  <c r="S1567" i="14"/>
  <c r="R1728" i="14"/>
  <c r="S1728" i="14" s="1"/>
  <c r="J1725" i="14"/>
  <c r="S1720" i="14"/>
  <c r="I1697" i="14"/>
  <c r="Q1697" i="14" s="1"/>
  <c r="S1670" i="14"/>
  <c r="Q996" i="14"/>
  <c r="S996" i="14" s="1"/>
  <c r="K996" i="14"/>
  <c r="K973" i="14"/>
  <c r="Q973" i="14"/>
  <c r="S973" i="14" s="1"/>
  <c r="R918" i="14"/>
  <c r="S918" i="14" s="1"/>
  <c r="O918" i="14"/>
  <c r="I613" i="14"/>
  <c r="Q613" i="14" s="1"/>
  <c r="K615" i="14"/>
  <c r="Q615" i="14"/>
  <c r="S615" i="14" s="1"/>
  <c r="I1588" i="14"/>
  <c r="Q1588" i="14" s="1"/>
  <c r="S1588" i="14" s="1"/>
  <c r="K1589" i="14"/>
  <c r="Q1589" i="14"/>
  <c r="S1589" i="14" s="1"/>
  <c r="K1157" i="14"/>
  <c r="Q1157" i="14"/>
  <c r="S1157" i="14" s="1"/>
  <c r="K769" i="14"/>
  <c r="Q769" i="14"/>
  <c r="S769" i="14" s="1"/>
  <c r="Q740" i="14"/>
  <c r="S740" i="14" s="1"/>
  <c r="K740" i="14"/>
  <c r="K706" i="14"/>
  <c r="Q706" i="14"/>
  <c r="S706" i="14" s="1"/>
  <c r="O161" i="14"/>
  <c r="Q161" i="14"/>
  <c r="S161" i="14" s="1"/>
  <c r="K218" i="14"/>
  <c r="Q218" i="14"/>
  <c r="S218" i="14" s="1"/>
  <c r="Q453" i="14"/>
  <c r="S453" i="14" s="1"/>
  <c r="O453" i="14"/>
  <c r="J283" i="14"/>
  <c r="J282" i="14" s="1"/>
  <c r="K284" i="14"/>
  <c r="S273" i="14"/>
  <c r="Q334" i="14"/>
  <c r="S334" i="14" s="1"/>
  <c r="S1160" i="14"/>
  <c r="K1020" i="14"/>
  <c r="Q1020" i="14"/>
  <c r="S1020" i="14" s="1"/>
  <c r="Q772" i="14"/>
  <c r="S772" i="14" s="1"/>
  <c r="Q685" i="14"/>
  <c r="S685" i="14" s="1"/>
  <c r="K606" i="14"/>
  <c r="Q606" i="14"/>
  <c r="S606" i="14" s="1"/>
  <c r="Q549" i="14"/>
  <c r="S549" i="14" s="1"/>
  <c r="K549" i="14"/>
  <c r="Q541" i="14"/>
  <c r="S541" i="14" s="1"/>
  <c r="R1500" i="14"/>
  <c r="R1581" i="14"/>
  <c r="R1655" i="14"/>
  <c r="S1655" i="14" s="1"/>
  <c r="J1652" i="14"/>
  <c r="R1652" i="14" s="1"/>
  <c r="N421" i="14"/>
  <c r="R421" i="14" s="1"/>
  <c r="K1216" i="14"/>
  <c r="Q1216" i="14"/>
  <c r="S1216" i="14" s="1"/>
  <c r="O1103" i="14"/>
  <c r="N1102" i="14"/>
  <c r="R1102" i="14" s="1"/>
  <c r="K1536" i="14"/>
  <c r="Q1536" i="14"/>
  <c r="S1536" i="14" s="1"/>
  <c r="J1915" i="14"/>
  <c r="R1918" i="14"/>
  <c r="K1323" i="14"/>
  <c r="Q1323" i="14"/>
  <c r="Q1167" i="14"/>
  <c r="S1167" i="14" s="1"/>
  <c r="K1167" i="14"/>
  <c r="S300" i="14"/>
  <c r="Q1344" i="14"/>
  <c r="S1344" i="14" s="1"/>
  <c r="Q1234" i="14"/>
  <c r="S1234" i="14" s="1"/>
  <c r="Q160" i="14"/>
  <c r="S160" i="14" s="1"/>
  <c r="S137" i="14"/>
  <c r="J233" i="14"/>
  <c r="R233" i="14" s="1"/>
  <c r="S361" i="14"/>
  <c r="O467" i="14"/>
  <c r="Q467" i="14"/>
  <c r="S467" i="14" s="1"/>
  <c r="Q1329" i="14"/>
  <c r="S1329" i="14" s="1"/>
  <c r="K1329" i="14"/>
  <c r="J1188" i="14"/>
  <c r="R1188" i="14" s="1"/>
  <c r="S1166" i="14"/>
  <c r="J995" i="14"/>
  <c r="R995" i="14" s="1"/>
  <c r="S903" i="14"/>
  <c r="K789" i="14"/>
  <c r="Q778" i="14"/>
  <c r="S778" i="14" s="1"/>
  <c r="K778" i="14"/>
  <c r="K772" i="14"/>
  <c r="N756" i="14"/>
  <c r="R756" i="14" s="1"/>
  <c r="R669" i="14"/>
  <c r="S605" i="14"/>
  <c r="O1525" i="14"/>
  <c r="Q1525" i="14"/>
  <c r="S1525" i="14" s="1"/>
  <c r="K1573" i="14"/>
  <c r="Q1573" i="14"/>
  <c r="S1573" i="14" s="1"/>
  <c r="I1212" i="14"/>
  <c r="Q1212" i="14" s="1"/>
  <c r="R1140" i="14"/>
  <c r="J1137" i="14"/>
  <c r="R1137" i="14" s="1"/>
  <c r="K1019" i="14"/>
  <c r="I1016" i="14"/>
  <c r="Q1016" i="14" s="1"/>
  <c r="S1016" i="14" s="1"/>
  <c r="K988" i="14"/>
  <c r="Q988" i="14"/>
  <c r="S988" i="14" s="1"/>
  <c r="R613" i="14"/>
  <c r="J610" i="14"/>
  <c r="R610" i="14" s="1"/>
  <c r="M1660" i="14"/>
  <c r="Q1660" i="14" s="1"/>
  <c r="O1661" i="14"/>
  <c r="I1789" i="14"/>
  <c r="I1788" i="14" s="1"/>
  <c r="Q1788" i="14" s="1"/>
  <c r="S1788" i="14" s="1"/>
  <c r="Q1790" i="14"/>
  <c r="S1790" i="14" s="1"/>
  <c r="Q1241" i="14"/>
  <c r="S1241" i="14" s="1"/>
  <c r="K1241" i="14"/>
  <c r="K1437" i="14"/>
  <c r="R1437" i="14"/>
  <c r="K1123" i="14"/>
  <c r="Q1123" i="14"/>
  <c r="S1123" i="14" s="1"/>
  <c r="N1497" i="14"/>
  <c r="R1497" i="14" s="1"/>
  <c r="R1512" i="14"/>
  <c r="K1608" i="14"/>
  <c r="Q1608" i="14"/>
  <c r="S1608" i="14" s="1"/>
  <c r="S125" i="14"/>
  <c r="O481" i="14"/>
  <c r="Q481" i="14"/>
  <c r="S481" i="14" s="1"/>
  <c r="R413" i="14"/>
  <c r="S1395" i="14"/>
  <c r="S1278" i="14"/>
  <c r="Q994" i="14"/>
  <c r="S994" i="14" s="1"/>
  <c r="K994" i="14"/>
  <c r="Q962" i="14"/>
  <c r="S962" i="14" s="1"/>
  <c r="S939" i="14"/>
  <c r="O888" i="14"/>
  <c r="Q803" i="14"/>
  <c r="S803" i="14" s="1"/>
  <c r="K803" i="14"/>
  <c r="K736" i="14"/>
  <c r="K668" i="14"/>
  <c r="Q668" i="14"/>
  <c r="S668" i="14" s="1"/>
  <c r="K628" i="14"/>
  <c r="K540" i="14"/>
  <c r="Q530" i="14"/>
  <c r="S530" i="14" s="1"/>
  <c r="K530" i="14"/>
  <c r="S521" i="14"/>
  <c r="Q1530" i="14"/>
  <c r="S1530" i="14" s="1"/>
  <c r="S1505" i="14"/>
  <c r="I1436" i="14"/>
  <c r="Q1437" i="14"/>
  <c r="S1659" i="14"/>
  <c r="J1489" i="14"/>
  <c r="R1490" i="14"/>
  <c r="M1125" i="14"/>
  <c r="M1116" i="14" s="1"/>
  <c r="Q1126" i="14"/>
  <c r="K611" i="14"/>
  <c r="Q611" i="14"/>
  <c r="S611" i="14" s="1"/>
  <c r="Q587" i="14"/>
  <c r="S587" i="14" s="1"/>
  <c r="K587" i="14"/>
  <c r="K1237" i="14"/>
  <c r="Q1237" i="14"/>
  <c r="S1237" i="14" s="1"/>
  <c r="N380" i="14"/>
  <c r="R380" i="14" s="1"/>
  <c r="O165" i="14"/>
  <c r="Q1358" i="14"/>
  <c r="S1358" i="14" s="1"/>
  <c r="I1357" i="14"/>
  <c r="Q1357" i="14" s="1"/>
  <c r="I1249" i="14"/>
  <c r="Q1113" i="14"/>
  <c r="S1113" i="14" s="1"/>
  <c r="I1110" i="14"/>
  <c r="Q1110" i="14" s="1"/>
  <c r="K954" i="14"/>
  <c r="Q954" i="14"/>
  <c r="S954" i="14" s="1"/>
  <c r="K947" i="14"/>
  <c r="Q947" i="14"/>
  <c r="S947" i="14" s="1"/>
  <c r="Q859" i="14"/>
  <c r="S859" i="14" s="1"/>
  <c r="J808" i="14"/>
  <c r="R811" i="14"/>
  <c r="Q1466" i="14"/>
  <c r="S1466" i="14" s="1"/>
  <c r="R1897" i="14"/>
  <c r="J1896" i="14"/>
  <c r="R1896" i="14" s="1"/>
  <c r="I96" i="14"/>
  <c r="I89" i="14" s="1"/>
  <c r="O145" i="14"/>
  <c r="R135" i="14"/>
  <c r="S443" i="14"/>
  <c r="S1394" i="14"/>
  <c r="K1357" i="14"/>
  <c r="S1300" i="14"/>
  <c r="M1102" i="14"/>
  <c r="M1093" i="14" s="1"/>
  <c r="S1074" i="14"/>
  <c r="S993" i="14"/>
  <c r="I923" i="14"/>
  <c r="Q923" i="14" s="1"/>
  <c r="S923" i="14" s="1"/>
  <c r="Q924" i="14"/>
  <c r="S924" i="14" s="1"/>
  <c r="O859" i="14"/>
  <c r="K675" i="14"/>
  <c r="Q675" i="14"/>
  <c r="S675" i="14" s="1"/>
  <c r="K547" i="14"/>
  <c r="O1450" i="14"/>
  <c r="R1450" i="14"/>
  <c r="S1450" i="14" s="1"/>
  <c r="J1436" i="14"/>
  <c r="O1805" i="14"/>
  <c r="R1805" i="14"/>
  <c r="S1805" i="14" s="1"/>
  <c r="I1489" i="14"/>
  <c r="Q1490" i="14"/>
  <c r="S419" i="14"/>
  <c r="I1293" i="14"/>
  <c r="Q1293" i="14" s="1"/>
  <c r="Q1294" i="14"/>
  <c r="S1294" i="14" s="1"/>
  <c r="K1294" i="14"/>
  <c r="K724" i="14"/>
  <c r="Q724" i="14"/>
  <c r="S724" i="14" s="1"/>
  <c r="I1666" i="14"/>
  <c r="K1667" i="14"/>
  <c r="Q1667" i="14"/>
  <c r="S1667" i="14" s="1"/>
  <c r="S913" i="14"/>
  <c r="M153" i="14"/>
  <c r="O153" i="14" s="1"/>
  <c r="Q332" i="14"/>
  <c r="S332" i="14" s="1"/>
  <c r="K1387" i="14"/>
  <c r="I1386" i="14"/>
  <c r="Q1386" i="14" s="1"/>
  <c r="Q1171" i="14"/>
  <c r="S1171" i="14" s="1"/>
  <c r="K1171" i="14"/>
  <c r="K1049" i="14"/>
  <c r="Q1049" i="14"/>
  <c r="S1049" i="14" s="1"/>
  <c r="K985" i="14"/>
  <c r="Q985" i="14"/>
  <c r="S985" i="14" s="1"/>
  <c r="S929" i="14"/>
  <c r="M915" i="14"/>
  <c r="Q858" i="14"/>
  <c r="S699" i="14"/>
  <c r="Q1523" i="14"/>
  <c r="S1523" i="14" s="1"/>
  <c r="O1523" i="14"/>
  <c r="O1498" i="14"/>
  <c r="Q1498" i="14"/>
  <c r="S1498" i="14" s="1"/>
  <c r="K1480" i="14"/>
  <c r="Q1700" i="14"/>
  <c r="S1700" i="14" s="1"/>
  <c r="R1772" i="14"/>
  <c r="S1772" i="14" s="1"/>
  <c r="S157" i="14"/>
  <c r="K359" i="14"/>
  <c r="R359" i="14"/>
  <c r="S359" i="14" s="1"/>
  <c r="S351" i="14"/>
  <c r="S305" i="14"/>
  <c r="S493" i="14"/>
  <c r="S449" i="14"/>
  <c r="S1193" i="14"/>
  <c r="S1170" i="14"/>
  <c r="I1164" i="14"/>
  <c r="Q1164" i="14" s="1"/>
  <c r="I998" i="14"/>
  <c r="K998" i="14" s="1"/>
  <c r="Q1001" i="14"/>
  <c r="S1001" i="14" s="1"/>
  <c r="I786" i="14"/>
  <c r="Q786" i="14" s="1"/>
  <c r="Q787" i="14"/>
  <c r="S787" i="14" s="1"/>
  <c r="S753" i="14"/>
  <c r="K734" i="14"/>
  <c r="Q734" i="14"/>
  <c r="S734" i="14" s="1"/>
  <c r="S707" i="14"/>
  <c r="K699" i="14"/>
  <c r="S642" i="14"/>
  <c r="Q1517" i="14"/>
  <c r="S1517" i="14" s="1"/>
  <c r="K1490" i="14"/>
  <c r="Q1443" i="14"/>
  <c r="S1443" i="14" s="1"/>
  <c r="S1881" i="14"/>
  <c r="N1804" i="14"/>
  <c r="N1794" i="14" s="1"/>
  <c r="R1794" i="14" s="1"/>
  <c r="K168" i="14"/>
  <c r="K301" i="14"/>
  <c r="K1239" i="14"/>
  <c r="K1233" i="14"/>
  <c r="S1077" i="14"/>
  <c r="K1062" i="14"/>
  <c r="K882" i="14"/>
  <c r="Q882" i="14"/>
  <c r="S882" i="14" s="1"/>
  <c r="S577" i="14"/>
  <c r="S540" i="14"/>
  <c r="M1615" i="14"/>
  <c r="O1615" i="14" s="1"/>
  <c r="Q1616" i="14"/>
  <c r="S1616" i="14" s="1"/>
  <c r="S1596" i="14"/>
  <c r="S1574" i="14"/>
  <c r="K1897" i="14"/>
  <c r="O1876" i="14"/>
  <c r="I1811" i="14"/>
  <c r="K1812" i="14"/>
  <c r="K1759" i="14"/>
  <c r="K1942" i="14"/>
  <c r="S191" i="14"/>
  <c r="S168" i="14"/>
  <c r="S483" i="14"/>
  <c r="S428" i="14"/>
  <c r="S1313" i="14"/>
  <c r="S1239" i="14"/>
  <c r="K1055" i="14"/>
  <c r="K960" i="14"/>
  <c r="Q960" i="14"/>
  <c r="S960" i="14" s="1"/>
  <c r="S944" i="14"/>
  <c r="R838" i="14"/>
  <c r="J835" i="14"/>
  <c r="K799" i="14"/>
  <c r="Q799" i="14"/>
  <c r="S799" i="14" s="1"/>
  <c r="S1675" i="14"/>
  <c r="S1847" i="14"/>
  <c r="S1942" i="14"/>
  <c r="K1038" i="14"/>
  <c r="Q1038" i="14"/>
  <c r="S1038" i="14" s="1"/>
  <c r="N555" i="14"/>
  <c r="O555" i="14" s="1"/>
  <c r="R566" i="14"/>
  <c r="K1532" i="14"/>
  <c r="Q1532" i="14"/>
  <c r="S1532" i="14" s="1"/>
  <c r="O1452" i="14"/>
  <c r="Q1452" i="14"/>
  <c r="I1410" i="14"/>
  <c r="Q1419" i="14"/>
  <c r="S1419" i="14" s="1"/>
  <c r="K1579" i="14"/>
  <c r="Q1579" i="14"/>
  <c r="S1579" i="14" s="1"/>
  <c r="M1878" i="14"/>
  <c r="M1872" i="14" s="1"/>
  <c r="O1881" i="14"/>
  <c r="K1772" i="14"/>
  <c r="I1938" i="14"/>
  <c r="S339" i="14"/>
  <c r="S427" i="14"/>
  <c r="S1273" i="14"/>
  <c r="S197" i="14"/>
  <c r="S165" i="14"/>
  <c r="S350" i="14"/>
  <c r="I330" i="14"/>
  <c r="Q330" i="14" s="1"/>
  <c r="S487" i="14"/>
  <c r="S446" i="14"/>
  <c r="O418" i="14"/>
  <c r="K377" i="14"/>
  <c r="I375" i="14"/>
  <c r="Q375" i="14" s="1"/>
  <c r="S375" i="14" s="1"/>
  <c r="S1279" i="14"/>
  <c r="S1259" i="14"/>
  <c r="S1217" i="14"/>
  <c r="S1104" i="14"/>
  <c r="S1015" i="14"/>
  <c r="S865" i="14"/>
  <c r="I680" i="14"/>
  <c r="K680" i="14" s="1"/>
  <c r="K682" i="14"/>
  <c r="Q682" i="14"/>
  <c r="S682" i="14" s="1"/>
  <c r="S634" i="14"/>
  <c r="S612" i="14"/>
  <c r="S1412" i="14"/>
  <c r="O1613" i="14"/>
  <c r="I1605" i="14"/>
  <c r="O1594" i="14"/>
  <c r="S1578" i="14"/>
  <c r="O1704" i="14"/>
  <c r="N1703" i="14"/>
  <c r="R1703" i="14" s="1"/>
  <c r="S1909" i="14"/>
  <c r="I1888" i="14"/>
  <c r="S1880" i="14"/>
  <c r="K1861" i="14"/>
  <c r="Q1861" i="14"/>
  <c r="S1861" i="14" s="1"/>
  <c r="S1764" i="14"/>
  <c r="K1654" i="14"/>
  <c r="S1922" i="14"/>
  <c r="I1852" i="14"/>
  <c r="K1853" i="14"/>
  <c r="Q1853" i="14"/>
  <c r="S1853" i="14" s="1"/>
  <c r="S1732" i="14"/>
  <c r="K1695" i="14"/>
  <c r="Q1695" i="14"/>
  <c r="S1695" i="14" s="1"/>
  <c r="S1815" i="14"/>
  <c r="I1951" i="14"/>
  <c r="Q1951" i="14" s="1"/>
  <c r="S1951" i="14" s="1"/>
  <c r="Q1952" i="14"/>
  <c r="S1952" i="14" s="1"/>
  <c r="Q1646" i="14"/>
  <c r="S1646" i="14" s="1"/>
  <c r="M1644" i="14"/>
  <c r="M1641" i="14" s="1"/>
  <c r="S486" i="14"/>
  <c r="S1323" i="14"/>
  <c r="S777" i="14"/>
  <c r="K572" i="14"/>
  <c r="Q572" i="14"/>
  <c r="S572" i="14" s="1"/>
  <c r="S1901" i="14"/>
  <c r="S265" i="14"/>
  <c r="S312" i="14"/>
  <c r="K1349" i="14"/>
  <c r="I1346" i="14"/>
  <c r="I1335" i="14" s="1"/>
  <c r="S1215" i="14"/>
  <c r="Q1028" i="14"/>
  <c r="S1028" i="14" s="1"/>
  <c r="I1025" i="14"/>
  <c r="K1025" i="14" s="1"/>
  <c r="N832" i="14"/>
  <c r="R832" i="14" s="1"/>
  <c r="R833" i="14"/>
  <c r="K679" i="14"/>
  <c r="Q679" i="14"/>
  <c r="S679" i="14" s="1"/>
  <c r="S1541" i="14"/>
  <c r="K1618" i="14"/>
  <c r="S1645" i="14"/>
  <c r="K1844" i="14"/>
  <c r="Q1844" i="14"/>
  <c r="S1844" i="14" s="1"/>
  <c r="M1183" i="14"/>
  <c r="Q1183" i="14" s="1"/>
  <c r="Q1756" i="14"/>
  <c r="S1756" i="14" s="1"/>
  <c r="I1755" i="14"/>
  <c r="K1756" i="14"/>
  <c r="S142" i="14"/>
  <c r="S156" i="14"/>
  <c r="S150" i="14"/>
  <c r="S133" i="14"/>
  <c r="S239" i="14"/>
  <c r="I233" i="14"/>
  <c r="Q233" i="14" s="1"/>
  <c r="S233" i="14" s="1"/>
  <c r="K373" i="14"/>
  <c r="S1348" i="14"/>
  <c r="K1235" i="14"/>
  <c r="Q1235" i="14"/>
  <c r="S1235" i="14" s="1"/>
  <c r="O1126" i="14"/>
  <c r="S818" i="14"/>
  <c r="Q648" i="14"/>
  <c r="S648" i="14" s="1"/>
  <c r="K648" i="14"/>
  <c r="S524" i="14"/>
  <c r="S1623" i="14"/>
  <c r="K1610" i="14"/>
  <c r="Q1610" i="14"/>
  <c r="S1610" i="14" s="1"/>
  <c r="I1701" i="14"/>
  <c r="Q1701" i="14" s="1"/>
  <c r="S1701" i="14" s="1"/>
  <c r="I1694" i="14"/>
  <c r="S1920" i="14"/>
  <c r="S1843" i="14"/>
  <c r="S1820" i="14"/>
  <c r="S814" i="14"/>
  <c r="J759" i="14"/>
  <c r="S1533" i="14"/>
  <c r="S1415" i="14"/>
  <c r="J1882" i="14"/>
  <c r="R1882" i="14" s="1"/>
  <c r="I1797" i="14"/>
  <c r="Q1797" i="14" s="1"/>
  <c r="S360" i="14"/>
  <c r="S438" i="14"/>
  <c r="Q1378" i="14"/>
  <c r="S1378" i="14" s="1"/>
  <c r="S1359" i="14"/>
  <c r="S1257" i="14"/>
  <c r="S1168" i="14"/>
  <c r="S1138" i="14"/>
  <c r="S1101" i="14"/>
  <c r="S1018" i="14"/>
  <c r="S1011" i="14"/>
  <c r="S984" i="14"/>
  <c r="S969" i="14"/>
  <c r="S878" i="14"/>
  <c r="S849" i="14"/>
  <c r="S774" i="14"/>
  <c r="S741" i="14"/>
  <c r="S696" i="14"/>
  <c r="S657" i="14"/>
  <c r="K636" i="14"/>
  <c r="K579" i="14"/>
  <c r="Q579" i="14"/>
  <c r="S579" i="14" s="1"/>
  <c r="O551" i="14"/>
  <c r="S1516" i="14"/>
  <c r="S1488" i="14"/>
  <c r="S1478" i="14"/>
  <c r="O1472" i="14"/>
  <c r="S1465" i="14"/>
  <c r="O1460" i="14"/>
  <c r="S1407" i="14"/>
  <c r="S1622" i="14"/>
  <c r="S1576" i="14"/>
  <c r="K1900" i="14"/>
  <c r="I1839" i="14"/>
  <c r="I1563" i="14"/>
  <c r="Q1563" i="14" s="1"/>
  <c r="S1563" i="14" s="1"/>
  <c r="K1824" i="14"/>
  <c r="Q1824" i="14"/>
  <c r="S325" i="14"/>
  <c r="S444" i="14"/>
  <c r="S389" i="14"/>
  <c r="K1345" i="14"/>
  <c r="M1264" i="14"/>
  <c r="M1249" i="14" s="1"/>
  <c r="S1262" i="14"/>
  <c r="S1108" i="14"/>
  <c r="Q752" i="14"/>
  <c r="S752" i="14" s="1"/>
  <c r="K752" i="14"/>
  <c r="S635" i="14"/>
  <c r="M536" i="14"/>
  <c r="Q536" i="14" s="1"/>
  <c r="O1459" i="14"/>
  <c r="J1406" i="14"/>
  <c r="R1406" i="14" s="1"/>
  <c r="S1810" i="14"/>
  <c r="S1754" i="14"/>
  <c r="S450" i="14"/>
  <c r="S424" i="14"/>
  <c r="S1268" i="14"/>
  <c r="I1200" i="14"/>
  <c r="Q1200" i="14" s="1"/>
  <c r="Q932" i="14"/>
  <c r="S932" i="14" s="1"/>
  <c r="K932" i="14"/>
  <c r="S898" i="14"/>
  <c r="N702" i="14"/>
  <c r="O702" i="14" s="1"/>
  <c r="S671" i="14"/>
  <c r="I629" i="14"/>
  <c r="I626" i="14" s="1"/>
  <c r="S594" i="14"/>
  <c r="Q544" i="14"/>
  <c r="S544" i="14" s="1"/>
  <c r="K544" i="14"/>
  <c r="O1477" i="14"/>
  <c r="S1413" i="14"/>
  <c r="I1406" i="14"/>
  <c r="Q1406" i="14" s="1"/>
  <c r="I1620" i="14"/>
  <c r="Q1620" i="14" s="1"/>
  <c r="S1620" i="14" s="1"/>
  <c r="S1723" i="14"/>
  <c r="J1696" i="14"/>
  <c r="S1831" i="14"/>
  <c r="S1823" i="14"/>
  <c r="S1785" i="14"/>
  <c r="S975" i="14"/>
  <c r="S961" i="14"/>
  <c r="S914" i="14"/>
  <c r="S1535" i="14"/>
  <c r="S1499" i="14"/>
  <c r="O1475" i="14"/>
  <c r="O1453" i="14"/>
  <c r="R1690" i="14"/>
  <c r="S1874" i="14"/>
  <c r="J1827" i="14"/>
  <c r="Q1814" i="14"/>
  <c r="S1814" i="14" s="1"/>
  <c r="S1781" i="14"/>
  <c r="S1763" i="14"/>
  <c r="Q1753" i="14"/>
  <c r="S1753" i="14" s="1"/>
  <c r="S1509" i="14"/>
  <c r="S1417" i="14"/>
  <c r="S1600" i="14"/>
  <c r="N1593" i="14"/>
  <c r="N1585" i="14" s="1"/>
  <c r="R1585" i="14" s="1"/>
  <c r="S1683" i="14"/>
  <c r="S1903" i="14"/>
  <c r="S1890" i="14"/>
  <c r="S1955" i="14"/>
  <c r="J1938" i="14"/>
  <c r="J1937" i="14" s="1"/>
  <c r="S919" i="14"/>
  <c r="S886" i="14"/>
  <c r="S853" i="14"/>
  <c r="Q841" i="14"/>
  <c r="S841" i="14" s="1"/>
  <c r="S779" i="14"/>
  <c r="Q715" i="14"/>
  <c r="S715" i="14" s="1"/>
  <c r="Q681" i="14"/>
  <c r="S681" i="14" s="1"/>
  <c r="S667" i="14"/>
  <c r="Q543" i="14"/>
  <c r="S543" i="14" s="1"/>
  <c r="Q1503" i="14"/>
  <c r="S1503" i="14" s="1"/>
  <c r="S1726" i="14"/>
  <c r="O1642" i="14"/>
  <c r="R1839" i="14"/>
  <c r="Q1813" i="14"/>
  <c r="S1813" i="14" s="1"/>
  <c r="Q1786" i="14"/>
  <c r="S1786" i="14" s="1"/>
  <c r="Q1762" i="14"/>
  <c r="S1762" i="14" s="1"/>
  <c r="Q1751" i="14"/>
  <c r="S1751" i="14" s="1"/>
  <c r="Q1950" i="14"/>
  <c r="S1950" i="14" s="1"/>
  <c r="O1945" i="14"/>
  <c r="Q788" i="14"/>
  <c r="S788" i="14" s="1"/>
  <c r="K773" i="14"/>
  <c r="Q646" i="14"/>
  <c r="S646" i="14" s="1"/>
  <c r="Q614" i="14"/>
  <c r="S614" i="14" s="1"/>
  <c r="Q561" i="14"/>
  <c r="S561" i="14" s="1"/>
  <c r="Q535" i="14"/>
  <c r="S535" i="14" s="1"/>
  <c r="Q512" i="14"/>
  <c r="S512" i="14" s="1"/>
  <c r="S1481" i="14"/>
  <c r="K1428" i="14"/>
  <c r="S1586" i="14"/>
  <c r="K1719" i="14"/>
  <c r="R1674" i="14"/>
  <c r="S1668" i="14"/>
  <c r="O1873" i="14"/>
  <c r="Q1780" i="14"/>
  <c r="S1780" i="14" s="1"/>
  <c r="S721" i="14"/>
  <c r="N1612" i="14"/>
  <c r="N1602" i="14" s="1"/>
  <c r="R1602" i="14" s="1"/>
  <c r="S926" i="14"/>
  <c r="Q833" i="14"/>
  <c r="S826" i="14"/>
  <c r="S1502" i="14"/>
  <c r="S1451" i="14"/>
  <c r="O1688" i="14"/>
  <c r="K1902" i="14"/>
  <c r="S1943" i="14"/>
  <c r="R1944" i="14"/>
  <c r="N1938" i="14"/>
  <c r="N1937" i="14"/>
  <c r="R1939" i="14"/>
  <c r="Q1939" i="14"/>
  <c r="R1945" i="14"/>
  <c r="S1945" i="14" s="1"/>
  <c r="K1939" i="14"/>
  <c r="J1793" i="14"/>
  <c r="B1782" i="14"/>
  <c r="B1783" i="14" s="1"/>
  <c r="B1784" i="14" s="1"/>
  <c r="B1785" i="14" s="1"/>
  <c r="B1786" i="14" s="1"/>
  <c r="B1787" i="14" s="1"/>
  <c r="B1788" i="14" s="1"/>
  <c r="B1789" i="14" s="1"/>
  <c r="B1790" i="14" s="1"/>
  <c r="B1791" i="14" s="1"/>
  <c r="B1792" i="14" s="1"/>
  <c r="B1793" i="14" s="1"/>
  <c r="B1794" i="14" s="1"/>
  <c r="B1795" i="14" s="1"/>
  <c r="B1796" i="14" s="1"/>
  <c r="B1797" i="14" s="1"/>
  <c r="B1798" i="14" s="1"/>
  <c r="B1799" i="14" s="1"/>
  <c r="B1800" i="14" s="1"/>
  <c r="B1801" i="14" s="1"/>
  <c r="B1802" i="14" s="1"/>
  <c r="B1803" i="14" s="1"/>
  <c r="B1804" i="14" s="1"/>
  <c r="B1805" i="14" s="1"/>
  <c r="B1806" i="14" s="1"/>
  <c r="B1807" i="14" s="1"/>
  <c r="B1808" i="14" s="1"/>
  <c r="B1809" i="14" s="1"/>
  <c r="B1810" i="14" s="1"/>
  <c r="B1811" i="14" s="1"/>
  <c r="B1812" i="14" s="1"/>
  <c r="B1813" i="14" s="1"/>
  <c r="B1814" i="14" s="1"/>
  <c r="B1815" i="14" s="1"/>
  <c r="B1816" i="14" s="1"/>
  <c r="B1817" i="14" s="1"/>
  <c r="B1818" i="14" s="1"/>
  <c r="B1819" i="14" s="1"/>
  <c r="B1820" i="14" s="1"/>
  <c r="B1821" i="14" s="1"/>
  <c r="B1822" i="14" s="1"/>
  <c r="B1823" i="14" s="1"/>
  <c r="B1824" i="14" s="1"/>
  <c r="B1825" i="14" s="1"/>
  <c r="B1826" i="14" s="1"/>
  <c r="B1827" i="14" s="1"/>
  <c r="B1828" i="14" s="1"/>
  <c r="B1829" i="14" s="1"/>
  <c r="B1830" i="14" s="1"/>
  <c r="B1831" i="14" s="1"/>
  <c r="B1832" i="14" s="1"/>
  <c r="B1833" i="14" s="1"/>
  <c r="B1834" i="14" s="1"/>
  <c r="B1835" i="14" s="1"/>
  <c r="B1836" i="14" s="1"/>
  <c r="B1837" i="14" s="1"/>
  <c r="B1838" i="14" s="1"/>
  <c r="B1839" i="14" s="1"/>
  <c r="B1840" i="14" s="1"/>
  <c r="B1841" i="14" s="1"/>
  <c r="B1842" i="14" s="1"/>
  <c r="B1843" i="14" s="1"/>
  <c r="B1844" i="14" s="1"/>
  <c r="B1845" i="14" s="1"/>
  <c r="B1846" i="14" s="1"/>
  <c r="B1847" i="14" s="1"/>
  <c r="B1848" i="14" s="1"/>
  <c r="B1849" i="14" s="1"/>
  <c r="B1850" i="14" s="1"/>
  <c r="B1851" i="14" s="1"/>
  <c r="B1852" i="14" s="1"/>
  <c r="B1853" i="14" s="1"/>
  <c r="B1854" i="14" s="1"/>
  <c r="B1855" i="14" s="1"/>
  <c r="B1856" i="14" s="1"/>
  <c r="B1857" i="14" s="1"/>
  <c r="B1858" i="14" s="1"/>
  <c r="B1859" i="14" s="1"/>
  <c r="B1860" i="14" s="1"/>
  <c r="B1861" i="14" s="1"/>
  <c r="B1862" i="14" s="1"/>
  <c r="B1863" i="14" s="1"/>
  <c r="B1864" i="14" s="1"/>
  <c r="B1865" i="14" s="1"/>
  <c r="B1866" i="14" s="1"/>
  <c r="B1867" i="14" s="1"/>
  <c r="B1868" i="14" s="1"/>
  <c r="B1869" i="14" s="1"/>
  <c r="B1870" i="14" s="1"/>
  <c r="B1871" i="14" s="1"/>
  <c r="B1872" i="14" s="1"/>
  <c r="B1873" i="14" s="1"/>
  <c r="B1874" i="14" s="1"/>
  <c r="B1875" i="14" s="1"/>
  <c r="B1876" i="14" s="1"/>
  <c r="B1877" i="14" s="1"/>
  <c r="B1878" i="14" s="1"/>
  <c r="B1879" i="14" s="1"/>
  <c r="B1880" i="14" s="1"/>
  <c r="B1881" i="14" s="1"/>
  <c r="B1882" i="14" s="1"/>
  <c r="B1883" i="14" s="1"/>
  <c r="B1884" i="14" s="1"/>
  <c r="B1885" i="14" s="1"/>
  <c r="B1886" i="14" s="1"/>
  <c r="B1887" i="14" s="1"/>
  <c r="B1888" i="14" s="1"/>
  <c r="B1889" i="14" s="1"/>
  <c r="B1890" i="14" s="1"/>
  <c r="B1891" i="14" s="1"/>
  <c r="B1892" i="14" s="1"/>
  <c r="B1893" i="14" s="1"/>
  <c r="B1894" i="14" s="1"/>
  <c r="B1895" i="14" s="1"/>
  <c r="B1896" i="14" s="1"/>
  <c r="B1897" i="14" s="1"/>
  <c r="B1898" i="14" s="1"/>
  <c r="B1899" i="14" s="1"/>
  <c r="B1900" i="14" s="1"/>
  <c r="B1901" i="14" s="1"/>
  <c r="B1902" i="14" s="1"/>
  <c r="B1903" i="14" s="1"/>
  <c r="B1904" i="14" s="1"/>
  <c r="B1905" i="14" s="1"/>
  <c r="B1906" i="14" s="1"/>
  <c r="B1907" i="14" s="1"/>
  <c r="B1908" i="14" s="1"/>
  <c r="B1909" i="14" s="1"/>
  <c r="B1910" i="14" s="1"/>
  <c r="B1911" i="14" s="1"/>
  <c r="B1912" i="14" s="1"/>
  <c r="B1913" i="14" s="1"/>
  <c r="B1914" i="14" s="1"/>
  <c r="B1915" i="14" s="1"/>
  <c r="B1916" i="14" s="1"/>
  <c r="B1917" i="14" s="1"/>
  <c r="B1918" i="14" s="1"/>
  <c r="B1919" i="14" s="1"/>
  <c r="B1920" i="14" s="1"/>
  <c r="B1921" i="14" s="1"/>
  <c r="B1922" i="14" s="1"/>
  <c r="B1923" i="14" s="1"/>
  <c r="B1924" i="14" s="1"/>
  <c r="B1925" i="14" s="1"/>
  <c r="B1926" i="14" s="1"/>
  <c r="B1780" i="14"/>
  <c r="B1781" i="14" s="1"/>
  <c r="J1899" i="14"/>
  <c r="R1900" i="14"/>
  <c r="J1835" i="14"/>
  <c r="R1797" i="14"/>
  <c r="S1870" i="14"/>
  <c r="Q1761" i="14"/>
  <c r="M1752" i="14"/>
  <c r="R1748" i="14"/>
  <c r="S1748" i="14" s="1"/>
  <c r="O1748" i="14"/>
  <c r="R1828" i="14"/>
  <c r="N1747" i="14"/>
  <c r="R1832" i="14"/>
  <c r="S1832" i="14" s="1"/>
  <c r="K1832" i="14"/>
  <c r="N1771" i="14"/>
  <c r="O1780" i="14"/>
  <c r="S1902" i="14"/>
  <c r="I1896" i="14"/>
  <c r="Q1896" i="14" s="1"/>
  <c r="Q1897" i="14"/>
  <c r="O1761" i="14"/>
  <c r="R1761" i="14"/>
  <c r="N1752" i="14"/>
  <c r="J1746" i="14"/>
  <c r="R1750" i="14"/>
  <c r="Q1883" i="14"/>
  <c r="S1883" i="14" s="1"/>
  <c r="Q1873" i="14"/>
  <c r="S1873" i="14" s="1"/>
  <c r="Q1900" i="14"/>
  <c r="S1854" i="14"/>
  <c r="J1807" i="14"/>
  <c r="R1789" i="14"/>
  <c r="O1762" i="14"/>
  <c r="R1811" i="14"/>
  <c r="R1755" i="14"/>
  <c r="R1673" i="14"/>
  <c r="N1663" i="14"/>
  <c r="R1663" i="14" s="1"/>
  <c r="O1673" i="14"/>
  <c r="J1679" i="14"/>
  <c r="R1693" i="14"/>
  <c r="K1714" i="14"/>
  <c r="R1714" i="14"/>
  <c r="S1714" i="14" s="1"/>
  <c r="N1649" i="14"/>
  <c r="R1660" i="14"/>
  <c r="I1717" i="14"/>
  <c r="Q1717" i="14" s="1"/>
  <c r="Q1718" i="14"/>
  <c r="M1663" i="14"/>
  <c r="Q1673" i="14"/>
  <c r="Q1719" i="14"/>
  <c r="S1719" i="14" s="1"/>
  <c r="R1694" i="14"/>
  <c r="K1681" i="14"/>
  <c r="Q1715" i="14"/>
  <c r="K1712" i="14"/>
  <c r="Q1674" i="14"/>
  <c r="R1661" i="14"/>
  <c r="K1715" i="14"/>
  <c r="O1674" i="14"/>
  <c r="Q1661" i="14"/>
  <c r="I1680" i="14"/>
  <c r="J1718" i="14"/>
  <c r="R1697" i="14"/>
  <c r="R1688" i="14"/>
  <c r="Q1642" i="14"/>
  <c r="Q1688" i="14"/>
  <c r="R1681" i="14"/>
  <c r="S1681" i="14" s="1"/>
  <c r="S1598" i="14"/>
  <c r="O1598" i="14"/>
  <c r="R1594" i="14"/>
  <c r="S1594" i="14" s="1"/>
  <c r="J1617" i="14"/>
  <c r="J1562" i="14"/>
  <c r="J1580" i="14"/>
  <c r="M1593" i="14"/>
  <c r="O1441" i="14"/>
  <c r="R1441" i="14"/>
  <c r="N1436" i="14"/>
  <c r="Q1441" i="14"/>
  <c r="M1436" i="14"/>
  <c r="R1542" i="14"/>
  <c r="O1542" i="14"/>
  <c r="N1531" i="14"/>
  <c r="R1479" i="14"/>
  <c r="S1479" i="14" s="1"/>
  <c r="K1479" i="14"/>
  <c r="Q1542" i="14"/>
  <c r="M1531" i="14"/>
  <c r="Q1431" i="14"/>
  <c r="M1427" i="14"/>
  <c r="J1446" i="14"/>
  <c r="R1431" i="14"/>
  <c r="O1431" i="14"/>
  <c r="N1427" i="14"/>
  <c r="R1427" i="14" s="1"/>
  <c r="N1456" i="14"/>
  <c r="K1407" i="14"/>
  <c r="M1456" i="14"/>
  <c r="Q1456" i="14" s="1"/>
  <c r="J1531" i="14"/>
  <c r="N1471" i="14"/>
  <c r="O1424" i="14"/>
  <c r="R1477" i="14"/>
  <c r="S1477" i="14" s="1"/>
  <c r="M1471" i="14"/>
  <c r="Q1442" i="14"/>
  <c r="R1543" i="14"/>
  <c r="R1480" i="14"/>
  <c r="O1442" i="14"/>
  <c r="R1432" i="14"/>
  <c r="Q1543" i="14"/>
  <c r="N1483" i="14"/>
  <c r="Q1480" i="14"/>
  <c r="Q1432" i="14"/>
  <c r="R1410" i="14"/>
  <c r="R1484" i="14"/>
  <c r="R1475" i="14"/>
  <c r="S1475" i="14" s="1"/>
  <c r="R1459" i="14"/>
  <c r="S1459" i="14" s="1"/>
  <c r="K1310" i="14"/>
  <c r="Q1310" i="14"/>
  <c r="S1310" i="14" s="1"/>
  <c r="J1272" i="14"/>
  <c r="R1275" i="14"/>
  <c r="K1131" i="14"/>
  <c r="Q1131" i="14"/>
  <c r="S1131" i="14" s="1"/>
  <c r="K1328" i="14"/>
  <c r="Q1328" i="14"/>
  <c r="S1328" i="14" s="1"/>
  <c r="O410" i="14"/>
  <c r="R410" i="14"/>
  <c r="S410" i="14" s="1"/>
  <c r="Q1370" i="14"/>
  <c r="S1370" i="14" s="1"/>
  <c r="R1090" i="14"/>
  <c r="N1081" i="14"/>
  <c r="Q1085" i="14"/>
  <c r="S1085" i="14" s="1"/>
  <c r="I1084" i="14"/>
  <c r="I1081" i="14" s="1"/>
  <c r="S432" i="14"/>
  <c r="K1393" i="14"/>
  <c r="Q1393" i="14"/>
  <c r="S1393" i="14" s="1"/>
  <c r="K244" i="14"/>
  <c r="Q244" i="14"/>
  <c r="S244" i="14" s="1"/>
  <c r="O471" i="14"/>
  <c r="R1289" i="14"/>
  <c r="J1031" i="14"/>
  <c r="R1034" i="14"/>
  <c r="S1034" i="14" s="1"/>
  <c r="R323" i="14"/>
  <c r="S323" i="14" s="1"/>
  <c r="O323" i="14"/>
  <c r="I1119" i="14"/>
  <c r="I1116" i="14" s="1"/>
  <c r="K1122" i="14"/>
  <c r="Q1122" i="14"/>
  <c r="S1122" i="14" s="1"/>
  <c r="Q310" i="14"/>
  <c r="S310" i="14" s="1"/>
  <c r="K310" i="14"/>
  <c r="I134" i="14"/>
  <c r="Q134" i="14" s="1"/>
  <c r="Q135" i="14"/>
  <c r="Q1079" i="14"/>
  <c r="S1079" i="14" s="1"/>
  <c r="K1079" i="14"/>
  <c r="R986" i="14"/>
  <c r="I658" i="14"/>
  <c r="Q658" i="14" s="1"/>
  <c r="Q661" i="14"/>
  <c r="S661" i="14" s="1"/>
  <c r="K661" i="14"/>
  <c r="S336" i="14"/>
  <c r="Q398" i="14"/>
  <c r="S398" i="14" s="1"/>
  <c r="K398" i="14"/>
  <c r="K912" i="14"/>
  <c r="Q912" i="14"/>
  <c r="S912" i="14" s="1"/>
  <c r="K1067" i="14"/>
  <c r="Q1067" i="14"/>
  <c r="S1067" i="14" s="1"/>
  <c r="S194" i="14"/>
  <c r="I1275" i="14"/>
  <c r="Q1276" i="14"/>
  <c r="S1276" i="14" s="1"/>
  <c r="K1276" i="14"/>
  <c r="Q442" i="14"/>
  <c r="S442" i="14" s="1"/>
  <c r="O442" i="14"/>
  <c r="S1389" i="14"/>
  <c r="K1360" i="14"/>
  <c r="Q1360" i="14"/>
  <c r="S1360" i="14" s="1"/>
  <c r="Q1352" i="14"/>
  <c r="S1352" i="14" s="1"/>
  <c r="K1352" i="14"/>
  <c r="Q1153" i="14"/>
  <c r="S1153" i="14" s="1"/>
  <c r="I1149" i="14"/>
  <c r="K1153" i="14"/>
  <c r="R1311" i="14"/>
  <c r="N1292" i="14"/>
  <c r="Q1243" i="14"/>
  <c r="S1243" i="14" s="1"/>
  <c r="K1243" i="14"/>
  <c r="S1223" i="14"/>
  <c r="K997" i="14"/>
  <c r="Q997" i="14"/>
  <c r="S997" i="14" s="1"/>
  <c r="I989" i="14"/>
  <c r="Q989" i="14" s="1"/>
  <c r="Q992" i="14"/>
  <c r="S992" i="14" s="1"/>
  <c r="K794" i="14"/>
  <c r="Q794" i="14"/>
  <c r="S794" i="14" s="1"/>
  <c r="Q714" i="14"/>
  <c r="S714" i="14" s="1"/>
  <c r="K714" i="14"/>
  <c r="M652" i="14"/>
  <c r="Q654" i="14"/>
  <c r="S654" i="14" s="1"/>
  <c r="J1249" i="14"/>
  <c r="R1258" i="14"/>
  <c r="S1258" i="14" s="1"/>
  <c r="K1174" i="14"/>
  <c r="Q1174" i="14"/>
  <c r="S1174" i="14" s="1"/>
  <c r="J192" i="14"/>
  <c r="Q232" i="14"/>
  <c r="S232" i="14" s="1"/>
  <c r="Q492" i="14"/>
  <c r="S492" i="14" s="1"/>
  <c r="Q482" i="14"/>
  <c r="S482" i="14" s="1"/>
  <c r="Q470" i="14"/>
  <c r="S470" i="14" s="1"/>
  <c r="Q465" i="14"/>
  <c r="S465" i="14" s="1"/>
  <c r="S436" i="14"/>
  <c r="K1306" i="14"/>
  <c r="I1305" i="14"/>
  <c r="Q1305" i="14" s="1"/>
  <c r="S1305" i="14" s="1"/>
  <c r="I1128" i="14"/>
  <c r="Q1128" i="14" s="1"/>
  <c r="Q1129" i="14"/>
  <c r="S1129" i="14" s="1"/>
  <c r="Q1105" i="14"/>
  <c r="S1105" i="14" s="1"/>
  <c r="S899" i="14"/>
  <c r="R1057" i="14"/>
  <c r="K1365" i="14"/>
  <c r="Q1365" i="14"/>
  <c r="S1365" i="14" s="1"/>
  <c r="S198" i="14"/>
  <c r="Q178" i="14"/>
  <c r="S178" i="14" s="1"/>
  <c r="K135" i="14"/>
  <c r="I120" i="14"/>
  <c r="S271" i="14"/>
  <c r="S250" i="14"/>
  <c r="S308" i="14"/>
  <c r="O436" i="14"/>
  <c r="S387" i="14"/>
  <c r="S1373" i="14"/>
  <c r="J1335" i="14"/>
  <c r="K1338" i="14"/>
  <c r="R1338" i="14"/>
  <c r="S1338" i="14" s="1"/>
  <c r="Q1315" i="14"/>
  <c r="S1315" i="14" s="1"/>
  <c r="Q1296" i="14"/>
  <c r="S1296" i="14" s="1"/>
  <c r="O1105" i="14"/>
  <c r="I866" i="14"/>
  <c r="Q869" i="14"/>
  <c r="S869" i="14" s="1"/>
  <c r="Q768" i="14"/>
  <c r="S768" i="14" s="1"/>
  <c r="S358" i="14"/>
  <c r="Q1222" i="14"/>
  <c r="S1222" i="14" s="1"/>
  <c r="J1107" i="14"/>
  <c r="R1110" i="14"/>
  <c r="K899" i="14"/>
  <c r="I896" i="14"/>
  <c r="M1332" i="14"/>
  <c r="Q1333" i="14"/>
  <c r="S1333" i="14" s="1"/>
  <c r="O916" i="14"/>
  <c r="N915" i="14"/>
  <c r="R916" i="14"/>
  <c r="S916" i="14" s="1"/>
  <c r="K1231" i="14"/>
  <c r="Q1231" i="14"/>
  <c r="S1231" i="14" s="1"/>
  <c r="Q1221" i="14"/>
  <c r="S1221" i="14" s="1"/>
  <c r="O184" i="14"/>
  <c r="S357" i="14"/>
  <c r="K350" i="14"/>
  <c r="S326" i="14"/>
  <c r="S475" i="14"/>
  <c r="I1362" i="14"/>
  <c r="J1314" i="14"/>
  <c r="O1247" i="14"/>
  <c r="R1247" i="14"/>
  <c r="S1247" i="14" s="1"/>
  <c r="K1138" i="14"/>
  <c r="J243" i="14"/>
  <c r="J242" i="14" s="1"/>
  <c r="K1304" i="14"/>
  <c r="Q1304" i="14"/>
  <c r="S1304" i="14" s="1"/>
  <c r="I610" i="14"/>
  <c r="O183" i="14"/>
  <c r="N144" i="14"/>
  <c r="S147" i="14"/>
  <c r="Q124" i="14"/>
  <c r="Q284" i="14"/>
  <c r="S284" i="14" s="1"/>
  <c r="S256" i="14"/>
  <c r="S313" i="14"/>
  <c r="M407" i="14"/>
  <c r="M396" i="14" s="1"/>
  <c r="J372" i="14"/>
  <c r="S1381" i="14"/>
  <c r="Q1295" i="14"/>
  <c r="S1295" i="14" s="1"/>
  <c r="O1265" i="14"/>
  <c r="R1230" i="14"/>
  <c r="K1109" i="14"/>
  <c r="Q1109" i="14"/>
  <c r="S1109" i="14" s="1"/>
  <c r="K1082" i="14"/>
  <c r="Q1082" i="14"/>
  <c r="S1082" i="14" s="1"/>
  <c r="Q1071" i="14"/>
  <c r="S1071" i="14" s="1"/>
  <c r="Q766" i="14"/>
  <c r="S766" i="14" s="1"/>
  <c r="K766" i="14"/>
  <c r="J223" i="14"/>
  <c r="R223" i="14" s="1"/>
  <c r="I1230" i="14"/>
  <c r="M1197" i="14"/>
  <c r="O1198" i="14"/>
  <c r="Q1198" i="14"/>
  <c r="N1125" i="14"/>
  <c r="R1126" i="14"/>
  <c r="N688" i="14"/>
  <c r="R689" i="14"/>
  <c r="S464" i="14"/>
  <c r="K92" i="14"/>
  <c r="S92" i="14" s="1"/>
  <c r="S182" i="14"/>
  <c r="K176" i="14"/>
  <c r="S146" i="14"/>
  <c r="K269" i="14"/>
  <c r="S240" i="14"/>
  <c r="R348" i="14"/>
  <c r="S348" i="14" s="1"/>
  <c r="I1391" i="14"/>
  <c r="R1371" i="14"/>
  <c r="S1345" i="14"/>
  <c r="I1325" i="14"/>
  <c r="K1299" i="14"/>
  <c r="Q1269" i="14"/>
  <c r="S1269" i="14" s="1"/>
  <c r="K1030" i="14"/>
  <c r="Q1030" i="14"/>
  <c r="S1030" i="14" s="1"/>
  <c r="Q951" i="14"/>
  <c r="S951" i="14" s="1"/>
  <c r="I946" i="14"/>
  <c r="S884" i="14"/>
  <c r="Q158" i="14"/>
  <c r="S158" i="14" s="1"/>
  <c r="Q1376" i="14"/>
  <c r="N1335" i="14"/>
  <c r="O1353" i="14"/>
  <c r="O1269" i="14"/>
  <c r="Q1246" i="14"/>
  <c r="S1246" i="14" s="1"/>
  <c r="M1245" i="14"/>
  <c r="Q1210" i="14"/>
  <c r="S1210" i="14" s="1"/>
  <c r="N407" i="14"/>
  <c r="R407" i="14" s="1"/>
  <c r="O158" i="14"/>
  <c r="K113" i="14"/>
  <c r="Q222" i="14"/>
  <c r="S222" i="14" s="1"/>
  <c r="K348" i="14"/>
  <c r="S1375" i="14"/>
  <c r="M1335" i="14"/>
  <c r="Q1353" i="14"/>
  <c r="O1290" i="14"/>
  <c r="I1191" i="14"/>
  <c r="Q1191" i="14" s="1"/>
  <c r="S1191" i="14" s="1"/>
  <c r="K1192" i="14"/>
  <c r="Q1192" i="14"/>
  <c r="S1192" i="14" s="1"/>
  <c r="O1186" i="14"/>
  <c r="Q1186" i="14"/>
  <c r="S1186" i="14" s="1"/>
  <c r="K586" i="14"/>
  <c r="Q586" i="14"/>
  <c r="S586" i="14" s="1"/>
  <c r="R708" i="14"/>
  <c r="J705" i="14"/>
  <c r="I187" i="14"/>
  <c r="Q187" i="14" s="1"/>
  <c r="Q129" i="14"/>
  <c r="S129" i="14" s="1"/>
  <c r="Q281" i="14"/>
  <c r="S281" i="14" s="1"/>
  <c r="Q234" i="14"/>
  <c r="S234" i="14" s="1"/>
  <c r="S228" i="14"/>
  <c r="I353" i="14"/>
  <c r="Q353" i="14" s="1"/>
  <c r="R338" i="14"/>
  <c r="M422" i="14"/>
  <c r="O422" i="14" s="1"/>
  <c r="J1380" i="14"/>
  <c r="J1356" i="14"/>
  <c r="R1357" i="14"/>
  <c r="S1357" i="14" s="1"/>
  <c r="R1353" i="14"/>
  <c r="Q1307" i="14"/>
  <c r="S1307" i="14" s="1"/>
  <c r="R1293" i="14"/>
  <c r="R1245" i="14"/>
  <c r="N1244" i="14"/>
  <c r="Q1130" i="14"/>
  <c r="S1130" i="14" s="1"/>
  <c r="Q987" i="14"/>
  <c r="S987" i="14" s="1"/>
  <c r="I906" i="14"/>
  <c r="K908" i="14"/>
  <c r="Q908" i="14"/>
  <c r="S908" i="14" s="1"/>
  <c r="I708" i="14"/>
  <c r="K708" i="14" s="1"/>
  <c r="N311" i="14"/>
  <c r="O312" i="14"/>
  <c r="K1075" i="14"/>
  <c r="Q1075" i="14"/>
  <c r="S1075" i="14" s="1"/>
  <c r="I1073" i="14"/>
  <c r="Q1024" i="14"/>
  <c r="S1024" i="14" s="1"/>
  <c r="K1024" i="14"/>
  <c r="R890" i="14"/>
  <c r="N887" i="14"/>
  <c r="Q203" i="14"/>
  <c r="S203" i="14" s="1"/>
  <c r="K203" i="14"/>
  <c r="Q174" i="14"/>
  <c r="S174" i="14" s="1"/>
  <c r="K169" i="14"/>
  <c r="S288" i="14"/>
  <c r="S254" i="14"/>
  <c r="K234" i="14"/>
  <c r="S354" i="14"/>
  <c r="Q346" i="14"/>
  <c r="S346" i="14" s="1"/>
  <c r="Q338" i="14"/>
  <c r="S304" i="14"/>
  <c r="S488" i="14"/>
  <c r="Q461" i="14"/>
  <c r="S461" i="14" s="1"/>
  <c r="S455" i="14"/>
  <c r="Q1387" i="14"/>
  <c r="S1387" i="14" s="1"/>
  <c r="K1255" i="14"/>
  <c r="Q1255" i="14"/>
  <c r="S1255" i="14" s="1"/>
  <c r="Q1250" i="14"/>
  <c r="S1250" i="14" s="1"/>
  <c r="R1238" i="14"/>
  <c r="S1150" i="14"/>
  <c r="Q1118" i="14"/>
  <c r="S1118" i="14" s="1"/>
  <c r="I1096" i="14"/>
  <c r="I1093" i="14" s="1"/>
  <c r="Q1097" i="14"/>
  <c r="S1097" i="14" s="1"/>
  <c r="O1091" i="14"/>
  <c r="R1091" i="14"/>
  <c r="K1023" i="14"/>
  <c r="Q1023" i="14"/>
  <c r="S1023" i="14" s="1"/>
  <c r="Q820" i="14"/>
  <c r="S820" i="14" s="1"/>
  <c r="Q598" i="14"/>
  <c r="S598" i="14" s="1"/>
  <c r="K598" i="14"/>
  <c r="S220" i="14"/>
  <c r="O346" i="14"/>
  <c r="O318" i="14"/>
  <c r="R318" i="14"/>
  <c r="S318" i="14" s="1"/>
  <c r="S471" i="14"/>
  <c r="S384" i="14"/>
  <c r="K1293" i="14"/>
  <c r="K1250" i="14"/>
  <c r="S1233" i="14"/>
  <c r="S1213" i="14"/>
  <c r="K1202" i="14"/>
  <c r="Q1202" i="14"/>
  <c r="S1202" i="14" s="1"/>
  <c r="Q1091" i="14"/>
  <c r="M1090" i="14"/>
  <c r="O1090" i="14" s="1"/>
  <c r="Q1058" i="14"/>
  <c r="S1058" i="14" s="1"/>
  <c r="I1057" i="14"/>
  <c r="Q1005" i="14"/>
  <c r="S1005" i="14" s="1"/>
  <c r="K1005" i="14"/>
  <c r="K992" i="14"/>
  <c r="R981" i="14"/>
  <c r="S981" i="14" s="1"/>
  <c r="J978" i="14"/>
  <c r="K981" i="14"/>
  <c r="O654" i="14"/>
  <c r="K785" i="14"/>
  <c r="Q785" i="14"/>
  <c r="S785" i="14" s="1"/>
  <c r="Q1117" i="14"/>
  <c r="S1117" i="14" s="1"/>
  <c r="K1117" i="14"/>
  <c r="K1101" i="14"/>
  <c r="M1052" i="14"/>
  <c r="Q1053" i="14"/>
  <c r="S1053" i="14" s="1"/>
  <c r="R1043" i="14"/>
  <c r="J1040" i="14"/>
  <c r="K950" i="14"/>
  <c r="Q950" i="14"/>
  <c r="S950" i="14" s="1"/>
  <c r="K936" i="14"/>
  <c r="K814" i="14"/>
  <c r="I735" i="14"/>
  <c r="K1165" i="14"/>
  <c r="Q1165" i="14"/>
  <c r="S1165" i="14" s="1"/>
  <c r="K921" i="14"/>
  <c r="Q921" i="14"/>
  <c r="S921" i="14" s="1"/>
  <c r="K798" i="14"/>
  <c r="Q798" i="14"/>
  <c r="S798" i="14" s="1"/>
  <c r="K687" i="14"/>
  <c r="Q687" i="14"/>
  <c r="S687" i="14" s="1"/>
  <c r="Q670" i="14"/>
  <c r="S670" i="14" s="1"/>
  <c r="O608" i="14"/>
  <c r="R608" i="14"/>
  <c r="S608" i="14" s="1"/>
  <c r="N607" i="14"/>
  <c r="Q970" i="14"/>
  <c r="S970" i="14" s="1"/>
  <c r="S872" i="14"/>
  <c r="Q850" i="14"/>
  <c r="S850" i="14" s="1"/>
  <c r="K647" i="14"/>
  <c r="Q647" i="14"/>
  <c r="S647" i="14" s="1"/>
  <c r="K532" i="14"/>
  <c r="Q532" i="14"/>
  <c r="S532" i="14" s="1"/>
  <c r="K514" i="14"/>
  <c r="Q514" i="14"/>
  <c r="S514" i="14" s="1"/>
  <c r="Q1253" i="14"/>
  <c r="S1253" i="14" s="1"/>
  <c r="K935" i="14"/>
  <c r="Q935" i="14"/>
  <c r="S935" i="14" s="1"/>
  <c r="K850" i="14"/>
  <c r="M781" i="14"/>
  <c r="O781" i="14" s="1"/>
  <c r="Q782" i="14"/>
  <c r="S782" i="14" s="1"/>
  <c r="S623" i="14"/>
  <c r="K617" i="14"/>
  <c r="Q617" i="14"/>
  <c r="S617" i="14" s="1"/>
  <c r="K526" i="14"/>
  <c r="K902" i="14"/>
  <c r="Q902" i="14"/>
  <c r="S902" i="14" s="1"/>
  <c r="I838" i="14"/>
  <c r="Q840" i="14"/>
  <c r="S840" i="14" s="1"/>
  <c r="K754" i="14"/>
  <c r="Q754" i="14"/>
  <c r="S754" i="14" s="1"/>
  <c r="R658" i="14"/>
  <c r="J655" i="14"/>
  <c r="K1124" i="14"/>
  <c r="Q1124" i="14"/>
  <c r="S1124" i="14" s="1"/>
  <c r="K1042" i="14"/>
  <c r="K693" i="14"/>
  <c r="Q693" i="14"/>
  <c r="S693" i="14" s="1"/>
  <c r="K601" i="14"/>
  <c r="Q601" i="14"/>
  <c r="S601" i="14" s="1"/>
  <c r="J1209" i="14"/>
  <c r="R1212" i="14"/>
  <c r="K1037" i="14"/>
  <c r="Q1037" i="14"/>
  <c r="S1037" i="14" s="1"/>
  <c r="Q1009" i="14"/>
  <c r="S1009" i="14" s="1"/>
  <c r="K924" i="14"/>
  <c r="K723" i="14"/>
  <c r="Q723" i="14"/>
  <c r="S723" i="14" s="1"/>
  <c r="N640" i="14"/>
  <c r="R640" i="14" s="1"/>
  <c r="R651" i="14"/>
  <c r="Q531" i="14"/>
  <c r="S531" i="14" s="1"/>
  <c r="I528" i="14"/>
  <c r="Q528" i="14" s="1"/>
  <c r="S528" i="14" s="1"/>
  <c r="J1200" i="14"/>
  <c r="R1203" i="14"/>
  <c r="N780" i="14"/>
  <c r="R781" i="14"/>
  <c r="R1183" i="14"/>
  <c r="Q881" i="14"/>
  <c r="S881" i="14" s="1"/>
  <c r="I876" i="14"/>
  <c r="K801" i="14"/>
  <c r="Q801" i="14"/>
  <c r="S801" i="14" s="1"/>
  <c r="K729" i="14"/>
  <c r="Q729" i="14"/>
  <c r="S729" i="14" s="1"/>
  <c r="I728" i="14"/>
  <c r="K728" i="14" s="1"/>
  <c r="Q698" i="14"/>
  <c r="S698" i="14" s="1"/>
  <c r="K698" i="14"/>
  <c r="M571" i="14"/>
  <c r="Q582" i="14"/>
  <c r="K969" i="14"/>
  <c r="K827" i="14"/>
  <c r="Q827" i="14"/>
  <c r="S827" i="14" s="1"/>
  <c r="R588" i="14"/>
  <c r="J585" i="14"/>
  <c r="M518" i="14"/>
  <c r="Q519" i="14"/>
  <c r="S519" i="14" s="1"/>
  <c r="O519" i="14"/>
  <c r="K1220" i="14"/>
  <c r="Q1220" i="14"/>
  <c r="S1220" i="14" s="1"/>
  <c r="I1013" i="14"/>
  <c r="I978" i="14"/>
  <c r="Q978" i="14" s="1"/>
  <c r="K979" i="14"/>
  <c r="K953" i="14"/>
  <c r="Q953" i="14"/>
  <c r="S953" i="14" s="1"/>
  <c r="R795" i="14"/>
  <c r="J783" i="14"/>
  <c r="K710" i="14"/>
  <c r="Q710" i="14"/>
  <c r="S710" i="14" s="1"/>
  <c r="N536" i="14"/>
  <c r="O537" i="14"/>
  <c r="R537" i="14"/>
  <c r="S537" i="14" s="1"/>
  <c r="Q435" i="14"/>
  <c r="S435" i="14" s="1"/>
  <c r="S425" i="14"/>
  <c r="Q397" i="14"/>
  <c r="S397" i="14" s="1"/>
  <c r="N1040" i="14"/>
  <c r="R943" i="14"/>
  <c r="N940" i="14"/>
  <c r="N783" i="14"/>
  <c r="R805" i="14"/>
  <c r="I795" i="14"/>
  <c r="Q795" i="14" s="1"/>
  <c r="S473" i="14"/>
  <c r="M457" i="14"/>
  <c r="O457" i="14" s="1"/>
  <c r="K1139" i="14"/>
  <c r="Q1139" i="14"/>
  <c r="S1139" i="14" s="1"/>
  <c r="Q952" i="14"/>
  <c r="S952" i="14" s="1"/>
  <c r="K952" i="14"/>
  <c r="I933" i="14"/>
  <c r="M805" i="14"/>
  <c r="Q620" i="14"/>
  <c r="S620" i="14" s="1"/>
  <c r="Q581" i="14"/>
  <c r="S581" i="14" s="1"/>
  <c r="S494" i="14"/>
  <c r="S489" i="14"/>
  <c r="S402" i="14"/>
  <c r="R1197" i="14"/>
  <c r="K938" i="14"/>
  <c r="Q938" i="14"/>
  <c r="S938" i="14" s="1"/>
  <c r="I643" i="14"/>
  <c r="K644" i="14"/>
  <c r="Q638" i="14"/>
  <c r="S638" i="14" s="1"/>
  <c r="M626" i="14"/>
  <c r="K718" i="14"/>
  <c r="Q718" i="14"/>
  <c r="S718" i="14" s="1"/>
  <c r="M691" i="14"/>
  <c r="Q702" i="14"/>
  <c r="K684" i="14"/>
  <c r="Q684" i="14"/>
  <c r="S684" i="14" s="1"/>
  <c r="S674" i="14"/>
  <c r="K864" i="14"/>
  <c r="Q864" i="14"/>
  <c r="S864" i="14" s="1"/>
  <c r="K844" i="14"/>
  <c r="Q844" i="14"/>
  <c r="S844" i="14" s="1"/>
  <c r="S748" i="14"/>
  <c r="Q506" i="14"/>
  <c r="S506" i="14" s="1"/>
  <c r="Q1201" i="14"/>
  <c r="S1201" i="14" s="1"/>
  <c r="Q1114" i="14"/>
  <c r="S1114" i="14" s="1"/>
  <c r="Q1083" i="14"/>
  <c r="S1083" i="14" s="1"/>
  <c r="Q1080" i="14"/>
  <c r="S1080" i="14" s="1"/>
  <c r="K1002" i="14"/>
  <c r="Q1002" i="14"/>
  <c r="S1002" i="14" s="1"/>
  <c r="J968" i="14"/>
  <c r="R971" i="14"/>
  <c r="Q966" i="14"/>
  <c r="S966" i="14" s="1"/>
  <c r="Q931" i="14"/>
  <c r="S931" i="14" s="1"/>
  <c r="K873" i="14"/>
  <c r="Q873" i="14"/>
  <c r="S873" i="14" s="1"/>
  <c r="Q821" i="14"/>
  <c r="S821" i="14" s="1"/>
  <c r="Q817" i="14"/>
  <c r="S817" i="14" s="1"/>
  <c r="S797" i="14"/>
  <c r="Q757" i="14"/>
  <c r="S757" i="14" s="1"/>
  <c r="M756" i="14"/>
  <c r="S747" i="14"/>
  <c r="K1252" i="14"/>
  <c r="R1252" i="14"/>
  <c r="S1252" i="14" s="1"/>
  <c r="K1154" i="14"/>
  <c r="S1047" i="14"/>
  <c r="Q1019" i="14"/>
  <c r="S1019" i="14" s="1"/>
  <c r="O858" i="14"/>
  <c r="R858" i="14"/>
  <c r="N857" i="14"/>
  <c r="K797" i="14"/>
  <c r="K722" i="14"/>
  <c r="Q722" i="14"/>
  <c r="S722" i="14" s="1"/>
  <c r="Q589" i="14"/>
  <c r="S589" i="14" s="1"/>
  <c r="I588" i="14"/>
  <c r="I585" i="14" s="1"/>
  <c r="Q585" i="14" s="1"/>
  <c r="M555" i="14"/>
  <c r="O566" i="14"/>
  <c r="Q566" i="14"/>
  <c r="K510" i="14"/>
  <c r="S1055" i="14"/>
  <c r="S842" i="14"/>
  <c r="K812" i="14"/>
  <c r="Q812" i="14"/>
  <c r="S812" i="14" s="1"/>
  <c r="I811" i="14"/>
  <c r="S776" i="14"/>
  <c r="K747" i="14"/>
  <c r="I746" i="14"/>
  <c r="Q746" i="14" s="1"/>
  <c r="S746" i="14" s="1"/>
  <c r="J691" i="14"/>
  <c r="R694" i="14"/>
  <c r="Q516" i="14"/>
  <c r="S516" i="14" s="1"/>
  <c r="K516" i="14"/>
  <c r="K957" i="14"/>
  <c r="Q957" i="14"/>
  <c r="S957" i="14" s="1"/>
  <c r="K930" i="14"/>
  <c r="Q930" i="14"/>
  <c r="S930" i="14" s="1"/>
  <c r="I719" i="14"/>
  <c r="I716" i="14" s="1"/>
  <c r="Q716" i="14" s="1"/>
  <c r="S716" i="14" s="1"/>
  <c r="Q720" i="14"/>
  <c r="S720" i="14" s="1"/>
  <c r="I574" i="14"/>
  <c r="I571" i="14" s="1"/>
  <c r="K575" i="14"/>
  <c r="Q575" i="14"/>
  <c r="S575" i="14" s="1"/>
  <c r="J525" i="14"/>
  <c r="O806" i="14"/>
  <c r="I762" i="14"/>
  <c r="K762" i="14" s="1"/>
  <c r="K667" i="14"/>
  <c r="O567" i="14"/>
  <c r="Q567" i="14"/>
  <c r="Q1240" i="14"/>
  <c r="S1240" i="14" s="1"/>
  <c r="Q1207" i="14"/>
  <c r="S1207" i="14" s="1"/>
  <c r="Q1190" i="14"/>
  <c r="S1190" i="14" s="1"/>
  <c r="K1048" i="14"/>
  <c r="Q1048" i="14"/>
  <c r="S1048" i="14" s="1"/>
  <c r="K964" i="14"/>
  <c r="Q964" i="14"/>
  <c r="S964" i="14" s="1"/>
  <c r="K875" i="14"/>
  <c r="Q870" i="14"/>
  <c r="S870" i="14" s="1"/>
  <c r="R861" i="14"/>
  <c r="O833" i="14"/>
  <c r="K823" i="14"/>
  <c r="Q823" i="14"/>
  <c r="S823" i="14" s="1"/>
  <c r="K709" i="14"/>
  <c r="Q709" i="14"/>
  <c r="S709" i="14" s="1"/>
  <c r="N637" i="14"/>
  <c r="O638" i="14"/>
  <c r="K937" i="14"/>
  <c r="Q937" i="14"/>
  <c r="S937" i="14" s="1"/>
  <c r="Q733" i="14"/>
  <c r="S733" i="14" s="1"/>
  <c r="K733" i="14"/>
  <c r="R680" i="14"/>
  <c r="J677" i="14"/>
  <c r="K632" i="14"/>
  <c r="Q632" i="14"/>
  <c r="S632" i="14" s="1"/>
  <c r="Q573" i="14"/>
  <c r="S573" i="14" s="1"/>
  <c r="K573" i="14"/>
  <c r="R621" i="14"/>
  <c r="S526" i="14"/>
  <c r="I971" i="14"/>
  <c r="Q971" i="14" s="1"/>
  <c r="K874" i="14"/>
  <c r="Q874" i="14"/>
  <c r="S874" i="14" s="1"/>
  <c r="K695" i="14"/>
  <c r="Q695" i="14"/>
  <c r="S695" i="14" s="1"/>
  <c r="K660" i="14"/>
  <c r="Q660" i="14"/>
  <c r="S660" i="14" s="1"/>
  <c r="K633" i="14"/>
  <c r="Q633" i="14"/>
  <c r="S633" i="14" s="1"/>
  <c r="S624" i="14"/>
  <c r="O554" i="14"/>
  <c r="Q554" i="14"/>
  <c r="S554" i="14" s="1"/>
  <c r="K545" i="14"/>
  <c r="Q545" i="14"/>
  <c r="S545" i="14" s="1"/>
  <c r="Q895" i="14"/>
  <c r="S895" i="14" s="1"/>
  <c r="K737" i="14"/>
  <c r="Q737" i="14"/>
  <c r="S737" i="14" s="1"/>
  <c r="Q725" i="14"/>
  <c r="S725" i="14" s="1"/>
  <c r="S636" i="14"/>
  <c r="I508" i="14"/>
  <c r="K815" i="14"/>
  <c r="Q815" i="14"/>
  <c r="S815" i="14" s="1"/>
  <c r="K534" i="14"/>
  <c r="Q534" i="14"/>
  <c r="S534" i="14" s="1"/>
  <c r="I599" i="14"/>
  <c r="I596" i="14" s="1"/>
  <c r="S551" i="14"/>
  <c r="R517" i="14"/>
  <c r="N505" i="14"/>
  <c r="S867" i="14"/>
  <c r="R622" i="14"/>
  <c r="S622" i="14" s="1"/>
  <c r="K760" i="14"/>
  <c r="Q760" i="14"/>
  <c r="S760" i="14" s="1"/>
  <c r="O622" i="14"/>
  <c r="S570" i="14"/>
  <c r="I558" i="14"/>
  <c r="Q558" i="14" s="1"/>
  <c r="I542" i="14"/>
  <c r="Q542" i="14" s="1"/>
  <c r="Q767" i="14"/>
  <c r="S767" i="14" s="1"/>
  <c r="Q700" i="14"/>
  <c r="S700" i="14" s="1"/>
  <c r="Q678" i="14"/>
  <c r="S678" i="14" s="1"/>
  <c r="Q672" i="14"/>
  <c r="S672" i="14" s="1"/>
  <c r="Q659" i="14"/>
  <c r="S659" i="14" s="1"/>
  <c r="Q590" i="14"/>
  <c r="S590" i="14" s="1"/>
  <c r="Q527" i="14"/>
  <c r="S527" i="14" s="1"/>
  <c r="R848" i="14"/>
  <c r="R822" i="14"/>
  <c r="R806" i="14"/>
  <c r="S806" i="14" s="1"/>
  <c r="R786" i="14"/>
  <c r="R728" i="14"/>
  <c r="R583" i="14"/>
  <c r="S583" i="14" s="1"/>
  <c r="R542" i="14"/>
  <c r="Q602" i="14"/>
  <c r="S602" i="14" s="1"/>
  <c r="Q580" i="14"/>
  <c r="S580" i="14" s="1"/>
  <c r="Q533" i="14"/>
  <c r="S533" i="14" s="1"/>
  <c r="Q511" i="14"/>
  <c r="S511" i="14" s="1"/>
  <c r="S262" i="14"/>
  <c r="S319" i="14"/>
  <c r="K225" i="14"/>
  <c r="Q225" i="14"/>
  <c r="S225" i="14" s="1"/>
  <c r="J391" i="14"/>
  <c r="N340" i="14"/>
  <c r="R340" i="14" s="1"/>
  <c r="R344" i="14"/>
  <c r="K245" i="14"/>
  <c r="Q245" i="14"/>
  <c r="S245" i="14" s="1"/>
  <c r="R217" i="14"/>
  <c r="R418" i="14"/>
  <c r="S418" i="14" s="1"/>
  <c r="N417" i="14"/>
  <c r="O462" i="14"/>
  <c r="Q462" i="14"/>
  <c r="S462" i="14" s="1"/>
  <c r="Q303" i="14"/>
  <c r="S303" i="14" s="1"/>
  <c r="I302" i="14"/>
  <c r="Q201" i="14"/>
  <c r="S201" i="14" s="1"/>
  <c r="M200" i="14"/>
  <c r="I139" i="14"/>
  <c r="K349" i="14"/>
  <c r="I347" i="14"/>
  <c r="Q347" i="14" s="1"/>
  <c r="Q349" i="14"/>
  <c r="S349" i="14" s="1"/>
  <c r="K406" i="14"/>
  <c r="Q406" i="14"/>
  <c r="S406" i="14" s="1"/>
  <c r="Q381" i="14"/>
  <c r="S381" i="14" s="1"/>
  <c r="M380" i="14"/>
  <c r="Q399" i="14"/>
  <c r="S399" i="14" s="1"/>
  <c r="K143" i="14"/>
  <c r="Q143" i="14"/>
  <c r="S143" i="14" s="1"/>
  <c r="O381" i="14"/>
  <c r="Q415" i="14"/>
  <c r="S415" i="14" s="1"/>
  <c r="I413" i="14"/>
  <c r="Q175" i="14"/>
  <c r="S175" i="14" s="1"/>
  <c r="K175" i="14"/>
  <c r="I170" i="14"/>
  <c r="Q132" i="14"/>
  <c r="S132" i="14" s="1"/>
  <c r="M131" i="14"/>
  <c r="Q479" i="14"/>
  <c r="S479" i="14" s="1"/>
  <c r="Q401" i="14"/>
  <c r="S401" i="14" s="1"/>
  <c r="Q382" i="14"/>
  <c r="S382" i="14" s="1"/>
  <c r="O338" i="14"/>
  <c r="N317" i="14"/>
  <c r="R317" i="14" s="1"/>
  <c r="O382" i="14"/>
  <c r="S343" i="14"/>
  <c r="J89" i="14"/>
  <c r="R145" i="14"/>
  <c r="S145" i="14" s="1"/>
  <c r="S269" i="14"/>
  <c r="S356" i="14"/>
  <c r="K193" i="14"/>
  <c r="Q155" i="14"/>
  <c r="S155" i="14" s="1"/>
  <c r="R117" i="14"/>
  <c r="Q331" i="14"/>
  <c r="S331" i="14" s="1"/>
  <c r="Q474" i="14"/>
  <c r="S474" i="14" s="1"/>
  <c r="Q437" i="14"/>
  <c r="S437" i="14" s="1"/>
  <c r="Q416" i="14"/>
  <c r="S416" i="14" s="1"/>
  <c r="Q388" i="14"/>
  <c r="S388" i="14" s="1"/>
  <c r="S301" i="14"/>
  <c r="J98" i="14"/>
  <c r="Q169" i="14"/>
  <c r="S169" i="14" s="1"/>
  <c r="R139" i="14"/>
  <c r="Q122" i="14"/>
  <c r="S122" i="14" s="1"/>
  <c r="Q117" i="14"/>
  <c r="K331" i="14"/>
  <c r="I98" i="14"/>
  <c r="Q98" i="14" s="1"/>
  <c r="J202" i="14"/>
  <c r="Q188" i="14"/>
  <c r="S188" i="14" s="1"/>
  <c r="K117" i="14"/>
  <c r="J268" i="14"/>
  <c r="K268" i="14" s="1"/>
  <c r="I243" i="14"/>
  <c r="I242" i="14" s="1"/>
  <c r="I226" i="14"/>
  <c r="Q226" i="14" s="1"/>
  <c r="S226" i="14" s="1"/>
  <c r="R341" i="14"/>
  <c r="Q335" i="14"/>
  <c r="S335" i="14" s="1"/>
  <c r="R320" i="14"/>
  <c r="R393" i="14"/>
  <c r="S393" i="14" s="1"/>
  <c r="R373" i="14"/>
  <c r="S373" i="14" s="1"/>
  <c r="N199" i="14"/>
  <c r="K188" i="14"/>
  <c r="M179" i="14"/>
  <c r="Q263" i="14"/>
  <c r="S263" i="14" s="1"/>
  <c r="J258" i="14"/>
  <c r="J257" i="14" s="1"/>
  <c r="Q221" i="14"/>
  <c r="S221" i="14" s="1"/>
  <c r="Q341" i="14"/>
  <c r="Q459" i="14"/>
  <c r="S459" i="14" s="1"/>
  <c r="Q452" i="14"/>
  <c r="S452" i="14" s="1"/>
  <c r="Q377" i="14"/>
  <c r="S377" i="14" s="1"/>
  <c r="M417" i="14"/>
  <c r="J187" i="14"/>
  <c r="S149" i="14"/>
  <c r="K341" i="14"/>
  <c r="O345" i="14"/>
  <c r="N130" i="14"/>
  <c r="S230" i="14"/>
  <c r="N327" i="14"/>
  <c r="O337" i="14"/>
  <c r="R337" i="14"/>
  <c r="M327" i="14"/>
  <c r="Q337" i="14"/>
  <c r="K340" i="14"/>
  <c r="J316" i="14"/>
  <c r="M344" i="14"/>
  <c r="J353" i="14"/>
  <c r="R330" i="14"/>
  <c r="R355" i="14"/>
  <c r="S355" i="14" s="1"/>
  <c r="R283" i="14"/>
  <c r="I282" i="14"/>
  <c r="Q283" i="14"/>
  <c r="Q252" i="14"/>
  <c r="M243" i="14"/>
  <c r="M242" i="14" s="1"/>
  <c r="O252" i="14"/>
  <c r="R252" i="14"/>
  <c r="N243" i="14"/>
  <c r="N274" i="14"/>
  <c r="R253" i="14"/>
  <c r="Q246" i="14"/>
  <c r="S246" i="14" s="1"/>
  <c r="Q253" i="14"/>
  <c r="K246" i="14"/>
  <c r="O253" i="14"/>
  <c r="R278" i="14"/>
  <c r="R183" i="14"/>
  <c r="S183" i="14" s="1"/>
  <c r="N179" i="14"/>
  <c r="Q116" i="14"/>
  <c r="Q113" i="14"/>
  <c r="I112" i="14"/>
  <c r="K190" i="14"/>
  <c r="R190" i="14"/>
  <c r="S190" i="14" s="1"/>
  <c r="Q180" i="14"/>
  <c r="S180" i="14" s="1"/>
  <c r="O180" i="14"/>
  <c r="R134" i="14"/>
  <c r="R113" i="14"/>
  <c r="J112" i="14"/>
  <c r="N119" i="14"/>
  <c r="R123" i="14"/>
  <c r="R170" i="14"/>
  <c r="J167" i="14"/>
  <c r="K116" i="14"/>
  <c r="R116" i="14"/>
  <c r="R127" i="14"/>
  <c r="J126" i="14"/>
  <c r="N6" i="15"/>
  <c r="N21" i="15" s="1"/>
  <c r="N45" i="15" s="1"/>
  <c r="F392" i="13"/>
  <c r="F391" i="13" s="1"/>
  <c r="E392" i="13"/>
  <c r="E391" i="13" s="1"/>
  <c r="F282" i="13"/>
  <c r="G390" i="13"/>
  <c r="G385" i="13"/>
  <c r="G382" i="13"/>
  <c r="G381" i="13"/>
  <c r="G380" i="13"/>
  <c r="G379" i="13"/>
  <c r="G376" i="13"/>
  <c r="G375" i="13"/>
  <c r="G374" i="13"/>
  <c r="G373" i="13"/>
  <c r="G372" i="13"/>
  <c r="G369" i="13"/>
  <c r="G368" i="13"/>
  <c r="G367" i="13"/>
  <c r="G365" i="13"/>
  <c r="G364" i="13"/>
  <c r="G361" i="13"/>
  <c r="G356" i="13"/>
  <c r="G352" i="13"/>
  <c r="Q44" i="15"/>
  <c r="Q43" i="15"/>
  <c r="Q40" i="15"/>
  <c r="Q38" i="15"/>
  <c r="Q37" i="15"/>
  <c r="Q33" i="15"/>
  <c r="Q32" i="15"/>
  <c r="Q30" i="15"/>
  <c r="Q29" i="15"/>
  <c r="Q27" i="15"/>
  <c r="S278" i="14" l="1"/>
  <c r="O314" i="14"/>
  <c r="O278" i="14"/>
  <c r="S1712" i="14"/>
  <c r="S1354" i="14"/>
  <c r="N396" i="14"/>
  <c r="K1317" i="14"/>
  <c r="I1383" i="14"/>
  <c r="Q1383" i="14" s="1"/>
  <c r="S1383" i="14" s="1"/>
  <c r="S1283" i="14"/>
  <c r="K1140" i="14"/>
  <c r="S567" i="14"/>
  <c r="K1371" i="14"/>
  <c r="S124" i="14"/>
  <c r="S1371" i="14"/>
  <c r="S1128" i="14"/>
  <c r="K399" i="14"/>
  <c r="Q550" i="14"/>
  <c r="Q940" i="14"/>
  <c r="S1715" i="14"/>
  <c r="S959" i="14"/>
  <c r="J1383" i="14"/>
  <c r="R1383" i="14" s="1"/>
  <c r="I1137" i="14"/>
  <c r="Q1137" i="14" s="1"/>
  <c r="S1137" i="14" s="1"/>
  <c r="K959" i="14"/>
  <c r="Q1249" i="14"/>
  <c r="K1283" i="14"/>
  <c r="N1173" i="14"/>
  <c r="R1173" i="14" s="1"/>
  <c r="S1849" i="14"/>
  <c r="K1238" i="14"/>
  <c r="O1289" i="14"/>
  <c r="S1452" i="14"/>
  <c r="Q1918" i="14"/>
  <c r="O1183" i="14"/>
  <c r="R1687" i="14"/>
  <c r="M857" i="14"/>
  <c r="Q857" i="14" s="1"/>
  <c r="Q1768" i="14"/>
  <c r="S1768" i="14" s="1"/>
  <c r="K1016" i="14"/>
  <c r="M525" i="14"/>
  <c r="K848" i="14"/>
  <c r="M1272" i="14"/>
  <c r="O1272" i="14" s="1"/>
  <c r="K1768" i="14"/>
  <c r="S848" i="14"/>
  <c r="O861" i="14"/>
  <c r="M1483" i="14"/>
  <c r="M1482" i="14" s="1"/>
  <c r="S1140" i="14"/>
  <c r="K261" i="14"/>
  <c r="O1944" i="14"/>
  <c r="S558" i="14"/>
  <c r="M1649" i="14"/>
  <c r="Q1649" i="14" s="1"/>
  <c r="Q1944" i="14"/>
  <c r="S1944" i="14" s="1"/>
  <c r="S795" i="14"/>
  <c r="M1937" i="14"/>
  <c r="O1937" i="14" s="1"/>
  <c r="S1176" i="14"/>
  <c r="I258" i="14"/>
  <c r="Q258" i="14" s="1"/>
  <c r="M1292" i="14"/>
  <c r="O1292" i="14" s="1"/>
  <c r="M1836" i="14"/>
  <c r="M1835" i="14" s="1"/>
  <c r="I1725" i="14"/>
  <c r="I1724" i="14" s="1"/>
  <c r="Q1724" i="14" s="1"/>
  <c r="K1728" i="14"/>
  <c r="S861" i="14"/>
  <c r="O832" i="14"/>
  <c r="O1311" i="14"/>
  <c r="O1660" i="14"/>
  <c r="O1500" i="14"/>
  <c r="K1034" i="14"/>
  <c r="Q890" i="14"/>
  <c r="S890" i="14" s="1"/>
  <c r="M887" i="14"/>
  <c r="Q887" i="14" s="1"/>
  <c r="K1176" i="14"/>
  <c r="Q1652" i="14"/>
  <c r="S1652" i="14" s="1"/>
  <c r="R550" i="14"/>
  <c r="K1788" i="14"/>
  <c r="J1069" i="14"/>
  <c r="J1054" i="14" s="1"/>
  <c r="K1951" i="14"/>
  <c r="R1872" i="14"/>
  <c r="S1238" i="14"/>
  <c r="O386" i="14"/>
  <c r="R702" i="14"/>
  <c r="S702" i="14" s="1"/>
  <c r="K330" i="14"/>
  <c r="I1107" i="14"/>
  <c r="Q1107" i="14" s="1"/>
  <c r="Q1581" i="14"/>
  <c r="S1581" i="14" s="1"/>
  <c r="Q1484" i="14"/>
  <c r="S1484" i="14" s="1"/>
  <c r="I192" i="14"/>
  <c r="K192" i="14" s="1"/>
  <c r="K989" i="14"/>
  <c r="K1828" i="14"/>
  <c r="K1701" i="14"/>
  <c r="K1827" i="14"/>
  <c r="R1905" i="14"/>
  <c r="I691" i="14"/>
  <c r="Q691" i="14" s="1"/>
  <c r="Q1427" i="14"/>
  <c r="S1427" i="14" s="1"/>
  <c r="K187" i="14"/>
  <c r="I327" i="14"/>
  <c r="K327" i="14" s="1"/>
  <c r="R1376" i="14"/>
  <c r="S1376" i="14" s="1"/>
  <c r="R1612" i="14"/>
  <c r="N1793" i="14"/>
  <c r="S1386" i="14"/>
  <c r="Q127" i="14"/>
  <c r="S127" i="14" s="1"/>
  <c r="M317" i="14"/>
  <c r="Q317" i="14" s="1"/>
  <c r="S317" i="14" s="1"/>
  <c r="I1031" i="14"/>
  <c r="Q1031" i="14" s="1"/>
  <c r="S1437" i="14"/>
  <c r="K1581" i="14"/>
  <c r="I1914" i="14"/>
  <c r="Q1914" i="14" s="1"/>
  <c r="K1915" i="14"/>
  <c r="Q89" i="14"/>
  <c r="I88" i="14"/>
  <c r="Q88" i="14" s="1"/>
  <c r="Q621" i="14"/>
  <c r="R555" i="14"/>
  <c r="S1311" i="14"/>
  <c r="O1804" i="14"/>
  <c r="K283" i="14"/>
  <c r="O621" i="14"/>
  <c r="K613" i="14"/>
  <c r="S1442" i="14"/>
  <c r="O1531" i="14"/>
  <c r="S1824" i="14"/>
  <c r="K1918" i="14"/>
  <c r="S832" i="14"/>
  <c r="S1464" i="14"/>
  <c r="S621" i="14"/>
  <c r="Q1804" i="14"/>
  <c r="O1818" i="14"/>
  <c r="S1449" i="14"/>
  <c r="S1625" i="14"/>
  <c r="N1356" i="14"/>
  <c r="O1356" i="14" s="1"/>
  <c r="R1848" i="14"/>
  <c r="S1848" i="14" s="1"/>
  <c r="R1331" i="14"/>
  <c r="K233" i="14"/>
  <c r="S566" i="14"/>
  <c r="K786" i="14"/>
  <c r="S822" i="14"/>
  <c r="M311" i="14"/>
  <c r="Q311" i="14" s="1"/>
  <c r="S311" i="14" s="1"/>
  <c r="K1110" i="14"/>
  <c r="K528" i="14"/>
  <c r="K375" i="14"/>
  <c r="S1126" i="14"/>
  <c r="I1022" i="14"/>
  <c r="Q1022" i="14" s="1"/>
  <c r="S1022" i="14" s="1"/>
  <c r="K127" i="14"/>
  <c r="I1860" i="14"/>
  <c r="I1857" i="14" s="1"/>
  <c r="K1857" i="14" s="1"/>
  <c r="S1918" i="14"/>
  <c r="Q770" i="14"/>
  <c r="S770" i="14" s="1"/>
  <c r="I372" i="14"/>
  <c r="K372" i="14" s="1"/>
  <c r="S1431" i="14"/>
  <c r="I1173" i="14"/>
  <c r="K1173" i="14" s="1"/>
  <c r="Q610" i="14"/>
  <c r="S320" i="14"/>
  <c r="O320" i="14"/>
  <c r="S943" i="14"/>
  <c r="O1690" i="14"/>
  <c r="Q1828" i="14"/>
  <c r="S1828" i="14" s="1"/>
  <c r="M1497" i="14"/>
  <c r="Q1497" i="14" s="1"/>
  <c r="S1497" i="14" s="1"/>
  <c r="K694" i="14"/>
  <c r="O689" i="14"/>
  <c r="M1687" i="14"/>
  <c r="J1821" i="14"/>
  <c r="J1792" i="14" s="1"/>
  <c r="R1822" i="14"/>
  <c r="S1822" i="14" s="1"/>
  <c r="I666" i="14"/>
  <c r="K666" i="14" s="1"/>
  <c r="S1424" i="14"/>
  <c r="R258" i="14"/>
  <c r="S258" i="14" s="1"/>
  <c r="K923" i="14"/>
  <c r="K1221" i="14"/>
  <c r="R1593" i="14"/>
  <c r="O1848" i="14"/>
  <c r="N1808" i="14"/>
  <c r="O1808" i="14" s="1"/>
  <c r="K669" i="14"/>
  <c r="S1819" i="14"/>
  <c r="O1409" i="14"/>
  <c r="K558" i="14"/>
  <c r="K1464" i="14"/>
  <c r="R1818" i="14"/>
  <c r="O1512" i="14"/>
  <c r="S786" i="14"/>
  <c r="I920" i="14"/>
  <c r="Q920" i="14" s="1"/>
  <c r="M1747" i="14"/>
  <c r="Q1747" i="14" s="1"/>
  <c r="I995" i="14"/>
  <c r="K995" i="14" s="1"/>
  <c r="S1642" i="14"/>
  <c r="Q1915" i="14"/>
  <c r="R1409" i="14"/>
  <c r="N1093" i="14"/>
  <c r="R1093" i="14" s="1"/>
  <c r="J727" i="14"/>
  <c r="O1449" i="14"/>
  <c r="I1461" i="14"/>
  <c r="S1377" i="14"/>
  <c r="S1203" i="14"/>
  <c r="S1690" i="14"/>
  <c r="Q153" i="14"/>
  <c r="S153" i="14" s="1"/>
  <c r="Q626" i="14"/>
  <c r="S1293" i="14"/>
  <c r="K1588" i="14"/>
  <c r="S1750" i="14"/>
  <c r="I1904" i="14"/>
  <c r="Q1905" i="14"/>
  <c r="M144" i="14"/>
  <c r="M138" i="14" s="1"/>
  <c r="N808" i="14"/>
  <c r="O808" i="14" s="1"/>
  <c r="K1203" i="14"/>
  <c r="Q629" i="14"/>
  <c r="S629" i="14" s="1"/>
  <c r="Q1125" i="14"/>
  <c r="O407" i="14"/>
  <c r="R1804" i="14"/>
  <c r="K1164" i="14"/>
  <c r="Q407" i="14"/>
  <c r="S407" i="14" s="1"/>
  <c r="O582" i="14"/>
  <c r="Q607" i="14"/>
  <c r="K1822" i="14"/>
  <c r="O1750" i="14"/>
  <c r="S833" i="14"/>
  <c r="S613" i="14"/>
  <c r="O123" i="14"/>
  <c r="I655" i="14"/>
  <c r="Q655" i="14" s="1"/>
  <c r="M1182" i="14"/>
  <c r="M1173" i="14" s="1"/>
  <c r="I783" i="14"/>
  <c r="K783" i="14" s="1"/>
  <c r="R1264" i="14"/>
  <c r="I1004" i="14"/>
  <c r="Q1004" i="14" s="1"/>
  <c r="S1004" i="14" s="1"/>
  <c r="O1335" i="14"/>
  <c r="Q1007" i="14"/>
  <c r="S1007" i="14" s="1"/>
  <c r="S1110" i="14"/>
  <c r="K219" i="14"/>
  <c r="Q1158" i="14"/>
  <c r="S1158" i="14" s="1"/>
  <c r="K1158" i="14"/>
  <c r="S1697" i="14"/>
  <c r="R119" i="14"/>
  <c r="N420" i="14"/>
  <c r="R420" i="14" s="1"/>
  <c r="N372" i="14"/>
  <c r="R372" i="14" s="1"/>
  <c r="I217" i="14"/>
  <c r="Q217" i="14" s="1"/>
  <c r="S217" i="14" s="1"/>
  <c r="S135" i="14"/>
  <c r="S1290" i="14"/>
  <c r="K98" i="14"/>
  <c r="S98" i="14" s="1"/>
  <c r="R582" i="14"/>
  <c r="S582" i="14" s="1"/>
  <c r="O1264" i="14"/>
  <c r="K1297" i="14"/>
  <c r="K1905" i="14"/>
  <c r="R1827" i="14"/>
  <c r="S1827" i="14" s="1"/>
  <c r="Q1818" i="14"/>
  <c r="S989" i="14"/>
  <c r="S1500" i="14"/>
  <c r="I956" i="14"/>
  <c r="Q956" i="14" s="1"/>
  <c r="S956" i="14" s="1"/>
  <c r="Q1872" i="14"/>
  <c r="O1872" i="14"/>
  <c r="M1860" i="14"/>
  <c r="O1860" i="14" s="1"/>
  <c r="I1209" i="14"/>
  <c r="Q1209" i="14" s="1"/>
  <c r="O1102" i="14"/>
  <c r="I555" i="14"/>
  <c r="K1137" i="14"/>
  <c r="R1915" i="14"/>
  <c r="J1914" i="14"/>
  <c r="I1752" i="14"/>
  <c r="Q1752" i="14" s="1"/>
  <c r="K1755" i="14"/>
  <c r="Q1755" i="14"/>
  <c r="S1755" i="14" s="1"/>
  <c r="Q1489" i="14"/>
  <c r="I1486" i="14"/>
  <c r="M274" i="14"/>
  <c r="M268" i="14" s="1"/>
  <c r="N299" i="14"/>
  <c r="R299" i="14" s="1"/>
  <c r="K542" i="14"/>
  <c r="S669" i="14"/>
  <c r="I1808" i="14"/>
  <c r="Q1808" i="14" s="1"/>
  <c r="Q1811" i="14"/>
  <c r="S1811" i="14" s="1"/>
  <c r="K1811" i="14"/>
  <c r="S1198" i="14"/>
  <c r="Q1888" i="14"/>
  <c r="S1888" i="14" s="1"/>
  <c r="K1888" i="14"/>
  <c r="K629" i="14"/>
  <c r="K1789" i="14"/>
  <c r="N1696" i="14"/>
  <c r="K1212" i="14"/>
  <c r="S1797" i="14"/>
  <c r="I1885" i="14"/>
  <c r="Q1410" i="14"/>
  <c r="S1410" i="14" s="1"/>
  <c r="I1409" i="14"/>
  <c r="O275" i="14"/>
  <c r="S542" i="14"/>
  <c r="S858" i="14"/>
  <c r="Q1264" i="14"/>
  <c r="K1938" i="14"/>
  <c r="I1794" i="14"/>
  <c r="K1797" i="14"/>
  <c r="Q1346" i="14"/>
  <c r="S1346" i="14" s="1"/>
  <c r="K1346" i="14"/>
  <c r="K1436" i="14"/>
  <c r="J1724" i="14"/>
  <c r="R1725" i="14"/>
  <c r="O1644" i="14"/>
  <c r="Q1644" i="14"/>
  <c r="S1644" i="14" s="1"/>
  <c r="R311" i="14"/>
  <c r="S252" i="14"/>
  <c r="J88" i="14"/>
  <c r="R88" i="14" s="1"/>
  <c r="S88" i="14" s="1"/>
  <c r="S1674" i="14"/>
  <c r="S1897" i="14"/>
  <c r="S1900" i="14"/>
  <c r="K96" i="14"/>
  <c r="S96" i="14" s="1"/>
  <c r="Q96" i="14"/>
  <c r="Q1789" i="14"/>
  <c r="S1789" i="14" s="1"/>
  <c r="J1649" i="14"/>
  <c r="K1652" i="14"/>
  <c r="K1605" i="14"/>
  <c r="Q1605" i="14"/>
  <c r="S1605" i="14" s="1"/>
  <c r="I1602" i="14"/>
  <c r="K1602" i="14" s="1"/>
  <c r="Q1534" i="14"/>
  <c r="S1534" i="14" s="1"/>
  <c r="K1534" i="14"/>
  <c r="S219" i="14"/>
  <c r="Q123" i="14"/>
  <c r="S123" i="14" s="1"/>
  <c r="Q689" i="14"/>
  <c r="S689" i="14" s="1"/>
  <c r="I1562" i="14"/>
  <c r="Q1562" i="14" s="1"/>
  <c r="Q1043" i="14"/>
  <c r="S1043" i="14" s="1"/>
  <c r="K1043" i="14"/>
  <c r="M421" i="14"/>
  <c r="O421" i="14" s="1"/>
  <c r="K243" i="14"/>
  <c r="I986" i="14"/>
  <c r="K1410" i="14"/>
  <c r="I1836" i="14"/>
  <c r="Q1839" i="14"/>
  <c r="S1839" i="14" s="1"/>
  <c r="I1531" i="14"/>
  <c r="M1612" i="14"/>
  <c r="Q1615" i="14"/>
  <c r="S1615" i="14" s="1"/>
  <c r="I1663" i="14"/>
  <c r="Q1663" i="14" s="1"/>
  <c r="S1663" i="14" s="1"/>
  <c r="K1666" i="14"/>
  <c r="Q1666" i="14"/>
  <c r="S1666" i="14" s="1"/>
  <c r="S1512" i="14"/>
  <c r="O1878" i="14"/>
  <c r="Q1878" i="14"/>
  <c r="S1878" i="14" s="1"/>
  <c r="Q1938" i="14"/>
  <c r="K1852" i="14"/>
  <c r="I1851" i="14"/>
  <c r="Q1852" i="14"/>
  <c r="S1852" i="14" s="1"/>
  <c r="M893" i="14"/>
  <c r="Q915" i="14"/>
  <c r="S1212" i="14"/>
  <c r="Q1025" i="14"/>
  <c r="S1025" i="14" s="1"/>
  <c r="I1356" i="14"/>
  <c r="Q1356" i="14" s="1"/>
  <c r="Q1102" i="14"/>
  <c r="S1102" i="14" s="1"/>
  <c r="K1839" i="14"/>
  <c r="K1697" i="14"/>
  <c r="I1948" i="14"/>
  <c r="I1937" i="14" s="1"/>
  <c r="I1936" i="14" s="1"/>
  <c r="Q422" i="14"/>
  <c r="S422" i="14" s="1"/>
  <c r="K1406" i="14"/>
  <c r="K1863" i="14"/>
  <c r="K822" i="14"/>
  <c r="S1542" i="14"/>
  <c r="I1585" i="14"/>
  <c r="O1794" i="14"/>
  <c r="I1693" i="14"/>
  <c r="K1694" i="14"/>
  <c r="Q1694" i="14"/>
  <c r="S1694" i="14" s="1"/>
  <c r="Q680" i="14"/>
  <c r="S680" i="14" s="1"/>
  <c r="I677" i="14"/>
  <c r="K677" i="14" s="1"/>
  <c r="K1386" i="14"/>
  <c r="S1490" i="14"/>
  <c r="Q1706" i="14"/>
  <c r="S1706" i="14" s="1"/>
  <c r="M1703" i="14"/>
  <c r="O1703" i="14" s="1"/>
  <c r="K1563" i="14"/>
  <c r="I1771" i="14"/>
  <c r="R187" i="14"/>
  <c r="S187" i="14" s="1"/>
  <c r="S341" i="14"/>
  <c r="S694" i="14"/>
  <c r="K795" i="14"/>
  <c r="Q998" i="14"/>
  <c r="S998" i="14" s="1"/>
  <c r="N691" i="14"/>
  <c r="R691" i="14" s="1"/>
  <c r="Q1436" i="14"/>
  <c r="I1696" i="14"/>
  <c r="K1696" i="14" s="1"/>
  <c r="I1617" i="14"/>
  <c r="Q1617" i="14" s="1"/>
  <c r="K1620" i="14"/>
  <c r="J1486" i="14"/>
  <c r="R1489" i="14"/>
  <c r="K1489" i="14"/>
  <c r="S553" i="14"/>
  <c r="O550" i="14"/>
  <c r="N1936" i="14"/>
  <c r="R1937" i="14"/>
  <c r="O1938" i="14"/>
  <c r="R1938" i="14"/>
  <c r="S1939" i="14"/>
  <c r="J1936" i="14"/>
  <c r="M1807" i="14"/>
  <c r="M1792" i="14" s="1"/>
  <c r="R1899" i="14"/>
  <c r="S1899" i="14" s="1"/>
  <c r="K1899" i="14"/>
  <c r="S1896" i="14"/>
  <c r="O1793" i="14"/>
  <c r="R1793" i="14"/>
  <c r="O1836" i="14"/>
  <c r="N1835" i="14"/>
  <c r="R1836" i="14"/>
  <c r="K1767" i="14"/>
  <c r="Q1767" i="14"/>
  <c r="S1767" i="14" s="1"/>
  <c r="O1771" i="14"/>
  <c r="R1771" i="14"/>
  <c r="J1745" i="14"/>
  <c r="R1747" i="14"/>
  <c r="J1826" i="14"/>
  <c r="N1746" i="14"/>
  <c r="O1752" i="14"/>
  <c r="R1752" i="14"/>
  <c r="S1761" i="14"/>
  <c r="R1860" i="14"/>
  <c r="N1857" i="14"/>
  <c r="K1896" i="14"/>
  <c r="K1718" i="14"/>
  <c r="J1717" i="14"/>
  <c r="R1718" i="14"/>
  <c r="S1718" i="14" s="1"/>
  <c r="K1680" i="14"/>
  <c r="O1641" i="14"/>
  <c r="Q1641" i="14"/>
  <c r="S1641" i="14" s="1"/>
  <c r="S1673" i="14"/>
  <c r="S1660" i="14"/>
  <c r="N1679" i="14"/>
  <c r="N1648" i="14"/>
  <c r="O1663" i="14"/>
  <c r="S1661" i="14"/>
  <c r="S1688" i="14"/>
  <c r="N1561" i="14"/>
  <c r="K1580" i="14"/>
  <c r="R1580" i="14"/>
  <c r="S1580" i="14" s="1"/>
  <c r="J1561" i="14"/>
  <c r="R1562" i="14"/>
  <c r="R1617" i="14"/>
  <c r="M1585" i="14"/>
  <c r="Q1593" i="14"/>
  <c r="O1593" i="14"/>
  <c r="N1496" i="14"/>
  <c r="O1427" i="14"/>
  <c r="R1471" i="14"/>
  <c r="N1461" i="14"/>
  <c r="O1471" i="14"/>
  <c r="O1436" i="14"/>
  <c r="N1482" i="14"/>
  <c r="R1483" i="14"/>
  <c r="O1456" i="14"/>
  <c r="R1456" i="14"/>
  <c r="S1456" i="14" s="1"/>
  <c r="M1461" i="14"/>
  <c r="Q1471" i="14"/>
  <c r="S1441" i="14"/>
  <c r="S1432" i="14"/>
  <c r="S1480" i="14"/>
  <c r="S1543" i="14"/>
  <c r="S1406" i="14"/>
  <c r="R1531" i="14"/>
  <c r="J1496" i="14"/>
  <c r="R1436" i="14"/>
  <c r="Q596" i="14"/>
  <c r="K596" i="14"/>
  <c r="K508" i="14"/>
  <c r="Q508" i="14"/>
  <c r="S508" i="14" s="1"/>
  <c r="K571" i="14"/>
  <c r="Q571" i="14"/>
  <c r="M783" i="14"/>
  <c r="O783" i="14" s="1"/>
  <c r="Q805" i="14"/>
  <c r="S805" i="14" s="1"/>
  <c r="N920" i="14"/>
  <c r="O940" i="14"/>
  <c r="R940" i="14"/>
  <c r="K906" i="14"/>
  <c r="Q906" i="14"/>
  <c r="S906" i="14" s="1"/>
  <c r="Q1245" i="14"/>
  <c r="S1245" i="14" s="1"/>
  <c r="M1244" i="14"/>
  <c r="O1244" i="14" s="1"/>
  <c r="K1325" i="14"/>
  <c r="Q1325" i="14"/>
  <c r="S1325" i="14" s="1"/>
  <c r="K1081" i="14"/>
  <c r="Q1093" i="14"/>
  <c r="K1116" i="14"/>
  <c r="Q1116" i="14"/>
  <c r="I808" i="14"/>
  <c r="Q811" i="14"/>
  <c r="S811" i="14" s="1"/>
  <c r="K811" i="14"/>
  <c r="I119" i="14"/>
  <c r="K120" i="14"/>
  <c r="Q120" i="14"/>
  <c r="S120" i="14" s="1"/>
  <c r="R1249" i="14"/>
  <c r="K1249" i="14"/>
  <c r="R1031" i="14"/>
  <c r="N945" i="14"/>
  <c r="Q1057" i="14"/>
  <c r="S1057" i="14" s="1"/>
  <c r="K716" i="14"/>
  <c r="Q643" i="14"/>
  <c r="S643" i="14" s="1"/>
  <c r="I640" i="14"/>
  <c r="J520" i="14"/>
  <c r="R780" i="14"/>
  <c r="N759" i="14"/>
  <c r="Q756" i="14"/>
  <c r="S756" i="14" s="1"/>
  <c r="M732" i="14"/>
  <c r="O756" i="14"/>
  <c r="Q1197" i="14"/>
  <c r="S1197" i="14" s="1"/>
  <c r="M1188" i="14"/>
  <c r="K933" i="14"/>
  <c r="Q933" i="14"/>
  <c r="S933" i="14" s="1"/>
  <c r="K1128" i="14"/>
  <c r="K574" i="14"/>
  <c r="Q574" i="14"/>
  <c r="S574" i="14" s="1"/>
  <c r="I1146" i="14"/>
  <c r="Q1149" i="14"/>
  <c r="S1149" i="14" s="1"/>
  <c r="K1149" i="14"/>
  <c r="K1391" i="14"/>
  <c r="Q1391" i="14"/>
  <c r="S1391" i="14" s="1"/>
  <c r="I1390" i="14"/>
  <c r="K1155" i="14"/>
  <c r="Q1155" i="14"/>
  <c r="S1155" i="14" s="1"/>
  <c r="R505" i="14"/>
  <c r="K626" i="14"/>
  <c r="R1209" i="14"/>
  <c r="K719" i="14"/>
  <c r="Q719" i="14"/>
  <c r="S719" i="14" s="1"/>
  <c r="S1289" i="14"/>
  <c r="K134" i="14"/>
  <c r="K1093" i="14"/>
  <c r="S971" i="14"/>
  <c r="Q518" i="14"/>
  <c r="S518" i="14" s="1"/>
  <c r="M517" i="14"/>
  <c r="S117" i="14"/>
  <c r="Q457" i="14"/>
  <c r="S457" i="14" s="1"/>
  <c r="K971" i="14"/>
  <c r="K876" i="14"/>
  <c r="Q876" i="14"/>
  <c r="S876" i="14" s="1"/>
  <c r="K838" i="14"/>
  <c r="Q838" i="14"/>
  <c r="S838" i="14" s="1"/>
  <c r="K1191" i="14"/>
  <c r="Q946" i="14"/>
  <c r="S946" i="14" s="1"/>
  <c r="R968" i="14"/>
  <c r="O518" i="14"/>
  <c r="I705" i="14"/>
  <c r="Q705" i="14" s="1"/>
  <c r="Q708" i="14"/>
  <c r="S708" i="14" s="1"/>
  <c r="R1356" i="14"/>
  <c r="O1332" i="14"/>
  <c r="Q1332" i="14"/>
  <c r="S1332" i="14" s="1"/>
  <c r="M1331" i="14"/>
  <c r="I505" i="14"/>
  <c r="I1272" i="14"/>
  <c r="Q1275" i="14"/>
  <c r="S1275" i="14" s="1"/>
  <c r="Q1073" i="14"/>
  <c r="S1073" i="14" s="1"/>
  <c r="K1073" i="14"/>
  <c r="K658" i="14"/>
  <c r="K1218" i="14"/>
  <c r="Q1218" i="14"/>
  <c r="S1218" i="14" s="1"/>
  <c r="Q728" i="14"/>
  <c r="S728" i="14" s="1"/>
  <c r="S658" i="14"/>
  <c r="K1305" i="14"/>
  <c r="R705" i="14"/>
  <c r="R1314" i="14"/>
  <c r="K1084" i="14"/>
  <c r="Q1084" i="14"/>
  <c r="S1084" i="14" s="1"/>
  <c r="S1353" i="14"/>
  <c r="I1292" i="14"/>
  <c r="R1292" i="14"/>
  <c r="I539" i="14"/>
  <c r="O637" i="14"/>
  <c r="R637" i="14"/>
  <c r="S637" i="14" s="1"/>
  <c r="N626" i="14"/>
  <c r="O571" i="14"/>
  <c r="R571" i="14"/>
  <c r="Q588" i="14"/>
  <c r="S588" i="14" s="1"/>
  <c r="K588" i="14"/>
  <c r="R978" i="14"/>
  <c r="S978" i="14" s="1"/>
  <c r="K978" i="14"/>
  <c r="K746" i="14"/>
  <c r="J1379" i="14"/>
  <c r="K1380" i="14"/>
  <c r="R1380" i="14"/>
  <c r="S1380" i="14" s="1"/>
  <c r="O688" i="14"/>
  <c r="N677" i="14"/>
  <c r="R688" i="14"/>
  <c r="I893" i="14"/>
  <c r="K896" i="14"/>
  <c r="Q896" i="14"/>
  <c r="S896" i="14" s="1"/>
  <c r="K1119" i="14"/>
  <c r="Q1119" i="14"/>
  <c r="S1119" i="14" s="1"/>
  <c r="R1272" i="14"/>
  <c r="O1052" i="14"/>
  <c r="Q1052" i="14"/>
  <c r="S1052" i="14" s="1"/>
  <c r="M1051" i="14"/>
  <c r="I1188" i="14"/>
  <c r="Q1090" i="14"/>
  <c r="S1090" i="14" s="1"/>
  <c r="M1081" i="14"/>
  <c r="Q1081" i="14" s="1"/>
  <c r="I732" i="14"/>
  <c r="O536" i="14"/>
  <c r="R536" i="14"/>
  <c r="S536" i="14" s="1"/>
  <c r="N525" i="14"/>
  <c r="Q866" i="14"/>
  <c r="S866" i="14" s="1"/>
  <c r="K866" i="14"/>
  <c r="I863" i="14"/>
  <c r="O915" i="14"/>
  <c r="R915" i="14"/>
  <c r="N893" i="14"/>
  <c r="R1081" i="14"/>
  <c r="K643" i="14"/>
  <c r="K585" i="14"/>
  <c r="R585" i="14"/>
  <c r="S585" i="14" s="1"/>
  <c r="N596" i="14"/>
  <c r="O607" i="14"/>
  <c r="R607" i="14"/>
  <c r="N138" i="14"/>
  <c r="I223" i="14"/>
  <c r="K223" i="14" s="1"/>
  <c r="R783" i="14"/>
  <c r="M863" i="14"/>
  <c r="K946" i="14"/>
  <c r="I1314" i="14"/>
  <c r="K1314" i="14" s="1"/>
  <c r="K1057" i="14"/>
  <c r="O1249" i="14"/>
  <c r="K1275" i="14"/>
  <c r="K1013" i="14"/>
  <c r="Q1013" i="14"/>
  <c r="S1013" i="14" s="1"/>
  <c r="M780" i="14"/>
  <c r="Q781" i="14"/>
  <c r="S781" i="14" s="1"/>
  <c r="N1227" i="14"/>
  <c r="R1244" i="14"/>
  <c r="K599" i="14"/>
  <c r="Q599" i="14"/>
  <c r="S599" i="14" s="1"/>
  <c r="S134" i="14"/>
  <c r="Q652" i="14"/>
  <c r="S652" i="14" s="1"/>
  <c r="O652" i="14"/>
  <c r="M651" i="14"/>
  <c r="K1362" i="14"/>
  <c r="Q1362" i="14"/>
  <c r="S1362" i="14" s="1"/>
  <c r="O1125" i="14"/>
  <c r="N1116" i="14"/>
  <c r="R1125" i="14"/>
  <c r="R655" i="14"/>
  <c r="S1091" i="14"/>
  <c r="K1200" i="14"/>
  <c r="R1200" i="14"/>
  <c r="S1200" i="14" s="1"/>
  <c r="Q1230" i="14"/>
  <c r="S1230" i="14" s="1"/>
  <c r="I1227" i="14"/>
  <c r="N835" i="14"/>
  <c r="R857" i="14"/>
  <c r="O1245" i="14"/>
  <c r="K1230" i="14"/>
  <c r="Q1096" i="14"/>
  <c r="S1096" i="14" s="1"/>
  <c r="K1096" i="14"/>
  <c r="O1197" i="14"/>
  <c r="K735" i="14"/>
  <c r="Q735" i="14"/>
  <c r="S735" i="14" s="1"/>
  <c r="Q688" i="14"/>
  <c r="M677" i="14"/>
  <c r="R144" i="14"/>
  <c r="K610" i="14"/>
  <c r="S1183" i="14"/>
  <c r="J945" i="14"/>
  <c r="K1335" i="14"/>
  <c r="R1335" i="14"/>
  <c r="S610" i="14"/>
  <c r="O805" i="14"/>
  <c r="O539" i="14"/>
  <c r="S338" i="14"/>
  <c r="S116" i="14"/>
  <c r="I835" i="14"/>
  <c r="Q762" i="14"/>
  <c r="S762" i="14" s="1"/>
  <c r="I759" i="14"/>
  <c r="I968" i="14"/>
  <c r="Q968" i="14" s="1"/>
  <c r="I525" i="14"/>
  <c r="K525" i="14" s="1"/>
  <c r="R1040" i="14"/>
  <c r="K1040" i="14"/>
  <c r="Q1335" i="14"/>
  <c r="N863" i="14"/>
  <c r="R887" i="14"/>
  <c r="I1070" i="14"/>
  <c r="R1107" i="14"/>
  <c r="N192" i="14"/>
  <c r="R199" i="14"/>
  <c r="I392" i="14"/>
  <c r="K396" i="14"/>
  <c r="K226" i="14"/>
  <c r="Q131" i="14"/>
  <c r="S131" i="14" s="1"/>
  <c r="O131" i="14"/>
  <c r="M130" i="14"/>
  <c r="S113" i="14"/>
  <c r="S330" i="14"/>
  <c r="I167" i="14"/>
  <c r="K170" i="14"/>
  <c r="Q170" i="14"/>
  <c r="S170" i="14" s="1"/>
  <c r="I138" i="14"/>
  <c r="K138" i="14" s="1"/>
  <c r="Q139" i="14"/>
  <c r="S139" i="14" s="1"/>
  <c r="S337" i="14"/>
  <c r="Q380" i="14"/>
  <c r="S380" i="14" s="1"/>
  <c r="M372" i="14"/>
  <c r="O380" i="14"/>
  <c r="Q396" i="14"/>
  <c r="M392" i="14"/>
  <c r="O396" i="14"/>
  <c r="R396" i="14"/>
  <c r="N392" i="14"/>
  <c r="S347" i="14"/>
  <c r="R98" i="14"/>
  <c r="Q417" i="14"/>
  <c r="M412" i="14"/>
  <c r="O200" i="14"/>
  <c r="M199" i="14"/>
  <c r="O199" i="14" s="1"/>
  <c r="Q200" i="14"/>
  <c r="S200" i="14" s="1"/>
  <c r="K202" i="14"/>
  <c r="R202" i="14"/>
  <c r="S202" i="14" s="1"/>
  <c r="S253" i="14"/>
  <c r="K139" i="14"/>
  <c r="K347" i="14"/>
  <c r="I299" i="14"/>
  <c r="K302" i="14"/>
  <c r="Q302" i="14"/>
  <c r="S302" i="14" s="1"/>
  <c r="N412" i="14"/>
  <c r="R417" i="14"/>
  <c r="O417" i="14"/>
  <c r="R89" i="14"/>
  <c r="K89" i="14"/>
  <c r="S89" i="14" s="1"/>
  <c r="N126" i="14"/>
  <c r="R126" i="14" s="1"/>
  <c r="R130" i="14"/>
  <c r="Q179" i="14"/>
  <c r="M167" i="14"/>
  <c r="K413" i="14"/>
  <c r="Q413" i="14"/>
  <c r="S413" i="14" s="1"/>
  <c r="I412" i="14"/>
  <c r="K412" i="14" s="1"/>
  <c r="J371" i="14"/>
  <c r="R353" i="14"/>
  <c r="S353" i="14" s="1"/>
  <c r="K353" i="14"/>
  <c r="M340" i="14"/>
  <c r="O344" i="14"/>
  <c r="Q344" i="14"/>
  <c r="S344" i="14" s="1"/>
  <c r="O327" i="14"/>
  <c r="N316" i="14"/>
  <c r="R316" i="14" s="1"/>
  <c r="R327" i="14"/>
  <c r="J298" i="14"/>
  <c r="Q243" i="14"/>
  <c r="Q282" i="14"/>
  <c r="S283" i="14"/>
  <c r="R257" i="14"/>
  <c r="N268" i="14"/>
  <c r="R274" i="14"/>
  <c r="Q242" i="14"/>
  <c r="K242" i="14"/>
  <c r="N242" i="14"/>
  <c r="R243" i="14"/>
  <c r="O243" i="14"/>
  <c r="J216" i="14"/>
  <c r="K282" i="14"/>
  <c r="R282" i="14"/>
  <c r="K126" i="14"/>
  <c r="Q112" i="14"/>
  <c r="J115" i="14"/>
  <c r="J111" i="14" s="1"/>
  <c r="O119" i="14"/>
  <c r="O179" i="14"/>
  <c r="N167" i="14"/>
  <c r="R167" i="14" s="1"/>
  <c r="R179" i="14"/>
  <c r="R112" i="14"/>
  <c r="K112" i="14"/>
  <c r="F30" i="13"/>
  <c r="Q1725" i="14" l="1"/>
  <c r="Q372" i="14"/>
  <c r="K1209" i="14"/>
  <c r="O1093" i="14"/>
  <c r="S940" i="14"/>
  <c r="O1649" i="14"/>
  <c r="S550" i="14"/>
  <c r="K691" i="14"/>
  <c r="S968" i="14"/>
  <c r="Q666" i="14"/>
  <c r="S666" i="14" s="1"/>
  <c r="O887" i="14"/>
  <c r="O311" i="14"/>
  <c r="M1648" i="14"/>
  <c r="M1638" i="14" s="1"/>
  <c r="Q327" i="14"/>
  <c r="S1249" i="14"/>
  <c r="S1905" i="14"/>
  <c r="K1383" i="14"/>
  <c r="Q1272" i="14"/>
  <c r="S1272" i="14" s="1"/>
  <c r="O857" i="14"/>
  <c r="K1860" i="14"/>
  <c r="K258" i="14"/>
  <c r="S1107" i="14"/>
  <c r="M1936" i="14"/>
  <c r="Q1936" i="14" s="1"/>
  <c r="O1483" i="14"/>
  <c r="K1031" i="14"/>
  <c r="K956" i="14"/>
  <c r="I257" i="14"/>
  <c r="Q257" i="14" s="1"/>
  <c r="S257" i="14" s="1"/>
  <c r="M835" i="14"/>
  <c r="O835" i="14" s="1"/>
  <c r="S857" i="14"/>
  <c r="K1107" i="14"/>
  <c r="O1482" i="14"/>
  <c r="K1725" i="14"/>
  <c r="Q1483" i="14"/>
  <c r="S1483" i="14" s="1"/>
  <c r="S1031" i="14"/>
  <c r="M299" i="14"/>
  <c r="O317" i="14"/>
  <c r="S1872" i="14"/>
  <c r="K217" i="14"/>
  <c r="I316" i="14"/>
  <c r="K316" i="14" s="1"/>
  <c r="S607" i="14"/>
  <c r="S1264" i="14"/>
  <c r="K920" i="14"/>
  <c r="M316" i="14"/>
  <c r="O316" i="14" s="1"/>
  <c r="M1746" i="14"/>
  <c r="O1746" i="14" s="1"/>
  <c r="K1562" i="14"/>
  <c r="Q223" i="14"/>
  <c r="S223" i="14" s="1"/>
  <c r="S655" i="14"/>
  <c r="S1593" i="14"/>
  <c r="M1857" i="14"/>
  <c r="Q1857" i="14" s="1"/>
  <c r="I216" i="14"/>
  <c r="K216" i="14" s="1"/>
  <c r="O144" i="14"/>
  <c r="I1561" i="14"/>
  <c r="K1561" i="14" s="1"/>
  <c r="K1022" i="14"/>
  <c r="Q144" i="14"/>
  <c r="S144" i="14" s="1"/>
  <c r="K655" i="14"/>
  <c r="S1804" i="14"/>
  <c r="Q677" i="14"/>
  <c r="S1818" i="14"/>
  <c r="S691" i="14"/>
  <c r="S396" i="14"/>
  <c r="S1209" i="14"/>
  <c r="I1446" i="14"/>
  <c r="K1446" i="14" s="1"/>
  <c r="K1461" i="14"/>
  <c r="R1821" i="14"/>
  <c r="S1821" i="14" s="1"/>
  <c r="K1821" i="14"/>
  <c r="Q1904" i="14"/>
  <c r="S1904" i="14" s="1"/>
  <c r="K1904" i="14"/>
  <c r="S1725" i="14"/>
  <c r="O1687" i="14"/>
  <c r="Q1687" i="14"/>
  <c r="S1687" i="14" s="1"/>
  <c r="M1680" i="14"/>
  <c r="S1915" i="14"/>
  <c r="N1807" i="14"/>
  <c r="N1792" i="14" s="1"/>
  <c r="R1792" i="14" s="1"/>
  <c r="K88" i="14"/>
  <c r="O1182" i="14"/>
  <c r="K1004" i="14"/>
  <c r="R1808" i="14"/>
  <c r="S1808" i="14" s="1"/>
  <c r="S1938" i="14"/>
  <c r="S1093" i="14"/>
  <c r="R808" i="14"/>
  <c r="Q138" i="14"/>
  <c r="S1125" i="14"/>
  <c r="S1471" i="14"/>
  <c r="Q1182" i="14"/>
  <c r="S1182" i="14" s="1"/>
  <c r="Q995" i="14"/>
  <c r="S995" i="14" s="1"/>
  <c r="O274" i="14"/>
  <c r="S1356" i="14"/>
  <c r="S1747" i="14"/>
  <c r="M1496" i="14"/>
  <c r="O1496" i="14" s="1"/>
  <c r="O1497" i="14"/>
  <c r="M420" i="14"/>
  <c r="O420" i="14" s="1"/>
  <c r="O138" i="14"/>
  <c r="K1356" i="14"/>
  <c r="K1617" i="14"/>
  <c r="O1747" i="14"/>
  <c r="S1617" i="14"/>
  <c r="I1482" i="14"/>
  <c r="Q1486" i="14"/>
  <c r="S327" i="14"/>
  <c r="S915" i="14"/>
  <c r="K1585" i="14"/>
  <c r="Q1937" i="14"/>
  <c r="Q1693" i="14"/>
  <c r="S1693" i="14" s="1"/>
  <c r="K1693" i="14"/>
  <c r="I1835" i="14"/>
  <c r="Q1835" i="14" s="1"/>
  <c r="K1836" i="14"/>
  <c r="R1914" i="14"/>
  <c r="S1914" i="14" s="1"/>
  <c r="K1914" i="14"/>
  <c r="K968" i="14"/>
  <c r="Q1836" i="14"/>
  <c r="S1836" i="14" s="1"/>
  <c r="I1679" i="14"/>
  <c r="K1771" i="14"/>
  <c r="Q1771" i="14"/>
  <c r="S1771" i="14" s="1"/>
  <c r="Q555" i="14"/>
  <c r="S555" i="14" s="1"/>
  <c r="K555" i="14"/>
  <c r="Q421" i="14"/>
  <c r="S421" i="14" s="1"/>
  <c r="Q1860" i="14"/>
  <c r="S1860" i="14" s="1"/>
  <c r="K1936" i="14"/>
  <c r="Q274" i="14"/>
  <c r="S274" i="14" s="1"/>
  <c r="Q1948" i="14"/>
  <c r="S1948" i="14" s="1"/>
  <c r="K1948" i="14"/>
  <c r="I1746" i="14"/>
  <c r="K1752" i="14"/>
  <c r="O677" i="14"/>
  <c r="S1489" i="14"/>
  <c r="Q1612" i="14"/>
  <c r="S1612" i="14" s="1"/>
  <c r="M1602" i="14"/>
  <c r="O1602" i="14" s="1"/>
  <c r="S1752" i="14"/>
  <c r="K1724" i="14"/>
  <c r="R1724" i="14"/>
  <c r="S1724" i="14" s="1"/>
  <c r="I1793" i="14"/>
  <c r="Q1794" i="14"/>
  <c r="S1794" i="14" s="1"/>
  <c r="K1794" i="14"/>
  <c r="S1562" i="14"/>
  <c r="O691" i="14"/>
  <c r="K1486" i="14"/>
  <c r="J1482" i="14"/>
  <c r="R1482" i="14" s="1"/>
  <c r="R1486" i="14"/>
  <c r="S1486" i="14" s="1"/>
  <c r="Q1409" i="14"/>
  <c r="S1409" i="14" s="1"/>
  <c r="K1409" i="14"/>
  <c r="Q1851" i="14"/>
  <c r="S1851" i="14" s="1"/>
  <c r="K1851" i="14"/>
  <c r="Q986" i="14"/>
  <c r="S986" i="14" s="1"/>
  <c r="K986" i="14"/>
  <c r="S688" i="14"/>
  <c r="I1807" i="14"/>
  <c r="K1807" i="14" s="1"/>
  <c r="K1808" i="14"/>
  <c r="S1335" i="14"/>
  <c r="S1436" i="14"/>
  <c r="I1648" i="14"/>
  <c r="I1638" i="14" s="1"/>
  <c r="K1663" i="14"/>
  <c r="O1612" i="14"/>
  <c r="I1496" i="14"/>
  <c r="Q1531" i="14"/>
  <c r="S1531" i="14" s="1"/>
  <c r="K1937" i="14"/>
  <c r="J1648" i="14"/>
  <c r="R1648" i="14" s="1"/>
  <c r="K1649" i="14"/>
  <c r="R1649" i="14"/>
  <c r="S1649" i="14" s="1"/>
  <c r="M1696" i="14"/>
  <c r="Q1696" i="14" s="1"/>
  <c r="Q1703" i="14"/>
  <c r="S1703" i="14" s="1"/>
  <c r="K1531" i="14"/>
  <c r="R1679" i="14"/>
  <c r="Q1885" i="14"/>
  <c r="S1885" i="14" s="1"/>
  <c r="K1885" i="14"/>
  <c r="I1882" i="14"/>
  <c r="R1696" i="14"/>
  <c r="S1937" i="14"/>
  <c r="O1936" i="14"/>
  <c r="R1936" i="14"/>
  <c r="R1835" i="14"/>
  <c r="N1826" i="14"/>
  <c r="O1835" i="14"/>
  <c r="R1746" i="14"/>
  <c r="N1745" i="14"/>
  <c r="M1826" i="14"/>
  <c r="R1857" i="14"/>
  <c r="J1744" i="14"/>
  <c r="O1648" i="14"/>
  <c r="N1638" i="14"/>
  <c r="K1717" i="14"/>
  <c r="R1717" i="14"/>
  <c r="S1717" i="14" s="1"/>
  <c r="Q1585" i="14"/>
  <c r="S1585" i="14" s="1"/>
  <c r="R1561" i="14"/>
  <c r="O1585" i="14"/>
  <c r="R1496" i="14"/>
  <c r="N1446" i="14"/>
  <c r="O1461" i="14"/>
  <c r="R1461" i="14"/>
  <c r="M1446" i="14"/>
  <c r="Q1461" i="14"/>
  <c r="Q539" i="14"/>
  <c r="S539" i="14" s="1"/>
  <c r="K539" i="14"/>
  <c r="Q808" i="14"/>
  <c r="K808" i="14"/>
  <c r="J504" i="14"/>
  <c r="M505" i="14"/>
  <c r="O517" i="14"/>
  <c r="Q517" i="14"/>
  <c r="S517" i="14" s="1"/>
  <c r="Q893" i="14"/>
  <c r="K893" i="14"/>
  <c r="K119" i="14"/>
  <c r="I115" i="14"/>
  <c r="I111" i="14" s="1"/>
  <c r="K111" i="14" s="1"/>
  <c r="K1070" i="14"/>
  <c r="Q1070" i="14"/>
  <c r="S1070" i="14" s="1"/>
  <c r="K1146" i="14"/>
  <c r="Q1146" i="14"/>
  <c r="S1146" i="14" s="1"/>
  <c r="S417" i="14"/>
  <c r="Q167" i="14"/>
  <c r="S167" i="14" s="1"/>
  <c r="R945" i="14"/>
  <c r="Q119" i="14"/>
  <c r="S119" i="14" s="1"/>
  <c r="R138" i="14"/>
  <c r="I1069" i="14"/>
  <c r="N520" i="14"/>
  <c r="O525" i="14"/>
  <c r="K640" i="14"/>
  <c r="Q732" i="14"/>
  <c r="S732" i="14" s="1"/>
  <c r="K732" i="14"/>
  <c r="Q505" i="14"/>
  <c r="S505" i="14" s="1"/>
  <c r="K505" i="14"/>
  <c r="R1227" i="14"/>
  <c r="Q780" i="14"/>
  <c r="S780" i="14" s="1"/>
  <c r="M759" i="14"/>
  <c r="Q759" i="14" s="1"/>
  <c r="M1040" i="14"/>
  <c r="Q1051" i="14"/>
  <c r="S1051" i="14" s="1"/>
  <c r="O1051" i="14"/>
  <c r="O1331" i="14"/>
  <c r="Q1331" i="14"/>
  <c r="S1331" i="14" s="1"/>
  <c r="M1314" i="14"/>
  <c r="O1314" i="14" s="1"/>
  <c r="Q783" i="14"/>
  <c r="S783" i="14" s="1"/>
  <c r="O1081" i="14"/>
  <c r="K759" i="14"/>
  <c r="O1116" i="14"/>
  <c r="R1116" i="14"/>
  <c r="S1116" i="14" s="1"/>
  <c r="N1069" i="14"/>
  <c r="S1081" i="14"/>
  <c r="K1272" i="14"/>
  <c r="S571" i="14"/>
  <c r="K705" i="14"/>
  <c r="O863" i="14"/>
  <c r="R863" i="14"/>
  <c r="K1227" i="14"/>
  <c r="O1173" i="14"/>
  <c r="Q1173" i="14"/>
  <c r="S1173" i="14" s="1"/>
  <c r="I945" i="14"/>
  <c r="R677" i="14"/>
  <c r="K167" i="14"/>
  <c r="O893" i="14"/>
  <c r="R893" i="14"/>
  <c r="S705" i="14"/>
  <c r="S887" i="14"/>
  <c r="M1069" i="14"/>
  <c r="O1188" i="14"/>
  <c r="R525" i="14"/>
  <c r="Q1292" i="14"/>
  <c r="S1292" i="14" s="1"/>
  <c r="K1292" i="14"/>
  <c r="R835" i="14"/>
  <c r="O920" i="14"/>
  <c r="R920" i="14"/>
  <c r="S920" i="14" s="1"/>
  <c r="O596" i="14"/>
  <c r="R596" i="14"/>
  <c r="S596" i="14" s="1"/>
  <c r="R1379" i="14"/>
  <c r="Q525" i="14"/>
  <c r="I520" i="14"/>
  <c r="K520" i="14" s="1"/>
  <c r="Q1188" i="14"/>
  <c r="S1188" i="14" s="1"/>
  <c r="K1188" i="14"/>
  <c r="Q835" i="14"/>
  <c r="K835" i="14"/>
  <c r="Q1390" i="14"/>
  <c r="S1390" i="14" s="1"/>
  <c r="K1390" i="14"/>
  <c r="I1379" i="14"/>
  <c r="Q1379" i="14" s="1"/>
  <c r="O780" i="14"/>
  <c r="M1227" i="14"/>
  <c r="O1227" i="14" s="1"/>
  <c r="Q1244" i="14"/>
  <c r="S1244" i="14" s="1"/>
  <c r="M640" i="14"/>
  <c r="Q640" i="14" s="1"/>
  <c r="S640" i="14" s="1"/>
  <c r="Q651" i="14"/>
  <c r="S651" i="14" s="1"/>
  <c r="O651" i="14"/>
  <c r="Q863" i="14"/>
  <c r="K863" i="14"/>
  <c r="O626" i="14"/>
  <c r="R626" i="14"/>
  <c r="S626" i="14" s="1"/>
  <c r="I727" i="14"/>
  <c r="N727" i="14"/>
  <c r="R759" i="14"/>
  <c r="K299" i="14"/>
  <c r="M126" i="14"/>
  <c r="O126" i="14" s="1"/>
  <c r="Q130" i="14"/>
  <c r="S130" i="14" s="1"/>
  <c r="S372" i="14"/>
  <c r="S243" i="14"/>
  <c r="S179" i="14"/>
  <c r="Q412" i="14"/>
  <c r="N391" i="14"/>
  <c r="R392" i="14"/>
  <c r="O392" i="14"/>
  <c r="M391" i="14"/>
  <c r="Q392" i="14"/>
  <c r="S112" i="14"/>
  <c r="Q316" i="14"/>
  <c r="S316" i="14" s="1"/>
  <c r="S282" i="14"/>
  <c r="O130" i="14"/>
  <c r="M192" i="14"/>
  <c r="O192" i="14" s="1"/>
  <c r="Q199" i="14"/>
  <c r="S199" i="14" s="1"/>
  <c r="O412" i="14"/>
  <c r="R412" i="14"/>
  <c r="R192" i="14"/>
  <c r="O372" i="14"/>
  <c r="I391" i="14"/>
  <c r="K392" i="14"/>
  <c r="N115" i="14"/>
  <c r="R115" i="14" s="1"/>
  <c r="N298" i="14"/>
  <c r="Q340" i="14"/>
  <c r="S340" i="14" s="1"/>
  <c r="O340" i="14"/>
  <c r="O242" i="14"/>
  <c r="R242" i="14"/>
  <c r="S242" i="14" s="1"/>
  <c r="O268" i="14"/>
  <c r="N216" i="14"/>
  <c r="R216" i="14" s="1"/>
  <c r="R268" i="14"/>
  <c r="M216" i="14"/>
  <c r="Q268" i="14"/>
  <c r="O167" i="14"/>
  <c r="Q1227" i="14" l="1"/>
  <c r="M298" i="14"/>
  <c r="O298" i="14" s="1"/>
  <c r="Q1638" i="14"/>
  <c r="M1745" i="14"/>
  <c r="O1745" i="14" s="1"/>
  <c r="O299" i="14"/>
  <c r="Q299" i="14"/>
  <c r="S299" i="14" s="1"/>
  <c r="M371" i="14"/>
  <c r="Q391" i="14"/>
  <c r="K257" i="14"/>
  <c r="S893" i="14"/>
  <c r="I298" i="14"/>
  <c r="K298" i="14" s="1"/>
  <c r="Q216" i="14"/>
  <c r="S216" i="14" s="1"/>
  <c r="S677" i="14"/>
  <c r="O1696" i="14"/>
  <c r="Q420" i="14"/>
  <c r="S420" i="14" s="1"/>
  <c r="O759" i="14"/>
  <c r="S138" i="14"/>
  <c r="O1857" i="14"/>
  <c r="S808" i="14"/>
  <c r="S1857" i="14"/>
  <c r="I1637" i="14"/>
  <c r="Q1602" i="14"/>
  <c r="S1602" i="14" s="1"/>
  <c r="M1679" i="14"/>
  <c r="O1679" i="14" s="1"/>
  <c r="Q1680" i="14"/>
  <c r="S1680" i="14" s="1"/>
  <c r="O1680" i="14"/>
  <c r="R1807" i="14"/>
  <c r="O1792" i="14"/>
  <c r="Q1648" i="14"/>
  <c r="S1648" i="14" s="1"/>
  <c r="S1379" i="14"/>
  <c r="K1379" i="14"/>
  <c r="O1807" i="14"/>
  <c r="M1561" i="14"/>
  <c r="Q1496" i="14"/>
  <c r="S1496" i="14" s="1"/>
  <c r="Q1807" i="14"/>
  <c r="K1496" i="14"/>
  <c r="S759" i="14"/>
  <c r="S1936" i="14"/>
  <c r="I1792" i="14"/>
  <c r="Q1793" i="14"/>
  <c r="S1793" i="14" s="1"/>
  <c r="K1793" i="14"/>
  <c r="J1638" i="14"/>
  <c r="K1648" i="14"/>
  <c r="K1679" i="14"/>
  <c r="I1826" i="14"/>
  <c r="K1826" i="14" s="1"/>
  <c r="K1835" i="14"/>
  <c r="S1696" i="14"/>
  <c r="M727" i="14"/>
  <c r="O727" i="14" s="1"/>
  <c r="Q1482" i="14"/>
  <c r="S1482" i="14" s="1"/>
  <c r="I1426" i="14"/>
  <c r="I1405" i="14" s="1"/>
  <c r="I1745" i="14"/>
  <c r="K1746" i="14"/>
  <c r="K1482" i="14"/>
  <c r="J1426" i="14"/>
  <c r="I504" i="14"/>
  <c r="K504" i="14" s="1"/>
  <c r="Q1746" i="14"/>
  <c r="S1746" i="14" s="1"/>
  <c r="Q1882" i="14"/>
  <c r="S1882" i="14" s="1"/>
  <c r="K1882" i="14"/>
  <c r="N1744" i="14"/>
  <c r="R1745" i="14"/>
  <c r="O1826" i="14"/>
  <c r="R1826" i="14"/>
  <c r="S1835" i="14"/>
  <c r="O1638" i="14"/>
  <c r="N1637" i="14"/>
  <c r="O1446" i="14"/>
  <c r="N1426" i="14"/>
  <c r="R1446" i="14"/>
  <c r="S1461" i="14"/>
  <c r="Q1446" i="14"/>
  <c r="M1426" i="14"/>
  <c r="K115" i="14"/>
  <c r="R727" i="14"/>
  <c r="N504" i="14"/>
  <c r="J503" i="14"/>
  <c r="R504" i="14"/>
  <c r="R520" i="14"/>
  <c r="N1054" i="14"/>
  <c r="O1069" i="14"/>
  <c r="R1069" i="14"/>
  <c r="K727" i="14"/>
  <c r="Q1069" i="14"/>
  <c r="I1054" i="14"/>
  <c r="K1069" i="14"/>
  <c r="S863" i="14"/>
  <c r="M945" i="14"/>
  <c r="O945" i="14" s="1"/>
  <c r="O1040" i="14"/>
  <c r="Q1040" i="14"/>
  <c r="S1040" i="14" s="1"/>
  <c r="S525" i="14"/>
  <c r="S1227" i="14"/>
  <c r="M520" i="14"/>
  <c r="Q520" i="14" s="1"/>
  <c r="O640" i="14"/>
  <c r="O505" i="14"/>
  <c r="S835" i="14"/>
  <c r="Q1314" i="14"/>
  <c r="S1314" i="14" s="1"/>
  <c r="M1054" i="14"/>
  <c r="K945" i="14"/>
  <c r="Q126" i="14"/>
  <c r="S126" i="14" s="1"/>
  <c r="M115" i="14"/>
  <c r="Q115" i="14" s="1"/>
  <c r="S115" i="14" s="1"/>
  <c r="O115" i="14"/>
  <c r="S392" i="14"/>
  <c r="S412" i="14"/>
  <c r="N111" i="14"/>
  <c r="I371" i="14"/>
  <c r="K371" i="14" s="1"/>
  <c r="K391" i="14"/>
  <c r="O391" i="14"/>
  <c r="R391" i="14"/>
  <c r="N371" i="14"/>
  <c r="Q192" i="14"/>
  <c r="S192" i="14" s="1"/>
  <c r="R298" i="14"/>
  <c r="S268" i="14"/>
  <c r="O216" i="14"/>
  <c r="Q298" i="14" l="1"/>
  <c r="S298" i="14" s="1"/>
  <c r="S391" i="14"/>
  <c r="M1744" i="14"/>
  <c r="O1744" i="14" s="1"/>
  <c r="Q1745" i="14"/>
  <c r="M1637" i="14"/>
  <c r="Q1637" i="14" s="1"/>
  <c r="Q1679" i="14"/>
  <c r="S1679" i="14" s="1"/>
  <c r="Q727" i="14"/>
  <c r="S727" i="14" s="1"/>
  <c r="Q1561" i="14"/>
  <c r="S1561" i="14" s="1"/>
  <c r="O1561" i="14"/>
  <c r="S1745" i="14"/>
  <c r="S1807" i="14"/>
  <c r="Q945" i="14"/>
  <c r="S945" i="14" s="1"/>
  <c r="Q1826" i="14"/>
  <c r="S1826" i="14" s="1"/>
  <c r="K1426" i="14"/>
  <c r="J1405" i="14"/>
  <c r="K1405" i="14" s="1"/>
  <c r="I1744" i="14"/>
  <c r="K1744" i="14" s="1"/>
  <c r="K1745" i="14"/>
  <c r="J1637" i="14"/>
  <c r="K1637" i="14" s="1"/>
  <c r="R1638" i="14"/>
  <c r="S1638" i="14" s="1"/>
  <c r="K1638" i="14"/>
  <c r="Q1792" i="14"/>
  <c r="S1792" i="14" s="1"/>
  <c r="K1792" i="14"/>
  <c r="M504" i="14"/>
  <c r="Q504" i="14" s="1"/>
  <c r="S504" i="14" s="1"/>
  <c r="R1744" i="14"/>
  <c r="M1405" i="14"/>
  <c r="Q1405" i="14" s="1"/>
  <c r="Q1426" i="14"/>
  <c r="O1426" i="14"/>
  <c r="R1426" i="14"/>
  <c r="S1426" i="14" s="1"/>
  <c r="N1405" i="14"/>
  <c r="S1446" i="14"/>
  <c r="Q1054" i="14"/>
  <c r="K1054" i="14"/>
  <c r="S1069" i="14"/>
  <c r="S520" i="14"/>
  <c r="I503" i="14"/>
  <c r="N503" i="14"/>
  <c r="O1054" i="14"/>
  <c r="R1054" i="14"/>
  <c r="S1054" i="14" s="1"/>
  <c r="M111" i="14"/>
  <c r="Q111" i="14" s="1"/>
  <c r="O520" i="14"/>
  <c r="O371" i="14"/>
  <c r="R371" i="14"/>
  <c r="R111" i="14"/>
  <c r="Q371" i="14"/>
  <c r="F302" i="13"/>
  <c r="F308" i="13"/>
  <c r="Q1744" i="14" l="1"/>
  <c r="O1637" i="14"/>
  <c r="O504" i="14"/>
  <c r="S1744" i="14"/>
  <c r="R1637" i="14"/>
  <c r="S1637" i="14" s="1"/>
  <c r="S111" i="14"/>
  <c r="M503" i="14"/>
  <c r="Q503" i="14" s="1"/>
  <c r="O111" i="14"/>
  <c r="O1405" i="14"/>
  <c r="R1405" i="14"/>
  <c r="S1405" i="14" s="1"/>
  <c r="R503" i="14"/>
  <c r="K503" i="14"/>
  <c r="S371" i="14"/>
  <c r="S503" i="14" l="1"/>
  <c r="O503" i="14"/>
  <c r="F8" i="15"/>
  <c r="F12" i="15"/>
  <c r="F14" i="15"/>
  <c r="F15" i="15"/>
  <c r="F16" i="15"/>
  <c r="F17" i="15"/>
  <c r="F18" i="15"/>
  <c r="F223" i="13" l="1"/>
  <c r="E223" i="13"/>
  <c r="F91" i="13" l="1"/>
  <c r="F88" i="13"/>
  <c r="F74" i="13"/>
  <c r="F71" i="13"/>
  <c r="F67" i="13"/>
  <c r="F191" i="13"/>
  <c r="K78" i="14" l="1"/>
  <c r="K75" i="14"/>
  <c r="K73" i="14"/>
  <c r="K71" i="14"/>
  <c r="K70" i="14"/>
  <c r="K54" i="14"/>
  <c r="K53" i="14"/>
  <c r="K52" i="14"/>
  <c r="K49" i="14"/>
  <c r="K34" i="14"/>
  <c r="K33" i="14"/>
  <c r="K32" i="14"/>
  <c r="K30" i="14"/>
  <c r="K28" i="14"/>
  <c r="K26" i="14"/>
  <c r="K25" i="14"/>
  <c r="K21" i="14"/>
  <c r="K18" i="14"/>
  <c r="K15" i="14"/>
  <c r="K14" i="14"/>
  <c r="K13" i="14"/>
  <c r="J11" i="14"/>
  <c r="P26" i="15" l="1"/>
  <c r="Q26" i="15" s="1"/>
  <c r="F11" i="15" l="1"/>
  <c r="F10" i="15"/>
  <c r="N59" i="14"/>
  <c r="F9" i="15" l="1"/>
  <c r="O57" i="14"/>
  <c r="O47" i="14"/>
  <c r="O45" i="14"/>
  <c r="O44" i="14"/>
  <c r="O41" i="14"/>
  <c r="O40" i="14"/>
  <c r="N42" i="14"/>
  <c r="P34" i="15" l="1"/>
  <c r="P36" i="15"/>
  <c r="Q34" i="15" l="1"/>
  <c r="K18" i="15"/>
  <c r="P31" i="15"/>
  <c r="P50" i="15" s="1"/>
  <c r="F312" i="13"/>
  <c r="F351" i="13"/>
  <c r="G351" i="13" s="1"/>
  <c r="F42" i="13"/>
  <c r="P28" i="15"/>
  <c r="Q28" i="15" s="1"/>
  <c r="K15" i="15" l="1"/>
  <c r="P24" i="15"/>
  <c r="G26" i="13"/>
  <c r="G28" i="13"/>
  <c r="G341" i="13"/>
  <c r="G337" i="13"/>
  <c r="G331" i="13"/>
  <c r="G328" i="13"/>
  <c r="G325" i="13"/>
  <c r="G322" i="13"/>
  <c r="G317" i="13"/>
  <c r="G313" i="13"/>
  <c r="G310" i="13"/>
  <c r="G309" i="13"/>
  <c r="G306" i="13"/>
  <c r="G305" i="13"/>
  <c r="G300" i="13"/>
  <c r="G298" i="13"/>
  <c r="G293" i="13"/>
  <c r="G292" i="13"/>
  <c r="G291" i="13"/>
  <c r="G290" i="13"/>
  <c r="G289" i="13"/>
  <c r="G285" i="13"/>
  <c r="G284" i="13"/>
  <c r="G283" i="13"/>
  <c r="G279" i="13"/>
  <c r="G273" i="13"/>
  <c r="G271" i="13"/>
  <c r="G268" i="13"/>
  <c r="G267" i="13"/>
  <c r="G266" i="13"/>
  <c r="G261" i="13"/>
  <c r="G259" i="13"/>
  <c r="G258" i="13"/>
  <c r="G257" i="13"/>
  <c r="G255" i="13"/>
  <c r="G252" i="13"/>
  <c r="G251" i="13"/>
  <c r="G250" i="13"/>
  <c r="G245" i="13"/>
  <c r="G244" i="13"/>
  <c r="G242" i="13"/>
  <c r="G241" i="13"/>
  <c r="G240" i="13"/>
  <c r="G238" i="13"/>
  <c r="G233" i="13"/>
  <c r="G231" i="13"/>
  <c r="G230" i="13"/>
  <c r="G229" i="13"/>
  <c r="G227" i="13"/>
  <c r="G222" i="13"/>
  <c r="G220" i="13"/>
  <c r="G217" i="13"/>
  <c r="G216" i="13"/>
  <c r="G215" i="13"/>
  <c r="G213" i="13"/>
  <c r="G210" i="13"/>
  <c r="G208" i="13"/>
  <c r="G207" i="13"/>
  <c r="G206" i="13"/>
  <c r="G204" i="13"/>
  <c r="G201" i="13"/>
  <c r="G199" i="13"/>
  <c r="G198" i="13"/>
  <c r="G196" i="13"/>
  <c r="G195" i="13"/>
  <c r="G194" i="13"/>
  <c r="G193" i="13"/>
  <c r="G192" i="13"/>
  <c r="G190" i="13"/>
  <c r="G189" i="13"/>
  <c r="G188" i="13"/>
  <c r="G187" i="13"/>
  <c r="G186" i="13"/>
  <c r="G184" i="13"/>
  <c r="G183" i="13"/>
  <c r="G182" i="13"/>
  <c r="G181" i="13"/>
  <c r="G180" i="13"/>
  <c r="G178" i="13"/>
  <c r="G177" i="13"/>
  <c r="G175" i="13"/>
  <c r="G173" i="13"/>
  <c r="G172" i="13"/>
  <c r="G171" i="13"/>
  <c r="G170" i="13"/>
  <c r="G169" i="13"/>
  <c r="G166" i="13"/>
  <c r="G164" i="13"/>
  <c r="G160" i="13"/>
  <c r="G159" i="13"/>
  <c r="G155" i="13"/>
  <c r="G149" i="13"/>
  <c r="G147" i="13"/>
  <c r="G145" i="13"/>
  <c r="G143" i="13"/>
  <c r="G141" i="13"/>
  <c r="G139" i="13"/>
  <c r="G137" i="13"/>
  <c r="G135" i="13"/>
  <c r="G133" i="13"/>
  <c r="G129" i="13"/>
  <c r="G127" i="13"/>
  <c r="G121" i="13"/>
  <c r="G119" i="13"/>
  <c r="G117" i="13"/>
  <c r="G115" i="13"/>
  <c r="G113" i="13"/>
  <c r="G111" i="13"/>
  <c r="G109" i="13"/>
  <c r="G105" i="13"/>
  <c r="G103" i="13"/>
  <c r="G101" i="13"/>
  <c r="G99" i="13"/>
  <c r="G96" i="13"/>
  <c r="G90" i="13"/>
  <c r="G87" i="13"/>
  <c r="G86" i="13"/>
  <c r="G84" i="13"/>
  <c r="G83" i="13"/>
  <c r="G81" i="13"/>
  <c r="G79" i="13"/>
  <c r="G77" i="13"/>
  <c r="G76" i="13"/>
  <c r="G74" i="13"/>
  <c r="G73" i="13"/>
  <c r="G71" i="13"/>
  <c r="G70" i="13"/>
  <c r="G69" i="13"/>
  <c r="G67" i="13"/>
  <c r="G66" i="13"/>
  <c r="G64" i="13"/>
  <c r="G63" i="13"/>
  <c r="G62" i="13"/>
  <c r="G59" i="13"/>
  <c r="G57" i="13"/>
  <c r="G56" i="13"/>
  <c r="G54" i="13"/>
  <c r="G51" i="13"/>
  <c r="G47" i="13"/>
  <c r="G43" i="13"/>
  <c r="G41" i="13"/>
  <c r="G39" i="13"/>
  <c r="G37" i="13"/>
  <c r="G36" i="13"/>
  <c r="G35" i="13"/>
  <c r="G34" i="13"/>
  <c r="G33" i="13"/>
  <c r="G29" i="13"/>
  <c r="G27" i="13"/>
  <c r="G25" i="13"/>
  <c r="G24" i="13"/>
  <c r="G20" i="13"/>
  <c r="G19" i="13"/>
  <c r="G18" i="13"/>
  <c r="G17" i="13"/>
  <c r="G16" i="13"/>
  <c r="F277" i="13"/>
  <c r="F296" i="13"/>
  <c r="F295" i="13"/>
  <c r="F294" i="13"/>
  <c r="G308" i="13"/>
  <c r="P39" i="15"/>
  <c r="P18" i="15"/>
  <c r="P15" i="15"/>
  <c r="P8" i="15"/>
  <c r="J77" i="14"/>
  <c r="J74" i="14"/>
  <c r="J69" i="14"/>
  <c r="N61" i="14"/>
  <c r="N58" i="14"/>
  <c r="N56" i="14"/>
  <c r="J50" i="14"/>
  <c r="N46" i="14"/>
  <c r="R42" i="14"/>
  <c r="N39" i="14"/>
  <c r="N37" i="14"/>
  <c r="R37" i="14" s="1"/>
  <c r="J31" i="14"/>
  <c r="J24" i="14"/>
  <c r="J20" i="14"/>
  <c r="J17" i="14"/>
  <c r="J10" i="14"/>
  <c r="R79" i="14"/>
  <c r="R78" i="14"/>
  <c r="R75" i="14"/>
  <c r="R73" i="14"/>
  <c r="R72" i="14"/>
  <c r="R71" i="14"/>
  <c r="R70" i="14"/>
  <c r="R68" i="14"/>
  <c r="R66" i="14"/>
  <c r="R65" i="14"/>
  <c r="R64" i="14"/>
  <c r="R63" i="14"/>
  <c r="R62" i="14"/>
  <c r="R60" i="14"/>
  <c r="R59" i="14"/>
  <c r="R57" i="14"/>
  <c r="R54" i="14"/>
  <c r="R53" i="14"/>
  <c r="R52" i="14"/>
  <c r="R51" i="14"/>
  <c r="R49" i="14"/>
  <c r="R47" i="14"/>
  <c r="R45" i="14"/>
  <c r="R44" i="14"/>
  <c r="R43" i="14"/>
  <c r="R41" i="14"/>
  <c r="R40" i="14"/>
  <c r="R38" i="14"/>
  <c r="R35" i="14"/>
  <c r="R34" i="14"/>
  <c r="R33" i="14"/>
  <c r="R32" i="14"/>
  <c r="R30" i="14"/>
  <c r="R28" i="14"/>
  <c r="R27" i="14"/>
  <c r="R26" i="14"/>
  <c r="R25" i="14"/>
  <c r="R23" i="14"/>
  <c r="R21" i="14"/>
  <c r="R18" i="14"/>
  <c r="R15" i="14"/>
  <c r="R14" i="14"/>
  <c r="R13" i="14"/>
  <c r="R12" i="14"/>
  <c r="R11" i="14"/>
  <c r="F389" i="13"/>
  <c r="F362" i="13"/>
  <c r="F360" i="13"/>
  <c r="F355" i="13"/>
  <c r="F350" i="13"/>
  <c r="F339" i="13"/>
  <c r="F338" i="13" s="1"/>
  <c r="F336" i="13"/>
  <c r="F335" i="13" s="1"/>
  <c r="F333" i="13"/>
  <c r="F332" i="13" s="1"/>
  <c r="F329" i="13"/>
  <c r="F327" i="13"/>
  <c r="F324" i="13"/>
  <c r="F323" i="13" s="1"/>
  <c r="F321" i="13"/>
  <c r="F320" i="13" s="1"/>
  <c r="F318" i="13"/>
  <c r="F316" i="13"/>
  <c r="F311" i="13"/>
  <c r="F299" i="13"/>
  <c r="F272" i="13"/>
  <c r="F270" i="13"/>
  <c r="F265" i="13"/>
  <c r="F263" i="13"/>
  <c r="F260" i="13"/>
  <c r="F256" i="13"/>
  <c r="F254" i="13"/>
  <c r="F249" i="13"/>
  <c r="F247" i="13"/>
  <c r="F243" i="13"/>
  <c r="F239" i="13"/>
  <c r="F237" i="13"/>
  <c r="F232" i="13"/>
  <c r="F228" i="13"/>
  <c r="F226" i="13"/>
  <c r="F221" i="13"/>
  <c r="F219" i="13"/>
  <c r="F214" i="13"/>
  <c r="F212" i="13"/>
  <c r="F209" i="13"/>
  <c r="F205" i="13"/>
  <c r="F203" i="13"/>
  <c r="F200" i="13"/>
  <c r="F197" i="13"/>
  <c r="F185" i="13"/>
  <c r="F179" i="13"/>
  <c r="F176" i="13"/>
  <c r="F174" i="13"/>
  <c r="F168" i="13"/>
  <c r="F163" i="13"/>
  <c r="F157" i="13"/>
  <c r="F154" i="13"/>
  <c r="F152" i="13"/>
  <c r="F150" i="13"/>
  <c r="F146" i="13"/>
  <c r="F142" i="13"/>
  <c r="F138" i="13"/>
  <c r="F134" i="13"/>
  <c r="F130" i="13"/>
  <c r="F126" i="13"/>
  <c r="F122" i="13"/>
  <c r="F118" i="13"/>
  <c r="F114" i="13"/>
  <c r="F110" i="13"/>
  <c r="F106" i="13"/>
  <c r="F102" i="13"/>
  <c r="F98" i="13"/>
  <c r="F95" i="13"/>
  <c r="F93" i="13"/>
  <c r="F89" i="13"/>
  <c r="F85" i="13"/>
  <c r="F82" i="13"/>
  <c r="F80" i="13"/>
  <c r="F78" i="13"/>
  <c r="F75" i="13"/>
  <c r="F72" i="13"/>
  <c r="F68" i="13"/>
  <c r="F65" i="13"/>
  <c r="F60" i="13"/>
  <c r="F58" i="13"/>
  <c r="F55" i="13"/>
  <c r="F53" i="13"/>
  <c r="F50" i="13"/>
  <c r="F49" i="13" s="1"/>
  <c r="F40" i="13"/>
  <c r="F31" i="13"/>
  <c r="F15" i="13"/>
  <c r="F11" i="13"/>
  <c r="F10" i="13" s="1"/>
  <c r="F8" i="13"/>
  <c r="E303" i="13"/>
  <c r="G303" i="13" s="1"/>
  <c r="E302" i="13"/>
  <c r="E286" i="13"/>
  <c r="G286" i="13" s="1"/>
  <c r="E334" i="13"/>
  <c r="G334" i="13" s="1"/>
  <c r="J76" i="14" l="1"/>
  <c r="J9" i="14"/>
  <c r="J16" i="14"/>
  <c r="R20" i="14"/>
  <c r="R50" i="14"/>
  <c r="R31" i="14"/>
  <c r="R69" i="14"/>
  <c r="R39" i="14"/>
  <c r="R74" i="14"/>
  <c r="K11" i="15"/>
  <c r="P11" i="15" s="1"/>
  <c r="F281" i="13"/>
  <c r="F354" i="13"/>
  <c r="F388" i="13"/>
  <c r="F349" i="13"/>
  <c r="R24" i="14"/>
  <c r="F218" i="13"/>
  <c r="F162" i="13"/>
  <c r="G302" i="13"/>
  <c r="K9" i="15"/>
  <c r="J29" i="14"/>
  <c r="J22" i="14"/>
  <c r="K10" i="15"/>
  <c r="R58" i="14"/>
  <c r="R61" i="14"/>
  <c r="J67" i="14"/>
  <c r="R10" i="14"/>
  <c r="R17" i="14"/>
  <c r="N55" i="14"/>
  <c r="R46" i="14"/>
  <c r="N36" i="14"/>
  <c r="R36" i="14" s="1"/>
  <c r="F301" i="13"/>
  <c r="F269" i="13"/>
  <c r="F315" i="13"/>
  <c r="F211" i="13"/>
  <c r="F225" i="13"/>
  <c r="F253" i="13"/>
  <c r="F262" i="13"/>
  <c r="R77" i="14"/>
  <c r="R56" i="14"/>
  <c r="J48" i="14"/>
  <c r="J19" i="14"/>
  <c r="F359" i="13"/>
  <c r="F326" i="13"/>
  <c r="F246" i="13"/>
  <c r="F236" i="13"/>
  <c r="F202" i="13"/>
  <c r="F92" i="13"/>
  <c r="F52" i="13"/>
  <c r="F7" i="13"/>
  <c r="F97" i="13"/>
  <c r="F22" i="13" l="1"/>
  <c r="F21" i="13" s="1"/>
  <c r="R67" i="14"/>
  <c r="R76" i="14"/>
  <c r="R16" i="14"/>
  <c r="R9" i="14"/>
  <c r="J8" i="14"/>
  <c r="R8" i="14" s="1"/>
  <c r="R19" i="14"/>
  <c r="F348" i="13"/>
  <c r="F358" i="13"/>
  <c r="F387" i="13"/>
  <c r="R22" i="14"/>
  <c r="K17" i="15"/>
  <c r="P17" i="15" s="1"/>
  <c r="K14" i="15"/>
  <c r="P9" i="15"/>
  <c r="P10" i="15"/>
  <c r="R55" i="14"/>
  <c r="N48" i="14"/>
  <c r="R48" i="14" s="1"/>
  <c r="N29" i="14"/>
  <c r="F6" i="13"/>
  <c r="F276" i="13"/>
  <c r="J7" i="14" l="1"/>
  <c r="F7" i="15" s="1"/>
  <c r="F357" i="13"/>
  <c r="K12" i="15"/>
  <c r="P12" i="15" s="1"/>
  <c r="K16" i="15"/>
  <c r="P16" i="15" s="1"/>
  <c r="P14" i="15"/>
  <c r="N7" i="14"/>
  <c r="K7" i="15" s="1"/>
  <c r="R29" i="14"/>
  <c r="F275" i="13"/>
  <c r="E340" i="13"/>
  <c r="G340" i="13" s="1"/>
  <c r="E339" i="13"/>
  <c r="G339" i="13" s="1"/>
  <c r="F394" i="13" l="1"/>
  <c r="P7" i="15"/>
  <c r="R7" i="14"/>
  <c r="F274" i="13"/>
  <c r="F13" i="15"/>
  <c r="E321" i="13"/>
  <c r="E324" i="13"/>
  <c r="E287" i="13"/>
  <c r="G287" i="13" s="1"/>
  <c r="E248" i="13"/>
  <c r="G248" i="13" s="1"/>
  <c r="E235" i="13"/>
  <c r="G235" i="13" s="1"/>
  <c r="E234" i="13"/>
  <c r="G234" i="13" s="1"/>
  <c r="E158" i="13"/>
  <c r="G158" i="13" s="1"/>
  <c r="E151" i="13"/>
  <c r="G151" i="13" s="1"/>
  <c r="E148" i="13"/>
  <c r="G148" i="13" s="1"/>
  <c r="E144" i="13"/>
  <c r="G144" i="13" s="1"/>
  <c r="E140" i="13"/>
  <c r="G140" i="13" s="1"/>
  <c r="E136" i="13"/>
  <c r="G136" i="13" s="1"/>
  <c r="E132" i="13"/>
  <c r="G132" i="13" s="1"/>
  <c r="E131" i="13"/>
  <c r="G131" i="13" s="1"/>
  <c r="E128" i="13"/>
  <c r="G128" i="13" s="1"/>
  <c r="E124" i="13"/>
  <c r="G124" i="13" s="1"/>
  <c r="E120" i="13"/>
  <c r="G120" i="13" s="1"/>
  <c r="E108" i="13"/>
  <c r="G108" i="13" s="1"/>
  <c r="E107" i="13"/>
  <c r="G107" i="13" s="1"/>
  <c r="E104" i="13"/>
  <c r="G104" i="13" s="1"/>
  <c r="M62" i="14"/>
  <c r="O62" i="14" s="1"/>
  <c r="F6" i="15" l="1"/>
  <c r="F401" i="13"/>
  <c r="K5" i="15"/>
  <c r="K13" i="15"/>
  <c r="E323" i="13"/>
  <c r="G323" i="13" s="1"/>
  <c r="G324" i="13"/>
  <c r="E320" i="13"/>
  <c r="G320" i="13" s="1"/>
  <c r="G321" i="13"/>
  <c r="F342" i="13"/>
  <c r="F5" i="15" s="1"/>
  <c r="E232" i="13"/>
  <c r="G232" i="13" s="1"/>
  <c r="M59" i="14"/>
  <c r="O59" i="14" s="1"/>
  <c r="P49" i="15"/>
  <c r="P48" i="15"/>
  <c r="P51" i="15" s="1"/>
  <c r="I27" i="14"/>
  <c r="K27" i="14" s="1"/>
  <c r="I23" i="14"/>
  <c r="K23" i="14" s="1"/>
  <c r="E243" i="13"/>
  <c r="G243" i="13" s="1"/>
  <c r="P5" i="15" l="1"/>
  <c r="F19" i="15"/>
  <c r="K6" i="15"/>
  <c r="P13" i="15"/>
  <c r="F400" i="13"/>
  <c r="F402" i="13" l="1"/>
  <c r="P6" i="15"/>
  <c r="P21" i="15" s="1"/>
  <c r="P45" i="15" s="1"/>
  <c r="K20" i="15"/>
  <c r="E23" i="13"/>
  <c r="G23" i="13" s="1"/>
  <c r="I11" i="14"/>
  <c r="K11" i="14" s="1"/>
  <c r="I12" i="14"/>
  <c r="K12" i="14" s="1"/>
  <c r="M63" i="14" l="1"/>
  <c r="O63" i="14" s="1"/>
  <c r="M38" i="14"/>
  <c r="O38" i="14" s="1"/>
  <c r="I35" i="14"/>
  <c r="K35" i="14" s="1"/>
  <c r="E319" i="13" l="1"/>
  <c r="G319" i="13" s="1"/>
  <c r="E378" i="13"/>
  <c r="G378" i="13" s="1"/>
  <c r="E264" i="13" l="1"/>
  <c r="G264" i="13" s="1"/>
  <c r="E288" i="13" l="1"/>
  <c r="G288" i="13" s="1"/>
  <c r="I51" i="14"/>
  <c r="K51" i="14" s="1"/>
  <c r="M46" i="14" l="1"/>
  <c r="O46" i="14" s="1"/>
  <c r="Q47" i="14"/>
  <c r="S47" i="14" s="1"/>
  <c r="Q46" i="14"/>
  <c r="S46" i="14" s="1"/>
  <c r="Q45" i="14"/>
  <c r="S45" i="14" s="1"/>
  <c r="Q44" i="14"/>
  <c r="S44" i="14" s="1"/>
  <c r="M43" i="14"/>
  <c r="E383" i="13"/>
  <c r="G383" i="13" s="1"/>
  <c r="E165" i="13"/>
  <c r="G165" i="13" s="1"/>
  <c r="O42" i="15"/>
  <c r="Q42" i="15" s="1"/>
  <c r="O41" i="15"/>
  <c r="Q41" i="15" s="1"/>
  <c r="I72" i="14"/>
  <c r="K72" i="14" s="1"/>
  <c r="E370" i="13"/>
  <c r="G370" i="13" s="1"/>
  <c r="M42" i="14" l="1"/>
  <c r="O42" i="14" s="1"/>
  <c r="O43" i="14"/>
  <c r="E338" i="13"/>
  <c r="G338" i="13" s="1"/>
  <c r="E333" i="13"/>
  <c r="E260" i="13"/>
  <c r="G260" i="13" s="1"/>
  <c r="E125" i="13"/>
  <c r="G125" i="13" s="1"/>
  <c r="E123" i="13"/>
  <c r="G123" i="13" s="1"/>
  <c r="E48" i="13"/>
  <c r="G48" i="13" s="1"/>
  <c r="E32" i="13"/>
  <c r="G32" i="13" s="1"/>
  <c r="G333" i="13" l="1"/>
  <c r="E332" i="13"/>
  <c r="M60" i="14" l="1"/>
  <c r="O60" i="14" s="1"/>
  <c r="O31" i="15" l="1"/>
  <c r="E14" i="13"/>
  <c r="G14" i="13" s="1"/>
  <c r="E13" i="13"/>
  <c r="G13" i="13" s="1"/>
  <c r="E12" i="13"/>
  <c r="G12" i="13" s="1"/>
  <c r="Q73" i="14"/>
  <c r="S73" i="14" s="1"/>
  <c r="I68" i="14"/>
  <c r="K68" i="14" s="1"/>
  <c r="O50" i="15" l="1"/>
  <c r="Q31" i="15"/>
  <c r="M39" i="14"/>
  <c r="O39" i="14" s="1"/>
  <c r="Q41" i="14"/>
  <c r="S41" i="14" s="1"/>
  <c r="Q57" i="14" l="1"/>
  <c r="S57" i="14" s="1"/>
  <c r="M56" i="14"/>
  <c r="E377" i="13"/>
  <c r="G377" i="13" s="1"/>
  <c r="Q54" i="14"/>
  <c r="S54" i="14" s="1"/>
  <c r="Q56" i="14" l="1"/>
  <c r="S56" i="14" s="1"/>
  <c r="O56" i="14"/>
  <c r="E360" i="13"/>
  <c r="G360" i="13" s="1"/>
  <c r="E278" i="13"/>
  <c r="E277" i="13" l="1"/>
  <c r="G277" i="13" s="1"/>
  <c r="G278" i="13"/>
  <c r="I50" i="14" l="1"/>
  <c r="K50" i="14" s="1"/>
  <c r="E312" i="13"/>
  <c r="E311" i="13" l="1"/>
  <c r="G311" i="13" s="1"/>
  <c r="G312" i="13"/>
  <c r="Q52" i="14" l="1"/>
  <c r="S52" i="14" s="1"/>
  <c r="Q53" i="14"/>
  <c r="S53" i="14" s="1"/>
  <c r="O51" i="15"/>
  <c r="E386" i="13"/>
  <c r="G386" i="13" s="1"/>
  <c r="O39" i="15"/>
  <c r="Q39" i="15" s="1"/>
  <c r="O36" i="15"/>
  <c r="Q36" i="15" s="1"/>
  <c r="O25" i="15"/>
  <c r="Q25" i="15" s="1"/>
  <c r="E384" i="13"/>
  <c r="G384" i="13" s="1"/>
  <c r="E366" i="13"/>
  <c r="G366" i="13" s="1"/>
  <c r="E363" i="13"/>
  <c r="G363" i="13" s="1"/>
  <c r="E355" i="13"/>
  <c r="E336" i="13"/>
  <c r="E330" i="13"/>
  <c r="G330" i="13" s="1"/>
  <c r="E282" i="13"/>
  <c r="E161" i="13"/>
  <c r="G161" i="13" s="1"/>
  <c r="E95" i="13"/>
  <c r="G95" i="13" s="1"/>
  <c r="E9" i="13"/>
  <c r="G9" i="13" s="1"/>
  <c r="Q49" i="14"/>
  <c r="S49" i="14" s="1"/>
  <c r="E354" i="13" l="1"/>
  <c r="G354" i="13" s="1"/>
  <c r="G355" i="13"/>
  <c r="E281" i="13"/>
  <c r="G281" i="13" s="1"/>
  <c r="G282" i="13"/>
  <c r="E335" i="13"/>
  <c r="G335" i="13" s="1"/>
  <c r="G336" i="13"/>
  <c r="E316" i="13" l="1"/>
  <c r="G316" i="13" s="1"/>
  <c r="E304" i="13"/>
  <c r="E91" i="13" l="1"/>
  <c r="G91" i="13" s="1"/>
  <c r="E88" i="13"/>
  <c r="G88" i="13" s="1"/>
  <c r="E80" i="13"/>
  <c r="G80" i="13" s="1"/>
  <c r="E61" i="13" l="1"/>
  <c r="G61" i="13" s="1"/>
  <c r="E249" i="13" l="1"/>
  <c r="G249" i="13" s="1"/>
  <c r="E247" i="13"/>
  <c r="G247" i="13" s="1"/>
  <c r="E246" i="13" l="1"/>
  <c r="J8" i="15"/>
  <c r="G246" i="13" l="1"/>
  <c r="E8" i="15" l="1"/>
  <c r="G8" i="15" s="1"/>
  <c r="Q8" i="15" s="1"/>
  <c r="E18" i="15" l="1"/>
  <c r="G18" i="15" s="1"/>
  <c r="E12" i="15"/>
  <c r="G12" i="15" s="1"/>
  <c r="E11" i="15"/>
  <c r="G11" i="15" s="1"/>
  <c r="J15" i="15" l="1"/>
  <c r="L15" i="15" s="1"/>
  <c r="E17" i="15"/>
  <c r="G17" i="15" s="1"/>
  <c r="E14" i="15"/>
  <c r="G14" i="15" s="1"/>
  <c r="E10" i="15"/>
  <c r="G10" i="15" s="1"/>
  <c r="J10" i="15" l="1"/>
  <c r="L10" i="15" s="1"/>
  <c r="Q10" i="15" s="1"/>
  <c r="J9" i="15"/>
  <c r="L9" i="15" s="1"/>
  <c r="E9" i="15"/>
  <c r="J18" i="15"/>
  <c r="L18" i="15" s="1"/>
  <c r="Q18" i="15" s="1"/>
  <c r="E15" i="15"/>
  <c r="G15" i="15" s="1"/>
  <c r="Q15" i="15" s="1"/>
  <c r="J11" i="15"/>
  <c r="L11" i="15" s="1"/>
  <c r="Q11" i="15" s="1"/>
  <c r="G9" i="15" l="1"/>
  <c r="Q9" i="15" s="1"/>
  <c r="O9" i="15"/>
  <c r="J13" i="15"/>
  <c r="L13" i="15" s="1"/>
  <c r="E16" i="15"/>
  <c r="G16" i="15" s="1"/>
  <c r="J14" i="15"/>
  <c r="L14" i="15" s="1"/>
  <c r="Q14" i="15" s="1"/>
  <c r="J16" i="15" l="1"/>
  <c r="L16" i="15" s="1"/>
  <c r="Q16" i="15" s="1"/>
  <c r="J17" i="15"/>
  <c r="J12" i="15"/>
  <c r="L12" i="15" s="1"/>
  <c r="Q12" i="15" s="1"/>
  <c r="Q59" i="14"/>
  <c r="S59" i="14" s="1"/>
  <c r="Q60" i="14"/>
  <c r="S60" i="14" s="1"/>
  <c r="M58" i="14"/>
  <c r="O58" i="14" s="1"/>
  <c r="L17" i="15" l="1"/>
  <c r="Q17" i="15" s="1"/>
  <c r="E353" i="13"/>
  <c r="G353" i="13" s="1"/>
  <c r="E371" i="13"/>
  <c r="Q63" i="14"/>
  <c r="S63" i="14" s="1"/>
  <c r="E362" i="13" l="1"/>
  <c r="G371" i="13"/>
  <c r="M61" i="14"/>
  <c r="M55" i="14" l="1"/>
  <c r="O55" i="14" s="1"/>
  <c r="O61" i="14"/>
  <c r="E359" i="13"/>
  <c r="G359" i="13" s="1"/>
  <c r="G362" i="13"/>
  <c r="Q39" i="14"/>
  <c r="S39" i="14" s="1"/>
  <c r="Q40" i="14"/>
  <c r="S40" i="14" s="1"/>
  <c r="M37" i="14"/>
  <c r="M36" i="14" l="1"/>
  <c r="O36" i="14" s="1"/>
  <c r="O37" i="14"/>
  <c r="E307" i="13" l="1"/>
  <c r="E301" i="13" l="1"/>
  <c r="G301" i="13" s="1"/>
  <c r="G307" i="13"/>
  <c r="O35" i="15"/>
  <c r="O24" i="15" l="1"/>
  <c r="Q35" i="15"/>
  <c r="M29" i="14"/>
  <c r="O29" i="14" s="1"/>
  <c r="E11" i="13"/>
  <c r="G11" i="13" s="1"/>
  <c r="Q24" i="15" l="1"/>
  <c r="O18" i="15"/>
  <c r="Q79" i="14"/>
  <c r="Q78" i="14"/>
  <c r="S78" i="14" s="1"/>
  <c r="Q75" i="14"/>
  <c r="S75" i="14" s="1"/>
  <c r="Q72" i="14"/>
  <c r="S72" i="14" s="1"/>
  <c r="Q71" i="14"/>
  <c r="S71" i="14" s="1"/>
  <c r="Q70" i="14"/>
  <c r="S70" i="14" s="1"/>
  <c r="Q68" i="14"/>
  <c r="S68" i="14" s="1"/>
  <c r="Q66" i="14"/>
  <c r="Q65" i="14"/>
  <c r="Q64" i="14"/>
  <c r="Q62" i="14"/>
  <c r="S62" i="14" s="1"/>
  <c r="Q61" i="14"/>
  <c r="S61" i="14" s="1"/>
  <c r="Q58" i="14"/>
  <c r="S58" i="14" s="1"/>
  <c r="Q51" i="14"/>
  <c r="S51" i="14" s="1"/>
  <c r="Q43" i="14"/>
  <c r="S43" i="14" s="1"/>
  <c r="Q42" i="14"/>
  <c r="S42" i="14" s="1"/>
  <c r="Q38" i="14"/>
  <c r="S38" i="14" s="1"/>
  <c r="Q37" i="14"/>
  <c r="S37" i="14" s="1"/>
  <c r="Q36" i="14"/>
  <c r="S36" i="14" s="1"/>
  <c r="Q35" i="14"/>
  <c r="S35" i="14" s="1"/>
  <c r="Q34" i="14"/>
  <c r="S34" i="14" s="1"/>
  <c r="Q33" i="14"/>
  <c r="S33" i="14" s="1"/>
  <c r="Q32" i="14"/>
  <c r="S32" i="14" s="1"/>
  <c r="Q30" i="14"/>
  <c r="S30" i="14" s="1"/>
  <c r="Q28" i="14"/>
  <c r="S28" i="14" s="1"/>
  <c r="Q27" i="14"/>
  <c r="S27" i="14" s="1"/>
  <c r="Q26" i="14"/>
  <c r="S26" i="14" s="1"/>
  <c r="Q25" i="14"/>
  <c r="S25" i="14" s="1"/>
  <c r="Q23" i="14"/>
  <c r="S23" i="14" s="1"/>
  <c r="Q21" i="14"/>
  <c r="S21" i="14" s="1"/>
  <c r="Q18" i="14"/>
  <c r="S18" i="14" s="1"/>
  <c r="Q15" i="14"/>
  <c r="S15" i="14" s="1"/>
  <c r="Q14" i="14"/>
  <c r="S14" i="14" s="1"/>
  <c r="Q13" i="14"/>
  <c r="S13" i="14" s="1"/>
  <c r="Q12" i="14"/>
  <c r="S12" i="14" s="1"/>
  <c r="Q11" i="14"/>
  <c r="S11" i="14" s="1"/>
  <c r="I77" i="14"/>
  <c r="I74" i="14"/>
  <c r="I69" i="14"/>
  <c r="K69" i="14" s="1"/>
  <c r="I48" i="14"/>
  <c r="K48" i="14" s="1"/>
  <c r="I31" i="14"/>
  <c r="I24" i="14"/>
  <c r="K24" i="14" s="1"/>
  <c r="I20" i="14"/>
  <c r="I17" i="14"/>
  <c r="K17" i="14" s="1"/>
  <c r="I10" i="14"/>
  <c r="E156" i="13"/>
  <c r="E153" i="13"/>
  <c r="E150" i="13"/>
  <c r="G150" i="13" s="1"/>
  <c r="E146" i="13"/>
  <c r="G146" i="13" s="1"/>
  <c r="E142" i="13"/>
  <c r="G142" i="13" s="1"/>
  <c r="E138" i="13"/>
  <c r="G138" i="13" s="1"/>
  <c r="E134" i="13"/>
  <c r="G134" i="13" s="1"/>
  <c r="E130" i="13"/>
  <c r="G130" i="13" s="1"/>
  <c r="E126" i="13"/>
  <c r="G126" i="13" s="1"/>
  <c r="E122" i="13"/>
  <c r="G122" i="13" s="1"/>
  <c r="E118" i="13"/>
  <c r="G118" i="13" s="1"/>
  <c r="E116" i="13"/>
  <c r="E112" i="13"/>
  <c r="E106" i="13"/>
  <c r="G106" i="13" s="1"/>
  <c r="E102" i="13"/>
  <c r="G102" i="13" s="1"/>
  <c r="E100" i="13"/>
  <c r="E94" i="13"/>
  <c r="E358" i="13"/>
  <c r="G358" i="13" s="1"/>
  <c r="E389" i="13"/>
  <c r="E329" i="13"/>
  <c r="G329" i="13" s="1"/>
  <c r="E327" i="13"/>
  <c r="G327" i="13" s="1"/>
  <c r="E299" i="13"/>
  <c r="E272" i="13"/>
  <c r="G272" i="13" s="1"/>
  <c r="E270" i="13"/>
  <c r="G270" i="13" s="1"/>
  <c r="E265" i="13"/>
  <c r="G265" i="13" s="1"/>
  <c r="E263" i="13"/>
  <c r="G263" i="13" s="1"/>
  <c r="E256" i="13"/>
  <c r="G256" i="13" s="1"/>
  <c r="E254" i="13"/>
  <c r="E239" i="13"/>
  <c r="G239" i="13" s="1"/>
  <c r="E237" i="13"/>
  <c r="G237" i="13" s="1"/>
  <c r="E228" i="13"/>
  <c r="G228" i="13" s="1"/>
  <c r="E226" i="13"/>
  <c r="G226" i="13" s="1"/>
  <c r="E221" i="13"/>
  <c r="G221" i="13" s="1"/>
  <c r="E219" i="13"/>
  <c r="G219" i="13" s="1"/>
  <c r="E205" i="13"/>
  <c r="G205" i="13" s="1"/>
  <c r="E203" i="13"/>
  <c r="G203" i="13" s="1"/>
  <c r="E214" i="13"/>
  <c r="G214" i="13" s="1"/>
  <c r="E212" i="13"/>
  <c r="G212" i="13" s="1"/>
  <c r="E200" i="13"/>
  <c r="G200" i="13" s="1"/>
  <c r="E197" i="13"/>
  <c r="G197" i="13" s="1"/>
  <c r="E191" i="13"/>
  <c r="G191" i="13" s="1"/>
  <c r="E185" i="13"/>
  <c r="G185" i="13" s="1"/>
  <c r="E179" i="13"/>
  <c r="G179" i="13" s="1"/>
  <c r="E176" i="13"/>
  <c r="G176" i="13" s="1"/>
  <c r="E174" i="13"/>
  <c r="G174" i="13" s="1"/>
  <c r="E168" i="13"/>
  <c r="G168" i="13" s="1"/>
  <c r="E163" i="13"/>
  <c r="E157" i="13"/>
  <c r="G157" i="13" s="1"/>
  <c r="E89" i="13"/>
  <c r="G89" i="13" s="1"/>
  <c r="E85" i="13"/>
  <c r="G85" i="13" s="1"/>
  <c r="E82" i="13"/>
  <c r="G82" i="13" s="1"/>
  <c r="E78" i="13"/>
  <c r="G78" i="13" s="1"/>
  <c r="E75" i="13"/>
  <c r="G75" i="13" s="1"/>
  <c r="E72" i="13"/>
  <c r="G72" i="13" s="1"/>
  <c r="E68" i="13"/>
  <c r="G68" i="13" s="1"/>
  <c r="E65" i="13"/>
  <c r="G65" i="13" s="1"/>
  <c r="E60" i="13"/>
  <c r="G60" i="13" s="1"/>
  <c r="E58" i="13"/>
  <c r="G58" i="13" s="1"/>
  <c r="E55" i="13"/>
  <c r="G55" i="13" s="1"/>
  <c r="E53" i="13"/>
  <c r="G53" i="13" s="1"/>
  <c r="E42" i="13"/>
  <c r="G42" i="13" s="1"/>
  <c r="E40" i="13"/>
  <c r="G40" i="13" s="1"/>
  <c r="E31" i="13"/>
  <c r="G31" i="13" s="1"/>
  <c r="E15" i="13"/>
  <c r="G15" i="13" s="1"/>
  <c r="E10" i="13"/>
  <c r="G10" i="13" s="1"/>
  <c r="E8" i="13"/>
  <c r="G8" i="13" s="1"/>
  <c r="B25" i="15"/>
  <c r="B8" i="14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7" i="13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E209" i="13"/>
  <c r="G209" i="13" s="1"/>
  <c r="E318" i="13"/>
  <c r="B349" i="13"/>
  <c r="B350" i="13" s="1"/>
  <c r="E350" i="13"/>
  <c r="E50" i="13"/>
  <c r="I9" i="14" l="1"/>
  <c r="K10" i="14"/>
  <c r="Q20" i="14"/>
  <c r="S20" i="14" s="1"/>
  <c r="K20" i="14"/>
  <c r="Q74" i="14"/>
  <c r="S74" i="14" s="1"/>
  <c r="K74" i="14"/>
  <c r="I29" i="14"/>
  <c r="K31" i="14"/>
  <c r="Q77" i="14"/>
  <c r="S77" i="14" s="1"/>
  <c r="K77" i="14"/>
  <c r="E388" i="13"/>
  <c r="G389" i="13"/>
  <c r="E349" i="13"/>
  <c r="G350" i="13"/>
  <c r="G163" i="13"/>
  <c r="E162" i="13"/>
  <c r="I67" i="14"/>
  <c r="K67" i="14" s="1"/>
  <c r="B23" i="13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E276" i="13"/>
  <c r="G299" i="13"/>
  <c r="E152" i="13"/>
  <c r="G152" i="13" s="1"/>
  <c r="G153" i="13"/>
  <c r="E253" i="13"/>
  <c r="G254" i="13"/>
  <c r="E154" i="13"/>
  <c r="G154" i="13" s="1"/>
  <c r="G156" i="13"/>
  <c r="G332" i="13"/>
  <c r="E93" i="13"/>
  <c r="G93" i="13" s="1"/>
  <c r="G94" i="13"/>
  <c r="E114" i="13"/>
  <c r="G114" i="13" s="1"/>
  <c r="G116" i="13"/>
  <c r="E49" i="13"/>
  <c r="G49" i="13" s="1"/>
  <c r="G50" i="13"/>
  <c r="E98" i="13"/>
  <c r="G100" i="13"/>
  <c r="E315" i="13"/>
  <c r="G315" i="13" s="1"/>
  <c r="G318" i="13"/>
  <c r="E110" i="13"/>
  <c r="G110" i="13" s="1"/>
  <c r="G112" i="13"/>
  <c r="B44" i="14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351" i="13"/>
  <c r="B352" i="13" s="1"/>
  <c r="B353" i="13" s="1"/>
  <c r="B354" i="13" s="1"/>
  <c r="B355" i="13" s="1"/>
  <c r="B356" i="13" s="1"/>
  <c r="B357" i="13" s="1"/>
  <c r="B358" i="13" s="1"/>
  <c r="B359" i="13" s="1"/>
  <c r="E236" i="13"/>
  <c r="E225" i="13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E52" i="13"/>
  <c r="E218" i="13"/>
  <c r="E262" i="13"/>
  <c r="E326" i="13"/>
  <c r="E211" i="13"/>
  <c r="E202" i="13"/>
  <c r="E7" i="13"/>
  <c r="E269" i="13"/>
  <c r="G269" i="13" s="1"/>
  <c r="E22" i="13"/>
  <c r="G22" i="13" s="1"/>
  <c r="Q10" i="14"/>
  <c r="S10" i="14" s="1"/>
  <c r="I19" i="14"/>
  <c r="I76" i="14"/>
  <c r="Q31" i="14"/>
  <c r="S31" i="14" s="1"/>
  <c r="Q69" i="14"/>
  <c r="S69" i="14" s="1"/>
  <c r="Q67" i="14"/>
  <c r="S67" i="14" s="1"/>
  <c r="Q17" i="14"/>
  <c r="S17" i="14" s="1"/>
  <c r="I16" i="14"/>
  <c r="Q24" i="14"/>
  <c r="S24" i="14" s="1"/>
  <c r="I22" i="14"/>
  <c r="Q50" i="14"/>
  <c r="S50" i="14" s="1"/>
  <c r="Q29" i="14" l="1"/>
  <c r="S29" i="14" s="1"/>
  <c r="K29" i="14"/>
  <c r="Q19" i="14"/>
  <c r="S19" i="14" s="1"/>
  <c r="K19" i="14"/>
  <c r="Q22" i="14"/>
  <c r="S22" i="14" s="1"/>
  <c r="K22" i="14"/>
  <c r="Q16" i="14"/>
  <c r="S16" i="14" s="1"/>
  <c r="K16" i="14"/>
  <c r="Q76" i="14"/>
  <c r="S76" i="14" s="1"/>
  <c r="K76" i="14"/>
  <c r="Q9" i="14"/>
  <c r="S9" i="14" s="1"/>
  <c r="K9" i="14"/>
  <c r="G162" i="13"/>
  <c r="G98" i="13"/>
  <c r="E348" i="13"/>
  <c r="G348" i="13" s="1"/>
  <c r="G349" i="13"/>
  <c r="E387" i="13"/>
  <c r="G388" i="13"/>
  <c r="E97" i="13"/>
  <c r="E6" i="13"/>
  <c r="G6" i="13" s="1"/>
  <c r="G7" i="13"/>
  <c r="E92" i="13"/>
  <c r="G97" i="13"/>
  <c r="G202" i="13"/>
  <c r="G225" i="13"/>
  <c r="G211" i="13"/>
  <c r="G326" i="13"/>
  <c r="G262" i="13"/>
  <c r="G52" i="13"/>
  <c r="G236" i="13"/>
  <c r="G218" i="13"/>
  <c r="G253" i="13"/>
  <c r="E275" i="13"/>
  <c r="G275" i="13" s="1"/>
  <c r="G276" i="13"/>
  <c r="B36" i="15"/>
  <c r="B37" i="15" s="1"/>
  <c r="B38" i="15" s="1"/>
  <c r="B39" i="15" s="1"/>
  <c r="B40" i="15" s="1"/>
  <c r="B41" i="15" s="1"/>
  <c r="B42" i="15" s="1"/>
  <c r="B43" i="15" s="1"/>
  <c r="B44" i="15" s="1"/>
  <c r="B45" i="15" s="1"/>
  <c r="B360" i="13"/>
  <c r="B361" i="13" s="1"/>
  <c r="B362" i="13" s="1"/>
  <c r="B363" i="13" s="1"/>
  <c r="B364" i="13" s="1"/>
  <c r="B365" i="13" s="1"/>
  <c r="B366" i="13" s="1"/>
  <c r="B367" i="13" s="1"/>
  <c r="B368" i="13" s="1"/>
  <c r="B369" i="13" s="1"/>
  <c r="B370" i="13" s="1"/>
  <c r="B371" i="13" s="1"/>
  <c r="B372" i="13" s="1"/>
  <c r="B373" i="13" s="1"/>
  <c r="B374" i="13" s="1"/>
  <c r="B375" i="13" s="1"/>
  <c r="B376" i="13" s="1"/>
  <c r="B377" i="13" s="1"/>
  <c r="B378" i="13" s="1"/>
  <c r="B77" i="14"/>
  <c r="B78" i="14" s="1"/>
  <c r="B59" i="13"/>
  <c r="B60" i="13" s="1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I8" i="14"/>
  <c r="Q8" i="14" l="1"/>
  <c r="S8" i="14" s="1"/>
  <c r="K8" i="14"/>
  <c r="E21" i="13"/>
  <c r="G21" i="13" s="1"/>
  <c r="G387" i="13"/>
  <c r="E357" i="13"/>
  <c r="E274" i="13"/>
  <c r="G274" i="13" s="1"/>
  <c r="G92" i="13"/>
  <c r="B379" i="13"/>
  <c r="B380" i="13" s="1"/>
  <c r="B381" i="13" s="1"/>
  <c r="B382" i="13" s="1"/>
  <c r="B383" i="13" s="1"/>
  <c r="B384" i="13" s="1"/>
  <c r="B385" i="13" s="1"/>
  <c r="B386" i="13" s="1"/>
  <c r="B387" i="13" s="1"/>
  <c r="B388" i="13" s="1"/>
  <c r="B389" i="13" s="1"/>
  <c r="B390" i="13" s="1"/>
  <c r="B391" i="13" s="1"/>
  <c r="B392" i="13" s="1"/>
  <c r="B393" i="13" s="1"/>
  <c r="B394" i="13" s="1"/>
  <c r="B74" i="13"/>
  <c r="B75" i="13" s="1"/>
  <c r="B76" i="13" s="1"/>
  <c r="B77" i="13" s="1"/>
  <c r="B78" i="13" s="1"/>
  <c r="B79" i="13" s="1"/>
  <c r="B79" i="14"/>
  <c r="E342" i="13"/>
  <c r="O15" i="15"/>
  <c r="O8" i="15"/>
  <c r="O10" i="15"/>
  <c r="I7" i="14"/>
  <c r="K7" i="14" s="1"/>
  <c r="E394" i="13" l="1"/>
  <c r="G357" i="13"/>
  <c r="E400" i="13"/>
  <c r="G342" i="13"/>
  <c r="E7" i="15"/>
  <c r="G7" i="15" s="1"/>
  <c r="B80" i="13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4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E5" i="15"/>
  <c r="G5" i="15" s="1"/>
  <c r="O11" i="15"/>
  <c r="G400" i="13" l="1"/>
  <c r="E401" i="13"/>
  <c r="G401" i="13" s="1"/>
  <c r="G394" i="13"/>
  <c r="J5" i="15"/>
  <c r="L5" i="15" s="1"/>
  <c r="Q5" i="15" s="1"/>
  <c r="B113" i="13"/>
  <c r="B114" i="13" s="1"/>
  <c r="B115" i="13" s="1"/>
  <c r="B116" i="13" s="1"/>
  <c r="B117" i="13" s="1"/>
  <c r="B118" i="13" s="1"/>
  <c r="B119" i="13" s="1"/>
  <c r="O12" i="15"/>
  <c r="O5" i="15" l="1"/>
  <c r="E402" i="13"/>
  <c r="G402" i="13" s="1"/>
  <c r="B120" i="13"/>
  <c r="B121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O17" i="15"/>
  <c r="O16" i="15"/>
  <c r="O14" i="15"/>
  <c r="B148" i="13" l="1"/>
  <c r="B149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6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l="1"/>
  <c r="B207" i="13" s="1"/>
  <c r="Q55" i="14"/>
  <c r="S55" i="14" s="1"/>
  <c r="M48" i="14"/>
  <c r="O48" i="14" s="1"/>
  <c r="B208" i="13" l="1"/>
  <c r="B209" i="13" s="1"/>
  <c r="B210" i="13" s="1"/>
  <c r="B211" i="13" s="1"/>
  <c r="B212" i="13" s="1"/>
  <c r="B213" i="13" s="1"/>
  <c r="B214" i="13" s="1"/>
  <c r="Q48" i="14"/>
  <c r="S48" i="14" s="1"/>
  <c r="M7" i="14"/>
  <c r="O7" i="14" s="1"/>
  <c r="B215" i="13" l="1"/>
  <c r="Q7" i="14"/>
  <c r="S7" i="14" s="1"/>
  <c r="J7" i="15"/>
  <c r="L7" i="15" l="1"/>
  <c r="Q7" i="15" s="1"/>
  <c r="J6" i="15"/>
  <c r="L6" i="15" s="1"/>
  <c r="B216" i="13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O7" i="15"/>
  <c r="J20" i="15" l="1"/>
  <c r="B232" i="13" l="1"/>
  <c r="B233" i="13" l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l="1"/>
  <c r="B259" i="13" s="1"/>
  <c r="B260" i="13" l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B293" i="13" s="1"/>
  <c r="B294" i="13" s="1"/>
  <c r="B295" i="13" s="1"/>
  <c r="B296" i="13" s="1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l="1"/>
  <c r="B325" i="13" s="1"/>
  <c r="B326" i="13" s="1"/>
  <c r="B327" i="13" s="1"/>
  <c r="B328" i="13" s="1"/>
  <c r="E13" i="15"/>
  <c r="G13" i="15" s="1"/>
  <c r="Q13" i="15" s="1"/>
  <c r="B329" i="13" l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O13" i="15"/>
  <c r="E6" i="15"/>
  <c r="G6" i="15" s="1"/>
  <c r="Q6" i="15" s="1"/>
  <c r="B341" i="13" l="1"/>
  <c r="B342" i="13" s="1"/>
  <c r="E19" i="15"/>
  <c r="O6" i="15"/>
  <c r="O21" i="15" l="1"/>
  <c r="O4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Capová Mária  Ing.</author>
  </authors>
  <commentList>
    <comment ref="H1753" authorId="0" shapeId="0" xr:uid="{966A5E52-6594-4AED-B3BE-152166C462B1}">
      <text>
        <r>
          <rPr>
            <b/>
            <sz val="9"/>
            <color indexed="81"/>
            <rFont val="Segoe UI"/>
            <family val="2"/>
            <charset val="238"/>
          </rPr>
          <t>Capová Mária  Ing.:</t>
        </r>
        <r>
          <rPr>
            <sz val="9"/>
            <color indexed="81"/>
            <rFont val="Segoe UI"/>
            <family val="2"/>
            <charset val="238"/>
          </rPr>
          <t xml:space="preserve">
9,5 úvazku
</t>
        </r>
      </text>
    </comment>
  </commentList>
</comments>
</file>

<file path=xl/sharedStrings.xml><?xml version="1.0" encoding="utf-8"?>
<sst xmlns="http://schemas.openxmlformats.org/spreadsheetml/2006/main" count="3103" uniqueCount="786">
  <si>
    <t>Základná škola, Na dolinách 27, Trenčín</t>
  </si>
  <si>
    <t>Základná umelecká škola Karola Pádivého, Nám. SNP 2, Trenčín</t>
  </si>
  <si>
    <t>KC Kubra</t>
  </si>
  <si>
    <t>Kapitálové transfery</t>
  </si>
  <si>
    <t>Základná škola, Kubranská 80, Trenčín</t>
  </si>
  <si>
    <t>Základná škola, Veľkomoravská 12, Trenčín</t>
  </si>
  <si>
    <t>Základná škola, Hodžova 37, Trenčín</t>
  </si>
  <si>
    <t>Základná škola, Ul. L. Novomeského 11, Trenčín</t>
  </si>
  <si>
    <t>Materská škola, Šafárikova 11, Trenčín</t>
  </si>
  <si>
    <t>DHZ Záblatie</t>
  </si>
  <si>
    <t>DHZ Opatová</t>
  </si>
  <si>
    <t>Mestské hospodárstvo a správa lesov, m.r.o, Trenčín</t>
  </si>
  <si>
    <t>Základná škola, Východná 9, Trenčín</t>
  </si>
  <si>
    <t>Dotácie na mládež</t>
  </si>
  <si>
    <t>Príspevok obyvateľovi mesta na sociálnu službu</t>
  </si>
  <si>
    <t>PROGRAM   2: PROPAGÁCIA A CESTOVNÝ RUCH</t>
  </si>
  <si>
    <t>PROGRAM   3: INTERNÉ SLUŽBY MESTA</t>
  </si>
  <si>
    <t>PROGRAM   4: SLUŽBY OBČANOM</t>
  </si>
  <si>
    <t>PROGRAM   5: Bezpečnosť</t>
  </si>
  <si>
    <t>PROGRAM   6: DOPRAVA</t>
  </si>
  <si>
    <t>PROGRAM   7: Vzdelávanie</t>
  </si>
  <si>
    <t>PROGRAM   9: KULTÚRA</t>
  </si>
  <si>
    <t>PROGRAM  10: ŽIVOTNÉ PROSTREDIE</t>
  </si>
  <si>
    <t>PROGRAM  11: SOCIÁLNE SLUŽBY</t>
  </si>
  <si>
    <t>PROGRAM  12: ROZVOJ MESTA</t>
  </si>
  <si>
    <t>Program   1: MANAŽMENT a PLÁNOVANIE</t>
  </si>
  <si>
    <t>Program   2: PROPAGÁCIA A CESTOVNÝ RUCH</t>
  </si>
  <si>
    <t>Program   3: INTERNÉ SLUŽBY MESTA</t>
  </si>
  <si>
    <t>Program   4: SLUŽBY OBČANOM</t>
  </si>
  <si>
    <t>Program   6: DOPRAVA</t>
  </si>
  <si>
    <t>Program   9: KULTÚRA</t>
  </si>
  <si>
    <t>Program  10: ŽIVOTNÉ PROSTREDIE</t>
  </si>
  <si>
    <t>Program  11: SOCIÁLNE SLUŽBY</t>
  </si>
  <si>
    <t>Program  12: ROZVOJ MESTA</t>
  </si>
  <si>
    <t>Prebytok bežného rozpočtu</t>
  </si>
  <si>
    <t>P r í j m y</t>
  </si>
  <si>
    <t>Výsledok hospodárenia</t>
  </si>
  <si>
    <t>PROGRAM   1: MANAŽMENT a PLÁNOVANIE</t>
  </si>
  <si>
    <t>Mesto Trenčín</t>
  </si>
  <si>
    <t>Bežné príjmy</t>
  </si>
  <si>
    <t>Kapitálové príjmy spolu</t>
  </si>
  <si>
    <t>PRÍJMY Spolu</t>
  </si>
  <si>
    <t>Miestne médiá</t>
  </si>
  <si>
    <t>Fontány</t>
  </si>
  <si>
    <t>Verejné toalety</t>
  </si>
  <si>
    <t>Stredisko Soblahov</t>
  </si>
  <si>
    <t>Krytá plaváreň</t>
  </si>
  <si>
    <t>Stredisko Brezina</t>
  </si>
  <si>
    <t>CVČ Trenčín</t>
  </si>
  <si>
    <t>09603</t>
  </si>
  <si>
    <t>0980</t>
  </si>
  <si>
    <t>Terénna opatr. služba SSMT</t>
  </si>
  <si>
    <t>1070</t>
  </si>
  <si>
    <t>JDSP</t>
  </si>
  <si>
    <t>Za porušenie predpisov</t>
  </si>
  <si>
    <t>Nocľaháreň</t>
  </si>
  <si>
    <t>Podporná činnosť</t>
  </si>
  <si>
    <t>Nákup budov, objektov alebo ich častí</t>
  </si>
  <si>
    <t>Zariadenie pre seniorov</t>
  </si>
  <si>
    <t>Životné prostredie</t>
  </si>
  <si>
    <t>MŠ Opatovská</t>
  </si>
  <si>
    <t>1090</t>
  </si>
  <si>
    <t>Príspevky neštátnym subjektom</t>
  </si>
  <si>
    <t>Karanténna stanica</t>
  </si>
  <si>
    <t>MŠ Považská</t>
  </si>
  <si>
    <t>MŠ Švermova</t>
  </si>
  <si>
    <t>MŠ Kubranská</t>
  </si>
  <si>
    <t>MŠ Medňanského</t>
  </si>
  <si>
    <t>MŠ 28.októbra</t>
  </si>
  <si>
    <t>Za školy a školské zariadenia</t>
  </si>
  <si>
    <t>Za stravné</t>
  </si>
  <si>
    <t>Detské jasle</t>
  </si>
  <si>
    <t>Manažment SSMT</t>
  </si>
  <si>
    <t>0111</t>
  </si>
  <si>
    <t>0820</t>
  </si>
  <si>
    <t>1040</t>
  </si>
  <si>
    <t>1012</t>
  </si>
  <si>
    <t>1020</t>
  </si>
  <si>
    <t>Implementácia projektov EU</t>
  </si>
  <si>
    <t>09602</t>
  </si>
  <si>
    <t>71 44</t>
  </si>
  <si>
    <t>Školské zariadenia mesta Trenčína, m.r.o.</t>
  </si>
  <si>
    <t>71 42</t>
  </si>
  <si>
    <t>MŠ Šmidkeho</t>
  </si>
  <si>
    <t>71 39</t>
  </si>
  <si>
    <t>71 53</t>
  </si>
  <si>
    <t>78 72</t>
  </si>
  <si>
    <t>ŠJ Šafárikova</t>
  </si>
  <si>
    <t>71 38</t>
  </si>
  <si>
    <t>71 37</t>
  </si>
  <si>
    <t>71 51</t>
  </si>
  <si>
    <t>MŠ Pri Parku</t>
  </si>
  <si>
    <t>71 40</t>
  </si>
  <si>
    <t>71 47</t>
  </si>
  <si>
    <t>71 41</t>
  </si>
  <si>
    <t>MŠ  Soblahovská</t>
  </si>
  <si>
    <t>71 49</t>
  </si>
  <si>
    <t>71 46</t>
  </si>
  <si>
    <t>71 45</t>
  </si>
  <si>
    <t>MŠ Stromová</t>
  </si>
  <si>
    <t>71 57</t>
  </si>
  <si>
    <t>71 58</t>
  </si>
  <si>
    <t>MŠ Na dolinách</t>
  </si>
  <si>
    <t>Sociálne služby mesta Trenčín, m.r.o.</t>
  </si>
  <si>
    <t>Prepravná služba</t>
  </si>
  <si>
    <t>09211</t>
  </si>
  <si>
    <t>F I N A N Č N É   O P E R Á C I E</t>
  </si>
  <si>
    <t xml:space="preserve"> </t>
  </si>
  <si>
    <t>príjem</t>
  </si>
  <si>
    <t>podpoložka</t>
  </si>
  <si>
    <t>Bežné príjmy spolu</t>
  </si>
  <si>
    <t>PP</t>
  </si>
  <si>
    <t>P/P</t>
  </si>
  <si>
    <t>FK</t>
  </si>
  <si>
    <t>EK</t>
  </si>
  <si>
    <t>ukazovateľ</t>
  </si>
  <si>
    <t>09121</t>
  </si>
  <si>
    <t>Politika vzdelávania</t>
  </si>
  <si>
    <t>Tovary a služby</t>
  </si>
  <si>
    <t>Služby</t>
  </si>
  <si>
    <t>Školský úrad</t>
  </si>
  <si>
    <t>Poistné a príspevok do poisťovní</t>
  </si>
  <si>
    <t>Materiál</t>
  </si>
  <si>
    <t>Nájomné za nájom</t>
  </si>
  <si>
    <t>Cestovné náhrady</t>
  </si>
  <si>
    <t>Odmeňovanie učiteľov</t>
  </si>
  <si>
    <t>Bežné transfery</t>
  </si>
  <si>
    <t>Transfery jednotlivcom a neziskovým právnickým osobám</t>
  </si>
  <si>
    <t>Mzdy, platy, služobné príjmy a ostatné osobné vyrovnania</t>
  </si>
  <si>
    <t>Dopravné</t>
  </si>
  <si>
    <t>Rutinná a štandardná údržba</t>
  </si>
  <si>
    <t>Energie, voda a komunikácie</t>
  </si>
  <si>
    <t>Mestský informačný systém</t>
  </si>
  <si>
    <t>Strategické plánovanie mesta</t>
  </si>
  <si>
    <t>Podpora kultúrnych stredísk</t>
  </si>
  <si>
    <t>0510</t>
  </si>
  <si>
    <t>Zvoz a odvoz odpadu</t>
  </si>
  <si>
    <t>Odpadové hospodárstvo</t>
  </si>
  <si>
    <t>Nebytové priestory</t>
  </si>
  <si>
    <t>Hospodárska správa a evidencia majetku mesta</t>
  </si>
  <si>
    <t>Právne služby</t>
  </si>
  <si>
    <t>0840</t>
  </si>
  <si>
    <t>Cintorínske a pohrebné služby</t>
  </si>
  <si>
    <t>0320</t>
  </si>
  <si>
    <t>Ochrana pred požiarmi</t>
  </si>
  <si>
    <t>Hnuteľný majetok</t>
  </si>
  <si>
    <t>Preventívna ochrana zamestnancov</t>
  </si>
  <si>
    <t>0310</t>
  </si>
  <si>
    <t>Zabezpečovanie verejného poriadku</t>
  </si>
  <si>
    <t>Činnosť a prevádzka mestského úradu</t>
  </si>
  <si>
    <t>0660</t>
  </si>
  <si>
    <t>Správa bytového fondu</t>
  </si>
  <si>
    <t>Bývanie</t>
  </si>
  <si>
    <t>0220</t>
  </si>
  <si>
    <t>Civilná ochrana</t>
  </si>
  <si>
    <t>0950</t>
  </si>
  <si>
    <t>Voľnočasové vzdelávanie</t>
  </si>
  <si>
    <t>09601</t>
  </si>
  <si>
    <t>Školské jedálne</t>
  </si>
  <si>
    <t>Nedaňové príjmy</t>
  </si>
  <si>
    <t>Kapitálové príjmy</t>
  </si>
  <si>
    <t>Z predaja pozemkov</t>
  </si>
  <si>
    <t>Z vkladov</t>
  </si>
  <si>
    <t>Úroky z domácich úverov, pôžičiek a vkladov</t>
  </si>
  <si>
    <t>Z náhrad z poistného plnenia</t>
  </si>
  <si>
    <t>Iné nedaňové príjmy</t>
  </si>
  <si>
    <t>Z odvodov z hazardných hier a iných podobných hier</t>
  </si>
  <si>
    <t>Klientske centrum</t>
  </si>
  <si>
    <t>Organizácia kultúrnych podujatí</t>
  </si>
  <si>
    <t>Rodinné prídavky</t>
  </si>
  <si>
    <t>Obnova rodinných pomerov</t>
  </si>
  <si>
    <t>Prepravná služba SSMT</t>
  </si>
  <si>
    <t>Obstarávanie kapitálových aktív</t>
  </si>
  <si>
    <t>Nákup dopravných prostriedkov všetkých druhov</t>
  </si>
  <si>
    <t>Podpora seniorov</t>
  </si>
  <si>
    <t>Zabezpečovanie volieb</t>
  </si>
  <si>
    <t>0810</t>
  </si>
  <si>
    <t>Organizácia občianskych obradov</t>
  </si>
  <si>
    <t>Základné školy</t>
  </si>
  <si>
    <t>Realizácia stavieb a ich technického zhodnotenia</t>
  </si>
  <si>
    <t>0133</t>
  </si>
  <si>
    <t>Činnosť matriky</t>
  </si>
  <si>
    <t>0610</t>
  </si>
  <si>
    <t>Štátny fond rozvoja bývania</t>
  </si>
  <si>
    <t>09111</t>
  </si>
  <si>
    <t>Materské školy</t>
  </si>
  <si>
    <t>Zasadnutia orgánov mesta</t>
  </si>
  <si>
    <t>Manažment mesta</t>
  </si>
  <si>
    <t>Prevádzka a údržba budov</t>
  </si>
  <si>
    <t>0620</t>
  </si>
  <si>
    <t>Verejná zeleň</t>
  </si>
  <si>
    <t>Pochovanie občana</t>
  </si>
  <si>
    <t>Prezentácia mesta</t>
  </si>
  <si>
    <t>MŠ Niva</t>
  </si>
  <si>
    <t>Športová Hala</t>
  </si>
  <si>
    <t>Športová infraštruktúra</t>
  </si>
  <si>
    <t>Futbalový štadión</t>
  </si>
  <si>
    <t>Zimný štadión</t>
  </si>
  <si>
    <t>Plavárne</t>
  </si>
  <si>
    <t>0443</t>
  </si>
  <si>
    <t>Územné plánovanie mesta</t>
  </si>
  <si>
    <t>Výkon funkcie primátora</t>
  </si>
  <si>
    <t>0640</t>
  </si>
  <si>
    <t>Verejné osvetlenie</t>
  </si>
  <si>
    <t>Pozemky</t>
  </si>
  <si>
    <t>0170</t>
  </si>
  <si>
    <t>Nákup pozemkov a nehmotných aktív</t>
  </si>
  <si>
    <t>Administratívne a iné poplatky a platby</t>
  </si>
  <si>
    <t>Ostatné poplatky</t>
  </si>
  <si>
    <t>Granty</t>
  </si>
  <si>
    <t>Granty a transfery</t>
  </si>
  <si>
    <t>Tuzemské bežné granty a transfery</t>
  </si>
  <si>
    <t>Iné</t>
  </si>
  <si>
    <t>Prípravná a projektová dokumentácia</t>
  </si>
  <si>
    <t>Prevádzka mestských trhovísk</t>
  </si>
  <si>
    <t>0830</t>
  </si>
  <si>
    <t>Nákup strojov, prístrojov, zariadení, techniky a náradia</t>
  </si>
  <si>
    <t>0451</t>
  </si>
  <si>
    <t>Z dobropisov</t>
  </si>
  <si>
    <t>Z vratiek</t>
  </si>
  <si>
    <t>Z refundácie</t>
  </si>
  <si>
    <t>Zo štátneho rozpočtu okrem transferu na úhradu nákladov preneseného výkonu štátnej správy</t>
  </si>
  <si>
    <t>Zo štátneho rozpočtu na úhradu nákladov preneseného výkonu štátnej správy</t>
  </si>
  <si>
    <t>Výstavba a rekonštrukcia pozemných kom.</t>
  </si>
  <si>
    <t>MŠ Legionárska</t>
  </si>
  <si>
    <t>Podpora športových podujatí</t>
  </si>
  <si>
    <t>Podpora kultúrnych podujatí a činností</t>
  </si>
  <si>
    <t>ZOS SSMT</t>
  </si>
  <si>
    <t>Kamerový systém mesta</t>
  </si>
  <si>
    <t>0422</t>
  </si>
  <si>
    <t>Výkon funkcie zástupcu primátora</t>
  </si>
  <si>
    <t>Výkon funkcie prednostu</t>
  </si>
  <si>
    <t>KC Aktivity</t>
  </si>
  <si>
    <t>Príjmy z podnikania a z vlastníctva majetku</t>
  </si>
  <si>
    <t>Z prenajatých budov, priestorov a objektov</t>
  </si>
  <si>
    <t>Z prenajatých strojov, prístrojov, zariadení, techniky a náradia</t>
  </si>
  <si>
    <t>Za predaj výrobkov, tovarov a služieb</t>
  </si>
  <si>
    <t>Zneškodňovanie odpadu</t>
  </si>
  <si>
    <t>0560</t>
  </si>
  <si>
    <t>Ochrana prostredie pre život</t>
  </si>
  <si>
    <t>0473</t>
  </si>
  <si>
    <t>Cestovný ruch</t>
  </si>
  <si>
    <t>0112</t>
  </si>
  <si>
    <t>Daň. a rozp.agenda mesta a účtov.</t>
  </si>
  <si>
    <t>Autodoprava</t>
  </si>
  <si>
    <t>Mobilná ľadová plocha</t>
  </si>
  <si>
    <t>Za znečisťovanie ovzdušia</t>
  </si>
  <si>
    <t>Výnos dane z príjmov poukázaný územnej samospráve</t>
  </si>
  <si>
    <t>Daňové príjmy</t>
  </si>
  <si>
    <t>Dane z príjmov a kapitálového majetku</t>
  </si>
  <si>
    <t>Z pozemkov</t>
  </si>
  <si>
    <t>Dane z majetku</t>
  </si>
  <si>
    <t>Zo stavieb</t>
  </si>
  <si>
    <t>Z bytov a nebytových priestorov v bytovom dome</t>
  </si>
  <si>
    <t>Dane za tovary a služby</t>
  </si>
  <si>
    <t>Z prenajatých pozemkov</t>
  </si>
  <si>
    <t>Vzdelávanie zamestnancov</t>
  </si>
  <si>
    <t>Stavebný úrad</t>
  </si>
  <si>
    <t>Tuzemské kapitálové granty a transfery</t>
  </si>
  <si>
    <t>Zo štátneho rozpočtu</t>
  </si>
  <si>
    <t>Členstvo v samosp. org. a združ.</t>
  </si>
  <si>
    <t>Grantový program</t>
  </si>
  <si>
    <t>Správa a údržba pozemných komunikácií a parkovísk</t>
  </si>
  <si>
    <t>Detské ihriská a oddychové zóny</t>
  </si>
  <si>
    <t>Mestské divadlo Trenčín o.z. - činnosť</t>
  </si>
  <si>
    <t>Nízkoprahové denné centrum</t>
  </si>
  <si>
    <t>Krízová intervencia</t>
  </si>
  <si>
    <t>Dotácia na rekonštrukciu Zimného štadióna Pavla Demitru</t>
  </si>
  <si>
    <t>Rekonštrukcia Zimného štadióna Pavla Demitru</t>
  </si>
  <si>
    <t>Skatepark</t>
  </si>
  <si>
    <t>Transfery nefinančným subjektom</t>
  </si>
  <si>
    <t>Polopodzemné kontajnery</t>
  </si>
  <si>
    <t>ŠJ HEES súkromné stravovacie zariadenie</t>
  </si>
  <si>
    <t>Statická doprava Bavlnárska ul.</t>
  </si>
  <si>
    <t>Zo štátneho účelového fondu</t>
  </si>
  <si>
    <t>Enviromentálny fond</t>
  </si>
  <si>
    <t>Evidencia obyvateľstva</t>
  </si>
  <si>
    <t>Matrika</t>
  </si>
  <si>
    <t>Školstvo - prenesené kompetencie</t>
  </si>
  <si>
    <t>Základná škola, Bezručova 66, Trenčín</t>
  </si>
  <si>
    <t>FPP pre neverejných PoSS</t>
  </si>
  <si>
    <t>Základná škola, Dlhé Hony 1, Trenčín</t>
  </si>
  <si>
    <t>Podpora opatrovateliek</t>
  </si>
  <si>
    <t>Pomoc pri osobnej starostlivosti o dieťa</t>
  </si>
  <si>
    <t>Rozšírenie kamerového systému</t>
  </si>
  <si>
    <t>JUŽANIA - RC Južanček o.z. - dotácia na sociálnu pomoc pre občanov mesta</t>
  </si>
  <si>
    <t>SŠKD pri SZŠ pre žiakov s autizmom</t>
  </si>
  <si>
    <t>Záchytné parkoviská Biskupice</t>
  </si>
  <si>
    <t>Záchytné parkovisko Pred Poľom</t>
  </si>
  <si>
    <t>Ul.Jilemnického a Jesenského - prepojenie pre peších</t>
  </si>
  <si>
    <t>Križovatka Záblatie - napojenie na privádzač</t>
  </si>
  <si>
    <t>Priechod pre chodcov Ul.Dolné Pažite (podsvietený,nadsvietený)</t>
  </si>
  <si>
    <t>Cyklotrasa Juh-centrum - III.etapa (cintorín - kruhový objazd pod Juhom)</t>
  </si>
  <si>
    <t>Revitalizácia vnútrobloku Bazovského, Šafárikova, Liptovská</t>
  </si>
  <si>
    <t>Urbanistické, dopravné, overovacie štúdie</t>
  </si>
  <si>
    <t>Príjmy spolu</t>
  </si>
  <si>
    <t>Daň za psa</t>
  </si>
  <si>
    <t>Daň za ubytovanie</t>
  </si>
  <si>
    <t>Daň za užívanie verejného priestranstva</t>
  </si>
  <si>
    <t>Poplatok za komunálne odpady a drobné stavebné odpady</t>
  </si>
  <si>
    <t>Daň z nehnuteľností, z toho:</t>
  </si>
  <si>
    <t>Z parkovného</t>
  </si>
  <si>
    <t>Z činnosti Kultúrno - informačného centra</t>
  </si>
  <si>
    <t>Iné príjmy</t>
  </si>
  <si>
    <t>Ekonomická klasif.</t>
  </si>
  <si>
    <t>Správa Školských zariadení mesta Trenčín m.r.o.</t>
  </si>
  <si>
    <t>Za stravné v materskej škole</t>
  </si>
  <si>
    <t>Za stravné v detských jasliach</t>
  </si>
  <si>
    <t>Za stravné zamestnanci</t>
  </si>
  <si>
    <t>Za predaj výrobkov, tovarov a služieb - ubytovanie</t>
  </si>
  <si>
    <t xml:space="preserve">Nocľaháreň  </t>
  </si>
  <si>
    <t>Za predaj výrobkov, tovarov a služieb - odborné činnosti</t>
  </si>
  <si>
    <t>Za predaj výrobkov, tovarov a služieb - poplatok za vlastný spotrebič</t>
  </si>
  <si>
    <t>Za predaj výrobkov, tovarov a služieb - stravovanie</t>
  </si>
  <si>
    <t>Zariadenie opatrovateľske služby - 24 hod starostlivosť</t>
  </si>
  <si>
    <t>Za predaj výrobkov, tovarov a služieb - staroba</t>
  </si>
  <si>
    <t>Za predaj výrobkov, tovarov a služieb - invalidi</t>
  </si>
  <si>
    <t>Rozvoz stravy</t>
  </si>
  <si>
    <t xml:space="preserve">Opatrovateľská služba  </t>
  </si>
  <si>
    <t>Dotácia na sociálne zabezpečenie</t>
  </si>
  <si>
    <t>Dotácia v oblasti bývania (ŠFRB)</t>
  </si>
  <si>
    <t>Súťaže zo ŠR</t>
  </si>
  <si>
    <t>Strava pre deti v hmotnej núdzi ( vr.obedov zadarmo)</t>
  </si>
  <si>
    <t>Dary pre SSMT m.r.o.</t>
  </si>
  <si>
    <t>Územnoplánovacie podklady a dokumentácie, zmeny a doplnky ÚPN</t>
  </si>
  <si>
    <t>Členské do OOCR</t>
  </si>
  <si>
    <t xml:space="preserve">Nákup objektov   </t>
  </si>
  <si>
    <t>Nákup pozemkov</t>
  </si>
  <si>
    <t>Hardvér</t>
  </si>
  <si>
    <t>Osobné motorové vozidlo</t>
  </si>
  <si>
    <t>Kolomaž o.z. - Sám na javisku</t>
  </si>
  <si>
    <t>Pohoda Festival s.r.o. - Festival Pohoda</t>
  </si>
  <si>
    <t>Stredisko Soblahov a Brezina</t>
  </si>
  <si>
    <t>Poradensko - bytové problémy</t>
  </si>
  <si>
    <t>Dotácie</t>
  </si>
  <si>
    <t>Rekonštrukcia sociálnych zariadení</t>
  </si>
  <si>
    <t>Konvektomat</t>
  </si>
  <si>
    <t>Služby (KIS)</t>
  </si>
  <si>
    <t>Zabezpečenie činnosti KIC</t>
  </si>
  <si>
    <t>Zníženie en.náročnosti jaslí 28.októbra</t>
  </si>
  <si>
    <t>Realizácia stavieb a ich technickéhoo zhodnotenia</t>
  </si>
  <si>
    <t>Príjmy</t>
  </si>
  <si>
    <t>Výdavky</t>
  </si>
  <si>
    <t>453: Nevyčerpané dotácie z predchádzajúcich rokov</t>
  </si>
  <si>
    <t>821: Splácanie istiny z dlhodobých bankových úverov</t>
  </si>
  <si>
    <t>821: ŠFRB - splácanie istiny</t>
  </si>
  <si>
    <t>Tovary a služby (KP)</t>
  </si>
  <si>
    <t>Cyklotrasy</t>
  </si>
  <si>
    <t>Nové parkovacie miesta</t>
  </si>
  <si>
    <t>Horyzonty o.z. - Horyzonty</t>
  </si>
  <si>
    <t>LampART - Filmsquare</t>
  </si>
  <si>
    <t>OZ Trenčiansky ÚTULOK - dotácia na prevádzku a činnosť</t>
  </si>
  <si>
    <t>Rodina a deti</t>
  </si>
  <si>
    <t>Denné centrum Sihoť</t>
  </si>
  <si>
    <t>Autobusová doprava</t>
  </si>
  <si>
    <t xml:space="preserve">Príspevok pri osamostatnení </t>
  </si>
  <si>
    <t xml:space="preserve">Dotácie na šport </t>
  </si>
  <si>
    <t>ŠJ pri Piaristickom gymnáziu J.Braneckého</t>
  </si>
  <si>
    <t>ŠJ pri ZŠ s MŠ sv. Andreja - Svorada a Benedikta</t>
  </si>
  <si>
    <t>ŠJ pri SZŠ FUTURUM</t>
  </si>
  <si>
    <t>ŠJ pri S Gymnáziu FUTURUM</t>
  </si>
  <si>
    <t>CVČ pri ZŠ a MŠ sv. Andreja - Svorada a Benedikta</t>
  </si>
  <si>
    <t>ŠKD pri ZŠ a MŠ sv. Andreja - Svorada a Benedikta</t>
  </si>
  <si>
    <t>SŠKD FUTURUM pri SZŠ Futurum</t>
  </si>
  <si>
    <t>SZUŠ Gagarinova 7</t>
  </si>
  <si>
    <t>SZUŠ ul. Novomeského 11</t>
  </si>
  <si>
    <t>SZUŠ Stromová 1</t>
  </si>
  <si>
    <t>SZUŠ, Mládežnícka 1</t>
  </si>
  <si>
    <t>Hospic milosrdných sestier - dotácia na činnosť</t>
  </si>
  <si>
    <t>Centrum pre rodinu o.z. - dotácia na činnosť</t>
  </si>
  <si>
    <t>Správa a údržba pozemných komunikácií</t>
  </si>
  <si>
    <t>Statická doprava</t>
  </si>
  <si>
    <t>Letné kúpalisko</t>
  </si>
  <si>
    <t>Za odborné činnosti</t>
  </si>
  <si>
    <t>Príprava rozpočtov</t>
  </si>
  <si>
    <t>Nový cintorín</t>
  </si>
  <si>
    <t>Nová preložka Chynoranská trať</t>
  </si>
  <si>
    <t>Nový priechod pre chodcov M.Bela</t>
  </si>
  <si>
    <t>Priechod pre chodcov - konečná Armádna - Sibírska</t>
  </si>
  <si>
    <t>Revitalizácia priestoru pri KS v Záblatí</t>
  </si>
  <si>
    <t>Európske hlavné mesto kultúry 2026</t>
  </si>
  <si>
    <t>Normotvorná činnosť mesta</t>
  </si>
  <si>
    <t>Komunikácia s verej.inštitúciami v mene mesta</t>
  </si>
  <si>
    <t>Kontrola činnosti samosprávy</t>
  </si>
  <si>
    <t>MsÚ Hviezdoslavova - podkrovie</t>
  </si>
  <si>
    <t>Urnové steny - cintorín Juh</t>
  </si>
  <si>
    <t>Most Orechové</t>
  </si>
  <si>
    <t xml:space="preserve">KS Dlhé Hony   </t>
  </si>
  <si>
    <t>Priemyselná sušička</t>
  </si>
  <si>
    <t>PROGRAM   8: ŠPORT A ODDYCH</t>
  </si>
  <si>
    <t>Program   8: ŠPORT A ODDYCH</t>
  </si>
  <si>
    <t>Program   7: VZDELÁVANIE</t>
  </si>
  <si>
    <t>Program   5: BEZPEČNOSŤ</t>
  </si>
  <si>
    <t>Priemyselná práčka</t>
  </si>
  <si>
    <t>Evakuačný výťah</t>
  </si>
  <si>
    <t>Sociálny šatník</t>
  </si>
  <si>
    <t>Z činnosti CKKP Hviezda</t>
  </si>
  <si>
    <t>0721</t>
  </si>
  <si>
    <t>Doplatok straty</t>
  </si>
  <si>
    <t>Integrovaný dopravný systém</t>
  </si>
  <si>
    <t>Revitalizácia Námestia sv. Anny</t>
  </si>
  <si>
    <t>Plošina pre imobilných</t>
  </si>
  <si>
    <t>Verejné osvetlenie - rekonštrukcia</t>
  </si>
  <si>
    <t>Chodník + ostrovček na Kamenci (Vinohrady)</t>
  </si>
  <si>
    <t>Križovatka pod Juhom s napojením na nový most</t>
  </si>
  <si>
    <t>Priechod pre chodcov - Legionárska CSS</t>
  </si>
  <si>
    <t>Priechod pre chodcov - Zimný štadión CSS</t>
  </si>
  <si>
    <t>Priechod pre chodcov - Zlatovská CSS</t>
  </si>
  <si>
    <t>Saratovská - Partizánska - prepojenie</t>
  </si>
  <si>
    <t>Ul. 28. októbra</t>
  </si>
  <si>
    <t>Zimný štadión - fotovoltika</t>
  </si>
  <si>
    <t>Revitalizácia nám. Sv. Anny</t>
  </si>
  <si>
    <t>Z prenájmov - Hviezda</t>
  </si>
  <si>
    <t>Za predaj výrobkov, tovarov a služieb - upratovanie, pranie, žehlenie</t>
  </si>
  <si>
    <t>Kreatívny inštitút Trenčín, n.o. - dotácia na kapitálové výdavky</t>
  </si>
  <si>
    <t>Detašované pracoviská Denného centra Sihoť</t>
  </si>
  <si>
    <t>Rekonštrukcia nájomného bytu</t>
  </si>
  <si>
    <t>Služby (plavecký výcvik)</t>
  </si>
  <si>
    <t>Splácanie úrokov a ostatné platby súvisiace s úverom</t>
  </si>
  <si>
    <t>Z termínovaných vkladov</t>
  </si>
  <si>
    <t>Fond na podporu športu - Výmena palubovej podlahy a mobilných tribún</t>
  </si>
  <si>
    <t>Župný dom - posudky a výskumy</t>
  </si>
  <si>
    <t>Priechod pri Merkury markete</t>
  </si>
  <si>
    <t>Revitalizácia Parku Gen. M.R.Štefánika</t>
  </si>
  <si>
    <t>Trenčiansky luh - revitalizácia Rekreačno - vzdelávacej zóny</t>
  </si>
  <si>
    <t xml:space="preserve">Park Zlatovce   </t>
  </si>
  <si>
    <t>Schodok kapitálového rozpočtu</t>
  </si>
  <si>
    <t>Schodok rozpočtu spolu</t>
  </si>
  <si>
    <t>Stravovanie žiakov</t>
  </si>
  <si>
    <t>Dotácie na výnimočné akcie (projekty)</t>
  </si>
  <si>
    <t>Dotácie na šport (činnosť)</t>
  </si>
  <si>
    <t>Inštitút participácie</t>
  </si>
  <si>
    <t>R O Z P O Č E T    2025</t>
  </si>
  <si>
    <t>;</t>
  </si>
  <si>
    <t>454: Prevod z rezervného fondu  - Most Orechové</t>
  </si>
  <si>
    <t>513: Prijatie dlhodobého úveru - ČSOB a.s. 2023</t>
  </si>
  <si>
    <t>Poplatok za rozvoj</t>
  </si>
  <si>
    <t>Z predaja bytov</t>
  </si>
  <si>
    <t>Interiéry Zelený most - ulica (Fiesta)</t>
  </si>
  <si>
    <t>Komunitné centrum Dlhé Hony</t>
  </si>
  <si>
    <t>Komunitné centrum Dlhé Hony - vybavenie</t>
  </si>
  <si>
    <t>Pontóny na Váhu</t>
  </si>
  <si>
    <t>Regenerácia vnútrobloku Opávia na Beckovskej ulici v Trenčíne</t>
  </si>
  <si>
    <t>Revitalizácia Hviezdoslavovej ulice</t>
  </si>
  <si>
    <t>Zelený most  - ulica (Fiesta)</t>
  </si>
  <si>
    <t>Zníženie energetickej náročnosti budovy Detských jaslí na ulici 28.októbra</t>
  </si>
  <si>
    <t>Nákup pozemkov pre Opatovský cintorín</t>
  </si>
  <si>
    <t>Verejné WC - rekonštrukcia interiéru</t>
  </si>
  <si>
    <t>Osvetlenie spojovacieho chodníka ul. Školská a Bavlnárska</t>
  </si>
  <si>
    <t>Autobusové prístrešky Hanzlíkovská</t>
  </si>
  <si>
    <t>Parkovisko Družba - rampový systém</t>
  </si>
  <si>
    <t>Kukučínova ul. - dolná</t>
  </si>
  <si>
    <t>Nové prepojenie Južná ul. a Halalovka</t>
  </si>
  <si>
    <t>Odvodnenie pri cintoríne Opatová</t>
  </si>
  <si>
    <t>Parkovacie miesta ul. Orechovská od kostola po križovatku s Chotárnou</t>
  </si>
  <si>
    <t>Chodník a parkovisko ul. Inovecká 1137</t>
  </si>
  <si>
    <t>Nový chodník z ul. Gen. Svobodu na ul. Halalovku</t>
  </si>
  <si>
    <t>Dopravné značenie</t>
  </si>
  <si>
    <t xml:space="preserve">MŠ Novomeského </t>
  </si>
  <si>
    <t>Obnova základnej školy</t>
  </si>
  <si>
    <t>Revitalizácia vnútrobloku sídlisko Kvetná</t>
  </si>
  <si>
    <t>Vnútroblok Nábrežná a Študentská</t>
  </si>
  <si>
    <t>Revitalizácia ulice 1.mája</t>
  </si>
  <si>
    <t>Zelený most - ulica (Fiesta)</t>
  </si>
  <si>
    <t>Kolomaž o.z. - Klub Lúč</t>
  </si>
  <si>
    <t>Klub priateľov vážnej hudby - Hudba pod hradom - jar, jeseň</t>
  </si>
  <si>
    <t xml:space="preserve">Komunitné centrum Dlhé Hony </t>
  </si>
  <si>
    <t>Revitalizácia ihriska a areálu KC Aktivity</t>
  </si>
  <si>
    <t>Kreatívny inštitút Trenčín n.o. - príspevok na správu a programové aktivity</t>
  </si>
  <si>
    <t>Materské centrum Srdiečko - dotácia na prevádzku</t>
  </si>
  <si>
    <t>NFP PPA - Bezpečný a atraktívny lesopark Brezina pre všetkých</t>
  </si>
  <si>
    <t>Výmena okien v novšej budove MsÚ</t>
  </si>
  <si>
    <t>Obnova bočného vstupu na cintorín</t>
  </si>
  <si>
    <t>Cyklotrasa Trenčín - Trenčianska Turná</t>
  </si>
  <si>
    <t>Nozdrkovce - cesta a chodníky</t>
  </si>
  <si>
    <t>Riešenie križovatky ul. Partizánska pri židovskom cintoríne</t>
  </si>
  <si>
    <t>2 zastávky na ul. M.Rázusa - rekonštrukcia</t>
  </si>
  <si>
    <t>Rekonštrukcia elektroinštalácie</t>
  </si>
  <si>
    <t xml:space="preserve">Herné prvky </t>
  </si>
  <si>
    <t>Nové osvetlenie a oplotenie futbalového štadióna Trenčín - Záblatie</t>
  </si>
  <si>
    <t>Detské ihrisko Žilinská ulica</t>
  </si>
  <si>
    <t>Ihrisko a objekt zázemia v Parku Gen. M.R.Štefánika</t>
  </si>
  <si>
    <t>LOOKA - projektová dokumentácia</t>
  </si>
  <si>
    <t xml:space="preserve">Regenerácia vnútrobloku OPAVIA na Beckovskej ulici </t>
  </si>
  <si>
    <t>Projekt z Finančného mechanizmu EHP (Európsky hospodársky priestor) a Nórskeho finančného mechanizmu</t>
  </si>
  <si>
    <t>Realizácia stojísk polopodzemných kontajnerov Juh</t>
  </si>
  <si>
    <t>454: Prevod z rezervného fondu - Výmena palubovej podlahy a mobilných tribún v športovej hale</t>
  </si>
  <si>
    <t>Z prenajatých budov, priestorov a objektov -  pódia a mobiliáru</t>
  </si>
  <si>
    <t>Z prenajatých strojov, prístrojov, zariadení, techniky a náradia - Hviezda</t>
  </si>
  <si>
    <t>MŠ Novomeského</t>
  </si>
  <si>
    <t>Materské školy - asistenti</t>
  </si>
  <si>
    <t>Prepravné</t>
  </si>
  <si>
    <t>Za predaj výrobkov, tovarov a služieb - pranie šatstva</t>
  </si>
  <si>
    <t>Terénna sociálna práca a komunitné práce</t>
  </si>
  <si>
    <t>821: Environfond - splácanie istiny</t>
  </si>
  <si>
    <t>Správa ŠZMT m.r.o.</t>
  </si>
  <si>
    <t>Rekreačné poukazy materské školy</t>
  </si>
  <si>
    <t>Zariadenie OS - Celoročný pobyt</t>
  </si>
  <si>
    <t>é</t>
  </si>
  <si>
    <t>KKC Hviezda</t>
  </si>
  <si>
    <t>814: Vklad do základného imania - vstup mesta do Integrovaného dopravného systému</t>
  </si>
  <si>
    <t>ŠJ pri S MŠ Štvorlístok, Orechovská 14</t>
  </si>
  <si>
    <t>ŠJ pri C MŠ sv. Andreja - Svorada a Benedikta</t>
  </si>
  <si>
    <t>Služby z príspevku z EF</t>
  </si>
  <si>
    <t>Školstvo - prenesené kompetencie - materské školy</t>
  </si>
  <si>
    <t>Technický sekretariát Kooperačnej rady Udržateľného mestského rozvoja Trenčín</t>
  </si>
  <si>
    <t>Mestské hospodárstvo a správa lesov, m.r.o.</t>
  </si>
  <si>
    <t>Projektový zámer Centra pre ekologické spracovanie odpadov Trenčín</t>
  </si>
  <si>
    <t xml:space="preserve">Obnova a oprava kultúrnej pamiatky - Vojenský cintorín </t>
  </si>
  <si>
    <t>Výmena interiérového osvetlenia Mestský úrad</t>
  </si>
  <si>
    <t>Výmena interiérového osvetlenia MHSL</t>
  </si>
  <si>
    <t>Výmena termoregulačných ventilov a hlavíc MHSL</t>
  </si>
  <si>
    <t xml:space="preserve">GRAPE AGENCY s.r.o. - Grape Festival </t>
  </si>
  <si>
    <t>GNSS SatLab SLC externá anténa</t>
  </si>
  <si>
    <t>Dvere Dom smútku Juh</t>
  </si>
  <si>
    <t>Fasáda budovy Mestskej polície</t>
  </si>
  <si>
    <t>Vianočné osvetlenie</t>
  </si>
  <si>
    <t>Chodník a parkoviská Mládežnícka</t>
  </si>
  <si>
    <t>MK Rázusa po ZUŠ</t>
  </si>
  <si>
    <t>Cyklotrasa pod Juhom</t>
  </si>
  <si>
    <t>Lávka do alúvia</t>
  </si>
  <si>
    <t>Chodníky Brezina</t>
  </si>
  <si>
    <t>Motorové vozidlo na dovoz stravy do ZOS a ZPS</t>
  </si>
  <si>
    <t>Park v prírode alúvia Orechovského potoka</t>
  </si>
  <si>
    <t xml:space="preserve">V ý d a v k y </t>
  </si>
  <si>
    <t>MŠ  Osvienčimská (Turkovej)</t>
  </si>
  <si>
    <t>MK J.Halašu - rekonštrukcia</t>
  </si>
  <si>
    <t>513: Prijatie dlhodobého úveru SLSP</t>
  </si>
  <si>
    <t xml:space="preserve">Monitorovanie a signalizácia potreby pomoci </t>
  </si>
  <si>
    <t>513: Prijatie nového úveru</t>
  </si>
  <si>
    <t>Záchytné parkovisko Biskupice</t>
  </si>
  <si>
    <t>Kreatívny inštitút n.o. - dotácia na Inštitút participácie</t>
  </si>
  <si>
    <t>ZFC 1939 Trenčín o.z. - dotácia na činnosť</t>
  </si>
  <si>
    <t>LampART - činnosť</t>
  </si>
  <si>
    <t>KIT n.o.</t>
  </si>
  <si>
    <t>Grandvíno s.r.o. - Festival "Víno pod hradom"</t>
  </si>
  <si>
    <t xml:space="preserve">IPčko, občianske združenie - dotácia na prevádzku </t>
  </si>
  <si>
    <t>Zníženie en.náročnosti objektu zariadenia pre seniorov na Lavičkovej ulici</t>
  </si>
  <si>
    <t>Sanácia vlhosti suterénu MsÚ</t>
  </si>
  <si>
    <t>Klimatizácie v kanceláriach MsÚ</t>
  </si>
  <si>
    <t>Posuvné regále v archíve</t>
  </si>
  <si>
    <t>Autobusová stanica - nika, prístrešiky, označníky</t>
  </si>
  <si>
    <t>Zriadenie elektrických prípojok pre LED tabule</t>
  </si>
  <si>
    <t>M.Bela - autobusové prístrešky</t>
  </si>
  <si>
    <t>M.Bela - osadenie prístrešku</t>
  </si>
  <si>
    <t>Infraset - zariadenie na opravu výtlkov</t>
  </si>
  <si>
    <t>Prepojenie Železničnej stanice Zlatovce s Muškátovou ulicou</t>
  </si>
  <si>
    <t>Hrádza Riviéria - most na Ostrov</t>
  </si>
  <si>
    <t>Rekonštrukcia rímskeho nápisu na hradnom brale</t>
  </si>
  <si>
    <t>Rekonštrukcia priestorov pre klubovňu pre klientov</t>
  </si>
  <si>
    <t xml:space="preserve">Mestská veža - podbránie </t>
  </si>
  <si>
    <t xml:space="preserve">Podchod pri Hoteli Elizabeth </t>
  </si>
  <si>
    <t>Dočasná revitalizácia priestoru po modernizácií železničnej trate v centre Trenčína - LOOKa</t>
  </si>
  <si>
    <t>Verejné osvetlenie - rekonštrukcia 1. etapa</t>
  </si>
  <si>
    <t>Verejné osvetlenie - rekonštrukcia 2. etapa</t>
  </si>
  <si>
    <t>514: Prijatie úveru  z Environmentálneho fondu na rekonštrukciu verejného osvetlenia 1. etapa</t>
  </si>
  <si>
    <t>514: Prijatie úveru  z Environmentálneho fondu na rekonštrukciu verejného osvetlenia 2. etapa</t>
  </si>
  <si>
    <t>Stropný zdvíhací systém</t>
  </si>
  <si>
    <t xml:space="preserve">454: Prevod z rezervného fondu - predpokladaný HV </t>
  </si>
  <si>
    <t>Projektové dokumentácie</t>
  </si>
  <si>
    <t>Rekonštrukcia schodiska a stojiska pre kontajnery</t>
  </si>
  <si>
    <t>Statická doprava  Veľkomoravská ul.</t>
  </si>
  <si>
    <t>Úprava križovatky pri kostole Opatová - MHD</t>
  </si>
  <si>
    <t>Chodník Opatovská ul. k materskej škole</t>
  </si>
  <si>
    <t>Židovská náboženská obec v Trenčíne - dotácia na prevádzku a činnost</t>
  </si>
  <si>
    <t>SHUFFLEBEAR s.r.o. - Záhradkár 2025</t>
  </si>
  <si>
    <t>Priechod pre chodcov a osvetlenie na križovatke Novomeského - J.Halašu - Šmidkeho</t>
  </si>
  <si>
    <t>Nový chodník z ul. Gen. Svobodu na ul. Halalovku pri BD 2839</t>
  </si>
  <si>
    <t>Rekonštrukcia chodníka Šmidkeho</t>
  </si>
  <si>
    <t>Rekonštrukcia schodov M.Bela 29</t>
  </si>
  <si>
    <t>Bezbarierové prepojenie od bytového domu 2711/12 smerom ku schodom a k ihrisku (Juh)</t>
  </si>
  <si>
    <t>Zabezpečenie križovatky pri zásobovaní Billa - Južanka</t>
  </si>
  <si>
    <t>Ul. Východná - začiatočný rádius okolo kostola</t>
  </si>
  <si>
    <t>Chodníky za Gen. Svobodu 3-11</t>
  </si>
  <si>
    <t>Multifunkčné ihrisko</t>
  </si>
  <si>
    <t>Rekonštrukcia šatní, 1.etapa</t>
  </si>
  <si>
    <t>Rekonštrukcia kotolne</t>
  </si>
  <si>
    <t>Park pod Juhom - bočný chodník pri podchode</t>
  </si>
  <si>
    <t>Dom smútku Kubrica</t>
  </si>
  <si>
    <t>Osvetlenie Zelnica</t>
  </si>
  <si>
    <t>Drobné zásahy v Opatovej</t>
  </si>
  <si>
    <t>Výmena podláh</t>
  </si>
  <si>
    <t>Rekonštrukcia kúpeľne</t>
  </si>
  <si>
    <t>Rekonštrukcia oplotenia</t>
  </si>
  <si>
    <t>Rekonštrukcia pieskoviska</t>
  </si>
  <si>
    <t>Nový chodník zadný vstup do MŠ</t>
  </si>
  <si>
    <t>Výmena tartanu</t>
  </si>
  <si>
    <t>Zateplenie telocvične</t>
  </si>
  <si>
    <t>Kuchynský robot</t>
  </si>
  <si>
    <t>Škrabka na zemiaky</t>
  </si>
  <si>
    <t>Rekonštrukcia oplotenia, múrikov</t>
  </si>
  <si>
    <t>Pamätník P.Demitru</t>
  </si>
  <si>
    <t>Clementisova ulica - mobiliár</t>
  </si>
  <si>
    <t>Detské ihrisko Žilinská - herné prvky</t>
  </si>
  <si>
    <t>Detské ihrisko Kubrica - herné prvky</t>
  </si>
  <si>
    <t>Detské ihrisko K výstavisku - herné prvky</t>
  </si>
  <si>
    <t>Prístrešok na prekrytie pódia v Kubrej</t>
  </si>
  <si>
    <t>Oporný múr Cintorínska ul. - 2.etapa</t>
  </si>
  <si>
    <t>Realizácia 2 parkovacích miest pre zamestnancov v areáli materskej školy, rekonštrukcia 2 terás</t>
  </si>
  <si>
    <t>Rekonštrukcia chodníkov v areáli materskej školy</t>
  </si>
  <si>
    <t>Chodníky v MČ Stred</t>
  </si>
  <si>
    <t>MK Karpatská - Jesenského v podjazde pod Električnou ulicou</t>
  </si>
  <si>
    <t>Chodník a komunikácia Legionárska - podchod na Noviny</t>
  </si>
  <si>
    <t>Vyvýšený priechod pre chodcov s príslušenstvom na ul. Bezručova</t>
  </si>
  <si>
    <t xml:space="preserve">KS Istebník </t>
  </si>
  <si>
    <t>Chodník Staničná</t>
  </si>
  <si>
    <t>M.Kišša - povrch cesty</t>
  </si>
  <si>
    <t>MČ Západ - komunikácie, chodníky, parkoviská, prechody pre chodcov</t>
  </si>
  <si>
    <t>Rekonštrukcia elektroinštalácie 1.etapa</t>
  </si>
  <si>
    <t>Pumptrack Vinohrady</t>
  </si>
  <si>
    <t>Obnova Mariánskeho námestia Trenčín</t>
  </si>
  <si>
    <t>Správa a údržba pozem.komunikácií</t>
  </si>
  <si>
    <t>CVČ pri Piaristickom gymnáziu J.Braneckého</t>
  </si>
  <si>
    <t>Príspevok na ubytovanie odídencov z Ukrajiny</t>
  </si>
  <si>
    <t xml:space="preserve">Príspevok za ubytovanie odídencov z Ukrajiny </t>
  </si>
  <si>
    <t>Trenčiansky futbalový klub Opatová - dotácia na činnosť</t>
  </si>
  <si>
    <t>AS Trenčín, a.s. - realizácia filmu "120 rokov futbalu v Trenčíne"</t>
  </si>
  <si>
    <t>Fond na podporu športu - ZŠ Dlhé Hony - športový areál</t>
  </si>
  <si>
    <t>Športový areál</t>
  </si>
  <si>
    <t xml:space="preserve">Dobrovoľná civilná ochrana - dotácia na materiálové vybavenie </t>
  </si>
  <si>
    <t>Vratky</t>
  </si>
  <si>
    <t>ŠJ pri CMŠ Bl. Tarzície</t>
  </si>
  <si>
    <t>ŠJ pri SMŠ Motýlik</t>
  </si>
  <si>
    <t>Integrovaná doprava Žilinského a Trenčianskeho kraja s.r.o. - dotácia na prípravu a koordináciu prevádzkovania integrovaného dopravného systému</t>
  </si>
  <si>
    <t>Slimáčkovo, s.r.o., M.Turkovej 22, Trenčín</t>
  </si>
  <si>
    <t>AS Trenčín, a.s. - dotácia na činnosť</t>
  </si>
  <si>
    <t>Hokejový klub Dukla Trenčín n.o. - dotácia na činnosť</t>
  </si>
  <si>
    <t>Športový klub 1.FBC Trenčín, o.z. - dotácia na činnosť</t>
  </si>
  <si>
    <t>Florbalový klub AS Trenčín - dotácia na činnosť</t>
  </si>
  <si>
    <t>Basketbalový klub AS Trenčín - dotácia na činnosť</t>
  </si>
  <si>
    <t>Výmena palubovej podlahy a mobilných tribún v športovej hale</t>
  </si>
  <si>
    <t>Cirkevný zbor Evanjelickej cirkvi augsburského vyznania na Slovensku Trenčín - dotácia na revitalizáciu nádvoria farského úradu - sadové úpravy a výstavba altánku</t>
  </si>
  <si>
    <t>Granty (dary, sponzor.)</t>
  </si>
  <si>
    <t>Prieskum spokojnosti cestujúcich s kvalitou MHD v meste Trenčín</t>
  </si>
  <si>
    <t>Súkromná výdajná ŠJ, Záhumenská 7A</t>
  </si>
  <si>
    <t>Rekonštrukcia povrchu na chodníkoch na ul. Gen.Viesta</t>
  </si>
  <si>
    <t>Drobné rekonštrukčné práce v Športovej hale</t>
  </si>
  <si>
    <t>Chodník na ul. M.R.Štefánika pri bytovom dome č. 383</t>
  </si>
  <si>
    <t>AK Slávia Trenčín o.z. - Príprava pretekárov na ME U23 a YOF</t>
  </si>
  <si>
    <t>Projekt Šaliansky Maťko</t>
  </si>
  <si>
    <t>Príjem z predaja kapitálových aktív</t>
  </si>
  <si>
    <t>Projekt Mobilities for EU</t>
  </si>
  <si>
    <t>Projekt Making City</t>
  </si>
  <si>
    <t>Návrh na reštaurovanie vybraných kamenných článkov nad farskými schodmi</t>
  </si>
  <si>
    <t>Zábradlie s personálnou bránkou Farská</t>
  </si>
  <si>
    <t>Rekonštrukcia a modernizácia</t>
  </si>
  <si>
    <t>Chodník Západná</t>
  </si>
  <si>
    <t>Nevyčerpaná dotácia za rok 2024</t>
  </si>
  <si>
    <t>Projekt na inštaláciu bleskozvodu</t>
  </si>
  <si>
    <t>Inštalácia bleskozvodu</t>
  </si>
  <si>
    <t>Vzduchotechnika</t>
  </si>
  <si>
    <t>Multifunkčná panvica</t>
  </si>
  <si>
    <t>Obnova mestskej krytej plavárne</t>
  </si>
  <si>
    <t>Rekuperácia</t>
  </si>
  <si>
    <t>Altánok</t>
  </si>
  <si>
    <t>Klimatizácia</t>
  </si>
  <si>
    <t>Nevyčerpaná dotácia z roku 2024</t>
  </si>
  <si>
    <t>453: Nevyčerpané finančné prostriedky z roku 2024 - komunálny odpad</t>
  </si>
  <si>
    <t>453: Nevyčerpané finančné prostriedky z roku 2024 - podnikanie KIS</t>
  </si>
  <si>
    <t>453: Nevyčerpané finančné prostriedky z roku 2024 - poplatok za rozvoj</t>
  </si>
  <si>
    <t>453: SSMT m.r.o.  - Nevyčerpané finančné prostriedky z predchádzajúcich rokov</t>
  </si>
  <si>
    <t>453: ZŠ Kubranská  - Nevyčerpané finančné prostriedky z predchádzajúcich rokov</t>
  </si>
  <si>
    <t xml:space="preserve">Materiál </t>
  </si>
  <si>
    <t>Župný dom - interiérové a exteriérové vybavenie a zariadenie</t>
  </si>
  <si>
    <t>Elektrická požiarna signalizácia v archíve budovy MHSL</t>
  </si>
  <si>
    <t xml:space="preserve">R E Z E R V N Ý  F O N D </t>
  </si>
  <si>
    <t>Stav rezervného fondu k 1.1.2025</t>
  </si>
  <si>
    <t>Tvorba rezervného fondu z hospodárskeho výsledku 2024 (schválenie v rámci Záverečného účtu mesta Trenčín za rok 2024)</t>
  </si>
  <si>
    <t>Čerpanie</t>
  </si>
  <si>
    <t>Ipčko, o.z. - Bezpečný priestor pre mladých v Káčko Trenčín</t>
  </si>
  <si>
    <t>Golfový a športový klub Trenčín - Pickleball - nový šport v meste pre každého</t>
  </si>
  <si>
    <t xml:space="preserve">Bežné </t>
  </si>
  <si>
    <t>Zahraničné granty</t>
  </si>
  <si>
    <t>Mestské divadlo Trenčín o.z. - Letné divadelné večery</t>
  </si>
  <si>
    <t>Realizácia exteriérového výstavného systému na stenu MsÚ</t>
  </si>
  <si>
    <t>Dobrovoľná požiarna ochrana o.z. - dotácia pre DHZ Opatová a DHZ Záblatie</t>
  </si>
  <si>
    <t>Dotácia na vojnové hroby</t>
  </si>
  <si>
    <t>Personalizácia služieb mesta Trenčín a podpora omnikanálového modelu komunikácie</t>
  </si>
  <si>
    <t>Z predaja kapitálových aktív</t>
  </si>
  <si>
    <t xml:space="preserve">Granty   </t>
  </si>
  <si>
    <t>Nadácia EPH - Ochrana rímskeho nápisu v Trenčíne</t>
  </si>
  <si>
    <t>Dotácia na podporu rozvoja sociálnych služieb - motorové vozidlo pre SSmT m.r.o.</t>
  </si>
  <si>
    <t>Elektrický varný kotol</t>
  </si>
  <si>
    <t>Plynový varný kotol</t>
  </si>
  <si>
    <t>814: Účasť na majetku</t>
  </si>
  <si>
    <t>Trenčiansky Futbalový klub Opatová o.z. - dotácia na kontajnerovú šatňu</t>
  </si>
  <si>
    <t>Varný kotol</t>
  </si>
  <si>
    <t>Úprava ostrovčeka Kubranská - v križovatke s ul. Pod Hájnikom</t>
  </si>
  <si>
    <t>Priechod pre chodcov Kubranská</t>
  </si>
  <si>
    <t>Projekt Inovácie verejných služieb SMART City</t>
  </si>
  <si>
    <t>Výstavba miest pre nabíjanie elektromobilov</t>
  </si>
  <si>
    <t xml:space="preserve">Rozšírenie koncertnej sály </t>
  </si>
  <si>
    <t>Centrum pre rodinu o.z. - dotácia na spolufinancovanie rekonštrukcie objektu Centra pre rodinu</t>
  </si>
  <si>
    <t>Reštaurovanie sochy Dievča vo fontáne</t>
  </si>
  <si>
    <t>Interiérové vybavenie pre Technický sekretariát kooperačnej rady UMR Trenčín</t>
  </si>
  <si>
    <t>Interiérové vybavenie kancelárií</t>
  </si>
  <si>
    <t>Kosačka</t>
  </si>
  <si>
    <t>Rekonštrukcia ul. Braneckého a chodníka Nám.sv.Anny okolo kostola</t>
  </si>
  <si>
    <t>Prieskumné sondy pred realizáciou investičných akcií</t>
  </si>
  <si>
    <t>Rekonštrukcia komunikácie Šmidkeho 18-22</t>
  </si>
  <si>
    <t xml:space="preserve">Projekt protipožiarnej bezpečnosti na zimnom štadióne </t>
  </si>
  <si>
    <t>Koncept digitálneho dvojčaťa</t>
  </si>
  <si>
    <t>Rekonštrukcia strechy strojovne zimného štadióna</t>
  </si>
  <si>
    <t>Dotácia na odmeny 800 EUR</t>
  </si>
  <si>
    <t>Hmotná núdza pre deti - školstvo</t>
  </si>
  <si>
    <t>Erazmus +</t>
  </si>
  <si>
    <t>Prestavba križovatky a vybudovanie prestupného bodu Pred poľom</t>
  </si>
  <si>
    <t>Robot</t>
  </si>
  <si>
    <t>Elektrická pec trojpodlažná</t>
  </si>
  <si>
    <t>Detské ihrisko</t>
  </si>
  <si>
    <t>ohrevné stoly</t>
  </si>
  <si>
    <t>Spevnené plochy pri Zimnom štadióne - projektová dokumentácia</t>
  </si>
  <si>
    <t>Výrobno-dielenská dokumentácia "Zriadenie trhov Trenčín"</t>
  </si>
  <si>
    <t>Modernizácia pamätníka "Kuciak"</t>
  </si>
  <si>
    <t xml:space="preserve">Izolácie nad verejným WC </t>
  </si>
  <si>
    <t>PD aktualizácia elektroinštalácie - Blok A,C,D</t>
  </si>
  <si>
    <t>Rozšírenie jedálne na ZŠ Dlhé Hony v Trenčíne</t>
  </si>
  <si>
    <t>Dogma Divadlo - Cairo International Festival for Monodrama</t>
  </si>
  <si>
    <t>Inštitút vzdelávania a inovácií v politike - IVIP Fórum 2025 Ako tvoriť miesta, kde chceme žiť</t>
  </si>
  <si>
    <t>0474</t>
  </si>
  <si>
    <t>Požiadavky požiarnej ochrany</t>
  </si>
  <si>
    <t>Rekonštrukcia fasády budovy MsÚ a verejných WC</t>
  </si>
  <si>
    <t>Golfový a športový klub Trenčín - O pohár primátora mesta Trenčín 2025</t>
  </si>
  <si>
    <t>Rozšírenie jedálne na ZŠ Dlhé Hony v Trenčíne - technológia kuchyne</t>
  </si>
  <si>
    <t>Výmena asfaltového krytu komunikácie v Kubrej ku Kyselke</t>
  </si>
  <si>
    <t>Rekonštrukcia okien</t>
  </si>
  <si>
    <t>Technické zariadenia</t>
  </si>
  <si>
    <t>Označníky pri OC Laugarício a Tesco</t>
  </si>
  <si>
    <t>Župný dom - kultúrny hotspot</t>
  </si>
  <si>
    <t>Podpora rozvoja udržateľnej mobility v mestskej funkčnej oblasti Trenčín</t>
  </si>
  <si>
    <t>Statika a konzervácia mestského opevnenia Farská ul.</t>
  </si>
  <si>
    <t>Klimatizácia kancelárií na ul. Hviezdoslavova</t>
  </si>
  <si>
    <t>Digitalizácia merania, regulácia a vzdialená správa odovzdávajúcej stanice tepla</t>
  </si>
  <si>
    <t>Ochranné siete na futbalovom ihrisku v Záblatí</t>
  </si>
  <si>
    <t>Kompenzátor jalovej energie</t>
  </si>
  <si>
    <t>MK Veterná</t>
  </si>
  <si>
    <t>Rekonštrukcia rozvodnej skrine</t>
  </si>
  <si>
    <t>Spojená škola internátna Trenčín - dotácia na oslavy 95.výročia založenia školy</t>
  </si>
  <si>
    <t>Dividendy</t>
  </si>
  <si>
    <t>Úžitkové motorové vozidlo</t>
  </si>
  <si>
    <t>Ručná fréza na ľad</t>
  </si>
  <si>
    <t>Prídavné zariadenie za traktor</t>
  </si>
  <si>
    <t>Odvetranie kuchyne</t>
  </si>
  <si>
    <t>Z náhrad poistného plnenia</t>
  </si>
  <si>
    <t>Rekonštrukcia panelovej cesty v Kubrici</t>
  </si>
  <si>
    <t>Protihlukové opatrenia vzduchotechnickej jednotky</t>
  </si>
  <si>
    <t>Rekonštrukcia šatní</t>
  </si>
  <si>
    <t>Rozpočet 2025</t>
  </si>
  <si>
    <t>Župný dom - projektové dokumentácie a projektové práce</t>
  </si>
  <si>
    <t>Z poistného plnenia</t>
  </si>
  <si>
    <t>Stabilizačný príspevok</t>
  </si>
  <si>
    <t>Hmotná núdza</t>
  </si>
  <si>
    <t>Prenájom zariadení</t>
  </si>
  <si>
    <t>2 umývačky riadu s príslušenstvom</t>
  </si>
  <si>
    <t>Grant - Obec Zamarovce</t>
  </si>
  <si>
    <t>Mulčovacia kosačka</t>
  </si>
  <si>
    <t>Plnenie Programového rozpočtu mesta Trenčín k 31.12.2025</t>
  </si>
  <si>
    <t>Plnenie rozpočtu k 31.12.2025</t>
  </si>
  <si>
    <t>% plnenia</t>
  </si>
  <si>
    <t>Bežný rozpočet na rok 2025</t>
  </si>
  <si>
    <t>Kapitálový rozpočet na rok 2025</t>
  </si>
  <si>
    <t>Rozpočet na rok 2025 spolu</t>
  </si>
  <si>
    <t>Plnenie bežného rozpočtu k 31.12.2025</t>
  </si>
  <si>
    <t>Plnenie kapitálového rozpočtu k 31.12.2025</t>
  </si>
  <si>
    <t>Plnenie rozpočtu k 31.12.2025 spolu</t>
  </si>
  <si>
    <t>SPAK-EKO a.s.</t>
  </si>
  <si>
    <t>Projekt Budovanie mesta s prehľadným systémom investícií  - Hackathon</t>
  </si>
  <si>
    <t xml:space="preserve">Z prenajatých strojov, prístrojov, zariadení, techniky a náradia </t>
  </si>
  <si>
    <t>Za prebytočný hnuteľný majetok</t>
  </si>
  <si>
    <t>HORIZON 2020</t>
  </si>
  <si>
    <t>Vyvýšený priechod</t>
  </si>
  <si>
    <t>IKT vybavenie pre Technický sekretariát Kooperačnej rady UMR Trenčín</t>
  </si>
  <si>
    <t>Dotácia na rýchle opatrenia v budove Mestského úradu a v budove MHSL m.r.o.</t>
  </si>
  <si>
    <t>Autobusová stanica - nika, prístrešky, označníky</t>
  </si>
  <si>
    <t>Doplnenie hardvéru a softvéru do multimediálnej kocky a aktualizácia protipožiarnych opatrení</t>
  </si>
  <si>
    <t>Schválený bežný rozpočet 2025</t>
  </si>
  <si>
    <t>Schválený kapitálový rozpočet</t>
  </si>
  <si>
    <t>Upravený bežný rozpočet 2025</t>
  </si>
  <si>
    <t xml:space="preserve">Upravený kapitálový rozpočet </t>
  </si>
  <si>
    <t>Schválený rozpočet spolu</t>
  </si>
  <si>
    <t>Upravený rozpočet spolu</t>
  </si>
  <si>
    <t>Programový rozpočet Mesta Trenčín na rok 2025 - sumarizácia</t>
  </si>
  <si>
    <t xml:space="preserve">   </t>
  </si>
  <si>
    <t>Schválené použitie v roku 2025/skutočné použitie 2025</t>
  </si>
  <si>
    <t>Predpokladaný stav rezervného fondu k 31.12.2025/skutočný stav rezervného fondu k 31.12.2025</t>
  </si>
  <si>
    <t>NFP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</si>
</sst>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2" formatCode="_-* #,##0\ &quot;€&quot;_-;\-* #,##0\ &quot;€&quot;_-;_-* &quot;-&quot;\ &quot;€&quot;_-;_-@_-"/>
    <numFmt numFmtId="41" formatCode="_-* #,##0_-;\-* #,##0_-;_-* &quot;-&quot;_-;_-@_-"/>
    <numFmt numFmtId="43" formatCode="_-* #,##0.00_-;\-* #,##0.00_-;_-* &quot;-&quot;??_-;_-@_-"/>
    <numFmt numFmtId="164" formatCode="#,##0.00\ [$EUR]"/>
    <numFmt numFmtId="165" formatCode="#,##0.00\ [$EUR];[Red]#,##0.00\ [$EUR]"/>
    <numFmt numFmtId="166" formatCode="#,##0.0"/>
  </numFmts>
  <fonts count="61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name val="Arial"/>
      <family val="2"/>
      <charset val="238"/>
    </font>
    <font>
      <b/>
      <sz val="22"/>
      <color indexed="18"/>
      <name val="Arial"/>
      <family val="2"/>
      <charset val="238"/>
    </font>
    <font>
      <b/>
      <i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20"/>
      <name val="Arial"/>
      <family val="2"/>
      <charset val="238"/>
    </font>
    <font>
      <sz val="6"/>
      <name val="Arial"/>
      <family val="2"/>
      <charset val="238"/>
    </font>
    <font>
      <b/>
      <i/>
      <sz val="12"/>
      <color indexed="9"/>
      <name val="Arial"/>
      <family val="2"/>
      <charset val="238"/>
    </font>
    <font>
      <b/>
      <i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3"/>
      <name val="Cambria"/>
      <family val="2"/>
      <scheme val="major"/>
    </font>
    <font>
      <b/>
      <sz val="24"/>
      <color theme="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8"/>
      <color theme="4"/>
      <name val="Cambria"/>
      <family val="2"/>
      <scheme val="major"/>
    </font>
    <font>
      <sz val="11"/>
      <color rgb="FF9C57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i/>
      <sz val="12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22"/>
      <color theme="3" tint="-0.249977111117893"/>
      <name val="Arial"/>
      <family val="2"/>
      <charset val="238"/>
    </font>
    <font>
      <b/>
      <sz val="16"/>
      <color theme="3" tint="-0.249977111117893"/>
      <name val="Arial"/>
      <family val="2"/>
      <charset val="238"/>
    </font>
    <font>
      <b/>
      <sz val="22"/>
      <color rgb="FF000080"/>
      <name val="Arial"/>
      <family val="2"/>
      <charset val="238"/>
    </font>
    <font>
      <i/>
      <sz val="8"/>
      <color indexed="9"/>
      <name val="Arial"/>
      <family val="2"/>
      <charset val="238"/>
    </font>
    <font>
      <i/>
      <sz val="8"/>
      <color theme="0"/>
      <name val="Arial"/>
      <family val="2"/>
      <charset val="238"/>
    </font>
    <font>
      <b/>
      <i/>
      <sz val="11"/>
      <name val="Arial"/>
      <family val="2"/>
      <charset val="238"/>
    </font>
    <font>
      <i/>
      <sz val="9"/>
      <color indexed="9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4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</fills>
  <borders count="1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/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/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/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hair">
        <color theme="3" tint="0.39988402966399123"/>
      </left>
      <right style="thin">
        <color theme="3" tint="0.39988402966399123"/>
      </right>
      <top style="hair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thin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1454817346722"/>
      </left>
      <right style="hair">
        <color theme="3" tint="0.39991454817346722"/>
      </right>
      <top style="thin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91454817346722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/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5351115451523"/>
      </top>
      <bottom style="medium">
        <color theme="3" tint="0.399853511154515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hair">
        <color theme="3" tint="0.39988402966399123"/>
      </left>
      <right style="hair">
        <color theme="3" tint="0.39988402966399123"/>
      </right>
      <top/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thin">
        <color theme="3" tint="0.39991454817346722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medium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4506668294322"/>
      </top>
      <bottom style="hair">
        <color theme="3" tint="0.39994506668294322"/>
      </bottom>
      <diagonal/>
    </border>
    <border>
      <left/>
      <right/>
      <top style="hair">
        <color theme="3" tint="0.39991454817346722"/>
      </top>
      <bottom style="hair">
        <color theme="3" tint="0.39991454817346722"/>
      </bottom>
      <diagonal/>
    </border>
    <border>
      <left/>
      <right style="hair">
        <color theme="3" tint="0.39988402966399123"/>
      </right>
      <top/>
      <bottom/>
      <diagonal/>
    </border>
    <border>
      <left style="thin">
        <color theme="3" tint="0.39991454817346722"/>
      </left>
      <right style="hair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4506668294322"/>
      </top>
      <bottom style="hair">
        <color theme="3" tint="0.39991454817346722"/>
      </bottom>
      <diagonal/>
    </border>
    <border>
      <left style="thin">
        <color theme="3" tint="0.39991454817346722"/>
      </left>
      <right style="hair">
        <color theme="3" tint="0.39994506668294322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thin">
        <color theme="3" tint="0.39991454817346722"/>
      </right>
      <top style="thin">
        <color theme="3" tint="0.39994506668294322"/>
      </top>
      <bottom style="hair">
        <color theme="3" tint="0.39991454817346722"/>
      </bottom>
      <diagonal/>
    </border>
    <border>
      <left/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thin">
        <color theme="3" tint="0.39994506668294322"/>
      </bottom>
      <diagonal/>
    </border>
    <border>
      <left style="hair">
        <color theme="3" tint="0.39994506668294322"/>
      </left>
      <right/>
      <top/>
      <bottom style="thin">
        <color theme="3" tint="0.39994506668294322"/>
      </bottom>
      <diagonal/>
    </border>
    <border>
      <left/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thin">
        <color theme="3" tint="0.39994506668294322"/>
      </left>
      <right style="hair">
        <color theme="3" tint="0.39994506668294322"/>
      </right>
      <top style="thin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/>
      <top style="hair">
        <color theme="3" tint="0.39994506668294322"/>
      </top>
      <bottom/>
      <diagonal/>
    </border>
    <border>
      <left/>
      <right/>
      <top style="hair">
        <color theme="3" tint="0.39994506668294322"/>
      </top>
      <bottom/>
      <diagonal/>
    </border>
    <border>
      <left style="hair">
        <color theme="3" tint="0.39988402966399123"/>
      </left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/>
      <top/>
      <bottom style="hair">
        <color theme="3" tint="0.39991454817346722"/>
      </bottom>
      <diagonal/>
    </border>
    <border>
      <left style="hair">
        <color theme="3" tint="0.39994506668294322"/>
      </left>
      <right/>
      <top/>
      <bottom style="hair">
        <color theme="3" tint="0.39994506668294322"/>
      </bottom>
      <diagonal/>
    </border>
    <border>
      <left/>
      <right/>
      <top/>
      <bottom style="hair">
        <color theme="3" tint="0.39994506668294322"/>
      </bottom>
      <diagonal/>
    </border>
    <border>
      <left/>
      <right style="hair">
        <color theme="3" tint="0.39994506668294322"/>
      </right>
      <top/>
      <bottom style="hair">
        <color theme="3" tint="0.39994506668294322"/>
      </bottom>
      <diagonal/>
    </border>
    <border>
      <left/>
      <right/>
      <top/>
      <bottom style="thin">
        <color theme="3" tint="0.39994506668294322"/>
      </bottom>
      <diagonal/>
    </border>
    <border>
      <left style="hair">
        <color theme="3" tint="0.39991454817346722"/>
      </left>
      <right style="hair">
        <color theme="3" tint="0.39988402966399123"/>
      </right>
      <top/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 style="thin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 style="thin">
        <color theme="3" tint="0.39991454817346722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hair">
        <color theme="3" tint="0.39994506668294322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hair">
        <color theme="3" tint="0.39994506668294322"/>
      </bottom>
      <diagonal/>
    </border>
    <border>
      <left style="medium">
        <color theme="3" tint="0.59999389629810485"/>
      </left>
      <right style="hair">
        <color theme="3" tint="0.39994506668294322"/>
      </right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/>
      <top style="hair">
        <color theme="3" tint="0.39994506668294322"/>
      </top>
      <bottom style="medium">
        <color theme="3" tint="0.59999389629810485"/>
      </bottom>
      <diagonal/>
    </border>
    <border>
      <left/>
      <right/>
      <top style="hair">
        <color theme="3" tint="0.39994506668294322"/>
      </top>
      <bottom style="medium">
        <color theme="3" tint="0.59999389629810485"/>
      </bottom>
      <diagonal/>
    </border>
    <border>
      <left style="hair">
        <color theme="3" tint="0.39994506668294322"/>
      </left>
      <right style="medium">
        <color theme="3" tint="0.59999389629810485"/>
      </right>
      <top style="hair">
        <color theme="3" tint="0.39994506668294322"/>
      </top>
      <bottom style="medium">
        <color theme="3" tint="0.59999389629810485"/>
      </bottom>
      <diagonal/>
    </border>
    <border>
      <left/>
      <right style="hair">
        <color theme="3" tint="0.39991454817346722"/>
      </right>
      <top/>
      <bottom/>
      <diagonal/>
    </border>
    <border>
      <left style="thin">
        <color theme="3" tint="0.39994506668294322"/>
      </left>
      <right/>
      <top/>
      <bottom style="hair">
        <color theme="3" tint="0.39994506668294322"/>
      </bottom>
      <diagonal/>
    </border>
    <border>
      <left style="hair">
        <color theme="3" tint="0.39994506668294322"/>
      </left>
      <right style="hair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4506668294322"/>
      </left>
      <right style="thin">
        <color theme="3" tint="0.39994506668294322"/>
      </right>
      <top/>
      <bottom style="hair">
        <color theme="3" tint="0.39994506668294322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hair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91454817346722"/>
      </top>
      <bottom/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94506668294322"/>
      </top>
      <bottom/>
      <diagonal/>
    </border>
    <border>
      <left/>
      <right/>
      <top style="hair">
        <color theme="3" tint="0.39988402966399123"/>
      </top>
      <bottom style="hair">
        <color theme="3" tint="0.39988402966399123"/>
      </bottom>
      <diagonal/>
    </border>
    <border>
      <left style="thin">
        <color theme="3" tint="0.39991454817346722"/>
      </left>
      <right style="hair">
        <color theme="3" tint="0.399914548173467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4506668294322"/>
      </left>
      <right style="thin">
        <color theme="3" tint="0.399945066682943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/>
      <right style="hair">
        <color theme="3" tint="0.399914548173467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4506668294322"/>
      </left>
      <right/>
      <top style="hair">
        <color theme="3" tint="0.39988402966399123"/>
      </top>
      <bottom style="hair">
        <color theme="3" tint="0.39988402966399123"/>
      </bottom>
      <diagonal/>
    </border>
    <border>
      <left/>
      <right style="hair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 style="hair">
        <color theme="3" tint="0.39991454817346722"/>
      </left>
      <right style="thin">
        <color theme="3" tint="0.39991454817346722"/>
      </right>
      <top style="hair">
        <color theme="3" tint="0.39991454817346722"/>
      </top>
      <bottom style="hair">
        <color theme="3" tint="0.39988402966399123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1454817346722"/>
      </right>
      <top style="hair">
        <color theme="3" tint="0.39991454817346722"/>
      </top>
      <bottom style="hair">
        <color theme="3" tint="0.39991454817346722"/>
      </bottom>
      <diagonal/>
    </border>
    <border>
      <left/>
      <right style="thin">
        <color theme="3" tint="0.39994506668294322"/>
      </right>
      <top style="hair">
        <color theme="3" tint="0.39994506668294322"/>
      </top>
      <bottom/>
      <diagonal/>
    </border>
    <border>
      <left/>
      <right style="thin">
        <color theme="3" tint="0.39994506668294322"/>
      </right>
      <top style="hair">
        <color theme="3" tint="0.39988402966399123"/>
      </top>
      <bottom style="hair">
        <color theme="3" tint="0.39988402966399123"/>
      </bottom>
      <diagonal/>
    </border>
    <border>
      <left/>
      <right style="thin">
        <color theme="3" tint="0.39994506668294322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 style="hair">
        <color theme="3" tint="0.39991454817346722"/>
      </bottom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914548173467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1454817346722"/>
      </top>
      <bottom/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94506668294322"/>
      </top>
      <bottom/>
      <diagonal/>
    </border>
    <border>
      <left style="hair">
        <color theme="3" tint="0.39991454817346722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  <border>
      <left style="hair">
        <color theme="3" tint="0.39988402966399123"/>
      </left>
      <right style="hair">
        <color theme="3" tint="0.39988402966399123"/>
      </right>
      <top style="hair">
        <color theme="3" tint="0.39988402966399123"/>
      </top>
      <bottom style="hair">
        <color theme="3" tint="0.39991454817346722"/>
      </bottom>
      <diagonal/>
    </border>
  </borders>
  <cellStyleXfs count="65">
    <xf numFmtId="0" fontId="0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2" fillId="25" borderId="0" applyNumberFormat="0" applyBorder="0" applyAlignment="0" applyProtection="0"/>
    <xf numFmtId="0" fontId="4" fillId="0" borderId="0"/>
    <xf numFmtId="0" fontId="33" fillId="26" borderId="1" applyNumberFormat="0" applyAlignment="0" applyProtection="0"/>
    <xf numFmtId="42" fontId="31" fillId="0" borderId="0" applyFont="0" applyFill="0" applyBorder="0" applyAlignment="0" applyProtection="0"/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165" fontId="31" fillId="0" borderId="0" applyFont="0" applyFill="0" applyBorder="0" applyProtection="0">
      <alignment horizontal="right" vertical="center"/>
    </xf>
    <xf numFmtId="0" fontId="34" fillId="0" borderId="0" applyNumberFormat="0" applyFill="0" applyAlignment="0" applyProtection="0"/>
    <xf numFmtId="164" fontId="35" fillId="27" borderId="0" applyProtection="0">
      <alignment horizontal="right"/>
    </xf>
    <xf numFmtId="0" fontId="36" fillId="0" borderId="0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28" borderId="0" applyNumberFormat="0" applyBorder="0" applyAlignment="0" applyProtection="0"/>
    <xf numFmtId="0" fontId="4" fillId="0" borderId="0"/>
    <xf numFmtId="0" fontId="29" fillId="0" borderId="0"/>
    <xf numFmtId="0" fontId="3" fillId="0" borderId="0"/>
    <xf numFmtId="0" fontId="31" fillId="0" borderId="0">
      <alignment vertical="center" wrapText="1"/>
    </xf>
    <xf numFmtId="0" fontId="29" fillId="0" borderId="0"/>
    <xf numFmtId="0" fontId="3" fillId="0" borderId="0"/>
    <xf numFmtId="9" fontId="31" fillId="0" borderId="0" applyFont="0" applyFill="0" applyBorder="0" applyAlignment="0" applyProtection="0"/>
    <xf numFmtId="0" fontId="31" fillId="29" borderId="2" applyNumberFormat="0" applyFont="0" applyAlignment="0" applyProtection="0"/>
    <xf numFmtId="0" fontId="40" fillId="0" borderId="3" applyNumberFormat="0" applyFill="0" applyAlignment="0" applyProtection="0"/>
    <xf numFmtId="0" fontId="41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43" fillId="30" borderId="5" applyNumberFormat="0" applyAlignment="0" applyProtection="0"/>
    <xf numFmtId="0" fontId="44" fillId="31" borderId="5" applyNumberFormat="0" applyAlignment="0" applyProtection="0"/>
    <xf numFmtId="0" fontId="45" fillId="31" borderId="6" applyNumberFormat="0" applyAlignment="0" applyProtection="0"/>
    <xf numFmtId="0" fontId="46" fillId="0" borderId="0" applyNumberFormat="0" applyFill="0" applyBorder="0" applyAlignment="0" applyProtection="0"/>
    <xf numFmtId="0" fontId="47" fillId="32" borderId="0" applyNumberFormat="0" applyBorder="0" applyAlignment="0" applyProtection="0"/>
    <xf numFmtId="0" fontId="48" fillId="33" borderId="0" applyNumberFormat="0" applyBorder="0" applyAlignment="0" applyProtection="0"/>
    <xf numFmtId="0" fontId="48" fillId="34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7" borderId="0" applyNumberFormat="0" applyBorder="0" applyAlignment="0" applyProtection="0"/>
    <xf numFmtId="0" fontId="48" fillId="38" borderId="0" applyNumberFormat="0" applyBorder="0" applyAlignment="0" applyProtection="0"/>
  </cellStyleXfs>
  <cellXfs count="713">
    <xf numFmtId="0" fontId="0" fillId="0" borderId="0" xfId="0"/>
    <xf numFmtId="0" fontId="7" fillId="0" borderId="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2" fillId="0" borderId="9" xfId="0" applyFont="1" applyBorder="1" applyAlignment="1">
      <alignment horizontal="center"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13" fillId="3" borderId="7" xfId="0" applyFont="1" applyFill="1" applyBorder="1"/>
    <xf numFmtId="3" fontId="13" fillId="3" borderId="7" xfId="0" applyNumberFormat="1" applyFont="1" applyFill="1" applyBorder="1"/>
    <xf numFmtId="3" fontId="13" fillId="3" borderId="10" xfId="0" applyNumberFormat="1" applyFont="1" applyFill="1" applyBorder="1" applyAlignment="1">
      <alignment horizontal="right"/>
    </xf>
    <xf numFmtId="0" fontId="16" fillId="0" borderId="7" xfId="0" applyFont="1" applyBorder="1"/>
    <xf numFmtId="49" fontId="16" fillId="0" borderId="7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3" fontId="16" fillId="0" borderId="7" xfId="0" applyNumberFormat="1" applyFont="1" applyBorder="1"/>
    <xf numFmtId="3" fontId="16" fillId="0" borderId="10" xfId="0" applyNumberFormat="1" applyFont="1" applyBorder="1"/>
    <xf numFmtId="0" fontId="17" fillId="0" borderId="7" xfId="0" applyFont="1" applyBorder="1"/>
    <xf numFmtId="49" fontId="1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3" fontId="17" fillId="0" borderId="7" xfId="0" applyNumberFormat="1" applyFont="1" applyBorder="1"/>
    <xf numFmtId="3" fontId="17" fillId="0" borderId="10" xfId="0" applyNumberFormat="1" applyFont="1" applyBorder="1"/>
    <xf numFmtId="0" fontId="18" fillId="0" borderId="7" xfId="0" applyFont="1" applyBorder="1"/>
    <xf numFmtId="0" fontId="7" fillId="0" borderId="7" xfId="0" applyFont="1" applyBorder="1" applyAlignment="1">
      <alignment horizontal="center"/>
    </xf>
    <xf numFmtId="3" fontId="7" fillId="0" borderId="7" xfId="0" applyNumberFormat="1" applyFont="1" applyBorder="1"/>
    <xf numFmtId="3" fontId="18" fillId="0" borderId="7" xfId="0" applyNumberFormat="1" applyFont="1" applyBorder="1"/>
    <xf numFmtId="3" fontId="7" fillId="0" borderId="10" xfId="0" applyNumberFormat="1" applyFont="1" applyBorder="1"/>
    <xf numFmtId="0" fontId="15" fillId="40" borderId="7" xfId="0" applyFont="1" applyFill="1" applyBorder="1"/>
    <xf numFmtId="3" fontId="15" fillId="40" borderId="7" xfId="0" applyNumberFormat="1" applyFont="1" applyFill="1" applyBorder="1"/>
    <xf numFmtId="3" fontId="15" fillId="40" borderId="10" xfId="0" applyNumberFormat="1" applyFont="1" applyFill="1" applyBorder="1"/>
    <xf numFmtId="3" fontId="17" fillId="41" borderId="7" xfId="0" applyNumberFormat="1" applyFont="1" applyFill="1" applyBorder="1"/>
    <xf numFmtId="3" fontId="13" fillId="3" borderId="10" xfId="0" applyNumberFormat="1" applyFont="1" applyFill="1" applyBorder="1"/>
    <xf numFmtId="0" fontId="18" fillId="0" borderId="7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/>
    </xf>
    <xf numFmtId="3" fontId="18" fillId="0" borderId="7" xfId="0" applyNumberFormat="1" applyFont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7" xfId="0" applyFont="1" applyBorder="1" applyAlignment="1">
      <alignment wrapText="1"/>
    </xf>
    <xf numFmtId="0" fontId="13" fillId="3" borderId="12" xfId="0" applyFont="1" applyFill="1" applyBorder="1"/>
    <xf numFmtId="0" fontId="2" fillId="0" borderId="13" xfId="0" applyFont="1" applyBorder="1" applyAlignment="1">
      <alignment horizontal="center" vertical="center"/>
    </xf>
    <xf numFmtId="0" fontId="13" fillId="3" borderId="14" xfId="0" applyFont="1" applyFill="1" applyBorder="1"/>
    <xf numFmtId="3" fontId="13" fillId="3" borderId="14" xfId="0" applyNumberFormat="1" applyFont="1" applyFill="1" applyBorder="1"/>
    <xf numFmtId="3" fontId="13" fillId="3" borderId="15" xfId="0" applyNumberFormat="1" applyFont="1" applyFill="1" applyBorder="1"/>
    <xf numFmtId="3" fontId="18" fillId="0" borderId="10" xfId="0" applyNumberFormat="1" applyFont="1" applyBorder="1"/>
    <xf numFmtId="0" fontId="18" fillId="0" borderId="14" xfId="0" applyFont="1" applyBorder="1"/>
    <xf numFmtId="0" fontId="18" fillId="0" borderId="14" xfId="0" applyFont="1" applyBorder="1" applyAlignment="1">
      <alignment horizontal="center"/>
    </xf>
    <xf numFmtId="0" fontId="7" fillId="0" borderId="14" xfId="0" applyFont="1" applyBorder="1"/>
    <xf numFmtId="3" fontId="7" fillId="0" borderId="14" xfId="0" applyNumberFormat="1" applyFont="1" applyBorder="1"/>
    <xf numFmtId="3" fontId="18" fillId="0" borderId="14" xfId="0" applyNumberFormat="1" applyFont="1" applyBorder="1"/>
    <xf numFmtId="3" fontId="18" fillId="0" borderId="15" xfId="0" applyNumberFormat="1" applyFont="1" applyBorder="1"/>
    <xf numFmtId="0" fontId="17" fillId="0" borderId="7" xfId="0" applyFont="1" applyBorder="1" applyAlignment="1">
      <alignment vertical="center"/>
    </xf>
    <xf numFmtId="49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vertical="center" wrapText="1"/>
    </xf>
    <xf numFmtId="3" fontId="17" fillId="0" borderId="7" xfId="0" applyNumberFormat="1" applyFont="1" applyBorder="1" applyAlignment="1">
      <alignment vertical="center"/>
    </xf>
    <xf numFmtId="3" fontId="17" fillId="0" borderId="10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0" fontId="7" fillId="0" borderId="0" xfId="0" applyFont="1"/>
    <xf numFmtId="0" fontId="2" fillId="0" borderId="17" xfId="0" applyFont="1" applyBorder="1" applyAlignment="1">
      <alignment horizontal="center" vertical="center"/>
    </xf>
    <xf numFmtId="3" fontId="11" fillId="2" borderId="18" xfId="0" applyNumberFormat="1" applyFont="1" applyFill="1" applyBorder="1" applyAlignment="1">
      <alignment vertical="center"/>
    </xf>
    <xf numFmtId="3" fontId="11" fillId="2" borderId="19" xfId="0" applyNumberFormat="1" applyFont="1" applyFill="1" applyBorder="1" applyAlignment="1">
      <alignment vertical="center"/>
    </xf>
    <xf numFmtId="0" fontId="13" fillId="3" borderId="18" xfId="0" applyFont="1" applyFill="1" applyBorder="1"/>
    <xf numFmtId="3" fontId="13" fillId="3" borderId="18" xfId="0" applyNumberFormat="1" applyFont="1" applyFill="1" applyBorder="1"/>
    <xf numFmtId="3" fontId="13" fillId="3" borderId="19" xfId="0" applyNumberFormat="1" applyFont="1" applyFill="1" applyBorder="1"/>
    <xf numFmtId="0" fontId="16" fillId="0" borderId="18" xfId="0" applyFont="1" applyBorder="1"/>
    <xf numFmtId="49" fontId="16" fillId="0" borderId="18" xfId="0" applyNumberFormat="1" applyFont="1" applyBorder="1" applyAlignment="1">
      <alignment horizontal="center"/>
    </xf>
    <xf numFmtId="0" fontId="16" fillId="0" borderId="18" xfId="0" applyFont="1" applyBorder="1" applyAlignment="1">
      <alignment horizontal="center"/>
    </xf>
    <xf numFmtId="3" fontId="16" fillId="0" borderId="18" xfId="0" applyNumberFormat="1" applyFont="1" applyBorder="1"/>
    <xf numFmtId="3" fontId="16" fillId="0" borderId="19" xfId="0" applyNumberFormat="1" applyFont="1" applyBorder="1"/>
    <xf numFmtId="0" fontId="17" fillId="0" borderId="18" xfId="0" applyFont="1" applyBorder="1"/>
    <xf numFmtId="49" fontId="17" fillId="0" borderId="18" xfId="0" applyNumberFormat="1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3" fontId="17" fillId="0" borderId="18" xfId="0" applyNumberFormat="1" applyFont="1" applyBorder="1"/>
    <xf numFmtId="3" fontId="2" fillId="0" borderId="18" xfId="0" applyNumberFormat="1" applyFont="1" applyBorder="1"/>
    <xf numFmtId="3" fontId="17" fillId="0" borderId="19" xfId="0" applyNumberFormat="1" applyFont="1" applyBorder="1"/>
    <xf numFmtId="0" fontId="15" fillId="43" borderId="18" xfId="0" applyFont="1" applyFill="1" applyBorder="1"/>
    <xf numFmtId="0" fontId="15" fillId="43" borderId="18" xfId="0" applyFont="1" applyFill="1" applyBorder="1" applyAlignment="1">
      <alignment horizontal="center"/>
    </xf>
    <xf numFmtId="3" fontId="15" fillId="43" borderId="18" xfId="0" applyNumberFormat="1" applyFont="1" applyFill="1" applyBorder="1"/>
    <xf numFmtId="3" fontId="15" fillId="43" borderId="19" xfId="0" applyNumberFormat="1" applyFont="1" applyFill="1" applyBorder="1"/>
    <xf numFmtId="0" fontId="7" fillId="0" borderId="18" xfId="0" applyFont="1" applyBorder="1"/>
    <xf numFmtId="49" fontId="7" fillId="0" borderId="18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8" xfId="0" applyNumberFormat="1" applyFont="1" applyBorder="1"/>
    <xf numFmtId="3" fontId="7" fillId="0" borderId="19" xfId="0" applyNumberFormat="1" applyFont="1" applyBorder="1"/>
    <xf numFmtId="0" fontId="15" fillId="5" borderId="18" xfId="0" applyFont="1" applyFill="1" applyBorder="1"/>
    <xf numFmtId="0" fontId="15" fillId="5" borderId="18" xfId="0" applyFont="1" applyFill="1" applyBorder="1" applyAlignment="1">
      <alignment horizontal="center"/>
    </xf>
    <xf numFmtId="3" fontId="15" fillId="5" borderId="18" xfId="0" applyNumberFormat="1" applyFont="1" applyFill="1" applyBorder="1"/>
    <xf numFmtId="3" fontId="15" fillId="5" borderId="19" xfId="0" applyNumberFormat="1" applyFont="1" applyFill="1" applyBorder="1"/>
    <xf numFmtId="0" fontId="17" fillId="0" borderId="21" xfId="0" applyFont="1" applyBorder="1"/>
    <xf numFmtId="49" fontId="17" fillId="0" borderId="21" xfId="0" applyNumberFormat="1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3" fontId="17" fillId="0" borderId="21" xfId="0" applyNumberFormat="1" applyFont="1" applyBorder="1"/>
    <xf numFmtId="3" fontId="17" fillId="0" borderId="22" xfId="0" applyNumberFormat="1" applyFont="1" applyBorder="1"/>
    <xf numFmtId="0" fontId="18" fillId="0" borderId="18" xfId="0" applyFont="1" applyBorder="1"/>
    <xf numFmtId="0" fontId="15" fillId="5" borderId="7" xfId="0" applyFont="1" applyFill="1" applyBorder="1"/>
    <xf numFmtId="0" fontId="15" fillId="5" borderId="7" xfId="0" applyFont="1" applyFill="1" applyBorder="1" applyAlignment="1">
      <alignment horizontal="center"/>
    </xf>
    <xf numFmtId="3" fontId="15" fillId="5" borderId="7" xfId="0" applyNumberFormat="1" applyFont="1" applyFill="1" applyBorder="1"/>
    <xf numFmtId="3" fontId="15" fillId="5" borderId="10" xfId="0" applyNumberFormat="1" applyFont="1" applyFill="1" applyBorder="1"/>
    <xf numFmtId="49" fontId="7" fillId="0" borderId="7" xfId="0" applyNumberFormat="1" applyFont="1" applyBorder="1" applyAlignment="1">
      <alignment horizontal="center"/>
    </xf>
    <xf numFmtId="0" fontId="17" fillId="42" borderId="7" xfId="0" applyFont="1" applyFill="1" applyBorder="1"/>
    <xf numFmtId="49" fontId="17" fillId="42" borderId="7" xfId="0" applyNumberFormat="1" applyFont="1" applyFill="1" applyBorder="1" applyAlignment="1">
      <alignment horizontal="center"/>
    </xf>
    <xf numFmtId="0" fontId="17" fillId="42" borderId="7" xfId="0" applyFont="1" applyFill="1" applyBorder="1" applyAlignment="1">
      <alignment horizontal="center"/>
    </xf>
    <xf numFmtId="3" fontId="17" fillId="42" borderId="7" xfId="0" applyNumberFormat="1" applyFont="1" applyFill="1" applyBorder="1"/>
    <xf numFmtId="3" fontId="17" fillId="42" borderId="10" xfId="0" applyNumberFormat="1" applyFont="1" applyFill="1" applyBorder="1"/>
    <xf numFmtId="0" fontId="16" fillId="6" borderId="7" xfId="0" applyFont="1" applyFill="1" applyBorder="1"/>
    <xf numFmtId="0" fontId="16" fillId="6" borderId="7" xfId="0" applyFont="1" applyFill="1" applyBorder="1" applyAlignment="1">
      <alignment horizontal="center"/>
    </xf>
    <xf numFmtId="3" fontId="16" fillId="6" borderId="7" xfId="0" applyNumberFormat="1" applyFont="1" applyFill="1" applyBorder="1"/>
    <xf numFmtId="3" fontId="16" fillId="6" borderId="10" xfId="0" applyNumberFormat="1" applyFont="1" applyFill="1" applyBorder="1"/>
    <xf numFmtId="0" fontId="9" fillId="0" borderId="7" xfId="0" applyFont="1" applyBorder="1"/>
    <xf numFmtId="0" fontId="16" fillId="44" borderId="7" xfId="0" applyFont="1" applyFill="1" applyBorder="1"/>
    <xf numFmtId="49" fontId="16" fillId="44" borderId="7" xfId="0" applyNumberFormat="1" applyFont="1" applyFill="1" applyBorder="1" applyAlignment="1">
      <alignment horizontal="center"/>
    </xf>
    <xf numFmtId="0" fontId="16" fillId="44" borderId="7" xfId="0" applyFont="1" applyFill="1" applyBorder="1" applyAlignment="1">
      <alignment horizontal="center"/>
    </xf>
    <xf numFmtId="3" fontId="16" fillId="44" borderId="7" xfId="0" applyNumberFormat="1" applyFont="1" applyFill="1" applyBorder="1"/>
    <xf numFmtId="3" fontId="16" fillId="44" borderId="10" xfId="0" applyNumberFormat="1" applyFont="1" applyFill="1" applyBorder="1"/>
    <xf numFmtId="0" fontId="17" fillId="0" borderId="0" xfId="0" applyFont="1"/>
    <xf numFmtId="0" fontId="17" fillId="0" borderId="11" xfId="0" applyFont="1" applyBorder="1"/>
    <xf numFmtId="49" fontId="17" fillId="0" borderId="11" xfId="0" applyNumberFormat="1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3" fontId="17" fillId="0" borderId="11" xfId="0" applyNumberFormat="1" applyFont="1" applyBorder="1"/>
    <xf numFmtId="3" fontId="16" fillId="0" borderId="11" xfId="0" applyNumberFormat="1" applyFont="1" applyBorder="1"/>
    <xf numFmtId="3" fontId="16" fillId="0" borderId="25" xfId="0" applyNumberFormat="1" applyFont="1" applyBorder="1"/>
    <xf numFmtId="0" fontId="18" fillId="0" borderId="7" xfId="0" applyFont="1" applyBorder="1" applyAlignment="1">
      <alignment horizontal="center"/>
    </xf>
    <xf numFmtId="0" fontId="17" fillId="41" borderId="7" xfId="0" applyFont="1" applyFill="1" applyBorder="1" applyAlignment="1">
      <alignment horizontal="center"/>
    </xf>
    <xf numFmtId="0" fontId="17" fillId="41" borderId="7" xfId="0" applyFont="1" applyFill="1" applyBorder="1"/>
    <xf numFmtId="3" fontId="17" fillId="41" borderId="10" xfId="0" applyNumberFormat="1" applyFont="1" applyFill="1" applyBorder="1"/>
    <xf numFmtId="0" fontId="13" fillId="3" borderId="24" xfId="0" applyFont="1" applyFill="1" applyBorder="1"/>
    <xf numFmtId="3" fontId="13" fillId="3" borderId="24" xfId="0" applyNumberFormat="1" applyFont="1" applyFill="1" applyBorder="1"/>
    <xf numFmtId="3" fontId="13" fillId="3" borderId="26" xfId="0" applyNumberFormat="1" applyFont="1" applyFill="1" applyBorder="1"/>
    <xf numFmtId="3" fontId="13" fillId="3" borderId="29" xfId="0" applyNumberFormat="1" applyFont="1" applyFill="1" applyBorder="1"/>
    <xf numFmtId="0" fontId="16" fillId="0" borderId="30" xfId="0" applyFont="1" applyBorder="1"/>
    <xf numFmtId="0" fontId="16" fillId="0" borderId="16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3" fontId="3" fillId="0" borderId="16" xfId="0" applyNumberFormat="1" applyFont="1" applyBorder="1"/>
    <xf numFmtId="0" fontId="17" fillId="0" borderId="30" xfId="0" applyFont="1" applyBorder="1"/>
    <xf numFmtId="0" fontId="17" fillId="0" borderId="16" xfId="0" applyFont="1" applyBorder="1"/>
    <xf numFmtId="49" fontId="17" fillId="0" borderId="16" xfId="0" applyNumberFormat="1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3" fontId="17" fillId="0" borderId="16" xfId="0" applyNumberFormat="1" applyFont="1" applyBorder="1"/>
    <xf numFmtId="3" fontId="20" fillId="0" borderId="16" xfId="0" applyNumberFormat="1" applyFont="1" applyBorder="1"/>
    <xf numFmtId="0" fontId="7" fillId="0" borderId="16" xfId="0" applyFont="1" applyBorder="1"/>
    <xf numFmtId="0" fontId="3" fillId="0" borderId="30" xfId="0" applyFont="1" applyBorder="1"/>
    <xf numFmtId="0" fontId="3" fillId="0" borderId="16" xfId="0" applyFont="1" applyBorder="1"/>
    <xf numFmtId="0" fontId="16" fillId="0" borderId="36" xfId="0" applyFont="1" applyBorder="1"/>
    <xf numFmtId="0" fontId="16" fillId="0" borderId="37" xfId="0" applyFont="1" applyBorder="1"/>
    <xf numFmtId="49" fontId="16" fillId="0" borderId="37" xfId="0" applyNumberFormat="1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7" fillId="0" borderId="37" xfId="0" applyFont="1" applyBorder="1"/>
    <xf numFmtId="3" fontId="19" fillId="0" borderId="37" xfId="0" applyNumberFormat="1" applyFont="1" applyBorder="1"/>
    <xf numFmtId="0" fontId="18" fillId="0" borderId="7" xfId="0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/>
    </xf>
    <xf numFmtId="0" fontId="18" fillId="0" borderId="0" xfId="0" applyFont="1"/>
    <xf numFmtId="0" fontId="16" fillId="0" borderId="11" xfId="0" applyFont="1" applyBorder="1"/>
    <xf numFmtId="49" fontId="16" fillId="0" borderId="11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3" borderId="26" xfId="0" applyFont="1" applyFill="1" applyBorder="1"/>
    <xf numFmtId="0" fontId="2" fillId="0" borderId="39" xfId="0" applyFont="1" applyBorder="1" applyAlignment="1">
      <alignment horizontal="center" vertical="center"/>
    </xf>
    <xf numFmtId="0" fontId="16" fillId="0" borderId="27" xfId="0" applyFont="1" applyBorder="1"/>
    <xf numFmtId="49" fontId="16" fillId="0" borderId="27" xfId="0" applyNumberFormat="1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3" fontId="16" fillId="0" borderId="27" xfId="0" applyNumberFormat="1" applyFont="1" applyBorder="1"/>
    <xf numFmtId="3" fontId="16" fillId="0" borderId="28" xfId="0" applyNumberFormat="1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2" fillId="39" borderId="41" xfId="0" applyFont="1" applyFill="1" applyBorder="1"/>
    <xf numFmtId="3" fontId="22" fillId="39" borderId="41" xfId="0" applyNumberFormat="1" applyFont="1" applyFill="1" applyBorder="1"/>
    <xf numFmtId="0" fontId="15" fillId="45" borderId="42" xfId="0" applyFont="1" applyFill="1" applyBorder="1" applyAlignment="1">
      <alignment vertical="center"/>
    </xf>
    <xf numFmtId="3" fontId="15" fillId="45" borderId="4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0" fillId="46" borderId="43" xfId="0" applyFont="1" applyFill="1" applyBorder="1"/>
    <xf numFmtId="3" fontId="20" fillId="46" borderId="43" xfId="0" applyNumberFormat="1" applyFont="1" applyFill="1" applyBorder="1"/>
    <xf numFmtId="0" fontId="20" fillId="46" borderId="7" xfId="0" applyFont="1" applyFill="1" applyBorder="1"/>
    <xf numFmtId="3" fontId="20" fillId="46" borderId="7" xfId="0" applyNumberFormat="1" applyFont="1" applyFill="1" applyBorder="1"/>
    <xf numFmtId="0" fontId="17" fillId="0" borderId="44" xfId="0" applyFont="1" applyBorder="1"/>
    <xf numFmtId="0" fontId="17" fillId="0" borderId="33" xfId="0" applyFont="1" applyBorder="1"/>
    <xf numFmtId="3" fontId="17" fillId="0" borderId="33" xfId="0" applyNumberFormat="1" applyFont="1" applyBorder="1"/>
    <xf numFmtId="0" fontId="22" fillId="39" borderId="33" xfId="0" applyFont="1" applyFill="1" applyBorder="1"/>
    <xf numFmtId="3" fontId="22" fillId="39" borderId="33" xfId="0" applyNumberFormat="1" applyFont="1" applyFill="1" applyBorder="1"/>
    <xf numFmtId="0" fontId="15" fillId="45" borderId="45" xfId="0" applyFont="1" applyFill="1" applyBorder="1"/>
    <xf numFmtId="3" fontId="15" fillId="45" borderId="45" xfId="0" applyNumberFormat="1" applyFont="1" applyFill="1" applyBorder="1"/>
    <xf numFmtId="0" fontId="20" fillId="46" borderId="46" xfId="0" applyFont="1" applyFill="1" applyBorder="1"/>
    <xf numFmtId="3" fontId="20" fillId="46" borderId="46" xfId="0" applyNumberFormat="1" applyFont="1" applyFill="1" applyBorder="1"/>
    <xf numFmtId="0" fontId="20" fillId="46" borderId="16" xfId="0" applyFont="1" applyFill="1" applyBorder="1"/>
    <xf numFmtId="3" fontId="20" fillId="46" borderId="16" xfId="0" applyNumberFormat="1" applyFont="1" applyFill="1" applyBorder="1"/>
    <xf numFmtId="3" fontId="17" fillId="41" borderId="16" xfId="0" applyNumberFormat="1" applyFont="1" applyFill="1" applyBorder="1"/>
    <xf numFmtId="0" fontId="17" fillId="0" borderId="16" xfId="0" applyFont="1" applyBorder="1" applyAlignment="1">
      <alignment vertical="center"/>
    </xf>
    <xf numFmtId="3" fontId="17" fillId="0" borderId="16" xfId="0" applyNumberFormat="1" applyFont="1" applyBorder="1" applyAlignment="1">
      <alignment vertical="center"/>
    </xf>
    <xf numFmtId="0" fontId="20" fillId="46" borderId="16" xfId="0" applyFont="1" applyFill="1" applyBorder="1" applyAlignment="1">
      <alignment wrapText="1"/>
    </xf>
    <xf numFmtId="3" fontId="20" fillId="46" borderId="16" xfId="0" applyNumberFormat="1" applyFont="1" applyFill="1" applyBorder="1" applyAlignment="1">
      <alignment vertical="center"/>
    </xf>
    <xf numFmtId="0" fontId="15" fillId="45" borderId="47" xfId="0" applyFont="1" applyFill="1" applyBorder="1"/>
    <xf numFmtId="3" fontId="15" fillId="45" borderId="47" xfId="0" applyNumberFormat="1" applyFont="1" applyFill="1" applyBorder="1"/>
    <xf numFmtId="3" fontId="17" fillId="0" borderId="48" xfId="0" applyNumberFormat="1" applyFont="1" applyBorder="1"/>
    <xf numFmtId="0" fontId="17" fillId="47" borderId="16" xfId="0" applyFont="1" applyFill="1" applyBorder="1"/>
    <xf numFmtId="3" fontId="17" fillId="47" borderId="16" xfId="0" applyNumberFormat="1" applyFont="1" applyFill="1" applyBorder="1"/>
    <xf numFmtId="0" fontId="17" fillId="47" borderId="16" xfId="0" applyFont="1" applyFill="1" applyBorder="1" applyAlignment="1">
      <alignment vertical="center"/>
    </xf>
    <xf numFmtId="0" fontId="17" fillId="47" borderId="16" xfId="0" applyFont="1" applyFill="1" applyBorder="1" applyAlignment="1">
      <alignment vertical="center" wrapText="1"/>
    </xf>
    <xf numFmtId="3" fontId="17" fillId="47" borderId="16" xfId="0" applyNumberFormat="1" applyFont="1" applyFill="1" applyBorder="1" applyAlignment="1">
      <alignment vertical="center"/>
    </xf>
    <xf numFmtId="0" fontId="18" fillId="0" borderId="16" xfId="0" applyFont="1" applyBorder="1"/>
    <xf numFmtId="3" fontId="17" fillId="41" borderId="16" xfId="0" applyNumberFormat="1" applyFont="1" applyFill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2" fillId="0" borderId="33" xfId="0" applyFont="1" applyBorder="1" applyAlignment="1">
      <alignment vertical="center" wrapText="1"/>
    </xf>
    <xf numFmtId="3" fontId="2" fillId="0" borderId="33" xfId="0" applyNumberFormat="1" applyFont="1" applyBorder="1" applyAlignment="1">
      <alignment vertical="center"/>
    </xf>
    <xf numFmtId="0" fontId="17" fillId="47" borderId="46" xfId="0" applyFont="1" applyFill="1" applyBorder="1" applyAlignment="1">
      <alignment vertical="center"/>
    </xf>
    <xf numFmtId="0" fontId="17" fillId="47" borderId="46" xfId="0" applyFont="1" applyFill="1" applyBorder="1" applyAlignment="1">
      <alignment vertical="center" wrapText="1"/>
    </xf>
    <xf numFmtId="3" fontId="17" fillId="47" borderId="46" xfId="0" applyNumberFormat="1" applyFont="1" applyFill="1" applyBorder="1" applyAlignment="1">
      <alignment vertical="center"/>
    </xf>
    <xf numFmtId="0" fontId="17" fillId="0" borderId="33" xfId="0" applyFont="1" applyBorder="1" applyAlignment="1">
      <alignment vertical="center"/>
    </xf>
    <xf numFmtId="3" fontId="17" fillId="0" borderId="33" xfId="0" applyNumberFormat="1" applyFont="1" applyBorder="1" applyAlignment="1">
      <alignment vertical="center"/>
    </xf>
    <xf numFmtId="0" fontId="15" fillId="45" borderId="47" xfId="0" applyFont="1" applyFill="1" applyBorder="1" applyAlignment="1">
      <alignment vertical="center"/>
    </xf>
    <xf numFmtId="3" fontId="15" fillId="45" borderId="47" xfId="0" applyNumberFormat="1" applyFont="1" applyFill="1" applyBorder="1" applyAlignment="1">
      <alignment vertical="center"/>
    </xf>
    <xf numFmtId="0" fontId="25" fillId="2" borderId="49" xfId="0" applyFont="1" applyFill="1" applyBorder="1" applyAlignment="1">
      <alignment vertical="center"/>
    </xf>
    <xf numFmtId="3" fontId="26" fillId="2" borderId="49" xfId="0" applyNumberFormat="1" applyFont="1" applyFill="1" applyBorder="1" applyAlignment="1">
      <alignment vertical="center"/>
    </xf>
    <xf numFmtId="0" fontId="2" fillId="0" borderId="50" xfId="0" applyFont="1" applyBorder="1" applyAlignment="1">
      <alignment horizontal="center"/>
    </xf>
    <xf numFmtId="0" fontId="22" fillId="39" borderId="51" xfId="0" applyFont="1" applyFill="1" applyBorder="1"/>
    <xf numFmtId="3" fontId="22" fillId="39" borderId="51" xfId="0" applyNumberFormat="1" applyFont="1" applyFill="1" applyBorder="1"/>
    <xf numFmtId="0" fontId="2" fillId="0" borderId="35" xfId="0" applyFont="1" applyBorder="1" applyAlignment="1">
      <alignment horizontal="center"/>
    </xf>
    <xf numFmtId="0" fontId="15" fillId="45" borderId="42" xfId="0" applyFont="1" applyFill="1" applyBorder="1"/>
    <xf numFmtId="3" fontId="15" fillId="45" borderId="42" xfId="0" applyNumberFormat="1" applyFont="1" applyFill="1" applyBorder="1"/>
    <xf numFmtId="0" fontId="22" fillId="39" borderId="11" xfId="0" applyFont="1" applyFill="1" applyBorder="1"/>
    <xf numFmtId="3" fontId="22" fillId="39" borderId="11" xfId="0" applyNumberFormat="1" applyFont="1" applyFill="1" applyBorder="1"/>
    <xf numFmtId="0" fontId="17" fillId="47" borderId="7" xfId="0" applyFont="1" applyFill="1" applyBorder="1"/>
    <xf numFmtId="3" fontId="17" fillId="47" borderId="7" xfId="0" applyNumberFormat="1" applyFont="1" applyFill="1" applyBorder="1"/>
    <xf numFmtId="0" fontId="18" fillId="0" borderId="43" xfId="0" applyFont="1" applyBorder="1"/>
    <xf numFmtId="0" fontId="17" fillId="0" borderId="43" xfId="0" applyFont="1" applyBorder="1" applyAlignment="1">
      <alignment vertical="center" wrapText="1"/>
    </xf>
    <xf numFmtId="3" fontId="17" fillId="0" borderId="43" xfId="0" applyNumberFormat="1" applyFont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3" fontId="25" fillId="2" borderId="14" xfId="0" applyNumberFormat="1" applyFont="1" applyFill="1" applyBorder="1" applyAlignment="1">
      <alignment vertical="center"/>
    </xf>
    <xf numFmtId="0" fontId="51" fillId="0" borderId="9" xfId="0" applyFont="1" applyBorder="1" applyAlignment="1">
      <alignment horizontal="center" vertical="center"/>
    </xf>
    <xf numFmtId="0" fontId="25" fillId="48" borderId="7" xfId="0" applyFont="1" applyFill="1" applyBorder="1" applyAlignment="1">
      <alignment vertical="center"/>
    </xf>
    <xf numFmtId="3" fontId="25" fillId="48" borderId="7" xfId="0" applyNumberFormat="1" applyFont="1" applyFill="1" applyBorder="1" applyAlignment="1">
      <alignment vertical="center"/>
    </xf>
    <xf numFmtId="0" fontId="51" fillId="0" borderId="13" xfId="0" applyFont="1" applyBorder="1" applyAlignment="1">
      <alignment horizontal="center"/>
    </xf>
    <xf numFmtId="0" fontId="52" fillId="49" borderId="14" xfId="0" applyFont="1" applyFill="1" applyBorder="1"/>
    <xf numFmtId="3" fontId="52" fillId="49" borderId="14" xfId="0" applyNumberFormat="1" applyFont="1" applyFill="1" applyBorder="1"/>
    <xf numFmtId="3" fontId="21" fillId="0" borderId="0" xfId="0" applyNumberFormat="1" applyFont="1"/>
    <xf numFmtId="3" fontId="21" fillId="0" borderId="0" xfId="0" applyNumberFormat="1" applyFont="1" applyAlignment="1">
      <alignment vertical="center"/>
    </xf>
    <xf numFmtId="3" fontId="10" fillId="50" borderId="18" xfId="0" applyNumberFormat="1" applyFont="1" applyFill="1" applyBorder="1" applyAlignment="1">
      <alignment horizontal="center" vertical="center" wrapText="1"/>
    </xf>
    <xf numFmtId="3" fontId="10" fillId="0" borderId="18" xfId="0" applyNumberFormat="1" applyFont="1" applyBorder="1" applyAlignment="1">
      <alignment horizontal="center" vertical="center" wrapText="1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2" fillId="0" borderId="17" xfId="0" applyNumberFormat="1" applyFont="1" applyBorder="1" applyAlignment="1">
      <alignment horizontal="center"/>
    </xf>
    <xf numFmtId="3" fontId="15" fillId="51" borderId="18" xfId="0" applyNumberFormat="1" applyFont="1" applyFill="1" applyBorder="1"/>
    <xf numFmtId="3" fontId="15" fillId="52" borderId="18" xfId="0" applyNumberFormat="1" applyFont="1" applyFill="1" applyBorder="1"/>
    <xf numFmtId="3" fontId="15" fillId="0" borderId="18" xfId="0" applyNumberFormat="1" applyFont="1" applyBorder="1"/>
    <xf numFmtId="3" fontId="27" fillId="0" borderId="18" xfId="0" applyNumberFormat="1" applyFont="1" applyBorder="1"/>
    <xf numFmtId="3" fontId="19" fillId="0" borderId="18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3" fontId="15" fillId="51" borderId="18" xfId="0" applyNumberFormat="1" applyFont="1" applyFill="1" applyBorder="1" applyAlignment="1">
      <alignment vertical="center"/>
    </xf>
    <xf numFmtId="3" fontId="15" fillId="52" borderId="18" xfId="0" applyNumberFormat="1" applyFont="1" applyFill="1" applyBorder="1" applyAlignment="1">
      <alignment vertical="center"/>
    </xf>
    <xf numFmtId="3" fontId="15" fillId="0" borderId="18" xfId="0" applyNumberFormat="1" applyFont="1" applyBorder="1" applyAlignment="1">
      <alignment vertical="center"/>
    </xf>
    <xf numFmtId="3" fontId="2" fillId="0" borderId="20" xfId="0" applyNumberFormat="1" applyFont="1" applyBorder="1" applyAlignment="1">
      <alignment horizontal="center" vertical="center"/>
    </xf>
    <xf numFmtId="3" fontId="15" fillId="51" borderId="21" xfId="0" applyNumberFormat="1" applyFont="1" applyFill="1" applyBorder="1" applyAlignment="1">
      <alignment vertical="center"/>
    </xf>
    <xf numFmtId="3" fontId="15" fillId="0" borderId="21" xfId="0" applyNumberFormat="1" applyFont="1" applyBorder="1" applyAlignment="1">
      <alignment vertical="center"/>
    </xf>
    <xf numFmtId="3" fontId="15" fillId="52" borderId="21" xfId="0" applyNumberFormat="1" applyFont="1" applyFill="1" applyBorder="1" applyAlignment="1">
      <alignment vertical="center"/>
    </xf>
    <xf numFmtId="3" fontId="21" fillId="0" borderId="18" xfId="0" applyNumberFormat="1" applyFont="1" applyBorder="1"/>
    <xf numFmtId="3" fontId="7" fillId="4" borderId="52" xfId="0" applyNumberFormat="1" applyFont="1" applyFill="1" applyBorder="1"/>
    <xf numFmtId="3" fontId="7" fillId="4" borderId="53" xfId="0" applyNumberFormat="1" applyFont="1" applyFill="1" applyBorder="1"/>
    <xf numFmtId="3" fontId="7" fillId="4" borderId="0" xfId="0" applyNumberFormat="1" applyFont="1" applyFill="1"/>
    <xf numFmtId="3" fontId="7" fillId="0" borderId="53" xfId="0" applyNumberFormat="1" applyFont="1" applyBorder="1"/>
    <xf numFmtId="3" fontId="21" fillId="0" borderId="23" xfId="0" applyNumberFormat="1" applyFont="1" applyBorder="1" applyAlignment="1">
      <alignment vertical="center"/>
    </xf>
    <xf numFmtId="3" fontId="3" fillId="41" borderId="0" xfId="0" applyNumberFormat="1" applyFont="1" applyFill="1"/>
    <xf numFmtId="3" fontId="28" fillId="0" borderId="10" xfId="0" applyNumberFormat="1" applyFont="1" applyBorder="1"/>
    <xf numFmtId="0" fontId="17" fillId="0" borderId="55" xfId="0" applyFont="1" applyBorder="1"/>
    <xf numFmtId="0" fontId="17" fillId="0" borderId="48" xfId="0" applyFont="1" applyBorder="1" applyAlignment="1">
      <alignment wrapText="1"/>
    </xf>
    <xf numFmtId="0" fontId="50" fillId="0" borderId="0" xfId="0" applyFont="1"/>
    <xf numFmtId="0" fontId="13" fillId="54" borderId="7" xfId="0" applyFont="1" applyFill="1" applyBorder="1"/>
    <xf numFmtId="0" fontId="17" fillId="0" borderId="0" xfId="0" applyFont="1" applyAlignment="1">
      <alignment vertical="center" wrapText="1"/>
    </xf>
    <xf numFmtId="3" fontId="15" fillId="41" borderId="18" xfId="0" applyNumberFormat="1" applyFont="1" applyFill="1" applyBorder="1"/>
    <xf numFmtId="3" fontId="15" fillId="50" borderId="18" xfId="0" applyNumberFormat="1" applyFont="1" applyFill="1" applyBorder="1"/>
    <xf numFmtId="0" fontId="17" fillId="0" borderId="27" xfId="0" applyFont="1" applyBorder="1"/>
    <xf numFmtId="49" fontId="17" fillId="0" borderId="27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3" fontId="17" fillId="0" borderId="27" xfId="0" applyNumberFormat="1" applyFont="1" applyBorder="1"/>
    <xf numFmtId="3" fontId="17" fillId="0" borderId="28" xfId="0" applyNumberFormat="1" applyFont="1" applyBorder="1"/>
    <xf numFmtId="3" fontId="1" fillId="0" borderId="0" xfId="0" applyNumberFormat="1" applyFont="1"/>
    <xf numFmtId="3" fontId="18" fillId="0" borderId="10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49" fontId="16" fillId="0" borderId="33" xfId="0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vertical="center" wrapText="1"/>
    </xf>
    <xf numFmtId="3" fontId="19" fillId="0" borderId="33" xfId="0" applyNumberFormat="1" applyFont="1" applyBorder="1" applyAlignment="1">
      <alignment vertical="center"/>
    </xf>
    <xf numFmtId="3" fontId="17" fillId="0" borderId="69" xfId="0" applyNumberFormat="1" applyFont="1" applyBorder="1"/>
    <xf numFmtId="0" fontId="7" fillId="0" borderId="30" xfId="0" applyFont="1" applyBorder="1"/>
    <xf numFmtId="0" fontId="7" fillId="0" borderId="16" xfId="0" applyFont="1" applyBorder="1" applyAlignment="1">
      <alignment horizontal="center"/>
    </xf>
    <xf numFmtId="3" fontId="7" fillId="0" borderId="69" xfId="0" applyNumberFormat="1" applyFont="1" applyBorder="1"/>
    <xf numFmtId="0" fontId="3" fillId="41" borderId="0" xfId="0" applyFont="1" applyFill="1"/>
    <xf numFmtId="0" fontId="2" fillId="41" borderId="0" xfId="0" applyFont="1" applyFill="1" applyAlignment="1">
      <alignment horizontal="center" vertical="center"/>
    </xf>
    <xf numFmtId="0" fontId="3" fillId="41" borderId="0" xfId="0" applyFont="1" applyFill="1" applyAlignment="1">
      <alignment horizontal="center"/>
    </xf>
    <xf numFmtId="0" fontId="2" fillId="41" borderId="0" xfId="0" applyFont="1" applyFill="1" applyAlignment="1">
      <alignment horizontal="center"/>
    </xf>
    <xf numFmtId="3" fontId="20" fillId="53" borderId="23" xfId="0" applyNumberFormat="1" applyFont="1" applyFill="1" applyBorder="1" applyAlignment="1">
      <alignment vertical="center"/>
    </xf>
    <xf numFmtId="3" fontId="16" fillId="41" borderId="16" xfId="0" applyNumberFormat="1" applyFont="1" applyFill="1" applyBorder="1"/>
    <xf numFmtId="3" fontId="7" fillId="41" borderId="7" xfId="0" applyNumberFormat="1" applyFont="1" applyFill="1" applyBorder="1"/>
    <xf numFmtId="3" fontId="49" fillId="41" borderId="53" xfId="0" applyNumberFormat="1" applyFont="1" applyFill="1" applyBorder="1"/>
    <xf numFmtId="3" fontId="50" fillId="41" borderId="18" xfId="0" applyNumberFormat="1" applyFont="1" applyFill="1" applyBorder="1"/>
    <xf numFmtId="3" fontId="7" fillId="41" borderId="52" xfId="0" applyNumberFormat="1" applyFont="1" applyFill="1" applyBorder="1"/>
    <xf numFmtId="0" fontId="15" fillId="43" borderId="7" xfId="0" applyFont="1" applyFill="1" applyBorder="1"/>
    <xf numFmtId="3" fontId="17" fillId="0" borderId="31" xfId="0" applyNumberFormat="1" applyFont="1" applyBorder="1"/>
    <xf numFmtId="3" fontId="7" fillId="0" borderId="34" xfId="0" applyNumberFormat="1" applyFont="1" applyBorder="1" applyAlignment="1">
      <alignment vertical="center"/>
    </xf>
    <xf numFmtId="3" fontId="16" fillId="0" borderId="31" xfId="0" applyNumberFormat="1" applyFont="1" applyBorder="1"/>
    <xf numFmtId="3" fontId="17" fillId="0" borderId="38" xfId="0" applyNumberFormat="1" applyFont="1" applyBorder="1"/>
    <xf numFmtId="0" fontId="13" fillId="3" borderId="70" xfId="0" applyFont="1" applyFill="1" applyBorder="1"/>
    <xf numFmtId="3" fontId="13" fillId="3" borderId="43" xfId="0" applyNumberFormat="1" applyFont="1" applyFill="1" applyBorder="1"/>
    <xf numFmtId="0" fontId="18" fillId="0" borderId="30" xfId="0" applyFont="1" applyBorder="1"/>
    <xf numFmtId="0" fontId="18" fillId="0" borderId="75" xfId="0" applyFont="1" applyBorder="1"/>
    <xf numFmtId="0" fontId="1" fillId="0" borderId="0" xfId="0" applyFont="1"/>
    <xf numFmtId="49" fontId="7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/>
    </xf>
    <xf numFmtId="3" fontId="10" fillId="0" borderId="7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vertical="center"/>
    </xf>
    <xf numFmtId="3" fontId="13" fillId="0" borderId="7" xfId="0" applyNumberFormat="1" applyFont="1" applyBorder="1"/>
    <xf numFmtId="3" fontId="15" fillId="0" borderId="7" xfId="0" applyNumberFormat="1" applyFont="1" applyBorder="1"/>
    <xf numFmtId="3" fontId="13" fillId="0" borderId="14" xfId="0" applyNumberFormat="1" applyFont="1" applyBorder="1"/>
    <xf numFmtId="3" fontId="53" fillId="0" borderId="7" xfId="0" applyNumberFormat="1" applyFont="1" applyBorder="1"/>
    <xf numFmtId="3" fontId="49" fillId="0" borderId="7" xfId="0" applyNumberFormat="1" applyFont="1" applyBorder="1"/>
    <xf numFmtId="3" fontId="11" fillId="0" borderId="18" xfId="0" applyNumberFormat="1" applyFont="1" applyBorder="1" applyAlignment="1">
      <alignment vertical="center"/>
    </xf>
    <xf numFmtId="3" fontId="13" fillId="0" borderId="18" xfId="0" applyNumberFormat="1" applyFont="1" applyBorder="1"/>
    <xf numFmtId="3" fontId="12" fillId="0" borderId="18" xfId="0" applyNumberFormat="1" applyFont="1" applyBorder="1" applyAlignment="1">
      <alignment vertical="center"/>
    </xf>
    <xf numFmtId="3" fontId="14" fillId="0" borderId="18" xfId="0" applyNumberFormat="1" applyFont="1" applyBorder="1"/>
    <xf numFmtId="0" fontId="2" fillId="0" borderId="77" xfId="0" applyFont="1" applyBorder="1" applyAlignment="1">
      <alignment horizontal="center" vertical="center"/>
    </xf>
    <xf numFmtId="0" fontId="18" fillId="0" borderId="78" xfId="0" applyFont="1" applyBorder="1"/>
    <xf numFmtId="0" fontId="7" fillId="0" borderId="78" xfId="0" applyFont="1" applyBorder="1"/>
    <xf numFmtId="0" fontId="7" fillId="0" borderId="78" xfId="0" applyFont="1" applyBorder="1" applyAlignment="1">
      <alignment horizontal="center"/>
    </xf>
    <xf numFmtId="3" fontId="7" fillId="0" borderId="78" xfId="0" applyNumberFormat="1" applyFont="1" applyBorder="1"/>
    <xf numFmtId="3" fontId="7" fillId="0" borderId="79" xfId="0" applyNumberFormat="1" applyFont="1" applyBorder="1"/>
    <xf numFmtId="0" fontId="7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3" fontId="7" fillId="0" borderId="27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13" fillId="0" borderId="24" xfId="0" applyNumberFormat="1" applyFont="1" applyBorder="1"/>
    <xf numFmtId="3" fontId="7" fillId="0" borderId="0" xfId="0" applyNumberFormat="1" applyFont="1"/>
    <xf numFmtId="3" fontId="2" fillId="0" borderId="7" xfId="0" applyNumberFormat="1" applyFont="1" applyBorder="1"/>
    <xf numFmtId="3" fontId="13" fillId="0" borderId="26" xfId="0" applyNumberFormat="1" applyFont="1" applyBorder="1"/>
    <xf numFmtId="0" fontId="17" fillId="0" borderId="12" xfId="0" applyFont="1" applyBorder="1"/>
    <xf numFmtId="0" fontId="7" fillId="0" borderId="7" xfId="0" applyFont="1" applyBorder="1" applyAlignment="1">
      <alignment horizontal="left" wrapText="1"/>
    </xf>
    <xf numFmtId="3" fontId="15" fillId="41" borderId="7" xfId="0" applyNumberFormat="1" applyFont="1" applyFill="1" applyBorder="1"/>
    <xf numFmtId="0" fontId="15" fillId="41" borderId="7" xfId="0" applyFont="1" applyFill="1" applyBorder="1"/>
    <xf numFmtId="3" fontId="16" fillId="41" borderId="10" xfId="0" applyNumberFormat="1" applyFont="1" applyFill="1" applyBorder="1"/>
    <xf numFmtId="0" fontId="17" fillId="0" borderId="7" xfId="0" applyFont="1" applyBorder="1" applyAlignment="1">
      <alignment wrapText="1"/>
    </xf>
    <xf numFmtId="0" fontId="17" fillId="0" borderId="0" xfId="0" applyFont="1" applyAlignment="1">
      <alignment horizontal="center"/>
    </xf>
    <xf numFmtId="3" fontId="13" fillId="41" borderId="7" xfId="0" applyNumberFormat="1" applyFont="1" applyFill="1" applyBorder="1"/>
    <xf numFmtId="0" fontId="13" fillId="41" borderId="7" xfId="0" applyFont="1" applyFill="1" applyBorder="1"/>
    <xf numFmtId="0" fontId="3" fillId="41" borderId="7" xfId="0" applyFont="1" applyFill="1" applyBorder="1"/>
    <xf numFmtId="3" fontId="2" fillId="0" borderId="83" xfId="0" applyNumberFormat="1" applyFont="1" applyBorder="1" applyAlignment="1">
      <alignment horizontal="center"/>
    </xf>
    <xf numFmtId="3" fontId="15" fillId="0" borderId="84" xfId="0" applyNumberFormat="1" applyFont="1" applyBorder="1"/>
    <xf numFmtId="3" fontId="2" fillId="0" borderId="85" xfId="0" applyNumberFormat="1" applyFont="1" applyBorder="1" applyAlignment="1">
      <alignment horizontal="center"/>
    </xf>
    <xf numFmtId="3" fontId="7" fillId="4" borderId="86" xfId="0" applyNumberFormat="1" applyFont="1" applyFill="1" applyBorder="1"/>
    <xf numFmtId="3" fontId="7" fillId="4" borderId="87" xfId="0" applyNumberFormat="1" applyFont="1" applyFill="1" applyBorder="1"/>
    <xf numFmtId="3" fontId="15" fillId="0" borderId="88" xfId="0" applyNumberFormat="1" applyFont="1" applyBorder="1"/>
    <xf numFmtId="3" fontId="15" fillId="39" borderId="80" xfId="0" applyNumberFormat="1" applyFont="1" applyFill="1" applyBorder="1" applyAlignment="1">
      <alignment vertical="center"/>
    </xf>
    <xf numFmtId="3" fontId="15" fillId="39" borderId="81" xfId="0" applyNumberFormat="1" applyFont="1" applyFill="1" applyBorder="1" applyAlignment="1">
      <alignment vertical="center"/>
    </xf>
    <xf numFmtId="3" fontId="15" fillId="39" borderId="82" xfId="0" applyNumberFormat="1" applyFont="1" applyFill="1" applyBorder="1" applyAlignment="1">
      <alignment vertical="center"/>
    </xf>
    <xf numFmtId="3" fontId="2" fillId="0" borderId="83" xfId="0" applyNumberFormat="1" applyFont="1" applyBorder="1" applyAlignment="1">
      <alignment horizontal="center" vertical="center"/>
    </xf>
    <xf numFmtId="3" fontId="15" fillId="0" borderId="84" xfId="0" applyNumberFormat="1" applyFont="1" applyBorder="1" applyAlignment="1">
      <alignment vertical="center"/>
    </xf>
    <xf numFmtId="0" fontId="17" fillId="0" borderId="16" xfId="0" applyFont="1" applyBorder="1" applyAlignment="1">
      <alignment wrapText="1"/>
    </xf>
    <xf numFmtId="0" fontId="17" fillId="0" borderId="48" xfId="0" applyFont="1" applyBorder="1"/>
    <xf numFmtId="3" fontId="15" fillId="0" borderId="0" xfId="0" applyNumberFormat="1" applyFont="1" applyAlignment="1">
      <alignment vertical="center"/>
    </xf>
    <xf numFmtId="3" fontId="15" fillId="0" borderId="0" xfId="0" applyNumberFormat="1" applyFont="1"/>
    <xf numFmtId="0" fontId="18" fillId="0" borderId="27" xfId="0" applyFont="1" applyBorder="1" applyAlignment="1">
      <alignment vertical="center"/>
    </xf>
    <xf numFmtId="0" fontId="17" fillId="0" borderId="54" xfId="0" applyFont="1" applyBorder="1" applyAlignment="1">
      <alignment horizontal="center"/>
    </xf>
    <xf numFmtId="0" fontId="7" fillId="0" borderId="76" xfId="0" applyFont="1" applyBorder="1"/>
    <xf numFmtId="0" fontId="7" fillId="0" borderId="0" xfId="0" applyFont="1" applyAlignment="1">
      <alignment horizontal="center"/>
    </xf>
    <xf numFmtId="3" fontId="49" fillId="0" borderId="0" xfId="0" applyNumberFormat="1" applyFont="1"/>
    <xf numFmtId="0" fontId="2" fillId="0" borderId="7" xfId="0" applyFont="1" applyBorder="1" applyAlignment="1">
      <alignment horizontal="center"/>
    </xf>
    <xf numFmtId="3" fontId="15" fillId="39" borderId="68" xfId="0" applyNumberFormat="1" applyFont="1" applyFill="1" applyBorder="1" applyAlignment="1">
      <alignment vertical="center"/>
    </xf>
    <xf numFmtId="3" fontId="15" fillId="50" borderId="53" xfId="0" applyNumberFormat="1" applyFont="1" applyFill="1" applyBorder="1"/>
    <xf numFmtId="3" fontId="17" fillId="0" borderId="89" xfId="0" applyNumberFormat="1" applyFont="1" applyBorder="1"/>
    <xf numFmtId="3" fontId="7" fillId="0" borderId="89" xfId="0" applyNumberFormat="1" applyFont="1" applyBorder="1"/>
    <xf numFmtId="3" fontId="7" fillId="0" borderId="33" xfId="0" applyNumberFormat="1" applyFont="1" applyBorder="1" applyAlignment="1">
      <alignment vertical="center"/>
    </xf>
    <xf numFmtId="4" fontId="15" fillId="0" borderId="0" xfId="0" applyNumberFormat="1" applyFont="1"/>
    <xf numFmtId="166" fontId="57" fillId="2" borderId="49" xfId="0" applyNumberFormat="1" applyFont="1" applyFill="1" applyBorder="1" applyAlignment="1">
      <alignment vertical="center"/>
    </xf>
    <xf numFmtId="166" fontId="57" fillId="2" borderId="14" xfId="0" applyNumberFormat="1" applyFont="1" applyFill="1" applyBorder="1" applyAlignment="1">
      <alignment vertical="center"/>
    </xf>
    <xf numFmtId="166" fontId="57" fillId="48" borderId="7" xfId="0" applyNumberFormat="1" applyFont="1" applyFill="1" applyBorder="1" applyAlignment="1">
      <alignment vertical="center"/>
    </xf>
    <xf numFmtId="166" fontId="58" fillId="49" borderId="14" xfId="0" applyNumberFormat="1" applyFont="1" applyFill="1" applyBorder="1"/>
    <xf numFmtId="0" fontId="18" fillId="0" borderId="48" xfId="0" applyFont="1" applyBorder="1"/>
    <xf numFmtId="0" fontId="17" fillId="0" borderId="43" xfId="0" applyFont="1" applyBorder="1"/>
    <xf numFmtId="49" fontId="16" fillId="0" borderId="43" xfId="0" applyNumberFormat="1" applyFont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91" xfId="0" applyFont="1" applyBorder="1"/>
    <xf numFmtId="3" fontId="7" fillId="0" borderId="91" xfId="0" applyNumberFormat="1" applyFont="1" applyBorder="1"/>
    <xf numFmtId="3" fontId="7" fillId="0" borderId="92" xfId="0" applyNumberFormat="1" applyFont="1" applyBorder="1"/>
    <xf numFmtId="0" fontId="17" fillId="0" borderId="24" xfId="0" applyFont="1" applyBorder="1"/>
    <xf numFmtId="49" fontId="16" fillId="0" borderId="24" xfId="0" applyNumberFormat="1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4" xfId="0" applyFont="1" applyBorder="1"/>
    <xf numFmtId="3" fontId="16" fillId="0" borderId="24" xfId="0" applyNumberFormat="1" applyFont="1" applyBorder="1"/>
    <xf numFmtId="3" fontId="16" fillId="0" borderId="93" xfId="0" applyNumberFormat="1" applyFont="1" applyBorder="1"/>
    <xf numFmtId="0" fontId="17" fillId="0" borderId="94" xfId="0" applyFont="1" applyBorder="1" applyAlignment="1">
      <alignment horizontal="center"/>
    </xf>
    <xf numFmtId="0" fontId="17" fillId="0" borderId="94" xfId="0" applyFont="1" applyBorder="1"/>
    <xf numFmtId="3" fontId="17" fillId="0" borderId="94" xfId="0" applyNumberFormat="1" applyFont="1" applyBorder="1"/>
    <xf numFmtId="3" fontId="17" fillId="0" borderId="95" xfId="0" applyNumberFormat="1" applyFont="1" applyBorder="1"/>
    <xf numFmtId="3" fontId="18" fillId="3" borderId="7" xfId="0" applyNumberFormat="1" applyFont="1" applyFill="1" applyBorder="1"/>
    <xf numFmtId="3" fontId="18" fillId="3" borderId="14" xfId="0" applyNumberFormat="1" applyFont="1" applyFill="1" applyBorder="1"/>
    <xf numFmtId="166" fontId="18" fillId="3" borderId="7" xfId="0" applyNumberFormat="1" applyFont="1" applyFill="1" applyBorder="1"/>
    <xf numFmtId="166" fontId="18" fillId="0" borderId="7" xfId="0" applyNumberFormat="1" applyFont="1" applyBorder="1" applyAlignment="1">
      <alignment vertical="center"/>
    </xf>
    <xf numFmtId="166" fontId="18" fillId="0" borderId="7" xfId="0" applyNumberFormat="1" applyFont="1" applyBorder="1"/>
    <xf numFmtId="166" fontId="18" fillId="41" borderId="7" xfId="0" applyNumberFormat="1" applyFont="1" applyFill="1" applyBorder="1"/>
    <xf numFmtId="166" fontId="57" fillId="2" borderId="7" xfId="0" applyNumberFormat="1" applyFont="1" applyFill="1" applyBorder="1" applyAlignment="1">
      <alignment vertical="center"/>
    </xf>
    <xf numFmtId="3" fontId="18" fillId="40" borderId="7" xfId="0" applyNumberFormat="1" applyFont="1" applyFill="1" applyBorder="1"/>
    <xf numFmtId="3" fontId="18" fillId="41" borderId="0" xfId="0" applyNumberFormat="1" applyFont="1" applyFill="1"/>
    <xf numFmtId="3" fontId="18" fillId="0" borderId="0" xfId="0" applyNumberFormat="1" applyFont="1"/>
    <xf numFmtId="166" fontId="18" fillId="41" borderId="0" xfId="0" applyNumberFormat="1" applyFont="1" applyFill="1"/>
    <xf numFmtId="166" fontId="18" fillId="40" borderId="7" xfId="0" applyNumberFormat="1" applyFont="1" applyFill="1" applyBorder="1"/>
    <xf numFmtId="166" fontId="18" fillId="0" borderId="11" xfId="0" applyNumberFormat="1" applyFont="1" applyBorder="1"/>
    <xf numFmtId="166" fontId="18" fillId="0" borderId="27" xfId="0" applyNumberFormat="1" applyFont="1" applyBorder="1"/>
    <xf numFmtId="166" fontId="18" fillId="0" borderId="0" xfId="0" applyNumberFormat="1" applyFont="1"/>
    <xf numFmtId="166" fontId="18" fillId="0" borderId="18" xfId="0" applyNumberFormat="1" applyFont="1" applyBorder="1"/>
    <xf numFmtId="166" fontId="18" fillId="3" borderId="18" xfId="0" applyNumberFormat="1" applyFont="1" applyFill="1" applyBorder="1"/>
    <xf numFmtId="166" fontId="57" fillId="2" borderId="18" xfId="0" applyNumberFormat="1" applyFont="1" applyFill="1" applyBorder="1" applyAlignment="1">
      <alignment vertical="center"/>
    </xf>
    <xf numFmtId="166" fontId="18" fillId="43" borderId="18" xfId="0" applyNumberFormat="1" applyFont="1" applyFill="1" applyBorder="1"/>
    <xf numFmtId="166" fontId="18" fillId="5" borderId="18" xfId="0" applyNumberFormat="1" applyFont="1" applyFill="1" applyBorder="1"/>
    <xf numFmtId="166" fontId="18" fillId="0" borderId="21" xfId="0" applyNumberFormat="1" applyFont="1" applyBorder="1"/>
    <xf numFmtId="166" fontId="18" fillId="5" borderId="7" xfId="0" applyNumberFormat="1" applyFont="1" applyFill="1" applyBorder="1"/>
    <xf numFmtId="166" fontId="18" fillId="6" borderId="7" xfId="0" applyNumberFormat="1" applyFont="1" applyFill="1" applyBorder="1"/>
    <xf numFmtId="166" fontId="18" fillId="44" borderId="7" xfId="0" applyNumberFormat="1" applyFont="1" applyFill="1" applyBorder="1"/>
    <xf numFmtId="166" fontId="18" fillId="0" borderId="27" xfId="0" applyNumberFormat="1" applyFont="1" applyBorder="1" applyAlignment="1">
      <alignment vertical="center"/>
    </xf>
    <xf numFmtId="166" fontId="18" fillId="42" borderId="7" xfId="0" applyNumberFormat="1" applyFont="1" applyFill="1" applyBorder="1"/>
    <xf numFmtId="166" fontId="18" fillId="0" borderId="24" xfId="0" applyNumberFormat="1" applyFont="1" applyBorder="1"/>
    <xf numFmtId="166" fontId="18" fillId="0" borderId="94" xfId="0" applyNumberFormat="1" applyFont="1" applyBorder="1"/>
    <xf numFmtId="166" fontId="18" fillId="0" borderId="91" xfId="0" applyNumberFormat="1" applyFont="1" applyBorder="1"/>
    <xf numFmtId="4" fontId="57" fillId="2" borderId="7" xfId="0" applyNumberFormat="1" applyFont="1" applyFill="1" applyBorder="1" applyAlignment="1">
      <alignment vertical="center"/>
    </xf>
    <xf numFmtId="4" fontId="18" fillId="3" borderId="7" xfId="0" applyNumberFormat="1" applyFont="1" applyFill="1" applyBorder="1"/>
    <xf numFmtId="4" fontId="18" fillId="0" borderId="7" xfId="0" applyNumberFormat="1" applyFont="1" applyBorder="1"/>
    <xf numFmtId="4" fontId="18" fillId="40" borderId="7" xfId="0" applyNumberFormat="1" applyFont="1" applyFill="1" applyBorder="1"/>
    <xf numFmtId="4" fontId="18" fillId="5" borderId="7" xfId="0" applyNumberFormat="1" applyFont="1" applyFill="1" applyBorder="1"/>
    <xf numFmtId="4" fontId="18" fillId="0" borderId="11" xfId="0" applyNumberFormat="1" applyFont="1" applyBorder="1"/>
    <xf numFmtId="166" fontId="18" fillId="3" borderId="24" xfId="0" applyNumberFormat="1" applyFont="1" applyFill="1" applyBorder="1"/>
    <xf numFmtId="166" fontId="18" fillId="0" borderId="16" xfId="0" applyNumberFormat="1" applyFont="1" applyBorder="1"/>
    <xf numFmtId="166" fontId="18" fillId="0" borderId="33" xfId="0" applyNumberFormat="1" applyFont="1" applyBorder="1" applyAlignment="1">
      <alignment vertical="center"/>
    </xf>
    <xf numFmtId="166" fontId="18" fillId="0" borderId="37" xfId="0" applyNumberFormat="1" applyFont="1" applyBorder="1"/>
    <xf numFmtId="166" fontId="59" fillId="5" borderId="7" xfId="0" applyNumberFormat="1" applyFont="1" applyFill="1" applyBorder="1"/>
    <xf numFmtId="166" fontId="9" fillId="0" borderId="7" xfId="0" applyNumberFormat="1" applyFont="1" applyBorder="1"/>
    <xf numFmtId="166" fontId="7" fillId="0" borderId="7" xfId="0" applyNumberFormat="1" applyFont="1" applyBorder="1"/>
    <xf numFmtId="166" fontId="13" fillId="3" borderId="7" xfId="0" applyNumberFormat="1" applyFont="1" applyFill="1" applyBorder="1"/>
    <xf numFmtId="166" fontId="9" fillId="0" borderId="27" xfId="0" applyNumberFormat="1" applyFont="1" applyBorder="1"/>
    <xf numFmtId="4" fontId="18" fillId="0" borderId="7" xfId="0" applyNumberFormat="1" applyFont="1" applyBorder="1" applyAlignment="1">
      <alignment vertical="center"/>
    </xf>
    <xf numFmtId="4" fontId="18" fillId="41" borderId="7" xfId="0" applyNumberFormat="1" applyFont="1" applyFill="1" applyBorder="1"/>
    <xf numFmtId="4" fontId="18" fillId="3" borderId="26" xfId="0" applyNumberFormat="1" applyFont="1" applyFill="1" applyBorder="1"/>
    <xf numFmtId="166" fontId="18" fillId="52" borderId="18" xfId="0" applyNumberFormat="1" applyFont="1" applyFill="1" applyBorder="1"/>
    <xf numFmtId="166" fontId="7" fillId="0" borderId="7" xfId="0" applyNumberFormat="1" applyFont="1" applyBorder="1" applyAlignment="1">
      <alignment vertical="center"/>
    </xf>
    <xf numFmtId="166" fontId="18" fillId="0" borderId="89" xfId="0" applyNumberFormat="1" applyFont="1" applyBorder="1"/>
    <xf numFmtId="166" fontId="18" fillId="3" borderId="43" xfId="0" applyNumberFormat="1" applyFont="1" applyFill="1" applyBorder="1"/>
    <xf numFmtId="166" fontId="18" fillId="3" borderId="14" xfId="0" applyNumberFormat="1" applyFont="1" applyFill="1" applyBorder="1"/>
    <xf numFmtId="166" fontId="57" fillId="2" borderId="10" xfId="0" applyNumberFormat="1" applyFont="1" applyFill="1" applyBorder="1" applyAlignment="1">
      <alignment vertical="center"/>
    </xf>
    <xf numFmtId="166" fontId="18" fillId="3" borderId="10" xfId="0" applyNumberFormat="1" applyFont="1" applyFill="1" applyBorder="1" applyAlignment="1">
      <alignment horizontal="right"/>
    </xf>
    <xf numFmtId="166" fontId="18" fillId="40" borderId="10" xfId="0" applyNumberFormat="1" applyFont="1" applyFill="1" applyBorder="1"/>
    <xf numFmtId="166" fontId="18" fillId="0" borderId="10" xfId="0" applyNumberFormat="1" applyFont="1" applyBorder="1"/>
    <xf numFmtId="166" fontId="18" fillId="3" borderId="10" xfId="0" applyNumberFormat="1" applyFont="1" applyFill="1" applyBorder="1"/>
    <xf numFmtId="166" fontId="18" fillId="0" borderId="10" xfId="0" applyNumberFormat="1" applyFont="1" applyBorder="1" applyAlignment="1">
      <alignment vertical="center"/>
    </xf>
    <xf numFmtId="166" fontId="18" fillId="3" borderId="15" xfId="0" applyNumberFormat="1" applyFont="1" applyFill="1" applyBorder="1"/>
    <xf numFmtId="166" fontId="18" fillId="0" borderId="14" xfId="0" applyNumberFormat="1" applyFont="1" applyBorder="1"/>
    <xf numFmtId="166" fontId="18" fillId="0" borderId="15" xfId="0" applyNumberFormat="1" applyFont="1" applyBorder="1"/>
    <xf numFmtId="166" fontId="18" fillId="0" borderId="28" xfId="0" applyNumberFormat="1" applyFont="1" applyBorder="1"/>
    <xf numFmtId="166" fontId="57" fillId="2" borderId="19" xfId="0" applyNumberFormat="1" applyFont="1" applyFill="1" applyBorder="1" applyAlignment="1">
      <alignment vertical="center"/>
    </xf>
    <xf numFmtId="166" fontId="18" fillId="3" borderId="19" xfId="0" applyNumberFormat="1" applyFont="1" applyFill="1" applyBorder="1"/>
    <xf numFmtId="166" fontId="18" fillId="0" borderId="19" xfId="0" applyNumberFormat="1" applyFont="1" applyBorder="1"/>
    <xf numFmtId="166" fontId="18" fillId="43" borderId="19" xfId="0" applyNumberFormat="1" applyFont="1" applyFill="1" applyBorder="1"/>
    <xf numFmtId="166" fontId="18" fillId="5" borderId="19" xfId="0" applyNumberFormat="1" applyFont="1" applyFill="1" applyBorder="1"/>
    <xf numFmtId="166" fontId="18" fillId="0" borderId="22" xfId="0" applyNumberFormat="1" applyFont="1" applyBorder="1"/>
    <xf numFmtId="3" fontId="18" fillId="0" borderId="27" xfId="0" applyNumberFormat="1" applyFont="1" applyBorder="1" applyAlignment="1">
      <alignment vertical="center"/>
    </xf>
    <xf numFmtId="3" fontId="18" fillId="42" borderId="7" xfId="0" applyNumberFormat="1" applyFont="1" applyFill="1" applyBorder="1"/>
    <xf numFmtId="166" fontId="18" fillId="0" borderId="28" xfId="0" applyNumberFormat="1" applyFont="1" applyBorder="1" applyAlignment="1">
      <alignment vertical="center"/>
    </xf>
    <xf numFmtId="166" fontId="18" fillId="5" borderId="10" xfId="0" applyNumberFormat="1" applyFont="1" applyFill="1" applyBorder="1"/>
    <xf numFmtId="166" fontId="18" fillId="42" borderId="10" xfId="0" applyNumberFormat="1" applyFont="1" applyFill="1" applyBorder="1"/>
    <xf numFmtId="0" fontId="17" fillId="0" borderId="27" xfId="0" applyFont="1" applyBorder="1" applyAlignment="1">
      <alignment wrapText="1"/>
    </xf>
    <xf numFmtId="166" fontId="18" fillId="6" borderId="10" xfId="0" applyNumberFormat="1" applyFont="1" applyFill="1" applyBorder="1"/>
    <xf numFmtId="166" fontId="18" fillId="41" borderId="10" xfId="0" applyNumberFormat="1" applyFont="1" applyFill="1" applyBorder="1"/>
    <xf numFmtId="166" fontId="18" fillId="44" borderId="10" xfId="0" applyNumberFormat="1" applyFont="1" applyFill="1" applyBorder="1"/>
    <xf numFmtId="0" fontId="16" fillId="0" borderId="7" xfId="0" applyFont="1" applyBorder="1" applyAlignment="1">
      <alignment vertical="center"/>
    </xf>
    <xf numFmtId="49" fontId="16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3" fontId="16" fillId="0" borderId="7" xfId="0" applyNumberFormat="1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166" fontId="7" fillId="41" borderId="7" xfId="0" applyNumberFormat="1" applyFont="1" applyFill="1" applyBorder="1"/>
    <xf numFmtId="166" fontId="18" fillId="0" borderId="92" xfId="0" applyNumberFormat="1" applyFont="1" applyBorder="1"/>
    <xf numFmtId="166" fontId="18" fillId="0" borderId="25" xfId="0" applyNumberFormat="1" applyFont="1" applyBorder="1"/>
    <xf numFmtId="166" fontId="18" fillId="0" borderId="93" xfId="0" applyNumberFormat="1" applyFont="1" applyBorder="1"/>
    <xf numFmtId="166" fontId="18" fillId="0" borderId="95" xfId="0" applyNumberFormat="1" applyFont="1" applyBorder="1"/>
    <xf numFmtId="166" fontId="7" fillId="0" borderId="33" xfId="0" applyNumberFormat="1" applyFont="1" applyBorder="1" applyAlignment="1">
      <alignment vertical="center"/>
    </xf>
    <xf numFmtId="166" fontId="7" fillId="0" borderId="37" xfId="0" applyNumberFormat="1" applyFont="1" applyBorder="1"/>
    <xf numFmtId="166" fontId="7" fillId="3" borderId="7" xfId="0" applyNumberFormat="1" applyFont="1" applyFill="1" applyBorder="1"/>
    <xf numFmtId="166" fontId="7" fillId="3" borderId="24" xfId="0" applyNumberFormat="1" applyFont="1" applyFill="1" applyBorder="1"/>
    <xf numFmtId="166" fontId="60" fillId="2" borderId="7" xfId="0" applyNumberFormat="1" applyFont="1" applyFill="1" applyBorder="1" applyAlignment="1">
      <alignment vertical="center"/>
    </xf>
    <xf numFmtId="166" fontId="7" fillId="0" borderId="16" xfId="0" applyNumberFormat="1" applyFont="1" applyBorder="1"/>
    <xf numFmtId="166" fontId="7" fillId="41" borderId="16" xfId="0" applyNumberFormat="1" applyFont="1" applyFill="1" applyBorder="1"/>
    <xf numFmtId="166" fontId="18" fillId="0" borderId="34" xfId="0" applyNumberFormat="1" applyFont="1" applyBorder="1" applyAlignment="1">
      <alignment vertical="center"/>
    </xf>
    <xf numFmtId="166" fontId="18" fillId="3" borderId="29" xfId="0" applyNumberFormat="1" applyFont="1" applyFill="1" applyBorder="1"/>
    <xf numFmtId="166" fontId="18" fillId="0" borderId="31" xfId="0" applyNumberFormat="1" applyFont="1" applyBorder="1"/>
    <xf numFmtId="166" fontId="18" fillId="0" borderId="38" xfId="0" applyNumberFormat="1" applyFont="1" applyBorder="1"/>
    <xf numFmtId="166" fontId="18" fillId="3" borderId="26" xfId="0" applyNumberFormat="1" applyFont="1" applyFill="1" applyBorder="1"/>
    <xf numFmtId="166" fontId="18" fillId="0" borderId="78" xfId="0" applyNumberFormat="1" applyFont="1" applyBorder="1"/>
    <xf numFmtId="166" fontId="18" fillId="0" borderId="79" xfId="0" applyNumberFormat="1" applyFont="1" applyBorder="1"/>
    <xf numFmtId="0" fontId="2" fillId="0" borderId="96" xfId="0" applyFont="1" applyBorder="1" applyAlignment="1">
      <alignment horizontal="center" vertical="center"/>
    </xf>
    <xf numFmtId="3" fontId="17" fillId="0" borderId="97" xfId="0" applyNumberFormat="1" applyFont="1" applyBorder="1"/>
    <xf numFmtId="166" fontId="18" fillId="0" borderId="97" xfId="0" applyNumberFormat="1" applyFont="1" applyBorder="1"/>
    <xf numFmtId="0" fontId="2" fillId="0" borderId="35" xfId="0" applyFont="1" applyBorder="1" applyAlignment="1">
      <alignment horizontal="center" vertical="center"/>
    </xf>
    <xf numFmtId="3" fontId="7" fillId="0" borderId="95" xfId="0" applyNumberFormat="1" applyFont="1" applyBorder="1"/>
    <xf numFmtId="0" fontId="2" fillId="0" borderId="99" xfId="0" applyFont="1" applyBorder="1" applyAlignment="1">
      <alignment horizontal="center" vertical="center"/>
    </xf>
    <xf numFmtId="3" fontId="7" fillId="0" borderId="100" xfId="0" applyNumberFormat="1" applyFont="1" applyBorder="1"/>
    <xf numFmtId="166" fontId="18" fillId="0" borderId="100" xfId="0" applyNumberFormat="1" applyFont="1" applyBorder="1"/>
    <xf numFmtId="3" fontId="16" fillId="0" borderId="101" xfId="0" applyNumberFormat="1" applyFont="1" applyBorder="1"/>
    <xf numFmtId="166" fontId="7" fillId="0" borderId="101" xfId="0" applyNumberFormat="1" applyFont="1" applyBorder="1"/>
    <xf numFmtId="166" fontId="7" fillId="0" borderId="24" xfId="0" applyNumberFormat="1" applyFont="1" applyBorder="1"/>
    <xf numFmtId="3" fontId="17" fillId="0" borderId="102" xfId="0" applyNumberFormat="1" applyFont="1" applyBorder="1"/>
    <xf numFmtId="166" fontId="7" fillId="0" borderId="102" xfId="0" applyNumberFormat="1" applyFont="1" applyBorder="1"/>
    <xf numFmtId="3" fontId="17" fillId="0" borderId="24" xfId="0" applyNumberFormat="1" applyFont="1" applyBorder="1"/>
    <xf numFmtId="3" fontId="7" fillId="0" borderId="102" xfId="0" applyNumberFormat="1" applyFont="1" applyBorder="1"/>
    <xf numFmtId="3" fontId="7" fillId="0" borderId="24" xfId="0" applyNumberFormat="1" applyFont="1" applyBorder="1"/>
    <xf numFmtId="0" fontId="17" fillId="0" borderId="101" xfId="0" applyFont="1" applyBorder="1"/>
    <xf numFmtId="49" fontId="17" fillId="0" borderId="101" xfId="0" applyNumberFormat="1" applyFont="1" applyBorder="1" applyAlignment="1">
      <alignment horizontal="center"/>
    </xf>
    <xf numFmtId="0" fontId="17" fillId="0" borderId="101" xfId="0" applyFont="1" applyBorder="1" applyAlignment="1">
      <alignment horizontal="center"/>
    </xf>
    <xf numFmtId="3" fontId="17" fillId="0" borderId="101" xfId="0" applyNumberFormat="1" applyFont="1" applyBorder="1"/>
    <xf numFmtId="166" fontId="18" fillId="0" borderId="101" xfId="0" applyNumberFormat="1" applyFont="1" applyBorder="1"/>
    <xf numFmtId="166" fontId="18" fillId="0" borderId="102" xfId="0" applyNumberFormat="1" applyFont="1" applyBorder="1"/>
    <xf numFmtId="166" fontId="18" fillId="50" borderId="18" xfId="0" applyNumberFormat="1" applyFont="1" applyFill="1" applyBorder="1"/>
    <xf numFmtId="166" fontId="18" fillId="41" borderId="18" xfId="0" applyNumberFormat="1" applyFont="1" applyFill="1" applyBorder="1"/>
    <xf numFmtId="166" fontId="18" fillId="52" borderId="18" xfId="0" applyNumberFormat="1" applyFont="1" applyFill="1" applyBorder="1" applyAlignment="1">
      <alignment vertical="center"/>
    </xf>
    <xf numFmtId="166" fontId="18" fillId="45" borderId="42" xfId="0" applyNumberFormat="1" applyFont="1" applyFill="1" applyBorder="1"/>
    <xf numFmtId="166" fontId="18" fillId="46" borderId="43" xfId="0" applyNumberFormat="1" applyFont="1" applyFill="1" applyBorder="1"/>
    <xf numFmtId="166" fontId="18" fillId="45" borderId="45" xfId="0" applyNumberFormat="1" applyFont="1" applyFill="1" applyBorder="1"/>
    <xf numFmtId="166" fontId="18" fillId="46" borderId="16" xfId="0" applyNumberFormat="1" applyFont="1" applyFill="1" applyBorder="1"/>
    <xf numFmtId="166" fontId="18" fillId="39" borderId="11" xfId="0" applyNumberFormat="1" applyFont="1" applyFill="1" applyBorder="1"/>
    <xf numFmtId="166" fontId="18" fillId="47" borderId="7" xfId="0" applyNumberFormat="1" applyFont="1" applyFill="1" applyBorder="1"/>
    <xf numFmtId="166" fontId="18" fillId="0" borderId="43" xfId="0" applyNumberFormat="1" applyFont="1" applyBorder="1" applyAlignment="1">
      <alignment vertical="center"/>
    </xf>
    <xf numFmtId="166" fontId="18" fillId="39" borderId="41" xfId="0" applyNumberFormat="1" applyFont="1" applyFill="1" applyBorder="1"/>
    <xf numFmtId="166" fontId="18" fillId="45" borderId="42" xfId="0" applyNumberFormat="1" applyFont="1" applyFill="1" applyBorder="1" applyAlignment="1">
      <alignment vertical="center"/>
    </xf>
    <xf numFmtId="166" fontId="18" fillId="46" borderId="7" xfId="0" applyNumberFormat="1" applyFont="1" applyFill="1" applyBorder="1"/>
    <xf numFmtId="166" fontId="18" fillId="39" borderId="33" xfId="0" applyNumberFormat="1" applyFont="1" applyFill="1" applyBorder="1"/>
    <xf numFmtId="166" fontId="18" fillId="46" borderId="46" xfId="0" applyNumberFormat="1" applyFont="1" applyFill="1" applyBorder="1"/>
    <xf numFmtId="166" fontId="18" fillId="0" borderId="16" xfId="0" applyNumberFormat="1" applyFont="1" applyBorder="1" applyAlignment="1">
      <alignment vertical="center"/>
    </xf>
    <xf numFmtId="166" fontId="18" fillId="0" borderId="33" xfId="0" applyNumberFormat="1" applyFont="1" applyBorder="1"/>
    <xf numFmtId="166" fontId="18" fillId="46" borderId="16" xfId="0" applyNumberFormat="1" applyFont="1" applyFill="1" applyBorder="1" applyAlignment="1">
      <alignment vertical="center"/>
    </xf>
    <xf numFmtId="166" fontId="18" fillId="41" borderId="16" xfId="0" applyNumberFormat="1" applyFont="1" applyFill="1" applyBorder="1"/>
    <xf numFmtId="166" fontId="18" fillId="45" borderId="47" xfId="0" applyNumberFormat="1" applyFont="1" applyFill="1" applyBorder="1"/>
    <xf numFmtId="166" fontId="18" fillId="0" borderId="48" xfId="0" applyNumberFormat="1" applyFont="1" applyBorder="1"/>
    <xf numFmtId="166" fontId="18" fillId="47" borderId="16" xfId="0" applyNumberFormat="1" applyFont="1" applyFill="1" applyBorder="1"/>
    <xf numFmtId="166" fontId="18" fillId="47" borderId="16" xfId="0" applyNumberFormat="1" applyFont="1" applyFill="1" applyBorder="1" applyAlignment="1">
      <alignment vertical="center"/>
    </xf>
    <xf numFmtId="166" fontId="18" fillId="41" borderId="16" xfId="0" applyNumberFormat="1" applyFont="1" applyFill="1" applyBorder="1" applyAlignment="1">
      <alignment vertical="center"/>
    </xf>
    <xf numFmtId="166" fontId="18" fillId="45" borderId="47" xfId="0" applyNumberFormat="1" applyFont="1" applyFill="1" applyBorder="1" applyAlignment="1">
      <alignment vertical="center"/>
    </xf>
    <xf numFmtId="166" fontId="18" fillId="47" borderId="46" xfId="0" applyNumberFormat="1" applyFont="1" applyFill="1" applyBorder="1" applyAlignment="1">
      <alignment vertical="center"/>
    </xf>
    <xf numFmtId="166" fontId="18" fillId="39" borderId="51" xfId="0" applyNumberFormat="1" applyFont="1" applyFill="1" applyBorder="1"/>
    <xf numFmtId="0" fontId="17" fillId="0" borderId="51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16" fillId="0" borderId="101" xfId="0" applyFont="1" applyBorder="1"/>
    <xf numFmtId="49" fontId="16" fillId="0" borderId="101" xfId="0" applyNumberFormat="1" applyFont="1" applyBorder="1" applyAlignment="1">
      <alignment horizontal="center"/>
    </xf>
    <xf numFmtId="0" fontId="16" fillId="0" borderId="101" xfId="0" applyFont="1" applyBorder="1" applyAlignment="1">
      <alignment horizontal="center"/>
    </xf>
    <xf numFmtId="3" fontId="16" fillId="0" borderId="105" xfId="0" applyNumberFormat="1" applyFont="1" applyBorder="1"/>
    <xf numFmtId="166" fontId="18" fillId="0" borderId="105" xfId="0" applyNumberFormat="1" applyFont="1" applyBorder="1"/>
    <xf numFmtId="3" fontId="17" fillId="0" borderId="93" xfId="0" applyNumberFormat="1" applyFont="1" applyBorder="1"/>
    <xf numFmtId="3" fontId="49" fillId="0" borderId="24" xfId="0" applyNumberFormat="1" applyFont="1" applyBorder="1"/>
    <xf numFmtId="3" fontId="7" fillId="0" borderId="93" xfId="0" applyNumberFormat="1" applyFont="1" applyBorder="1"/>
    <xf numFmtId="49" fontId="17" fillId="0" borderId="24" xfId="0" applyNumberFormat="1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7" fillId="0" borderId="24" xfId="0" applyFont="1" applyBorder="1"/>
    <xf numFmtId="0" fontId="7" fillId="0" borderId="7" xfId="0" applyFont="1" applyBorder="1" applyAlignment="1">
      <alignment horizontal="left" vertical="center" wrapText="1"/>
    </xf>
    <xf numFmtId="3" fontId="16" fillId="0" borderId="107" xfId="0" applyNumberFormat="1" applyFont="1" applyBorder="1"/>
    <xf numFmtId="3" fontId="17" fillId="0" borderId="108" xfId="0" applyNumberFormat="1" applyFont="1" applyBorder="1"/>
    <xf numFmtId="3" fontId="7" fillId="0" borderId="109" xfId="0" applyNumberFormat="1" applyFont="1" applyBorder="1"/>
    <xf numFmtId="3" fontId="7" fillId="0" borderId="110" xfId="0" applyNumberFormat="1" applyFont="1" applyBorder="1"/>
    <xf numFmtId="0" fontId="16" fillId="0" borderId="106" xfId="0" applyFont="1" applyBorder="1"/>
    <xf numFmtId="0" fontId="16" fillId="0" borderId="111" xfId="0" applyFont="1" applyBorder="1"/>
    <xf numFmtId="49" fontId="16" fillId="0" borderId="111" xfId="0" applyNumberFormat="1" applyFont="1" applyBorder="1" applyAlignment="1">
      <alignment horizontal="center"/>
    </xf>
    <xf numFmtId="0" fontId="16" fillId="0" borderId="111" xfId="0" applyFont="1" applyBorder="1" applyAlignment="1">
      <alignment horizontal="center"/>
    </xf>
    <xf numFmtId="3" fontId="16" fillId="0" borderId="111" xfId="0" applyNumberFormat="1" applyFont="1" applyBorder="1"/>
    <xf numFmtId="166" fontId="18" fillId="0" borderId="111" xfId="0" applyNumberFormat="1" applyFont="1" applyBorder="1"/>
    <xf numFmtId="0" fontId="16" fillId="0" borderId="112" xfId="0" applyFont="1" applyBorder="1"/>
    <xf numFmtId="0" fontId="16" fillId="0" borderId="113" xfId="0" applyFont="1" applyBorder="1"/>
    <xf numFmtId="49" fontId="16" fillId="0" borderId="113" xfId="0" applyNumberFormat="1" applyFont="1" applyBorder="1" applyAlignment="1">
      <alignment horizontal="center"/>
    </xf>
    <xf numFmtId="0" fontId="17" fillId="0" borderId="114" xfId="0" applyFont="1" applyBorder="1" applyAlignment="1">
      <alignment horizontal="center"/>
    </xf>
    <xf numFmtId="0" fontId="17" fillId="0" borderId="114" xfId="0" applyFont="1" applyBorder="1"/>
    <xf numFmtId="3" fontId="17" fillId="0" borderId="114" xfId="0" applyNumberFormat="1" applyFont="1" applyBorder="1"/>
    <xf numFmtId="166" fontId="18" fillId="0" borderId="114" xfId="0" applyNumberFormat="1" applyFont="1" applyBorder="1"/>
    <xf numFmtId="3" fontId="7" fillId="0" borderId="16" xfId="0" applyNumberFormat="1" applyFont="1" applyBorder="1"/>
    <xf numFmtId="0" fontId="16" fillId="0" borderId="115" xfId="0" applyFont="1" applyBorder="1"/>
    <xf numFmtId="0" fontId="16" fillId="0" borderId="116" xfId="0" applyFont="1" applyBorder="1"/>
    <xf numFmtId="49" fontId="16" fillId="0" borderId="116" xfId="0" applyNumberFormat="1" applyFont="1" applyBorder="1" applyAlignment="1">
      <alignment horizontal="center"/>
    </xf>
    <xf numFmtId="0" fontId="7" fillId="0" borderId="116" xfId="0" applyFont="1" applyBorder="1" applyAlignment="1">
      <alignment horizontal="center"/>
    </xf>
    <xf numFmtId="0" fontId="7" fillId="0" borderId="116" xfId="0" applyFont="1" applyBorder="1"/>
    <xf numFmtId="3" fontId="7" fillId="0" borderId="116" xfId="0" applyNumberFormat="1" applyFont="1" applyBorder="1"/>
    <xf numFmtId="166" fontId="18" fillId="0" borderId="116" xfId="0" applyNumberFormat="1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3" fontId="7" fillId="0" borderId="69" xfId="0" applyNumberFormat="1" applyFont="1" applyBorder="1" applyAlignment="1">
      <alignment vertical="center"/>
    </xf>
    <xf numFmtId="3" fontId="7" fillId="0" borderId="89" xfId="0" applyNumberFormat="1" applyFont="1" applyBorder="1" applyAlignment="1">
      <alignment vertical="center"/>
    </xf>
    <xf numFmtId="166" fontId="18" fillId="0" borderId="89" xfId="0" applyNumberFormat="1" applyFont="1" applyBorder="1" applyAlignment="1">
      <alignment vertical="center"/>
    </xf>
    <xf numFmtId="3" fontId="49" fillId="0" borderId="7" xfId="0" applyNumberFormat="1" applyFont="1" applyBorder="1" applyAlignment="1">
      <alignment vertical="center"/>
    </xf>
    <xf numFmtId="3" fontId="7" fillId="41" borderId="53" xfId="0" applyNumberFormat="1" applyFont="1" applyFill="1" applyBorder="1"/>
    <xf numFmtId="3" fontId="7" fillId="4" borderId="53" xfId="0" applyNumberFormat="1" applyFont="1" applyFill="1" applyBorder="1" applyAlignment="1">
      <alignment horizontal="left" vertical="center" wrapText="1"/>
    </xf>
    <xf numFmtId="3" fontId="7" fillId="0" borderId="18" xfId="0" applyNumberFormat="1" applyFont="1" applyBorder="1" applyAlignment="1">
      <alignment vertical="center" wrapText="1"/>
    </xf>
    <xf numFmtId="3" fontId="27" fillId="0" borderId="18" xfId="0" applyNumberFormat="1" applyFont="1" applyBorder="1" applyAlignment="1">
      <alignment vertical="center"/>
    </xf>
    <xf numFmtId="166" fontId="18" fillId="0" borderId="18" xfId="0" applyNumberFormat="1" applyFont="1" applyBorder="1" applyAlignment="1">
      <alignment vertical="center"/>
    </xf>
    <xf numFmtId="3" fontId="19" fillId="0" borderId="18" xfId="0" applyNumberFormat="1" applyFont="1" applyBorder="1" applyAlignment="1">
      <alignment vertical="center"/>
    </xf>
    <xf numFmtId="166" fontId="18" fillId="55" borderId="40" xfId="0" applyNumberFormat="1" applyFont="1" applyFill="1" applyBorder="1" applyAlignment="1">
      <alignment horizontal="center" vertical="center" wrapText="1"/>
    </xf>
    <xf numFmtId="166" fontId="18" fillId="55" borderId="18" xfId="0" applyNumberFormat="1" applyFont="1" applyFill="1" applyBorder="1" applyAlignment="1">
      <alignment horizontal="center" vertical="center" wrapText="1"/>
    </xf>
    <xf numFmtId="166" fontId="18" fillId="55" borderId="21" xfId="0" applyNumberFormat="1" applyFont="1" applyFill="1" applyBorder="1" applyAlignment="1">
      <alignment horizontal="center" vertical="center" wrapText="1"/>
    </xf>
    <xf numFmtId="3" fontId="10" fillId="55" borderId="40" xfId="0" applyNumberFormat="1" applyFont="1" applyFill="1" applyBorder="1" applyAlignment="1">
      <alignment horizontal="center" vertical="center" wrapText="1"/>
    </xf>
    <xf numFmtId="3" fontId="10" fillId="55" borderId="18" xfId="0" applyNumberFormat="1" applyFont="1" applyFill="1" applyBorder="1" applyAlignment="1">
      <alignment horizontal="center" vertical="center" wrapText="1"/>
    </xf>
    <xf numFmtId="3" fontId="10" fillId="55" borderId="21" xfId="0" applyNumberFormat="1" applyFont="1" applyFill="1" applyBorder="1" applyAlignment="1">
      <alignment horizontal="center" vertical="center" wrapText="1"/>
    </xf>
    <xf numFmtId="49" fontId="23" fillId="55" borderId="56" xfId="0" applyNumberFormat="1" applyFont="1" applyFill="1" applyBorder="1" applyAlignment="1">
      <alignment horizontal="center" vertical="center"/>
    </xf>
    <xf numFmtId="49" fontId="23" fillId="55" borderId="8" xfId="0" applyNumberFormat="1" applyFont="1" applyFill="1" applyBorder="1" applyAlignment="1">
      <alignment horizontal="center" vertical="center"/>
    </xf>
    <xf numFmtId="49" fontId="23" fillId="55" borderId="9" xfId="0" applyNumberFormat="1" applyFont="1" applyFill="1" applyBorder="1" applyAlignment="1">
      <alignment horizontal="center" vertical="center"/>
    </xf>
    <xf numFmtId="49" fontId="23" fillId="55" borderId="7" xfId="0" applyNumberFormat="1" applyFont="1" applyFill="1" applyBorder="1" applyAlignment="1">
      <alignment horizontal="center" vertical="center"/>
    </xf>
    <xf numFmtId="0" fontId="55" fillId="0" borderId="74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/>
    </xf>
    <xf numFmtId="49" fontId="24" fillId="55" borderId="7" xfId="0" applyNumberFormat="1" applyFont="1" applyFill="1" applyBorder="1" applyAlignment="1">
      <alignment horizontal="center" vertical="center"/>
    </xf>
    <xf numFmtId="49" fontId="24" fillId="55" borderId="11" xfId="0" applyNumberFormat="1" applyFont="1" applyFill="1" applyBorder="1" applyAlignment="1">
      <alignment horizontal="center" vertical="center"/>
    </xf>
    <xf numFmtId="0" fontId="10" fillId="55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49" fontId="23" fillId="55" borderId="57" xfId="0" applyNumberFormat="1" applyFont="1" applyFill="1" applyBorder="1" applyAlignment="1">
      <alignment horizontal="center" vertical="center"/>
    </xf>
    <xf numFmtId="49" fontId="23" fillId="55" borderId="40" xfId="0" applyNumberFormat="1" applyFont="1" applyFill="1" applyBorder="1" applyAlignment="1">
      <alignment horizontal="center" vertical="center"/>
    </xf>
    <xf numFmtId="49" fontId="23" fillId="55" borderId="58" xfId="0" applyNumberFormat="1" applyFont="1" applyFill="1" applyBorder="1" applyAlignment="1">
      <alignment horizontal="center" vertical="center"/>
    </xf>
    <xf numFmtId="49" fontId="23" fillId="55" borderId="18" xfId="0" applyNumberFormat="1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10" fillId="55" borderId="11" xfId="0" applyFont="1" applyFill="1" applyBorder="1" applyAlignment="1">
      <alignment horizontal="center" vertical="center"/>
    </xf>
    <xf numFmtId="49" fontId="24" fillId="55" borderId="18" xfId="0" applyNumberFormat="1" applyFont="1" applyFill="1" applyBorder="1" applyAlignment="1">
      <alignment horizontal="center" vertical="center" wrapText="1"/>
    </xf>
    <xf numFmtId="49" fontId="24" fillId="55" borderId="21" xfId="0" applyNumberFormat="1" applyFont="1" applyFill="1" applyBorder="1" applyAlignment="1">
      <alignment horizontal="center" vertical="center" wrapText="1"/>
    </xf>
    <xf numFmtId="0" fontId="10" fillId="55" borderId="18" xfId="0" applyFont="1" applyFill="1" applyBorder="1" applyAlignment="1">
      <alignment horizontal="center" vertical="center"/>
    </xf>
    <xf numFmtId="0" fontId="10" fillId="55" borderId="21" xfId="0" applyFont="1" applyFill="1" applyBorder="1" applyAlignment="1">
      <alignment horizontal="center" vertical="center"/>
    </xf>
    <xf numFmtId="3" fontId="10" fillId="55" borderId="61" xfId="0" applyNumberFormat="1" applyFont="1" applyFill="1" applyBorder="1" applyAlignment="1">
      <alignment horizontal="center" vertical="center" wrapText="1"/>
    </xf>
    <xf numFmtId="3" fontId="10" fillId="55" borderId="10" xfId="0" applyNumberFormat="1" applyFont="1" applyFill="1" applyBorder="1" applyAlignment="1">
      <alignment horizontal="center" vertical="center" wrapText="1"/>
    </xf>
    <xf numFmtId="3" fontId="10" fillId="55" borderId="7" xfId="0" applyNumberFormat="1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 wrapText="1"/>
    </xf>
    <xf numFmtId="0" fontId="2" fillId="55" borderId="7" xfId="0" applyFont="1" applyFill="1" applyBorder="1" applyAlignment="1">
      <alignment horizontal="center" vertical="center"/>
    </xf>
    <xf numFmtId="0" fontId="8" fillId="41" borderId="0" xfId="0" applyFont="1" applyFill="1"/>
    <xf numFmtId="0" fontId="3" fillId="41" borderId="0" xfId="0" applyFont="1" applyFill="1"/>
    <xf numFmtId="49" fontId="9" fillId="55" borderId="56" xfId="0" applyNumberFormat="1" applyFont="1" applyFill="1" applyBorder="1" applyAlignment="1">
      <alignment horizontal="center"/>
    </xf>
    <xf numFmtId="49" fontId="9" fillId="55" borderId="8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55" borderId="7" xfId="0" applyFont="1" applyFill="1" applyBorder="1" applyAlignment="1">
      <alignment horizontal="center" vertical="center" textRotation="180" wrapText="1"/>
    </xf>
    <xf numFmtId="0" fontId="11" fillId="2" borderId="7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3" fillId="3" borderId="7" xfId="0" applyFont="1" applyFill="1" applyBorder="1"/>
    <xf numFmtId="0" fontId="3" fillId="0" borderId="7" xfId="0" applyFont="1" applyBorder="1"/>
    <xf numFmtId="0" fontId="15" fillId="40" borderId="7" xfId="0" applyFont="1" applyFill="1" applyBorder="1"/>
    <xf numFmtId="0" fontId="3" fillId="40" borderId="7" xfId="0" applyFont="1" applyFill="1" applyBorder="1"/>
    <xf numFmtId="3" fontId="18" fillId="55" borderId="61" xfId="0" applyNumberFormat="1" applyFont="1" applyFill="1" applyBorder="1" applyAlignment="1">
      <alignment horizontal="center" vertical="center" wrapText="1"/>
    </xf>
    <xf numFmtId="3" fontId="18" fillId="55" borderId="10" xfId="0" applyNumberFormat="1" applyFont="1" applyFill="1" applyBorder="1" applyAlignment="1">
      <alignment horizontal="center" vertical="center" wrapText="1"/>
    </xf>
    <xf numFmtId="3" fontId="18" fillId="55" borderId="7" xfId="0" applyNumberFormat="1" applyFont="1" applyFill="1" applyBorder="1" applyAlignment="1">
      <alignment horizontal="center" vertical="center" wrapText="1"/>
    </xf>
    <xf numFmtId="4" fontId="18" fillId="55" borderId="7" xfId="0" applyNumberFormat="1" applyFont="1" applyFill="1" applyBorder="1" applyAlignment="1">
      <alignment horizontal="center" vertical="center" wrapText="1"/>
    </xf>
    <xf numFmtId="0" fontId="15" fillId="40" borderId="12" xfId="0" applyFont="1" applyFill="1" applyBorder="1"/>
    <xf numFmtId="0" fontId="15" fillId="40" borderId="54" xfId="0" applyFont="1" applyFill="1" applyBorder="1"/>
    <xf numFmtId="0" fontId="15" fillId="40" borderId="76" xfId="0" applyFont="1" applyFill="1" applyBorder="1"/>
    <xf numFmtId="0" fontId="8" fillId="0" borderId="0" xfId="0" applyFont="1"/>
    <xf numFmtId="0" fontId="3" fillId="0" borderId="0" xfId="0" applyFont="1"/>
    <xf numFmtId="0" fontId="13" fillId="3" borderId="26" xfId="0" applyFont="1" applyFill="1" applyBorder="1"/>
    <xf numFmtId="0" fontId="3" fillId="0" borderId="26" xfId="0" applyFont="1" applyBorder="1"/>
    <xf numFmtId="166" fontId="18" fillId="55" borderId="7" xfId="0" applyNumberFormat="1" applyFont="1" applyFill="1" applyBorder="1" applyAlignment="1">
      <alignment horizontal="center" vertical="center" wrapText="1"/>
    </xf>
    <xf numFmtId="3" fontId="7" fillId="55" borderId="7" xfId="0" applyNumberFormat="1" applyFont="1" applyFill="1" applyBorder="1" applyAlignment="1">
      <alignment horizontal="center" vertical="center" wrapText="1"/>
    </xf>
    <xf numFmtId="0" fontId="13" fillId="54" borderId="7" xfId="0" applyFont="1" applyFill="1" applyBorder="1"/>
    <xf numFmtId="0" fontId="3" fillId="54" borderId="7" xfId="0" applyFont="1" applyFill="1" applyBorder="1"/>
    <xf numFmtId="0" fontId="13" fillId="3" borderId="24" xfId="0" applyFont="1" applyFill="1" applyBorder="1"/>
    <xf numFmtId="0" fontId="3" fillId="0" borderId="24" xfId="0" applyFont="1" applyBorder="1"/>
    <xf numFmtId="0" fontId="8" fillId="0" borderId="74" xfId="0" applyFont="1" applyBorder="1"/>
    <xf numFmtId="0" fontId="11" fillId="2" borderId="12" xfId="0" applyFont="1" applyFill="1" applyBorder="1" applyAlignment="1">
      <alignment vertical="center"/>
    </xf>
    <xf numFmtId="0" fontId="11" fillId="2" borderId="54" xfId="0" applyFont="1" applyFill="1" applyBorder="1" applyAlignment="1">
      <alignment vertical="center"/>
    </xf>
    <xf numFmtId="0" fontId="11" fillId="2" borderId="76" xfId="0" applyFont="1" applyFill="1" applyBorder="1" applyAlignment="1">
      <alignment vertical="center"/>
    </xf>
    <xf numFmtId="0" fontId="13" fillId="3" borderId="12" xfId="0" applyFont="1" applyFill="1" applyBorder="1"/>
    <xf numFmtId="0" fontId="13" fillId="3" borderId="54" xfId="0" applyFont="1" applyFill="1" applyBorder="1"/>
    <xf numFmtId="0" fontId="13" fillId="3" borderId="76" xfId="0" applyFont="1" applyFill="1" applyBorder="1"/>
    <xf numFmtId="3" fontId="2" fillId="55" borderId="61" xfId="0" applyNumberFormat="1" applyFont="1" applyFill="1" applyBorder="1" applyAlignment="1">
      <alignment horizontal="center" vertical="center" wrapText="1"/>
    </xf>
    <xf numFmtId="3" fontId="2" fillId="55" borderId="10" xfId="0" applyNumberFormat="1" applyFont="1" applyFill="1" applyBorder="1" applyAlignment="1">
      <alignment horizontal="center" vertical="center" wrapText="1"/>
    </xf>
    <xf numFmtId="3" fontId="2" fillId="55" borderId="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/>
    <xf numFmtId="0" fontId="3" fillId="0" borderId="18" xfId="0" applyFont="1" applyBorder="1"/>
    <xf numFmtId="0" fontId="11" fillId="2" borderId="18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8" fillId="0" borderId="62" xfId="0" applyFont="1" applyBorder="1"/>
    <xf numFmtId="0" fontId="3" fillId="0" borderId="63" xfId="0" applyFont="1" applyBorder="1"/>
    <xf numFmtId="0" fontId="3" fillId="0" borderId="64" xfId="0" applyFont="1" applyBorder="1"/>
    <xf numFmtId="0" fontId="21" fillId="40" borderId="7" xfId="0" applyFont="1" applyFill="1" applyBorder="1"/>
    <xf numFmtId="0" fontId="56" fillId="0" borderId="0" xfId="0" applyFont="1"/>
    <xf numFmtId="0" fontId="1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vertical="center"/>
    </xf>
    <xf numFmtId="0" fontId="13" fillId="3" borderId="14" xfId="0" applyFont="1" applyFill="1" applyBorder="1"/>
    <xf numFmtId="0" fontId="3" fillId="0" borderId="14" xfId="0" applyFont="1" applyBorder="1"/>
    <xf numFmtId="0" fontId="13" fillId="54" borderId="103" xfId="0" applyFont="1" applyFill="1" applyBorder="1"/>
    <xf numFmtId="0" fontId="3" fillId="54" borderId="98" xfId="0" applyFont="1" applyFill="1" applyBorder="1"/>
    <xf numFmtId="0" fontId="3" fillId="54" borderId="104" xfId="0" applyFont="1" applyFill="1" applyBorder="1"/>
    <xf numFmtId="0" fontId="13" fillId="3" borderId="43" xfId="0" applyFont="1" applyFill="1" applyBorder="1"/>
    <xf numFmtId="0" fontId="3" fillId="0" borderId="43" xfId="0" applyFont="1" applyBorder="1"/>
    <xf numFmtId="0" fontId="13" fillId="54" borderId="52" xfId="0" applyFont="1" applyFill="1" applyBorder="1"/>
    <xf numFmtId="0" fontId="3" fillId="0" borderId="53" xfId="0" applyFont="1" applyBorder="1"/>
    <xf numFmtId="0" fontId="3" fillId="0" borderId="65" xfId="0" applyFont="1" applyBorder="1"/>
    <xf numFmtId="0" fontId="13" fillId="54" borderId="71" xfId="0" applyFont="1" applyFill="1" applyBorder="1"/>
    <xf numFmtId="0" fontId="3" fillId="0" borderId="72" xfId="0" applyFont="1" applyBorder="1"/>
    <xf numFmtId="0" fontId="3" fillId="0" borderId="73" xfId="0" applyFont="1" applyBorder="1"/>
    <xf numFmtId="0" fontId="56" fillId="0" borderId="74" xfId="0" applyFont="1" applyBorder="1" applyAlignment="1">
      <alignment horizontal="left" wrapText="1"/>
    </xf>
    <xf numFmtId="0" fontId="54" fillId="0" borderId="74" xfId="0" applyFont="1" applyBorder="1" applyAlignment="1">
      <alignment horizontal="left" wrapText="1"/>
    </xf>
    <xf numFmtId="3" fontId="1" fillId="0" borderId="0" xfId="0" applyNumberFormat="1" applyFont="1" applyAlignment="1">
      <alignment horizontal="left" wrapText="1"/>
    </xf>
    <xf numFmtId="3" fontId="15" fillId="50" borderId="52" xfId="0" applyNumberFormat="1" applyFont="1" applyFill="1" applyBorder="1"/>
    <xf numFmtId="3" fontId="15" fillId="50" borderId="53" xfId="0" applyNumberFormat="1" applyFont="1" applyFill="1" applyBorder="1"/>
    <xf numFmtId="3" fontId="7" fillId="4" borderId="52" xfId="0" applyNumberFormat="1" applyFont="1" applyFill="1" applyBorder="1"/>
    <xf numFmtId="3" fontId="7" fillId="4" borderId="53" xfId="0" applyNumberFormat="1" applyFont="1" applyFill="1" applyBorder="1"/>
    <xf numFmtId="3" fontId="15" fillId="51" borderId="66" xfId="0" applyNumberFormat="1" applyFont="1" applyFill="1" applyBorder="1" applyAlignment="1">
      <alignment horizontal="center" vertical="center"/>
    </xf>
    <xf numFmtId="3" fontId="15" fillId="51" borderId="40" xfId="0" applyNumberFormat="1" applyFont="1" applyFill="1" applyBorder="1" applyAlignment="1">
      <alignment horizontal="center" vertical="center"/>
    </xf>
    <xf numFmtId="3" fontId="15" fillId="51" borderId="17" xfId="0" applyNumberFormat="1" applyFont="1" applyFill="1" applyBorder="1" applyAlignment="1">
      <alignment horizontal="center" vertical="center"/>
    </xf>
    <xf numFmtId="3" fontId="15" fillId="51" borderId="18" xfId="0" applyNumberFormat="1" applyFont="1" applyFill="1" applyBorder="1" applyAlignment="1">
      <alignment horizontal="center" vertical="center"/>
    </xf>
    <xf numFmtId="3" fontId="13" fillId="39" borderId="90" xfId="0" applyNumberFormat="1" applyFont="1" applyFill="1" applyBorder="1" applyAlignment="1">
      <alignment horizontal="center"/>
    </xf>
    <xf numFmtId="3" fontId="13" fillId="39" borderId="72" xfId="0" applyNumberFormat="1" applyFont="1" applyFill="1" applyBorder="1" applyAlignment="1">
      <alignment horizontal="center"/>
    </xf>
    <xf numFmtId="3" fontId="22" fillId="51" borderId="71" xfId="0" applyNumberFormat="1" applyFont="1" applyFill="1" applyBorder="1" applyAlignment="1">
      <alignment horizontal="center" vertical="center" wrapText="1"/>
    </xf>
    <xf numFmtId="3" fontId="22" fillId="51" borderId="72" xfId="0" applyNumberFormat="1" applyFont="1" applyFill="1" applyBorder="1" applyAlignment="1">
      <alignment horizontal="center" vertical="center" wrapText="1"/>
    </xf>
    <xf numFmtId="3" fontId="7" fillId="4" borderId="52" xfId="0" applyNumberFormat="1" applyFont="1" applyFill="1" applyBorder="1" applyAlignment="1">
      <alignment horizontal="left" vertical="center" wrapText="1"/>
    </xf>
    <xf numFmtId="3" fontId="7" fillId="4" borderId="53" xfId="0" applyNumberFormat="1" applyFont="1" applyFill="1" applyBorder="1" applyAlignment="1">
      <alignment horizontal="left" vertical="center" wrapText="1"/>
    </xf>
    <xf numFmtId="3" fontId="7" fillId="4" borderId="65" xfId="0" applyNumberFormat="1" applyFont="1" applyFill="1" applyBorder="1" applyAlignment="1">
      <alignment horizontal="left" vertical="center" wrapText="1"/>
    </xf>
    <xf numFmtId="3" fontId="15" fillId="39" borderId="67" xfId="0" applyNumberFormat="1" applyFont="1" applyFill="1" applyBorder="1" applyAlignment="1">
      <alignment vertical="center"/>
    </xf>
    <xf numFmtId="3" fontId="15" fillId="39" borderId="68" xfId="0" applyNumberFormat="1" applyFont="1" applyFill="1" applyBorder="1" applyAlignment="1">
      <alignment vertical="center"/>
    </xf>
  </cellXfs>
  <cellStyles count="65">
    <cellStyle name="20 % - zvýraznenie1 2" xfId="1" xr:uid="{4EA2DEE9-F43C-4FA4-92A5-0E98E04F2AFC}"/>
    <cellStyle name="20 % - zvýraznenie2 2" xfId="2" xr:uid="{BB813889-C15B-403D-8DC8-CC726A81A91A}"/>
    <cellStyle name="20 % - zvýraznenie3 2" xfId="3" xr:uid="{E51616DE-7190-418C-BE6C-B8F950C4AEBF}"/>
    <cellStyle name="20 % - zvýraznenie4 2" xfId="4" xr:uid="{04C4A123-180F-42DF-8651-053C15005264}"/>
    <cellStyle name="20 % - zvýraznenie5 2" xfId="5" xr:uid="{6E90C26B-23B2-4B40-BAD5-D733A51190B6}"/>
    <cellStyle name="20 % - zvýraznenie6 2" xfId="6" xr:uid="{8080A864-82CB-4D48-B06E-229D974D1F0B}"/>
    <cellStyle name="40 % - zvýraznenie1 2" xfId="7" xr:uid="{41C9E1FE-0ACC-4A1B-A72F-9FC54A502674}"/>
    <cellStyle name="40 % - zvýraznenie2 2" xfId="8" xr:uid="{E597415C-9AEF-4B29-8253-0C931388B2BF}"/>
    <cellStyle name="40 % - zvýraznenie3 2" xfId="9" xr:uid="{CD965FFD-4A79-4BB3-98C0-880AFA86DE24}"/>
    <cellStyle name="40 % - zvýraznenie4 2" xfId="10" xr:uid="{493A2BD4-8055-402D-915E-7F6E94DE1C50}"/>
    <cellStyle name="40 % - zvýraznenie5 2" xfId="11" xr:uid="{D47FD7F2-F6DC-4150-B7C5-3B9A678C29B0}"/>
    <cellStyle name="40 % - zvýraznenie6 2" xfId="12" xr:uid="{4620C00E-00CD-4F61-ABCE-8F3DB1F3538A}"/>
    <cellStyle name="60 % - zvýraznenie1 2" xfId="13" xr:uid="{DDA461D8-4A5A-4061-BC6E-ABEAA99018A6}"/>
    <cellStyle name="60 % - zvýraznenie2 2" xfId="14" xr:uid="{000707F7-208F-4EDE-A48D-A3E89F39DBFA}"/>
    <cellStyle name="60 % - zvýraznenie3 2" xfId="15" xr:uid="{9826E401-F1DE-41E6-94F5-FCD47AA12A18}"/>
    <cellStyle name="60 % - zvýraznenie4 2" xfId="16" xr:uid="{793E6D85-E95C-43E2-97F5-FEB5D0CEFEE3}"/>
    <cellStyle name="60 % - zvýraznenie5 2" xfId="17" xr:uid="{615F67B6-12E6-4F32-BFA7-F627C88591A6}"/>
    <cellStyle name="60 % - zvýraznenie6 2" xfId="18" xr:uid="{2D6BB102-D6BB-4561-8F98-A53C0193AA29}"/>
    <cellStyle name="Comma [0] 2" xfId="19" xr:uid="{DC4B738B-3D7D-41D9-B1CE-C78E239A4365}"/>
    <cellStyle name="Comma 2" xfId="20" xr:uid="{384A20D7-3C48-4A19-8E38-90E021004932}"/>
    <cellStyle name="Comma 3" xfId="21" xr:uid="{8C6342D2-727F-47B6-8F3F-78DE2093C5E9}"/>
    <cellStyle name="Comma 4" xfId="22" xr:uid="{67F61DB4-9427-43F7-B067-760FC9119E0A}"/>
    <cellStyle name="Currency [0] 2" xfId="23" xr:uid="{55C8F0F6-98EC-4D36-8799-B7A1C28D018F}"/>
    <cellStyle name="Čiarka [0] 2" xfId="24" xr:uid="{5DB9A80B-F630-403F-900F-C6B71D84737D}"/>
    <cellStyle name="Čiarka 2" xfId="25" xr:uid="{B4E2DBA0-3F94-46F3-9BBC-3EE983955180}"/>
    <cellStyle name="Čiarka 3" xfId="26" xr:uid="{89BEEA0B-885A-4271-8B09-7EDBC8AAA287}"/>
    <cellStyle name="Čiarka 4" xfId="27" xr:uid="{B68ACAF1-F250-406E-94C5-8525F7BE0F87}"/>
    <cellStyle name="Čiarka 5" xfId="28" xr:uid="{BD8D9FDF-706C-4869-B668-CCA15DBB0079}"/>
    <cellStyle name="Dobrá 2" xfId="29" xr:uid="{E4BCAA18-A409-49B5-BE7F-ED96DA643C67}"/>
    <cellStyle name="Excel Built-in Normal" xfId="30" xr:uid="{AC5B6A87-B9B1-4DC9-8878-C0240818B6EB}"/>
    <cellStyle name="Kontrolná bunka 2" xfId="31" xr:uid="{EA0CF34A-3C56-40B2-BB1F-4FE2A47668D7}"/>
    <cellStyle name="Mena [0] 2" xfId="32" xr:uid="{84B49BB2-8EAC-4B44-AAE4-1BA6A46FA949}"/>
    <cellStyle name="Mena 2" xfId="33" xr:uid="{F7B789AD-A327-4768-8483-8D80A84AE87E}"/>
    <cellStyle name="Mena 3" xfId="34" xr:uid="{4A7CC271-5377-43CC-9CEA-77EEBF36125E}"/>
    <cellStyle name="Mena 4" xfId="35" xr:uid="{CC6F3828-5C8F-4682-9F95-469432F8E7BF}"/>
    <cellStyle name="Mena 5" xfId="36" xr:uid="{8D5A440C-31DF-4689-B594-6661AD9D3955}"/>
    <cellStyle name="Nadpis 1 2" xfId="37" xr:uid="{73A92C3B-0586-407A-9FB2-744267753707}"/>
    <cellStyle name="Nadpis 2 2" xfId="38" xr:uid="{A9C21619-C426-495C-8FD9-16CECE98C6ED}"/>
    <cellStyle name="Nadpis 3 2" xfId="39" xr:uid="{BFB44E2E-4C83-4D3D-B793-AB0517AC25B8}"/>
    <cellStyle name="Nadpis 4 2" xfId="40" xr:uid="{64CFAFC0-6D61-44BE-B89D-4180D809C9EA}"/>
    <cellStyle name="Názov 2" xfId="41" xr:uid="{8A2EC2D0-9452-4487-8B60-94ABEA9F8269}"/>
    <cellStyle name="Neutrálna 2" xfId="42" xr:uid="{AC6C8FB0-88AA-4705-8D65-E43D39990007}"/>
    <cellStyle name="Normálna" xfId="0" builtinId="0"/>
    <cellStyle name="Normálna 2" xfId="43" xr:uid="{1074F9E5-1CD6-41F7-AD6E-4CA5B8AFF9E2}"/>
    <cellStyle name="Normálna 3" xfId="44" xr:uid="{B081F04D-3927-441A-A8AF-242B653BEF4E}"/>
    <cellStyle name="Normálna 4" xfId="45" xr:uid="{C613BB65-6E41-4BC7-80EA-B9E203C2DA2F}"/>
    <cellStyle name="Normálna 5" xfId="46" xr:uid="{4668A71D-B3CC-435A-9D32-8CEC5848F8F9}"/>
    <cellStyle name="Normálne 2" xfId="47" xr:uid="{9D78AF5A-8FCB-448A-ADD4-37AB388B8B39}"/>
    <cellStyle name="normálne_Kalkulácia MHD TN 1 -12 2010" xfId="48" xr:uid="{AFD68AA7-DF85-4D61-BC7B-31198A9B3190}"/>
    <cellStyle name="Percentá 2" xfId="49" xr:uid="{EAFD9832-B084-4948-B81C-37E6F0AD59DA}"/>
    <cellStyle name="Poznámka 2" xfId="50" xr:uid="{5256A345-2663-4692-B1B6-11A1501BF2C6}"/>
    <cellStyle name="Prepojená bunka 2" xfId="51" xr:uid="{B6FE0476-BBC3-43B8-82F6-DCAF51639659}"/>
    <cellStyle name="Spolu 2" xfId="52" xr:uid="{5F4E03B6-713E-4CFC-AC22-6DE50583AAAC}"/>
    <cellStyle name="Text upozornenia 2" xfId="53" xr:uid="{B3CB5D48-CA5C-4479-BDED-6B5C541AAB7C}"/>
    <cellStyle name="Vstup 2" xfId="54" xr:uid="{5225B886-91CB-4A31-A9AF-FE36971785A4}"/>
    <cellStyle name="Výpočet 2" xfId="55" xr:uid="{021B1990-AE89-47C3-96B8-B94AFBE28D7C}"/>
    <cellStyle name="Výstup 2" xfId="56" xr:uid="{F3790254-43BA-49D2-B163-2D826DF52AA2}"/>
    <cellStyle name="Vysvetľujúci text 2" xfId="57" xr:uid="{75EA58A2-A5ED-492A-ACD7-D4BB883E5691}"/>
    <cellStyle name="Zlá 2" xfId="58" xr:uid="{4485DF9E-3F8D-47BE-9E46-0AB5D2D47885}"/>
    <cellStyle name="Zvýraznenie1 2" xfId="59" xr:uid="{8960CCAD-FAC5-4F2D-891E-82EB2B093724}"/>
    <cellStyle name="Zvýraznenie2 2" xfId="60" xr:uid="{22B4C3C4-98A6-4B97-AC15-92D5961B43E7}"/>
    <cellStyle name="Zvýraznenie3 2" xfId="61" xr:uid="{5D0F02EA-A35A-4F5F-9D31-C3B14F8B58A3}"/>
    <cellStyle name="Zvýraznenie4 2" xfId="62" xr:uid="{26CF8508-3DCA-4B36-BEE5-CF75C75361FF}"/>
    <cellStyle name="Zvýraznenie5 2" xfId="63" xr:uid="{024D7767-702B-4304-8FB2-A684B2E1B0D6}"/>
    <cellStyle name="Zvýraznenie6 2" xfId="64" xr:uid="{E3F4EA20-9F75-4E11-9FEE-2A613863ABC2}"/>
  </cellStyles>
  <dxfs count="5">
    <dxf>
      <font>
        <color theme="3"/>
      </font>
    </dxf>
    <dxf>
      <font>
        <b/>
        <i val="0"/>
        <color theme="3"/>
      </font>
    </dxf>
    <dxf>
      <font>
        <b/>
        <i val="0"/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5"/>
        </top>
        <bottom/>
        <vertical/>
        <horizontal/>
      </border>
    </dxf>
    <dxf>
      <font>
        <b/>
        <i val="0"/>
        <color theme="3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 style="thin">
          <color theme="4"/>
        </bottom>
        <vertical/>
        <horizontal/>
      </border>
    </dxf>
    <dxf>
      <font>
        <b val="0"/>
        <i val="0"/>
        <color theme="1" tint="0.34998626667073579"/>
      </font>
      <border diagonalUp="0" diagonalDown="0">
        <left/>
        <right/>
        <top/>
        <bottom/>
        <vertical/>
        <horizontal style="thin">
          <color theme="0" tint="-0.34998626667073579"/>
        </horizontal>
      </border>
    </dxf>
  </dxfs>
  <tableStyles count="1" defaultTableStyle="TableStyleMedium2" defaultPivotStyle="PivotStyleLight16">
    <tableStyle name="Vypočítavaný zoznam" pivot="0" count="5" xr9:uid="{B93D3A78-AD59-439A-8EAF-B49D02E5C158}">
      <tableStyleElement type="wholeTable" dxfId="4"/>
      <tableStyleElement type="headerRow" dxfId="3"/>
      <tableStyleElement type="totalRow" dxfId="2"/>
      <tableStyleElement type="firstColumn" dxfId="1"/>
      <tableStyleElement type="firstColumnStripe" dxfId="0"/>
    </tableStyle>
  </tableStyles>
  <colors>
    <mruColors>
      <color rgb="FF000080"/>
      <color rgb="FF00CC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4E57-9AE8-47A5-87A9-048002C47563}">
  <sheetPr codeName="Sheet3"/>
  <dimension ref="A1:M1283"/>
  <sheetViews>
    <sheetView tabSelected="1" topLeftCell="A367" zoomScale="90" zoomScaleNormal="90" workbookViewId="0">
      <selection activeCell="M363" sqref="M363"/>
    </sheetView>
  </sheetViews>
  <sheetFormatPr defaultRowHeight="12.75" x14ac:dyDescent="0.2"/>
  <cols>
    <col min="1" max="1" width="7" style="3" customWidth="1"/>
    <col min="2" max="2" width="4.28515625" style="165" customWidth="1"/>
    <col min="3" max="3" width="7.28515625" style="3" customWidth="1"/>
    <col min="4" max="4" width="49.85546875" style="3" customWidth="1"/>
    <col min="5" max="5" width="14.140625" style="5" customWidth="1"/>
    <col min="6" max="6" width="14" style="5" customWidth="1"/>
    <col min="7" max="7" width="6.85546875" style="407" customWidth="1"/>
    <col min="8" max="11" width="9.140625" style="3"/>
    <col min="12" max="12" width="11.140625" style="3" customWidth="1"/>
    <col min="13" max="13" width="14.5703125" style="3" customWidth="1"/>
    <col min="14" max="16384" width="9.140625" style="3"/>
  </cols>
  <sheetData>
    <row r="1" spans="2:7" ht="36.75" customHeight="1" x14ac:dyDescent="0.2">
      <c r="B1" s="607" t="s">
        <v>756</v>
      </c>
      <c r="C1" s="607"/>
      <c r="D1" s="607"/>
      <c r="E1" s="607"/>
      <c r="F1" s="607"/>
      <c r="G1" s="607"/>
    </row>
    <row r="2" spans="2:7" ht="15" customHeight="1" x14ac:dyDescent="0.2">
      <c r="B2" s="613" t="s">
        <v>39</v>
      </c>
      <c r="C2" s="614"/>
      <c r="D2" s="614"/>
      <c r="E2" s="600" t="s">
        <v>747</v>
      </c>
      <c r="F2" s="600" t="s">
        <v>757</v>
      </c>
      <c r="G2" s="597" t="s">
        <v>758</v>
      </c>
    </row>
    <row r="3" spans="2:7" x14ac:dyDescent="0.2">
      <c r="B3" s="615"/>
      <c r="C3" s="616"/>
      <c r="D3" s="616"/>
      <c r="E3" s="601"/>
      <c r="F3" s="601"/>
      <c r="G3" s="598"/>
    </row>
    <row r="4" spans="2:7" x14ac:dyDescent="0.2">
      <c r="B4" s="617" t="s">
        <v>107</v>
      </c>
      <c r="C4" s="620" t="s">
        <v>304</v>
      </c>
      <c r="D4" s="622" t="s">
        <v>108</v>
      </c>
      <c r="E4" s="601"/>
      <c r="F4" s="601"/>
      <c r="G4" s="598"/>
    </row>
    <row r="5" spans="2:7" ht="11.25" customHeight="1" x14ac:dyDescent="0.2">
      <c r="B5" s="618"/>
      <c r="C5" s="621"/>
      <c r="D5" s="623"/>
      <c r="E5" s="602"/>
      <c r="F5" s="602"/>
      <c r="G5" s="599"/>
    </row>
    <row r="6" spans="2:7" ht="16.5" thickBot="1" x14ac:dyDescent="0.3">
      <c r="B6" s="166">
        <v>1</v>
      </c>
      <c r="C6" s="167">
        <v>100</v>
      </c>
      <c r="D6" s="167" t="s">
        <v>248</v>
      </c>
      <c r="E6" s="168">
        <f>E7</f>
        <v>40156446</v>
      </c>
      <c r="F6" s="168">
        <f>F7</f>
        <v>40544351</v>
      </c>
      <c r="G6" s="526">
        <f>F6/E6*100</f>
        <v>100.96598439015246</v>
      </c>
    </row>
    <row r="7" spans="2:7" s="38" customFormat="1" ht="15.75" thickBot="1" x14ac:dyDescent="0.25">
      <c r="B7" s="6">
        <f>B6+1</f>
        <v>2</v>
      </c>
      <c r="C7" s="169"/>
      <c r="D7" s="169" t="s">
        <v>38</v>
      </c>
      <c r="E7" s="170">
        <f>E15+E10+E8</f>
        <v>40156446</v>
      </c>
      <c r="F7" s="170">
        <f>F15+F10+F8</f>
        <v>40544351</v>
      </c>
      <c r="G7" s="527">
        <f t="shared" ref="G7:G75" si="0">F7/E7*100</f>
        <v>100.96598439015246</v>
      </c>
    </row>
    <row r="8" spans="2:7" x14ac:dyDescent="0.2">
      <c r="B8" s="166">
        <f>B7+1</f>
        <v>3</v>
      </c>
      <c r="C8" s="172">
        <v>110</v>
      </c>
      <c r="D8" s="172" t="s">
        <v>249</v>
      </c>
      <c r="E8" s="173">
        <f>E9</f>
        <v>23819290</v>
      </c>
      <c r="F8" s="173">
        <f>F9</f>
        <v>23502276</v>
      </c>
      <c r="G8" s="520">
        <f t="shared" si="0"/>
        <v>98.669087113847638</v>
      </c>
    </row>
    <row r="9" spans="2:7" x14ac:dyDescent="0.2">
      <c r="B9" s="166">
        <f t="shared" ref="B9:B72" si="1">B8+1</f>
        <v>4</v>
      </c>
      <c r="C9" s="17">
        <v>111003</v>
      </c>
      <c r="D9" s="17" t="s">
        <v>247</v>
      </c>
      <c r="E9" s="20">
        <f>23350333+468957</f>
        <v>23819290</v>
      </c>
      <c r="F9" s="20">
        <v>23502276</v>
      </c>
      <c r="G9" s="397">
        <f t="shared" si="0"/>
        <v>98.669087113847638</v>
      </c>
    </row>
    <row r="10" spans="2:7" x14ac:dyDescent="0.2">
      <c r="B10" s="166">
        <f t="shared" si="1"/>
        <v>5</v>
      </c>
      <c r="C10" s="174">
        <v>120</v>
      </c>
      <c r="D10" s="174" t="s">
        <v>251</v>
      </c>
      <c r="E10" s="175">
        <f>E11</f>
        <v>12345156</v>
      </c>
      <c r="F10" s="175">
        <f>F11</f>
        <v>12476728</v>
      </c>
      <c r="G10" s="528">
        <f t="shared" si="0"/>
        <v>101.06577835063403</v>
      </c>
    </row>
    <row r="11" spans="2:7" x14ac:dyDescent="0.2">
      <c r="B11" s="166">
        <f t="shared" si="1"/>
        <v>6</v>
      </c>
      <c r="C11" s="12"/>
      <c r="D11" s="12" t="s">
        <v>300</v>
      </c>
      <c r="E11" s="15">
        <f>SUM(E12:E14)</f>
        <v>12345156</v>
      </c>
      <c r="F11" s="15">
        <f>SUM(F12:F14)</f>
        <v>12476728</v>
      </c>
      <c r="G11" s="397">
        <f t="shared" si="0"/>
        <v>101.06577835063403</v>
      </c>
    </row>
    <row r="12" spans="2:7" x14ac:dyDescent="0.2">
      <c r="B12" s="166">
        <f t="shared" si="1"/>
        <v>7</v>
      </c>
      <c r="C12" s="17">
        <v>121001</v>
      </c>
      <c r="D12" s="17" t="s">
        <v>250</v>
      </c>
      <c r="E12" s="20">
        <f>1200000+77405</f>
        <v>1277405</v>
      </c>
      <c r="F12" s="20">
        <v>1280723</v>
      </c>
      <c r="G12" s="397">
        <f t="shared" si="0"/>
        <v>100.25974534309792</v>
      </c>
    </row>
    <row r="13" spans="2:7" x14ac:dyDescent="0.2">
      <c r="B13" s="166">
        <f t="shared" si="1"/>
        <v>8</v>
      </c>
      <c r="C13" s="17">
        <v>121002</v>
      </c>
      <c r="D13" s="17" t="s">
        <v>252</v>
      </c>
      <c r="E13" s="20">
        <f>9420000+353150</f>
        <v>9773150</v>
      </c>
      <c r="F13" s="20">
        <v>9903063</v>
      </c>
      <c r="G13" s="397">
        <f t="shared" si="0"/>
        <v>101.32928482628425</v>
      </c>
    </row>
    <row r="14" spans="2:7" x14ac:dyDescent="0.2">
      <c r="B14" s="166">
        <f t="shared" si="1"/>
        <v>9</v>
      </c>
      <c r="C14" s="17">
        <v>121003</v>
      </c>
      <c r="D14" s="17" t="s">
        <v>253</v>
      </c>
      <c r="E14" s="20">
        <f>1380000-85399</f>
        <v>1294601</v>
      </c>
      <c r="F14" s="20">
        <v>1292942</v>
      </c>
      <c r="G14" s="397">
        <f t="shared" si="0"/>
        <v>99.87185240857994</v>
      </c>
    </row>
    <row r="15" spans="2:7" x14ac:dyDescent="0.2">
      <c r="B15" s="166">
        <f t="shared" si="1"/>
        <v>10</v>
      </c>
      <c r="C15" s="174">
        <v>130</v>
      </c>
      <c r="D15" s="174" t="s">
        <v>254</v>
      </c>
      <c r="E15" s="175">
        <f>SUM(E16:E20)</f>
        <v>3992000</v>
      </c>
      <c r="F15" s="175">
        <f>SUM(F16:F20)</f>
        <v>4565347</v>
      </c>
      <c r="G15" s="528">
        <f t="shared" si="0"/>
        <v>114.36239979959919</v>
      </c>
    </row>
    <row r="16" spans="2:7" x14ac:dyDescent="0.2">
      <c r="B16" s="166">
        <f t="shared" si="1"/>
        <v>11</v>
      </c>
      <c r="C16" s="17">
        <v>133001</v>
      </c>
      <c r="D16" s="17" t="s">
        <v>296</v>
      </c>
      <c r="E16" s="20">
        <v>68000</v>
      </c>
      <c r="F16" s="20">
        <v>61630</v>
      </c>
      <c r="G16" s="397">
        <f t="shared" si="0"/>
        <v>90.632352941176478</v>
      </c>
    </row>
    <row r="17" spans="2:10" x14ac:dyDescent="0.2">
      <c r="B17" s="166">
        <f t="shared" si="1"/>
        <v>12</v>
      </c>
      <c r="C17" s="17">
        <v>133006</v>
      </c>
      <c r="D17" s="17" t="s">
        <v>297</v>
      </c>
      <c r="E17" s="20">
        <v>190000</v>
      </c>
      <c r="F17" s="20">
        <v>221639</v>
      </c>
      <c r="G17" s="397">
        <f t="shared" si="0"/>
        <v>116.65210526315791</v>
      </c>
    </row>
    <row r="18" spans="2:10" x14ac:dyDescent="0.2">
      <c r="B18" s="166">
        <f t="shared" si="1"/>
        <v>13</v>
      </c>
      <c r="C18" s="176">
        <v>133012</v>
      </c>
      <c r="D18" s="176" t="s">
        <v>298</v>
      </c>
      <c r="E18" s="20">
        <v>84000</v>
      </c>
      <c r="F18" s="20">
        <v>171318</v>
      </c>
      <c r="G18" s="397">
        <f t="shared" si="0"/>
        <v>203.95</v>
      </c>
    </row>
    <row r="19" spans="2:10" x14ac:dyDescent="0.2">
      <c r="B19" s="166">
        <f t="shared" si="1"/>
        <v>14</v>
      </c>
      <c r="C19" s="138">
        <v>133013</v>
      </c>
      <c r="D19" s="138" t="s">
        <v>299</v>
      </c>
      <c r="E19" s="20">
        <v>3350000</v>
      </c>
      <c r="F19" s="20">
        <v>3381670</v>
      </c>
      <c r="G19" s="397">
        <f t="shared" si="0"/>
        <v>100.94537313432836</v>
      </c>
    </row>
    <row r="20" spans="2:10" x14ac:dyDescent="0.2">
      <c r="B20" s="166">
        <f t="shared" si="1"/>
        <v>15</v>
      </c>
      <c r="C20" s="177">
        <v>133015</v>
      </c>
      <c r="D20" s="177" t="s">
        <v>436</v>
      </c>
      <c r="E20" s="20">
        <v>300000</v>
      </c>
      <c r="F20" s="20">
        <v>729090</v>
      </c>
      <c r="G20" s="397">
        <f t="shared" si="0"/>
        <v>243.03</v>
      </c>
    </row>
    <row r="21" spans="2:10" ht="16.5" thickBot="1" x14ac:dyDescent="0.3">
      <c r="B21" s="166">
        <f t="shared" si="1"/>
        <v>16</v>
      </c>
      <c r="C21" s="179">
        <v>200</v>
      </c>
      <c r="D21" s="179" t="s">
        <v>159</v>
      </c>
      <c r="E21" s="180">
        <f>E269+E262+E253+E236+E225+E218+E211+E202+E162+E97+E92+E52+E49+E22+E246</f>
        <v>10617490</v>
      </c>
      <c r="F21" s="180">
        <f>F269+F262+F253+F236+F225+F218+F211+F202+F162+F97+F92+F52+F49+F22+F246</f>
        <v>9712870</v>
      </c>
      <c r="G21" s="529">
        <f t="shared" si="0"/>
        <v>91.479907209707761</v>
      </c>
    </row>
    <row r="22" spans="2:10" ht="15.75" thickBot="1" x14ac:dyDescent="0.3">
      <c r="B22" s="166">
        <f t="shared" si="1"/>
        <v>17</v>
      </c>
      <c r="C22" s="181"/>
      <c r="D22" s="181" t="s">
        <v>38</v>
      </c>
      <c r="E22" s="182">
        <f>E42+E40+E31+E23</f>
        <v>4799830</v>
      </c>
      <c r="F22" s="182">
        <f>F42+F40+F31+F23</f>
        <v>4570605</v>
      </c>
      <c r="G22" s="521">
        <f t="shared" si="0"/>
        <v>95.224310027646808</v>
      </c>
    </row>
    <row r="23" spans="2:10" x14ac:dyDescent="0.2">
      <c r="B23" s="166">
        <f t="shared" si="1"/>
        <v>18</v>
      </c>
      <c r="C23" s="183">
        <v>210</v>
      </c>
      <c r="D23" s="183" t="s">
        <v>233</v>
      </c>
      <c r="E23" s="184">
        <f>SUM(E24:E29)</f>
        <v>1011850</v>
      </c>
      <c r="F23" s="184">
        <f>SUM(F24:F30)</f>
        <v>931561</v>
      </c>
      <c r="G23" s="530">
        <f t="shared" si="0"/>
        <v>92.065128230468943</v>
      </c>
      <c r="J23" s="5"/>
    </row>
    <row r="24" spans="2:10" x14ac:dyDescent="0.2">
      <c r="B24" s="166">
        <f t="shared" si="1"/>
        <v>19</v>
      </c>
      <c r="C24" s="138">
        <v>211</v>
      </c>
      <c r="D24" s="138" t="s">
        <v>738</v>
      </c>
      <c r="E24" s="141">
        <v>68460</v>
      </c>
      <c r="F24" s="141">
        <v>68460</v>
      </c>
      <c r="G24" s="429">
        <f t="shared" si="0"/>
        <v>100</v>
      </c>
    </row>
    <row r="25" spans="2:10" x14ac:dyDescent="0.2">
      <c r="B25" s="166">
        <f t="shared" si="1"/>
        <v>20</v>
      </c>
      <c r="C25" s="138">
        <v>212002</v>
      </c>
      <c r="D25" s="138" t="s">
        <v>255</v>
      </c>
      <c r="E25" s="141">
        <v>130600</v>
      </c>
      <c r="F25" s="141">
        <v>136985</v>
      </c>
      <c r="G25" s="429">
        <f t="shared" si="0"/>
        <v>104.88897396630934</v>
      </c>
      <c r="J25" s="5"/>
    </row>
    <row r="26" spans="2:10" x14ac:dyDescent="0.2">
      <c r="B26" s="166">
        <f t="shared" si="1"/>
        <v>21</v>
      </c>
      <c r="C26" s="138">
        <v>212003</v>
      </c>
      <c r="D26" s="138" t="s">
        <v>234</v>
      </c>
      <c r="E26" s="141">
        <v>734790</v>
      </c>
      <c r="F26" s="141">
        <f>63406+50010+68492+431088+1536+1174+4635+409+34+4656-4681</f>
        <v>620759</v>
      </c>
      <c r="G26" s="429">
        <f t="shared" si="0"/>
        <v>84.481144272513234</v>
      </c>
      <c r="I26" s="5"/>
      <c r="J26" s="5"/>
    </row>
    <row r="27" spans="2:10" x14ac:dyDescent="0.2">
      <c r="B27" s="166">
        <f t="shared" si="1"/>
        <v>22</v>
      </c>
      <c r="C27" s="138">
        <v>212003</v>
      </c>
      <c r="D27" s="138" t="s">
        <v>487</v>
      </c>
      <c r="E27" s="141">
        <v>2000</v>
      </c>
      <c r="F27" s="141">
        <v>5533</v>
      </c>
      <c r="G27" s="429">
        <f t="shared" si="0"/>
        <v>276.65000000000003</v>
      </c>
      <c r="I27" s="5"/>
    </row>
    <row r="28" spans="2:10" x14ac:dyDescent="0.2">
      <c r="B28" s="166">
        <f t="shared" si="1"/>
        <v>23</v>
      </c>
      <c r="C28" s="138">
        <v>212003</v>
      </c>
      <c r="D28" s="138" t="s">
        <v>412</v>
      </c>
      <c r="E28" s="141">
        <v>70000</v>
      </c>
      <c r="F28" s="141">
        <f>10665+85735+2240-605</f>
        <v>98035</v>
      </c>
      <c r="G28" s="429">
        <f t="shared" si="0"/>
        <v>140.05000000000001</v>
      </c>
    </row>
    <row r="29" spans="2:10" s="38" customFormat="1" ht="24" x14ac:dyDescent="0.2">
      <c r="B29" s="6">
        <f t="shared" si="1"/>
        <v>24</v>
      </c>
      <c r="C29" s="188">
        <v>212004</v>
      </c>
      <c r="D29" s="58" t="s">
        <v>488</v>
      </c>
      <c r="E29" s="189">
        <v>6000</v>
      </c>
      <c r="F29" s="189">
        <v>605</v>
      </c>
      <c r="G29" s="531">
        <f t="shared" si="0"/>
        <v>10.083333333333332</v>
      </c>
    </row>
    <row r="30" spans="2:10" x14ac:dyDescent="0.2">
      <c r="B30" s="166">
        <f t="shared" si="1"/>
        <v>25</v>
      </c>
      <c r="C30" s="138">
        <v>212004</v>
      </c>
      <c r="D30" s="356" t="s">
        <v>767</v>
      </c>
      <c r="E30" s="141">
        <v>0</v>
      </c>
      <c r="F30" s="141">
        <f>2036-852</f>
        <v>1184</v>
      </c>
      <c r="G30" s="429">
        <v>0</v>
      </c>
    </row>
    <row r="31" spans="2:10" x14ac:dyDescent="0.2">
      <c r="B31" s="166">
        <f t="shared" si="1"/>
        <v>26</v>
      </c>
      <c r="C31" s="185">
        <v>220</v>
      </c>
      <c r="D31" s="185" t="s">
        <v>207</v>
      </c>
      <c r="E31" s="186">
        <f>SUM(E32:E39)</f>
        <v>3378978</v>
      </c>
      <c r="F31" s="186">
        <f>SUM(F32:F39)</f>
        <v>3342452</v>
      </c>
      <c r="G31" s="522">
        <f t="shared" si="0"/>
        <v>98.919022260577023</v>
      </c>
    </row>
    <row r="32" spans="2:10" x14ac:dyDescent="0.2">
      <c r="B32" s="166">
        <f t="shared" si="1"/>
        <v>27</v>
      </c>
      <c r="C32" s="138">
        <v>221004</v>
      </c>
      <c r="D32" s="138" t="s">
        <v>208</v>
      </c>
      <c r="E32" s="141">
        <f>240000+60278</f>
        <v>300278</v>
      </c>
      <c r="F32" s="141">
        <v>423288</v>
      </c>
      <c r="G32" s="429">
        <f t="shared" si="0"/>
        <v>140.9653720885313</v>
      </c>
    </row>
    <row r="33" spans="2:7" x14ac:dyDescent="0.2">
      <c r="B33" s="166">
        <f t="shared" si="1"/>
        <v>28</v>
      </c>
      <c r="C33" s="138">
        <v>222003</v>
      </c>
      <c r="D33" s="138" t="s">
        <v>54</v>
      </c>
      <c r="E33" s="141">
        <v>180000</v>
      </c>
      <c r="F33" s="141">
        <v>173422</v>
      </c>
      <c r="G33" s="429">
        <f t="shared" si="0"/>
        <v>96.345555555555549</v>
      </c>
    </row>
    <row r="34" spans="2:7" x14ac:dyDescent="0.2">
      <c r="B34" s="166">
        <f t="shared" si="1"/>
        <v>29</v>
      </c>
      <c r="C34" s="138">
        <v>223001</v>
      </c>
      <c r="D34" s="138" t="s">
        <v>236</v>
      </c>
      <c r="E34" s="141">
        <v>5000</v>
      </c>
      <c r="F34" s="141">
        <v>495</v>
      </c>
      <c r="G34" s="429">
        <f t="shared" si="0"/>
        <v>9.9</v>
      </c>
    </row>
    <row r="35" spans="2:7" x14ac:dyDescent="0.2">
      <c r="B35" s="166">
        <f t="shared" si="1"/>
        <v>30</v>
      </c>
      <c r="C35" s="138">
        <v>223001</v>
      </c>
      <c r="D35" s="138" t="s">
        <v>301</v>
      </c>
      <c r="E35" s="141">
        <v>2700000</v>
      </c>
      <c r="F35" s="141">
        <v>2648199</v>
      </c>
      <c r="G35" s="429">
        <f t="shared" si="0"/>
        <v>98.081444444444443</v>
      </c>
    </row>
    <row r="36" spans="2:7" x14ac:dyDescent="0.2">
      <c r="B36" s="166">
        <f t="shared" si="1"/>
        <v>31</v>
      </c>
      <c r="C36" s="138">
        <v>223001</v>
      </c>
      <c r="D36" s="138" t="s">
        <v>302</v>
      </c>
      <c r="E36" s="141">
        <v>29000</v>
      </c>
      <c r="F36" s="141">
        <v>23028</v>
      </c>
      <c r="G36" s="429">
        <f t="shared" si="0"/>
        <v>79.406896551724131</v>
      </c>
    </row>
    <row r="37" spans="2:7" x14ac:dyDescent="0.2">
      <c r="B37" s="166">
        <f t="shared" si="1"/>
        <v>32</v>
      </c>
      <c r="C37" s="138">
        <v>223001</v>
      </c>
      <c r="D37" s="138" t="s">
        <v>396</v>
      </c>
      <c r="E37" s="141">
        <v>164200</v>
      </c>
      <c r="F37" s="141">
        <v>73590</v>
      </c>
      <c r="G37" s="429">
        <f t="shared" si="0"/>
        <v>44.817295980511574</v>
      </c>
    </row>
    <row r="38" spans="2:7" x14ac:dyDescent="0.2">
      <c r="B38" s="166">
        <f t="shared" si="1"/>
        <v>33</v>
      </c>
      <c r="C38" s="138">
        <v>223004</v>
      </c>
      <c r="D38" s="138" t="s">
        <v>768</v>
      </c>
      <c r="E38" s="141">
        <v>0</v>
      </c>
      <c r="F38" s="141">
        <v>400</v>
      </c>
      <c r="G38" s="429">
        <v>0</v>
      </c>
    </row>
    <row r="39" spans="2:7" x14ac:dyDescent="0.2">
      <c r="B39" s="166">
        <f t="shared" si="1"/>
        <v>34</v>
      </c>
      <c r="C39" s="138">
        <v>229005</v>
      </c>
      <c r="D39" s="138" t="s">
        <v>246</v>
      </c>
      <c r="E39" s="141">
        <v>500</v>
      </c>
      <c r="F39" s="141">
        <v>30</v>
      </c>
      <c r="G39" s="429">
        <f t="shared" si="0"/>
        <v>6</v>
      </c>
    </row>
    <row r="40" spans="2:7" x14ac:dyDescent="0.2">
      <c r="B40" s="166">
        <f t="shared" si="1"/>
        <v>35</v>
      </c>
      <c r="C40" s="185">
        <v>240</v>
      </c>
      <c r="D40" s="185" t="s">
        <v>163</v>
      </c>
      <c r="E40" s="186">
        <f>E41</f>
        <v>130000</v>
      </c>
      <c r="F40" s="186">
        <f>F41</f>
        <v>72210</v>
      </c>
      <c r="G40" s="522">
        <f t="shared" si="0"/>
        <v>55.546153846153842</v>
      </c>
    </row>
    <row r="41" spans="2:7" x14ac:dyDescent="0.2">
      <c r="B41" s="166">
        <f t="shared" si="1"/>
        <v>36</v>
      </c>
      <c r="C41" s="138">
        <v>244</v>
      </c>
      <c r="D41" s="138" t="s">
        <v>419</v>
      </c>
      <c r="E41" s="141">
        <v>130000</v>
      </c>
      <c r="F41" s="141">
        <v>72210</v>
      </c>
      <c r="G41" s="429">
        <f t="shared" si="0"/>
        <v>55.546153846153842</v>
      </c>
    </row>
    <row r="42" spans="2:7" x14ac:dyDescent="0.2">
      <c r="B42" s="166">
        <f t="shared" si="1"/>
        <v>37</v>
      </c>
      <c r="C42" s="185">
        <v>290</v>
      </c>
      <c r="D42" s="185" t="s">
        <v>165</v>
      </c>
      <c r="E42" s="186">
        <f>SUM(E43:E48)</f>
        <v>279002</v>
      </c>
      <c r="F42" s="186">
        <f>SUM(F43:F48)</f>
        <v>224382</v>
      </c>
      <c r="G42" s="522">
        <f t="shared" si="0"/>
        <v>80.423079404448714</v>
      </c>
    </row>
    <row r="43" spans="2:7" x14ac:dyDescent="0.2">
      <c r="B43" s="166">
        <f t="shared" si="1"/>
        <v>38</v>
      </c>
      <c r="C43" s="138">
        <v>292008</v>
      </c>
      <c r="D43" s="138" t="s">
        <v>166</v>
      </c>
      <c r="E43" s="141">
        <v>1700</v>
      </c>
      <c r="F43" s="141">
        <v>0</v>
      </c>
      <c r="G43" s="429">
        <f t="shared" si="0"/>
        <v>0</v>
      </c>
    </row>
    <row r="44" spans="2:7" x14ac:dyDescent="0.2">
      <c r="B44" s="166">
        <f t="shared" si="1"/>
        <v>39</v>
      </c>
      <c r="C44" s="177">
        <v>292012</v>
      </c>
      <c r="D44" s="177" t="s">
        <v>218</v>
      </c>
      <c r="E44" s="178">
        <v>0</v>
      </c>
      <c r="F44" s="178">
        <v>38387</v>
      </c>
      <c r="G44" s="532">
        <v>0</v>
      </c>
    </row>
    <row r="45" spans="2:7" x14ac:dyDescent="0.2">
      <c r="B45" s="166">
        <f t="shared" si="1"/>
        <v>40</v>
      </c>
      <c r="C45" s="177">
        <v>292017</v>
      </c>
      <c r="D45" s="177" t="s">
        <v>219</v>
      </c>
      <c r="E45" s="178">
        <v>0</v>
      </c>
      <c r="F45" s="178">
        <v>68107</v>
      </c>
      <c r="G45" s="532">
        <v>0</v>
      </c>
    </row>
    <row r="46" spans="2:7" x14ac:dyDescent="0.2">
      <c r="B46" s="166">
        <f t="shared" si="1"/>
        <v>41</v>
      </c>
      <c r="C46" s="177">
        <v>292019</v>
      </c>
      <c r="D46" s="177" t="s">
        <v>220</v>
      </c>
      <c r="E46" s="178">
        <v>0</v>
      </c>
      <c r="F46" s="178">
        <v>2957</v>
      </c>
      <c r="G46" s="532">
        <v>0</v>
      </c>
    </row>
    <row r="47" spans="2:7" x14ac:dyDescent="0.2">
      <c r="B47" s="166">
        <f t="shared" si="1"/>
        <v>42</v>
      </c>
      <c r="C47" s="177">
        <v>292027</v>
      </c>
      <c r="D47" s="177" t="s">
        <v>534</v>
      </c>
      <c r="E47" s="178">
        <v>15000</v>
      </c>
      <c r="F47" s="178">
        <v>0</v>
      </c>
      <c r="G47" s="532">
        <f t="shared" si="0"/>
        <v>0</v>
      </c>
    </row>
    <row r="48" spans="2:7" ht="13.5" thickBot="1" x14ac:dyDescent="0.25">
      <c r="B48" s="166">
        <f t="shared" si="1"/>
        <v>43</v>
      </c>
      <c r="C48" s="177">
        <v>292027</v>
      </c>
      <c r="D48" s="177" t="s">
        <v>303</v>
      </c>
      <c r="E48" s="178">
        <f>244000+18302</f>
        <v>262302</v>
      </c>
      <c r="F48" s="178">
        <v>114931</v>
      </c>
      <c r="G48" s="532">
        <f t="shared" si="0"/>
        <v>43.816288095401482</v>
      </c>
    </row>
    <row r="49" spans="2:7" ht="15.75" thickBot="1" x14ac:dyDescent="0.3">
      <c r="B49" s="166">
        <f t="shared" si="1"/>
        <v>44</v>
      </c>
      <c r="C49" s="181">
        <v>1</v>
      </c>
      <c r="D49" s="181" t="s">
        <v>48</v>
      </c>
      <c r="E49" s="182">
        <f>E50</f>
        <v>38500</v>
      </c>
      <c r="F49" s="182">
        <f>F50</f>
        <v>49950</v>
      </c>
      <c r="G49" s="521">
        <f t="shared" si="0"/>
        <v>129.74025974025975</v>
      </c>
    </row>
    <row r="50" spans="2:7" x14ac:dyDescent="0.2">
      <c r="B50" s="166">
        <f t="shared" si="1"/>
        <v>45</v>
      </c>
      <c r="C50" s="183">
        <v>220</v>
      </c>
      <c r="D50" s="183" t="s">
        <v>207</v>
      </c>
      <c r="E50" s="184">
        <f t="shared" ref="E50:F50" si="2">E51</f>
        <v>38500</v>
      </c>
      <c r="F50" s="184">
        <f t="shared" si="2"/>
        <v>49950</v>
      </c>
      <c r="G50" s="530">
        <f t="shared" si="0"/>
        <v>129.74025974025975</v>
      </c>
    </row>
    <row r="51" spans="2:7" ht="13.5" thickBot="1" x14ac:dyDescent="0.25">
      <c r="B51" s="166">
        <f t="shared" si="1"/>
        <v>46</v>
      </c>
      <c r="C51" s="138">
        <v>223002</v>
      </c>
      <c r="D51" s="138" t="s">
        <v>69</v>
      </c>
      <c r="E51" s="141">
        <v>38500</v>
      </c>
      <c r="F51" s="141">
        <v>49950</v>
      </c>
      <c r="G51" s="429">
        <f t="shared" si="0"/>
        <v>129.74025974025975</v>
      </c>
    </row>
    <row r="52" spans="2:7" ht="15.75" thickBot="1" x14ac:dyDescent="0.3">
      <c r="B52" s="166">
        <f t="shared" si="1"/>
        <v>47</v>
      </c>
      <c r="C52" s="181">
        <v>2</v>
      </c>
      <c r="D52" s="181" t="s">
        <v>506</v>
      </c>
      <c r="E52" s="182">
        <f>E53+E55+E58+E60+E65+E68+E72+E75+E78+E82+E85+E89+E80</f>
        <v>1241700</v>
      </c>
      <c r="F52" s="182">
        <f>F53+F55+F58+F60+F65+F68+F72+F75+F78+F82+F85+F89+F80</f>
        <v>996899</v>
      </c>
      <c r="G52" s="521">
        <f t="shared" si="0"/>
        <v>80.285012482886358</v>
      </c>
    </row>
    <row r="53" spans="2:7" x14ac:dyDescent="0.2">
      <c r="B53" s="166">
        <f t="shared" si="1"/>
        <v>48</v>
      </c>
      <c r="C53" s="185">
        <v>210</v>
      </c>
      <c r="D53" s="183" t="s">
        <v>233</v>
      </c>
      <c r="E53" s="186">
        <f t="shared" ref="E53:F53" si="3">E54</f>
        <v>300</v>
      </c>
      <c r="F53" s="186">
        <f t="shared" si="3"/>
        <v>0</v>
      </c>
      <c r="G53" s="522">
        <f t="shared" si="0"/>
        <v>0</v>
      </c>
    </row>
    <row r="54" spans="2:7" x14ac:dyDescent="0.2">
      <c r="B54" s="166">
        <f t="shared" si="1"/>
        <v>49</v>
      </c>
      <c r="C54" s="138">
        <v>212003</v>
      </c>
      <c r="D54" s="138" t="s">
        <v>234</v>
      </c>
      <c r="E54" s="141">
        <v>300</v>
      </c>
      <c r="F54" s="141">
        <v>0</v>
      </c>
      <c r="G54" s="429">
        <f t="shared" si="0"/>
        <v>0</v>
      </c>
    </row>
    <row r="55" spans="2:7" x14ac:dyDescent="0.2">
      <c r="B55" s="166">
        <f t="shared" si="1"/>
        <v>50</v>
      </c>
      <c r="C55" s="185">
        <v>220</v>
      </c>
      <c r="D55" s="185" t="s">
        <v>207</v>
      </c>
      <c r="E55" s="186">
        <f>SUM(E56:E57)</f>
        <v>1100</v>
      </c>
      <c r="F55" s="186">
        <f>SUM(F56:F57)</f>
        <v>3656</v>
      </c>
      <c r="G55" s="522">
        <f t="shared" si="0"/>
        <v>332.36363636363637</v>
      </c>
    </row>
    <row r="56" spans="2:7" x14ac:dyDescent="0.2">
      <c r="B56" s="166">
        <f t="shared" si="1"/>
        <v>51</v>
      </c>
      <c r="C56" s="138">
        <v>222003</v>
      </c>
      <c r="D56" s="138" t="s">
        <v>54</v>
      </c>
      <c r="E56" s="141">
        <v>100</v>
      </c>
      <c r="F56" s="141">
        <v>277</v>
      </c>
      <c r="G56" s="429">
        <f t="shared" si="0"/>
        <v>277</v>
      </c>
    </row>
    <row r="57" spans="2:7" x14ac:dyDescent="0.2">
      <c r="B57" s="166">
        <f t="shared" si="1"/>
        <v>52</v>
      </c>
      <c r="C57" s="138">
        <v>223001</v>
      </c>
      <c r="D57" s="138" t="s">
        <v>236</v>
      </c>
      <c r="E57" s="141">
        <v>1000</v>
      </c>
      <c r="F57" s="141">
        <v>3379</v>
      </c>
      <c r="G57" s="429">
        <f t="shared" si="0"/>
        <v>337.9</v>
      </c>
    </row>
    <row r="58" spans="2:7" x14ac:dyDescent="0.2">
      <c r="B58" s="166">
        <f t="shared" si="1"/>
        <v>53</v>
      </c>
      <c r="C58" s="185">
        <v>240</v>
      </c>
      <c r="D58" s="185" t="s">
        <v>163</v>
      </c>
      <c r="E58" s="186">
        <f t="shared" ref="E58:F58" si="4">E59</f>
        <v>50</v>
      </c>
      <c r="F58" s="186">
        <f t="shared" si="4"/>
        <v>0</v>
      </c>
      <c r="G58" s="522">
        <f t="shared" si="0"/>
        <v>0</v>
      </c>
    </row>
    <row r="59" spans="2:7" x14ac:dyDescent="0.2">
      <c r="B59" s="166">
        <f t="shared" si="1"/>
        <v>54</v>
      </c>
      <c r="C59" s="138">
        <v>242</v>
      </c>
      <c r="D59" s="138" t="s">
        <v>162</v>
      </c>
      <c r="E59" s="141">
        <v>50</v>
      </c>
      <c r="F59" s="141"/>
      <c r="G59" s="429">
        <f t="shared" si="0"/>
        <v>0</v>
      </c>
    </row>
    <row r="60" spans="2:7" x14ac:dyDescent="0.2">
      <c r="B60" s="166">
        <f t="shared" si="1"/>
        <v>55</v>
      </c>
      <c r="C60" s="185">
        <v>290</v>
      </c>
      <c r="D60" s="185" t="s">
        <v>165</v>
      </c>
      <c r="E60" s="186">
        <f>SUM(E61:E64)</f>
        <v>9000</v>
      </c>
      <c r="F60" s="186">
        <f>SUM(F61:F64)</f>
        <v>13387</v>
      </c>
      <c r="G60" s="522">
        <f t="shared" si="0"/>
        <v>148.74444444444444</v>
      </c>
    </row>
    <row r="61" spans="2:7" x14ac:dyDescent="0.2">
      <c r="B61" s="166">
        <f t="shared" si="1"/>
        <v>56</v>
      </c>
      <c r="C61" s="138">
        <v>292006</v>
      </c>
      <c r="D61" s="138" t="s">
        <v>164</v>
      </c>
      <c r="E61" s="141">
        <f>6500-2500</f>
        <v>4000</v>
      </c>
      <c r="F61" s="141">
        <v>3475</v>
      </c>
      <c r="G61" s="429">
        <f t="shared" si="0"/>
        <v>86.875</v>
      </c>
    </row>
    <row r="62" spans="2:7" x14ac:dyDescent="0.2">
      <c r="B62" s="166">
        <f t="shared" si="1"/>
        <v>57</v>
      </c>
      <c r="C62" s="138">
        <v>292012</v>
      </c>
      <c r="D62" s="138" t="s">
        <v>218</v>
      </c>
      <c r="E62" s="141">
        <v>4000</v>
      </c>
      <c r="F62" s="141">
        <v>8446</v>
      </c>
      <c r="G62" s="429">
        <f t="shared" si="0"/>
        <v>211.15</v>
      </c>
    </row>
    <row r="63" spans="2:7" x14ac:dyDescent="0.2">
      <c r="B63" s="166">
        <f t="shared" si="1"/>
        <v>58</v>
      </c>
      <c r="C63" s="138">
        <v>292017</v>
      </c>
      <c r="D63" s="138" t="s">
        <v>219</v>
      </c>
      <c r="E63" s="141">
        <v>500</v>
      </c>
      <c r="F63" s="141">
        <v>1466</v>
      </c>
      <c r="G63" s="429">
        <f t="shared" si="0"/>
        <v>293.2</v>
      </c>
    </row>
    <row r="64" spans="2:7" x14ac:dyDescent="0.2">
      <c r="B64" s="166">
        <f t="shared" si="1"/>
        <v>59</v>
      </c>
      <c r="C64" s="138">
        <v>292027</v>
      </c>
      <c r="D64" s="138" t="s">
        <v>303</v>
      </c>
      <c r="E64" s="141">
        <v>500</v>
      </c>
      <c r="F64" s="141"/>
      <c r="G64" s="429">
        <f t="shared" si="0"/>
        <v>0</v>
      </c>
    </row>
    <row r="65" spans="2:7" x14ac:dyDescent="0.2">
      <c r="B65" s="166">
        <f t="shared" si="1"/>
        <v>60</v>
      </c>
      <c r="C65" s="185"/>
      <c r="D65" s="185" t="s">
        <v>46</v>
      </c>
      <c r="E65" s="186">
        <f>SUM(E66:E67)</f>
        <v>306300</v>
      </c>
      <c r="F65" s="186">
        <f>SUM(F66:F67)</f>
        <v>280084</v>
      </c>
      <c r="G65" s="522">
        <f t="shared" si="0"/>
        <v>91.441070845576235</v>
      </c>
    </row>
    <row r="66" spans="2:7" x14ac:dyDescent="0.2">
      <c r="B66" s="166">
        <f t="shared" si="1"/>
        <v>61</v>
      </c>
      <c r="C66" s="138">
        <v>212003</v>
      </c>
      <c r="D66" s="138" t="s">
        <v>234</v>
      </c>
      <c r="E66" s="141">
        <v>15800</v>
      </c>
      <c r="F66" s="141">
        <v>20222</v>
      </c>
      <c r="G66" s="429">
        <f t="shared" si="0"/>
        <v>127.98734177215189</v>
      </c>
    </row>
    <row r="67" spans="2:7" x14ac:dyDescent="0.2">
      <c r="B67" s="166">
        <f t="shared" si="1"/>
        <v>62</v>
      </c>
      <c r="C67" s="138">
        <v>223001</v>
      </c>
      <c r="D67" s="138" t="s">
        <v>236</v>
      </c>
      <c r="E67" s="141">
        <v>290500</v>
      </c>
      <c r="F67" s="141">
        <f>25738+234124</f>
        <v>259862</v>
      </c>
      <c r="G67" s="429">
        <f t="shared" si="0"/>
        <v>89.45335628227194</v>
      </c>
    </row>
    <row r="68" spans="2:7" x14ac:dyDescent="0.2">
      <c r="B68" s="166">
        <f t="shared" si="1"/>
        <v>63</v>
      </c>
      <c r="C68" s="185"/>
      <c r="D68" s="185" t="s">
        <v>372</v>
      </c>
      <c r="E68" s="186">
        <f>SUM(E69:E71)</f>
        <v>409450</v>
      </c>
      <c r="F68" s="186">
        <f>SUM(F69:F71)</f>
        <v>240347</v>
      </c>
      <c r="G68" s="522">
        <f t="shared" si="0"/>
        <v>58.699963365490291</v>
      </c>
    </row>
    <row r="69" spans="2:7" x14ac:dyDescent="0.2">
      <c r="B69" s="166">
        <f t="shared" si="1"/>
        <v>64</v>
      </c>
      <c r="C69" s="138">
        <v>212002</v>
      </c>
      <c r="D69" s="138" t="s">
        <v>255</v>
      </c>
      <c r="E69" s="141">
        <v>16000</v>
      </c>
      <c r="F69" s="141">
        <v>13912</v>
      </c>
      <c r="G69" s="429">
        <f t="shared" si="0"/>
        <v>86.95</v>
      </c>
    </row>
    <row r="70" spans="2:7" x14ac:dyDescent="0.2">
      <c r="B70" s="166">
        <f t="shared" si="1"/>
        <v>65</v>
      </c>
      <c r="C70" s="138">
        <v>212003</v>
      </c>
      <c r="D70" s="138" t="s">
        <v>234</v>
      </c>
      <c r="E70" s="141">
        <v>2750</v>
      </c>
      <c r="F70" s="141">
        <v>2532</v>
      </c>
      <c r="G70" s="429">
        <f t="shared" si="0"/>
        <v>92.072727272727278</v>
      </c>
    </row>
    <row r="71" spans="2:7" x14ac:dyDescent="0.2">
      <c r="B71" s="166">
        <f t="shared" si="1"/>
        <v>66</v>
      </c>
      <c r="C71" s="138">
        <v>223001</v>
      </c>
      <c r="D71" s="138" t="s">
        <v>236</v>
      </c>
      <c r="E71" s="141">
        <v>390700</v>
      </c>
      <c r="F71" s="141">
        <f>223903</f>
        <v>223903</v>
      </c>
      <c r="G71" s="429">
        <f t="shared" si="0"/>
        <v>57.30816483235219</v>
      </c>
    </row>
    <row r="72" spans="2:7" x14ac:dyDescent="0.2">
      <c r="B72" s="166">
        <f t="shared" si="1"/>
        <v>67</v>
      </c>
      <c r="C72" s="185"/>
      <c r="D72" s="185" t="s">
        <v>197</v>
      </c>
      <c r="E72" s="186">
        <f>SUM(E73:E74)</f>
        <v>80000</v>
      </c>
      <c r="F72" s="186">
        <f>SUM(F73:F74)</f>
        <v>66382</v>
      </c>
      <c r="G72" s="522">
        <f t="shared" si="0"/>
        <v>82.977500000000006</v>
      </c>
    </row>
    <row r="73" spans="2:7" x14ac:dyDescent="0.2">
      <c r="B73" s="166">
        <f>B72+1</f>
        <v>68</v>
      </c>
      <c r="C73" s="138">
        <v>212003</v>
      </c>
      <c r="D73" s="138" t="s">
        <v>234</v>
      </c>
      <c r="E73" s="141">
        <v>40000</v>
      </c>
      <c r="F73" s="141">
        <v>45372</v>
      </c>
      <c r="G73" s="429">
        <f t="shared" si="0"/>
        <v>113.43</v>
      </c>
    </row>
    <row r="74" spans="2:7" x14ac:dyDescent="0.2">
      <c r="B74" s="166">
        <f t="shared" ref="B74:B91" si="5">B73+1</f>
        <v>69</v>
      </c>
      <c r="C74" s="138">
        <v>223001</v>
      </c>
      <c r="D74" s="138" t="s">
        <v>236</v>
      </c>
      <c r="E74" s="141">
        <v>40000</v>
      </c>
      <c r="F74" s="141">
        <f>3460+17550</f>
        <v>21010</v>
      </c>
      <c r="G74" s="429">
        <f t="shared" si="0"/>
        <v>52.524999999999999</v>
      </c>
    </row>
    <row r="75" spans="2:7" x14ac:dyDescent="0.2">
      <c r="B75" s="166">
        <f t="shared" si="5"/>
        <v>70</v>
      </c>
      <c r="C75" s="185"/>
      <c r="D75" s="185" t="s">
        <v>214</v>
      </c>
      <c r="E75" s="186">
        <f>SUM(E76:E77)</f>
        <v>206500</v>
      </c>
      <c r="F75" s="186">
        <f>SUM(F76:F77)</f>
        <v>189512</v>
      </c>
      <c r="G75" s="522">
        <f t="shared" si="0"/>
        <v>91.773365617433413</v>
      </c>
    </row>
    <row r="76" spans="2:7" x14ac:dyDescent="0.2">
      <c r="B76" s="166">
        <f t="shared" si="5"/>
        <v>71</v>
      </c>
      <c r="C76" s="138">
        <v>212004</v>
      </c>
      <c r="D76" s="138" t="s">
        <v>235</v>
      </c>
      <c r="E76" s="141">
        <v>6500</v>
      </c>
      <c r="F76" s="141">
        <v>201</v>
      </c>
      <c r="G76" s="429">
        <f t="shared" ref="G76:G139" si="6">F76/E76*100</f>
        <v>3.0923076923076924</v>
      </c>
    </row>
    <row r="77" spans="2:7" x14ac:dyDescent="0.2">
      <c r="B77" s="166">
        <f t="shared" si="5"/>
        <v>72</v>
      </c>
      <c r="C77" s="138">
        <v>223001</v>
      </c>
      <c r="D77" s="138" t="s">
        <v>236</v>
      </c>
      <c r="E77" s="141">
        <v>200000</v>
      </c>
      <c r="F77" s="141">
        <v>189311</v>
      </c>
      <c r="G77" s="429">
        <f t="shared" si="6"/>
        <v>94.655500000000004</v>
      </c>
    </row>
    <row r="78" spans="2:7" x14ac:dyDescent="0.2">
      <c r="B78" s="166">
        <f t="shared" si="5"/>
        <v>73</v>
      </c>
      <c r="C78" s="185"/>
      <c r="D78" s="185" t="s">
        <v>203</v>
      </c>
      <c r="E78" s="186">
        <f>E79</f>
        <v>2500</v>
      </c>
      <c r="F78" s="186">
        <f>F79</f>
        <v>2325</v>
      </c>
      <c r="G78" s="522">
        <f t="shared" si="6"/>
        <v>93</v>
      </c>
    </row>
    <row r="79" spans="2:7" x14ac:dyDescent="0.2">
      <c r="B79" s="166">
        <f t="shared" si="5"/>
        <v>74</v>
      </c>
      <c r="C79" s="138">
        <v>292006</v>
      </c>
      <c r="D79" s="138" t="s">
        <v>164</v>
      </c>
      <c r="E79" s="141">
        <v>2500</v>
      </c>
      <c r="F79" s="141">
        <v>2325</v>
      </c>
      <c r="G79" s="429">
        <f t="shared" si="6"/>
        <v>93</v>
      </c>
    </row>
    <row r="80" spans="2:7" x14ac:dyDescent="0.2">
      <c r="B80" s="166">
        <f t="shared" si="5"/>
        <v>75</v>
      </c>
      <c r="C80" s="185"/>
      <c r="D80" s="185" t="s">
        <v>611</v>
      </c>
      <c r="E80" s="186">
        <f>E81</f>
        <v>2500</v>
      </c>
      <c r="F80" s="186">
        <f>F81</f>
        <v>1048</v>
      </c>
      <c r="G80" s="522">
        <f t="shared" si="6"/>
        <v>41.92</v>
      </c>
    </row>
    <row r="81" spans="2:7" x14ac:dyDescent="0.2">
      <c r="B81" s="166">
        <f t="shared" si="5"/>
        <v>76</v>
      </c>
      <c r="C81" s="138">
        <v>292006</v>
      </c>
      <c r="D81" s="138" t="s">
        <v>164</v>
      </c>
      <c r="E81" s="141">
        <v>2500</v>
      </c>
      <c r="F81" s="141">
        <v>1048</v>
      </c>
      <c r="G81" s="429">
        <f t="shared" si="6"/>
        <v>41.92</v>
      </c>
    </row>
    <row r="82" spans="2:7" x14ac:dyDescent="0.2">
      <c r="B82" s="166">
        <f t="shared" si="5"/>
        <v>77</v>
      </c>
      <c r="C82" s="185"/>
      <c r="D82" s="185" t="s">
        <v>44</v>
      </c>
      <c r="E82" s="186">
        <f>SUM(E83:E84)</f>
        <v>20050</v>
      </c>
      <c r="F82" s="186">
        <f>SUM(F83:F84)</f>
        <v>4943</v>
      </c>
      <c r="G82" s="522">
        <f t="shared" si="6"/>
        <v>24.653366583541146</v>
      </c>
    </row>
    <row r="83" spans="2:7" x14ac:dyDescent="0.2">
      <c r="B83" s="166">
        <f t="shared" si="5"/>
        <v>78</v>
      </c>
      <c r="C83" s="138">
        <v>212003</v>
      </c>
      <c r="D83" s="138" t="s">
        <v>234</v>
      </c>
      <c r="E83" s="141">
        <v>50</v>
      </c>
      <c r="F83" s="141">
        <v>36</v>
      </c>
      <c r="G83" s="429">
        <f t="shared" si="6"/>
        <v>72</v>
      </c>
    </row>
    <row r="84" spans="2:7" x14ac:dyDescent="0.2">
      <c r="B84" s="166">
        <f t="shared" si="5"/>
        <v>79</v>
      </c>
      <c r="C84" s="138">
        <v>223001</v>
      </c>
      <c r="D84" s="138" t="s">
        <v>236</v>
      </c>
      <c r="E84" s="141">
        <v>20000</v>
      </c>
      <c r="F84" s="141">
        <v>4907</v>
      </c>
      <c r="G84" s="429">
        <f t="shared" si="6"/>
        <v>24.535</v>
      </c>
    </row>
    <row r="85" spans="2:7" x14ac:dyDescent="0.2">
      <c r="B85" s="166">
        <f t="shared" si="5"/>
        <v>80</v>
      </c>
      <c r="C85" s="185"/>
      <c r="D85" s="185" t="s">
        <v>45</v>
      </c>
      <c r="E85" s="186">
        <f>SUM(E86:E88)</f>
        <v>153250</v>
      </c>
      <c r="F85" s="186">
        <f>SUM(F86:F88)</f>
        <v>148896</v>
      </c>
      <c r="G85" s="522">
        <f t="shared" si="6"/>
        <v>97.158890701468195</v>
      </c>
    </row>
    <row r="86" spans="2:7" x14ac:dyDescent="0.2">
      <c r="B86" s="166">
        <f t="shared" si="5"/>
        <v>81</v>
      </c>
      <c r="C86" s="138">
        <v>212002</v>
      </c>
      <c r="D86" s="138" t="s">
        <v>255</v>
      </c>
      <c r="E86" s="141">
        <v>500</v>
      </c>
      <c r="F86" s="141">
        <v>276</v>
      </c>
      <c r="G86" s="429">
        <f t="shared" si="6"/>
        <v>55.2</v>
      </c>
    </row>
    <row r="87" spans="2:7" x14ac:dyDescent="0.2">
      <c r="B87" s="166">
        <f t="shared" si="5"/>
        <v>82</v>
      </c>
      <c r="C87" s="138">
        <v>212003</v>
      </c>
      <c r="D87" s="138" t="s">
        <v>234</v>
      </c>
      <c r="E87" s="141">
        <v>250</v>
      </c>
      <c r="F87" s="141">
        <v>63</v>
      </c>
      <c r="G87" s="429">
        <f t="shared" si="6"/>
        <v>25.2</v>
      </c>
    </row>
    <row r="88" spans="2:7" x14ac:dyDescent="0.2">
      <c r="B88" s="166">
        <f t="shared" si="5"/>
        <v>83</v>
      </c>
      <c r="C88" s="138">
        <v>223001</v>
      </c>
      <c r="D88" s="138" t="s">
        <v>236</v>
      </c>
      <c r="E88" s="141">
        <f>201500-49000</f>
        <v>152500</v>
      </c>
      <c r="F88" s="141">
        <f>1128+147429</f>
        <v>148557</v>
      </c>
      <c r="G88" s="429">
        <f t="shared" si="6"/>
        <v>97.414426229508194</v>
      </c>
    </row>
    <row r="89" spans="2:7" x14ac:dyDescent="0.2">
      <c r="B89" s="166">
        <f t="shared" si="5"/>
        <v>84</v>
      </c>
      <c r="C89" s="185"/>
      <c r="D89" s="185" t="s">
        <v>47</v>
      </c>
      <c r="E89" s="186">
        <f>SUM(E90:E91)</f>
        <v>50700</v>
      </c>
      <c r="F89" s="186">
        <f>SUM(F90:F91)</f>
        <v>46319</v>
      </c>
      <c r="G89" s="522">
        <f t="shared" si="6"/>
        <v>91.358974358974351</v>
      </c>
    </row>
    <row r="90" spans="2:7" x14ac:dyDescent="0.2">
      <c r="B90" s="166">
        <f t="shared" si="5"/>
        <v>85</v>
      </c>
      <c r="C90" s="138">
        <v>212002</v>
      </c>
      <c r="D90" s="138" t="s">
        <v>255</v>
      </c>
      <c r="E90" s="141">
        <v>700</v>
      </c>
      <c r="F90" s="141">
        <v>700</v>
      </c>
      <c r="G90" s="429">
        <f t="shared" si="6"/>
        <v>100</v>
      </c>
    </row>
    <row r="91" spans="2:7" ht="13.5" thickBot="1" x14ac:dyDescent="0.25">
      <c r="B91" s="166">
        <f t="shared" si="5"/>
        <v>86</v>
      </c>
      <c r="C91" s="177">
        <v>223001</v>
      </c>
      <c r="D91" s="177" t="s">
        <v>236</v>
      </c>
      <c r="E91" s="178">
        <f>1000+49000</f>
        <v>50000</v>
      </c>
      <c r="F91" s="178">
        <f>45619</f>
        <v>45619</v>
      </c>
      <c r="G91" s="532">
        <f t="shared" si="6"/>
        <v>91.238</v>
      </c>
    </row>
    <row r="92" spans="2:7" ht="15.75" thickBot="1" x14ac:dyDescent="0.3">
      <c r="B92" s="166">
        <f t="shared" ref="B92:B143" si="7">B91+1</f>
        <v>87</v>
      </c>
      <c r="C92" s="181">
        <v>3</v>
      </c>
      <c r="D92" s="181" t="s">
        <v>8</v>
      </c>
      <c r="E92" s="182">
        <f>E93+E95</f>
        <v>54051</v>
      </c>
      <c r="F92" s="182">
        <f>F93+F95</f>
        <v>54105</v>
      </c>
      <c r="G92" s="521">
        <f t="shared" si="6"/>
        <v>100.09990564466892</v>
      </c>
    </row>
    <row r="93" spans="2:7" x14ac:dyDescent="0.2">
      <c r="B93" s="166">
        <f t="shared" si="7"/>
        <v>88</v>
      </c>
      <c r="C93" s="183">
        <v>220</v>
      </c>
      <c r="D93" s="183" t="s">
        <v>207</v>
      </c>
      <c r="E93" s="184">
        <f t="shared" ref="E93:F93" si="8">E94</f>
        <v>50900</v>
      </c>
      <c r="F93" s="184">
        <f t="shared" si="8"/>
        <v>50954</v>
      </c>
      <c r="G93" s="530">
        <f t="shared" si="6"/>
        <v>100.10609037328095</v>
      </c>
    </row>
    <row r="94" spans="2:7" x14ac:dyDescent="0.2">
      <c r="B94" s="166">
        <f t="shared" si="7"/>
        <v>89</v>
      </c>
      <c r="C94" s="138">
        <v>223002</v>
      </c>
      <c r="D94" s="138" t="s">
        <v>69</v>
      </c>
      <c r="E94" s="141">
        <f>50348+549+3</f>
        <v>50900</v>
      </c>
      <c r="F94" s="141">
        <v>50954</v>
      </c>
      <c r="G94" s="429">
        <f t="shared" si="6"/>
        <v>100.10609037328095</v>
      </c>
    </row>
    <row r="95" spans="2:7" x14ac:dyDescent="0.2">
      <c r="B95" s="166"/>
      <c r="C95" s="185">
        <v>290</v>
      </c>
      <c r="D95" s="185" t="s">
        <v>165</v>
      </c>
      <c r="E95" s="186">
        <f>E96</f>
        <v>3151</v>
      </c>
      <c r="F95" s="186">
        <f>F96</f>
        <v>3151</v>
      </c>
      <c r="G95" s="522">
        <f t="shared" si="6"/>
        <v>100</v>
      </c>
    </row>
    <row r="96" spans="2:7" ht="13.5" thickBot="1" x14ac:dyDescent="0.25">
      <c r="B96" s="166"/>
      <c r="C96" s="138">
        <v>292012</v>
      </c>
      <c r="D96" s="138" t="s">
        <v>218</v>
      </c>
      <c r="E96" s="141">
        <v>3151</v>
      </c>
      <c r="F96" s="141">
        <v>3151</v>
      </c>
      <c r="G96" s="429">
        <f t="shared" si="6"/>
        <v>100</v>
      </c>
    </row>
    <row r="97" spans="2:7" ht="15.75" thickBot="1" x14ac:dyDescent="0.3">
      <c r="B97" s="166">
        <f>B94+1</f>
        <v>90</v>
      </c>
      <c r="C97" s="181">
        <v>4</v>
      </c>
      <c r="D97" s="181" t="s">
        <v>81</v>
      </c>
      <c r="E97" s="182">
        <f>E98+E102+E106+E110+E114+E118+E122+E126+E130+E134+E138+E142+E146+E150+E152+E154+E157</f>
        <v>1114093</v>
      </c>
      <c r="F97" s="182">
        <f>F98+F102+F106+F110+F114+F118+F122+F126+F130+F134+F138+F142+F146+F150+F152+F154+F157</f>
        <v>929423</v>
      </c>
      <c r="G97" s="521">
        <f t="shared" si="6"/>
        <v>83.424184516014378</v>
      </c>
    </row>
    <row r="98" spans="2:7" x14ac:dyDescent="0.2">
      <c r="B98" s="166">
        <f t="shared" si="7"/>
        <v>91</v>
      </c>
      <c r="C98" s="183"/>
      <c r="D98" s="183" t="s">
        <v>65</v>
      </c>
      <c r="E98" s="184">
        <f>SUM(E99:E101)</f>
        <v>48285</v>
      </c>
      <c r="F98" s="184">
        <f>SUM(F99:F101)</f>
        <v>37810</v>
      </c>
      <c r="G98" s="530">
        <f t="shared" si="6"/>
        <v>78.305892098995542</v>
      </c>
    </row>
    <row r="99" spans="2:7" x14ac:dyDescent="0.2">
      <c r="B99" s="166">
        <f t="shared" si="7"/>
        <v>92</v>
      </c>
      <c r="C99" s="138">
        <v>223001</v>
      </c>
      <c r="D99" s="138" t="s">
        <v>236</v>
      </c>
      <c r="E99" s="141">
        <v>5376</v>
      </c>
      <c r="F99" s="141">
        <v>4552</v>
      </c>
      <c r="G99" s="429">
        <f t="shared" si="6"/>
        <v>84.672619047619051</v>
      </c>
    </row>
    <row r="100" spans="2:7" x14ac:dyDescent="0.2">
      <c r="B100" s="166">
        <f t="shared" si="7"/>
        <v>93</v>
      </c>
      <c r="C100" s="138">
        <v>223002</v>
      </c>
      <c r="D100" s="138" t="s">
        <v>69</v>
      </c>
      <c r="E100" s="141">
        <f>14700+160+2</f>
        <v>14862</v>
      </c>
      <c r="F100" s="141">
        <v>13992</v>
      </c>
      <c r="G100" s="429">
        <f t="shared" si="6"/>
        <v>94.146144529672995</v>
      </c>
    </row>
    <row r="101" spans="2:7" x14ac:dyDescent="0.2">
      <c r="B101" s="166">
        <f t="shared" si="7"/>
        <v>94</v>
      </c>
      <c r="C101" s="138">
        <v>223003</v>
      </c>
      <c r="D101" s="138" t="s">
        <v>70</v>
      </c>
      <c r="E101" s="141">
        <v>28047</v>
      </c>
      <c r="F101" s="141">
        <v>19266</v>
      </c>
      <c r="G101" s="429">
        <f t="shared" si="6"/>
        <v>68.691838699326141</v>
      </c>
    </row>
    <row r="102" spans="2:7" x14ac:dyDescent="0.2">
      <c r="B102" s="166">
        <f t="shared" si="7"/>
        <v>95</v>
      </c>
      <c r="C102" s="185"/>
      <c r="D102" s="185" t="s">
        <v>224</v>
      </c>
      <c r="E102" s="186">
        <f>SUM(E103:E105)</f>
        <v>108480</v>
      </c>
      <c r="F102" s="186">
        <f>SUM(F103:F105)</f>
        <v>96835</v>
      </c>
      <c r="G102" s="522">
        <f t="shared" si="6"/>
        <v>89.265302359882</v>
      </c>
    </row>
    <row r="103" spans="2:7" x14ac:dyDescent="0.2">
      <c r="B103" s="166">
        <f t="shared" si="7"/>
        <v>96</v>
      </c>
      <c r="C103" s="138">
        <v>223001</v>
      </c>
      <c r="D103" s="138" t="s">
        <v>236</v>
      </c>
      <c r="E103" s="141">
        <v>11592</v>
      </c>
      <c r="F103" s="141">
        <v>10328</v>
      </c>
      <c r="G103" s="429">
        <f t="shared" si="6"/>
        <v>89.095928226363014</v>
      </c>
    </row>
    <row r="104" spans="2:7" x14ac:dyDescent="0.2">
      <c r="B104" s="166">
        <f t="shared" si="7"/>
        <v>97</v>
      </c>
      <c r="C104" s="138">
        <v>223002</v>
      </c>
      <c r="D104" s="138" t="s">
        <v>69</v>
      </c>
      <c r="E104" s="141">
        <f>36015+392+2-600</f>
        <v>35809</v>
      </c>
      <c r="F104" s="141">
        <v>35365</v>
      </c>
      <c r="G104" s="429">
        <f t="shared" si="6"/>
        <v>98.760088245971673</v>
      </c>
    </row>
    <row r="105" spans="2:7" x14ac:dyDescent="0.2">
      <c r="B105" s="166">
        <f t="shared" si="7"/>
        <v>98</v>
      </c>
      <c r="C105" s="138">
        <v>223003</v>
      </c>
      <c r="D105" s="138" t="s">
        <v>70</v>
      </c>
      <c r="E105" s="141">
        <v>61079</v>
      </c>
      <c r="F105" s="141">
        <v>51142</v>
      </c>
      <c r="G105" s="429">
        <f t="shared" si="6"/>
        <v>83.730905875996669</v>
      </c>
    </row>
    <row r="106" spans="2:7" x14ac:dyDescent="0.2">
      <c r="B106" s="166">
        <f t="shared" si="7"/>
        <v>99</v>
      </c>
      <c r="C106" s="185"/>
      <c r="D106" s="185" t="s">
        <v>64</v>
      </c>
      <c r="E106" s="186">
        <f>SUM(E107:E109)</f>
        <v>54970</v>
      </c>
      <c r="F106" s="186">
        <f>SUM(F107:F109)</f>
        <v>46784</v>
      </c>
      <c r="G106" s="522">
        <f t="shared" si="6"/>
        <v>85.108240858650177</v>
      </c>
    </row>
    <row r="107" spans="2:7" x14ac:dyDescent="0.2">
      <c r="B107" s="166">
        <f t="shared" si="7"/>
        <v>100</v>
      </c>
      <c r="C107" s="138">
        <v>223001</v>
      </c>
      <c r="D107" s="138" t="s">
        <v>236</v>
      </c>
      <c r="E107" s="141">
        <f>5712+500</f>
        <v>6212</v>
      </c>
      <c r="F107" s="141">
        <v>5880</v>
      </c>
      <c r="G107" s="429">
        <f t="shared" si="6"/>
        <v>94.655505473277529</v>
      </c>
    </row>
    <row r="108" spans="2:7" x14ac:dyDescent="0.2">
      <c r="B108" s="166">
        <f t="shared" si="7"/>
        <v>101</v>
      </c>
      <c r="C108" s="138">
        <v>223002</v>
      </c>
      <c r="D108" s="138" t="s">
        <v>69</v>
      </c>
      <c r="E108" s="141">
        <f>17273+188+1+1000</f>
        <v>18462</v>
      </c>
      <c r="F108" s="141">
        <v>18096</v>
      </c>
      <c r="G108" s="429">
        <f t="shared" si="6"/>
        <v>98.017549561260964</v>
      </c>
    </row>
    <row r="109" spans="2:7" x14ac:dyDescent="0.2">
      <c r="B109" s="166">
        <f t="shared" si="7"/>
        <v>102</v>
      </c>
      <c r="C109" s="138">
        <v>223003</v>
      </c>
      <c r="D109" s="138" t="s">
        <v>70</v>
      </c>
      <c r="E109" s="141">
        <v>30296</v>
      </c>
      <c r="F109" s="141">
        <v>22808</v>
      </c>
      <c r="G109" s="429">
        <f t="shared" si="6"/>
        <v>75.283865856878791</v>
      </c>
    </row>
    <row r="110" spans="2:7" x14ac:dyDescent="0.2">
      <c r="B110" s="166">
        <f t="shared" si="7"/>
        <v>103</v>
      </c>
      <c r="C110" s="185"/>
      <c r="D110" s="185" t="s">
        <v>525</v>
      </c>
      <c r="E110" s="186">
        <f>SUM(E111:E113)</f>
        <v>70980</v>
      </c>
      <c r="F110" s="186">
        <f>SUM(F111:F113)</f>
        <v>55413</v>
      </c>
      <c r="G110" s="522">
        <f t="shared" si="6"/>
        <v>78.06846999154692</v>
      </c>
    </row>
    <row r="111" spans="2:7" x14ac:dyDescent="0.2">
      <c r="B111" s="166">
        <f t="shared" si="7"/>
        <v>104</v>
      </c>
      <c r="C111" s="138">
        <v>223001</v>
      </c>
      <c r="D111" s="138" t="s">
        <v>236</v>
      </c>
      <c r="E111" s="141">
        <v>7728</v>
      </c>
      <c r="F111" s="141">
        <v>7334</v>
      </c>
      <c r="G111" s="429">
        <f t="shared" si="6"/>
        <v>94.901656314699792</v>
      </c>
    </row>
    <row r="112" spans="2:7" x14ac:dyDescent="0.2">
      <c r="B112" s="166">
        <f t="shared" si="7"/>
        <v>105</v>
      </c>
      <c r="C112" s="138">
        <v>223002</v>
      </c>
      <c r="D112" s="138" t="s">
        <v>69</v>
      </c>
      <c r="E112" s="141">
        <f>22785+248-1</f>
        <v>23032</v>
      </c>
      <c r="F112" s="141">
        <v>22801</v>
      </c>
      <c r="G112" s="429">
        <f t="shared" si="6"/>
        <v>98.997047585967351</v>
      </c>
    </row>
    <row r="113" spans="2:7" x14ac:dyDescent="0.2">
      <c r="B113" s="166">
        <f t="shared" si="7"/>
        <v>106</v>
      </c>
      <c r="C113" s="138">
        <v>223003</v>
      </c>
      <c r="D113" s="138" t="s">
        <v>70</v>
      </c>
      <c r="E113" s="141">
        <v>40220</v>
      </c>
      <c r="F113" s="141">
        <v>25278</v>
      </c>
      <c r="G113" s="429">
        <f t="shared" si="6"/>
        <v>62.849328692192941</v>
      </c>
    </row>
    <row r="114" spans="2:7" x14ac:dyDescent="0.2">
      <c r="B114" s="166">
        <f t="shared" si="7"/>
        <v>107</v>
      </c>
      <c r="C114" s="185"/>
      <c r="D114" s="185" t="s">
        <v>95</v>
      </c>
      <c r="E114" s="186">
        <f>SUM(E115:E117)</f>
        <v>57900</v>
      </c>
      <c r="F114" s="186">
        <f>SUM(F115:F117)</f>
        <v>50275</v>
      </c>
      <c r="G114" s="522">
        <f t="shared" si="6"/>
        <v>86.830742659758215</v>
      </c>
    </row>
    <row r="115" spans="2:7" x14ac:dyDescent="0.2">
      <c r="B115" s="166">
        <f t="shared" si="7"/>
        <v>108</v>
      </c>
      <c r="C115" s="138">
        <v>223001</v>
      </c>
      <c r="D115" s="138" t="s">
        <v>236</v>
      </c>
      <c r="E115" s="141">
        <v>6048</v>
      </c>
      <c r="F115" s="141">
        <v>6149</v>
      </c>
      <c r="G115" s="429">
        <f t="shared" si="6"/>
        <v>101.66997354497353</v>
      </c>
    </row>
    <row r="116" spans="2:7" x14ac:dyDescent="0.2">
      <c r="B116" s="166">
        <f t="shared" si="7"/>
        <v>109</v>
      </c>
      <c r="C116" s="138">
        <v>223002</v>
      </c>
      <c r="D116" s="138" t="s">
        <v>69</v>
      </c>
      <c r="E116" s="141">
        <f>18008+196</f>
        <v>18204</v>
      </c>
      <c r="F116" s="141">
        <v>18851</v>
      </c>
      <c r="G116" s="429">
        <f t="shared" si="6"/>
        <v>103.55416392001757</v>
      </c>
    </row>
    <row r="117" spans="2:7" x14ac:dyDescent="0.2">
      <c r="B117" s="166">
        <f t="shared" si="7"/>
        <v>110</v>
      </c>
      <c r="C117" s="138">
        <v>223003</v>
      </c>
      <c r="D117" s="138" t="s">
        <v>70</v>
      </c>
      <c r="E117" s="141">
        <v>33648</v>
      </c>
      <c r="F117" s="141">
        <v>25275</v>
      </c>
      <c r="G117" s="429">
        <f t="shared" si="6"/>
        <v>75.115905848787449</v>
      </c>
    </row>
    <row r="118" spans="2:7" x14ac:dyDescent="0.2">
      <c r="B118" s="166">
        <f t="shared" si="7"/>
        <v>111</v>
      </c>
      <c r="C118" s="185"/>
      <c r="D118" s="185" t="s">
        <v>83</v>
      </c>
      <c r="E118" s="186">
        <f>SUM(E119:E121)</f>
        <v>101265</v>
      </c>
      <c r="F118" s="186">
        <f>SUM(F119:F121)</f>
        <v>83935</v>
      </c>
      <c r="G118" s="522">
        <f t="shared" si="6"/>
        <v>82.886485952698365</v>
      </c>
    </row>
    <row r="119" spans="2:7" x14ac:dyDescent="0.2">
      <c r="B119" s="166">
        <f t="shared" si="7"/>
        <v>112</v>
      </c>
      <c r="C119" s="138">
        <v>223001</v>
      </c>
      <c r="D119" s="138" t="s">
        <v>236</v>
      </c>
      <c r="E119" s="141">
        <v>10920</v>
      </c>
      <c r="F119" s="141">
        <v>9352</v>
      </c>
      <c r="G119" s="429">
        <f t="shared" si="6"/>
        <v>85.641025641025635</v>
      </c>
    </row>
    <row r="120" spans="2:7" x14ac:dyDescent="0.2">
      <c r="B120" s="166">
        <f t="shared" si="7"/>
        <v>113</v>
      </c>
      <c r="C120" s="138">
        <v>223002</v>
      </c>
      <c r="D120" s="138" t="s">
        <v>69</v>
      </c>
      <c r="E120" s="141">
        <f>30870+336+1+1500</f>
        <v>32707</v>
      </c>
      <c r="F120" s="141">
        <v>31780</v>
      </c>
      <c r="G120" s="429">
        <f t="shared" si="6"/>
        <v>97.165744336074837</v>
      </c>
    </row>
    <row r="121" spans="2:7" x14ac:dyDescent="0.2">
      <c r="B121" s="166">
        <f t="shared" si="7"/>
        <v>114</v>
      </c>
      <c r="C121" s="138">
        <v>223003</v>
      </c>
      <c r="D121" s="138" t="s">
        <v>70</v>
      </c>
      <c r="E121" s="141">
        <v>57638</v>
      </c>
      <c r="F121" s="141">
        <v>42803</v>
      </c>
      <c r="G121" s="429">
        <f t="shared" si="6"/>
        <v>74.26177174780527</v>
      </c>
    </row>
    <row r="122" spans="2:7" x14ac:dyDescent="0.2">
      <c r="B122" s="166">
        <f t="shared" si="7"/>
        <v>115</v>
      </c>
      <c r="C122" s="185"/>
      <c r="D122" s="185" t="s">
        <v>489</v>
      </c>
      <c r="E122" s="186">
        <f>SUM(E123:E125)</f>
        <v>104680</v>
      </c>
      <c r="F122" s="186">
        <f>SUM(F123:F125)</f>
        <v>87531</v>
      </c>
      <c r="G122" s="522">
        <f t="shared" si="6"/>
        <v>83.617692013756212</v>
      </c>
    </row>
    <row r="123" spans="2:7" x14ac:dyDescent="0.2">
      <c r="B123" s="166">
        <f t="shared" si="7"/>
        <v>116</v>
      </c>
      <c r="C123" s="138">
        <v>223001</v>
      </c>
      <c r="D123" s="138" t="s">
        <v>236</v>
      </c>
      <c r="E123" s="141">
        <f>59976-48552</f>
        <v>11424</v>
      </c>
      <c r="F123" s="141">
        <v>11276</v>
      </c>
      <c r="G123" s="429">
        <f t="shared" si="6"/>
        <v>98.70448179271709</v>
      </c>
    </row>
    <row r="124" spans="2:7" x14ac:dyDescent="0.2">
      <c r="B124" s="166">
        <f t="shared" si="7"/>
        <v>117</v>
      </c>
      <c r="C124" s="138">
        <v>223002</v>
      </c>
      <c r="D124" s="138" t="s">
        <v>69</v>
      </c>
      <c r="E124" s="141">
        <f>33810+368+2-900</f>
        <v>33280</v>
      </c>
      <c r="F124" s="141">
        <v>33220</v>
      </c>
      <c r="G124" s="429">
        <f t="shared" si="6"/>
        <v>99.819711538461547</v>
      </c>
    </row>
    <row r="125" spans="2:7" x14ac:dyDescent="0.2">
      <c r="B125" s="166">
        <f t="shared" si="7"/>
        <v>118</v>
      </c>
      <c r="C125" s="138">
        <v>223003</v>
      </c>
      <c r="D125" s="138" t="s">
        <v>70</v>
      </c>
      <c r="E125" s="141">
        <f>11424+48552</f>
        <v>59976</v>
      </c>
      <c r="F125" s="141">
        <v>43035</v>
      </c>
      <c r="G125" s="429">
        <f t="shared" si="6"/>
        <v>71.753701480592241</v>
      </c>
    </row>
    <row r="126" spans="2:7" x14ac:dyDescent="0.2">
      <c r="B126" s="166">
        <f t="shared" si="7"/>
        <v>119</v>
      </c>
      <c r="C126" s="185"/>
      <c r="D126" s="185" t="s">
        <v>99</v>
      </c>
      <c r="E126" s="186">
        <f>SUM(E127:E129)</f>
        <v>57775</v>
      </c>
      <c r="F126" s="186">
        <f>SUM(F127:F129)</f>
        <v>42414</v>
      </c>
      <c r="G126" s="522">
        <f t="shared" si="6"/>
        <v>73.412375594980531</v>
      </c>
    </row>
    <row r="127" spans="2:7" x14ac:dyDescent="0.2">
      <c r="B127" s="166">
        <f t="shared" si="7"/>
        <v>120</v>
      </c>
      <c r="C127" s="138">
        <v>223001</v>
      </c>
      <c r="D127" s="138" t="s">
        <v>236</v>
      </c>
      <c r="E127" s="141">
        <v>6384</v>
      </c>
      <c r="F127" s="141">
        <v>5224</v>
      </c>
      <c r="G127" s="429">
        <f t="shared" si="6"/>
        <v>81.8295739348371</v>
      </c>
    </row>
    <row r="128" spans="2:7" x14ac:dyDescent="0.2">
      <c r="B128" s="166">
        <f t="shared" si="7"/>
        <v>121</v>
      </c>
      <c r="C128" s="138">
        <v>223002</v>
      </c>
      <c r="D128" s="138" t="s">
        <v>69</v>
      </c>
      <c r="E128" s="141">
        <f>19478+212-3800</f>
        <v>15890</v>
      </c>
      <c r="F128" s="141">
        <v>16723</v>
      </c>
      <c r="G128" s="429">
        <f t="shared" si="6"/>
        <v>105.24229074889868</v>
      </c>
    </row>
    <row r="129" spans="2:7" x14ac:dyDescent="0.2">
      <c r="B129" s="166">
        <f t="shared" si="7"/>
        <v>122</v>
      </c>
      <c r="C129" s="138">
        <v>223003</v>
      </c>
      <c r="D129" s="138" t="s">
        <v>70</v>
      </c>
      <c r="E129" s="141">
        <v>35501</v>
      </c>
      <c r="F129" s="141">
        <v>20467</v>
      </c>
      <c r="G129" s="429">
        <f t="shared" si="6"/>
        <v>57.651897129658323</v>
      </c>
    </row>
    <row r="130" spans="2:7" x14ac:dyDescent="0.2">
      <c r="B130" s="166">
        <f t="shared" si="7"/>
        <v>123</v>
      </c>
      <c r="C130" s="185"/>
      <c r="D130" s="185" t="s">
        <v>60</v>
      </c>
      <c r="E130" s="186">
        <f>SUM(E131:E133)</f>
        <v>91625</v>
      </c>
      <c r="F130" s="186">
        <f>SUM(F131:F133)</f>
        <v>76441</v>
      </c>
      <c r="G130" s="522">
        <f t="shared" si="6"/>
        <v>83.428103683492495</v>
      </c>
    </row>
    <row r="131" spans="2:7" x14ac:dyDescent="0.2">
      <c r="B131" s="166">
        <f t="shared" si="7"/>
        <v>124</v>
      </c>
      <c r="C131" s="138">
        <v>223001</v>
      </c>
      <c r="D131" s="138" t="s">
        <v>236</v>
      </c>
      <c r="E131" s="141">
        <f>10164-500</f>
        <v>9664</v>
      </c>
      <c r="F131" s="141">
        <v>8336</v>
      </c>
      <c r="G131" s="429">
        <f t="shared" si="6"/>
        <v>86.258278145695371</v>
      </c>
    </row>
    <row r="132" spans="2:7" x14ac:dyDescent="0.2">
      <c r="B132" s="166">
        <f t="shared" si="7"/>
        <v>125</v>
      </c>
      <c r="C132" s="138">
        <v>223002</v>
      </c>
      <c r="D132" s="138" t="s">
        <v>69</v>
      </c>
      <c r="E132" s="141">
        <f>28665+312+3+700</f>
        <v>29680</v>
      </c>
      <c r="F132" s="141">
        <v>29719</v>
      </c>
      <c r="G132" s="429">
        <f t="shared" si="6"/>
        <v>100.13140161725067</v>
      </c>
    </row>
    <row r="133" spans="2:7" x14ac:dyDescent="0.2">
      <c r="B133" s="166">
        <f t="shared" si="7"/>
        <v>126</v>
      </c>
      <c r="C133" s="138">
        <v>223003</v>
      </c>
      <c r="D133" s="138" t="s">
        <v>70</v>
      </c>
      <c r="E133" s="141">
        <v>52281</v>
      </c>
      <c r="F133" s="141">
        <v>38386</v>
      </c>
      <c r="G133" s="429">
        <f t="shared" si="6"/>
        <v>73.422467053040293</v>
      </c>
    </row>
    <row r="134" spans="2:7" x14ac:dyDescent="0.2">
      <c r="B134" s="166">
        <f t="shared" si="7"/>
        <v>127</v>
      </c>
      <c r="C134" s="185"/>
      <c r="D134" s="185" t="s">
        <v>66</v>
      </c>
      <c r="E134" s="186">
        <f>SUM(E135:E137)</f>
        <v>92800</v>
      </c>
      <c r="F134" s="186">
        <f>SUM(F135:F137)</f>
        <v>77342</v>
      </c>
      <c r="G134" s="522">
        <f t="shared" si="6"/>
        <v>83.34267241379311</v>
      </c>
    </row>
    <row r="135" spans="2:7" x14ac:dyDescent="0.2">
      <c r="B135" s="166">
        <f t="shared" si="7"/>
        <v>128</v>
      </c>
      <c r="C135" s="138">
        <v>223001</v>
      </c>
      <c r="D135" s="138" t="s">
        <v>236</v>
      </c>
      <c r="E135" s="141">
        <v>10164</v>
      </c>
      <c r="F135" s="141">
        <v>8320</v>
      </c>
      <c r="G135" s="429">
        <f t="shared" si="6"/>
        <v>81.857536402990945</v>
      </c>
    </row>
    <row r="136" spans="2:7" x14ac:dyDescent="0.2">
      <c r="B136" s="166">
        <f t="shared" si="7"/>
        <v>129</v>
      </c>
      <c r="C136" s="138">
        <v>223002</v>
      </c>
      <c r="D136" s="138" t="s">
        <v>69</v>
      </c>
      <c r="E136" s="141">
        <f>28298+308+1000</f>
        <v>29606</v>
      </c>
      <c r="F136" s="141">
        <v>29461</v>
      </c>
      <c r="G136" s="429">
        <f t="shared" si="6"/>
        <v>99.510234411943514</v>
      </c>
    </row>
    <row r="137" spans="2:7" x14ac:dyDescent="0.2">
      <c r="B137" s="166">
        <f t="shared" si="7"/>
        <v>130</v>
      </c>
      <c r="C137" s="138">
        <v>223003</v>
      </c>
      <c r="D137" s="138" t="s">
        <v>70</v>
      </c>
      <c r="E137" s="141">
        <v>53030</v>
      </c>
      <c r="F137" s="141">
        <v>39561</v>
      </c>
      <c r="G137" s="429">
        <f t="shared" si="6"/>
        <v>74.601169149537995</v>
      </c>
    </row>
    <row r="138" spans="2:7" x14ac:dyDescent="0.2">
      <c r="B138" s="166">
        <f t="shared" si="7"/>
        <v>131</v>
      </c>
      <c r="C138" s="185"/>
      <c r="D138" s="185" t="s">
        <v>67</v>
      </c>
      <c r="E138" s="186">
        <f>SUM(E139:E141)</f>
        <v>81550</v>
      </c>
      <c r="F138" s="186">
        <f>SUM(F139:F141)</f>
        <v>65834</v>
      </c>
      <c r="G138" s="522">
        <f t="shared" si="6"/>
        <v>80.728387492335997</v>
      </c>
    </row>
    <row r="139" spans="2:7" x14ac:dyDescent="0.2">
      <c r="B139" s="166">
        <f t="shared" si="7"/>
        <v>132</v>
      </c>
      <c r="C139" s="138">
        <v>223001</v>
      </c>
      <c r="D139" s="138" t="s">
        <v>236</v>
      </c>
      <c r="E139" s="141">
        <v>8652</v>
      </c>
      <c r="F139" s="141">
        <v>8328</v>
      </c>
      <c r="G139" s="429">
        <f t="shared" si="6"/>
        <v>96.255201109570038</v>
      </c>
    </row>
    <row r="140" spans="2:7" x14ac:dyDescent="0.2">
      <c r="B140" s="166">
        <f t="shared" si="7"/>
        <v>133</v>
      </c>
      <c r="C140" s="138">
        <v>223002</v>
      </c>
      <c r="D140" s="138" t="s">
        <v>69</v>
      </c>
      <c r="E140" s="141">
        <f>26460+288-1-1500</f>
        <v>25247</v>
      </c>
      <c r="F140" s="141">
        <v>24956</v>
      </c>
      <c r="G140" s="429">
        <f t="shared" ref="G140:G199" si="9">F140/E140*100</f>
        <v>98.847387808452496</v>
      </c>
    </row>
    <row r="141" spans="2:7" x14ac:dyDescent="0.2">
      <c r="B141" s="166">
        <f t="shared" si="7"/>
        <v>134</v>
      </c>
      <c r="C141" s="138">
        <v>223003</v>
      </c>
      <c r="D141" s="138" t="s">
        <v>70</v>
      </c>
      <c r="E141" s="141">
        <v>47651</v>
      </c>
      <c r="F141" s="141">
        <v>32550</v>
      </c>
      <c r="G141" s="429">
        <f t="shared" si="9"/>
        <v>68.309164550586559</v>
      </c>
    </row>
    <row r="142" spans="2:7" x14ac:dyDescent="0.2">
      <c r="B142" s="166">
        <f t="shared" si="7"/>
        <v>135</v>
      </c>
      <c r="C142" s="185"/>
      <c r="D142" s="185" t="s">
        <v>91</v>
      </c>
      <c r="E142" s="186">
        <f>SUM(E143:E145)</f>
        <v>26320</v>
      </c>
      <c r="F142" s="186">
        <f>SUM(F143:F145)</f>
        <v>23272</v>
      </c>
      <c r="G142" s="522">
        <f t="shared" si="9"/>
        <v>88.419452887538</v>
      </c>
    </row>
    <row r="143" spans="2:7" x14ac:dyDescent="0.2">
      <c r="B143" s="166">
        <f t="shared" si="7"/>
        <v>136</v>
      </c>
      <c r="C143" s="138">
        <v>223001</v>
      </c>
      <c r="D143" s="138" t="s">
        <v>236</v>
      </c>
      <c r="E143" s="141">
        <v>2940</v>
      </c>
      <c r="F143" s="141">
        <v>2936</v>
      </c>
      <c r="G143" s="429">
        <f t="shared" si="9"/>
        <v>99.863945578231295</v>
      </c>
    </row>
    <row r="144" spans="2:7" x14ac:dyDescent="0.2">
      <c r="B144" s="166">
        <f t="shared" ref="B144:B205" si="10">B143+1</f>
        <v>137</v>
      </c>
      <c r="C144" s="138">
        <v>223002</v>
      </c>
      <c r="D144" s="138" t="s">
        <v>69</v>
      </c>
      <c r="E144" s="141">
        <f>6615+72+1500</f>
        <v>8187</v>
      </c>
      <c r="F144" s="141">
        <v>8177</v>
      </c>
      <c r="G144" s="429">
        <f t="shared" si="9"/>
        <v>99.877855136191513</v>
      </c>
    </row>
    <row r="145" spans="2:7" x14ac:dyDescent="0.2">
      <c r="B145" s="166">
        <f t="shared" si="10"/>
        <v>138</v>
      </c>
      <c r="C145" s="138">
        <v>223003</v>
      </c>
      <c r="D145" s="138" t="s">
        <v>70</v>
      </c>
      <c r="E145" s="141">
        <v>15193</v>
      </c>
      <c r="F145" s="141">
        <v>12159</v>
      </c>
      <c r="G145" s="429">
        <f t="shared" si="9"/>
        <v>80.030277101296647</v>
      </c>
    </row>
    <row r="146" spans="2:7" x14ac:dyDescent="0.2">
      <c r="B146" s="166">
        <f t="shared" si="10"/>
        <v>139</v>
      </c>
      <c r="C146" s="185"/>
      <c r="D146" s="185" t="s">
        <v>193</v>
      </c>
      <c r="E146" s="186">
        <f>SUM(E147:E149)</f>
        <v>32010</v>
      </c>
      <c r="F146" s="186">
        <f>SUM(F147:F149)</f>
        <v>21095</v>
      </c>
      <c r="G146" s="522">
        <f t="shared" si="9"/>
        <v>65.901280849734462</v>
      </c>
    </row>
    <row r="147" spans="2:7" x14ac:dyDescent="0.2">
      <c r="B147" s="166">
        <f t="shared" si="10"/>
        <v>140</v>
      </c>
      <c r="C147" s="138">
        <v>223001</v>
      </c>
      <c r="D147" s="138" t="s">
        <v>236</v>
      </c>
      <c r="E147" s="141">
        <v>3360</v>
      </c>
      <c r="F147" s="141">
        <v>2456</v>
      </c>
      <c r="G147" s="429">
        <f t="shared" si="9"/>
        <v>73.095238095238088</v>
      </c>
    </row>
    <row r="148" spans="2:7" x14ac:dyDescent="0.2">
      <c r="B148" s="166">
        <f t="shared" si="10"/>
        <v>141</v>
      </c>
      <c r="C148" s="138">
        <v>223002</v>
      </c>
      <c r="D148" s="138" t="s">
        <v>69</v>
      </c>
      <c r="E148" s="141">
        <f>9555+104-1-500</f>
        <v>9158</v>
      </c>
      <c r="F148" s="141">
        <v>8700</v>
      </c>
      <c r="G148" s="429">
        <f t="shared" si="9"/>
        <v>94.998908058528059</v>
      </c>
    </row>
    <row r="149" spans="2:7" x14ac:dyDescent="0.2">
      <c r="B149" s="166">
        <f t="shared" si="10"/>
        <v>142</v>
      </c>
      <c r="C149" s="138">
        <v>223003</v>
      </c>
      <c r="D149" s="138" t="s">
        <v>70</v>
      </c>
      <c r="E149" s="141">
        <v>19492</v>
      </c>
      <c r="F149" s="141">
        <v>9939</v>
      </c>
      <c r="G149" s="429">
        <f t="shared" si="9"/>
        <v>50.990149805048226</v>
      </c>
    </row>
    <row r="150" spans="2:7" x14ac:dyDescent="0.2">
      <c r="B150" s="166">
        <f t="shared" si="10"/>
        <v>143</v>
      </c>
      <c r="C150" s="185"/>
      <c r="D150" s="185" t="s">
        <v>68</v>
      </c>
      <c r="E150" s="186">
        <f>E151</f>
        <v>11575</v>
      </c>
      <c r="F150" s="186">
        <f>F151</f>
        <v>10961</v>
      </c>
      <c r="G150" s="522">
        <f t="shared" si="9"/>
        <v>94.69546436285097</v>
      </c>
    </row>
    <row r="151" spans="2:7" x14ac:dyDescent="0.2">
      <c r="B151" s="166">
        <f t="shared" si="10"/>
        <v>144</v>
      </c>
      <c r="C151" s="138">
        <v>223002</v>
      </c>
      <c r="D151" s="138" t="s">
        <v>69</v>
      </c>
      <c r="E151" s="141">
        <f>12658+116+1-1200</f>
        <v>11575</v>
      </c>
      <c r="F151" s="141">
        <v>10961</v>
      </c>
      <c r="G151" s="429">
        <f t="shared" si="9"/>
        <v>94.69546436285097</v>
      </c>
    </row>
    <row r="152" spans="2:7" x14ac:dyDescent="0.2">
      <c r="B152" s="166">
        <f t="shared" si="10"/>
        <v>145</v>
      </c>
      <c r="C152" s="185"/>
      <c r="D152" s="185" t="s">
        <v>102</v>
      </c>
      <c r="E152" s="186">
        <f>E153</f>
        <v>40495</v>
      </c>
      <c r="F152" s="186">
        <f>F153</f>
        <v>39837</v>
      </c>
      <c r="G152" s="522">
        <f t="shared" si="9"/>
        <v>98.375108038029396</v>
      </c>
    </row>
    <row r="153" spans="2:7" x14ac:dyDescent="0.2">
      <c r="B153" s="166">
        <f t="shared" si="10"/>
        <v>146</v>
      </c>
      <c r="C153" s="138">
        <v>223002</v>
      </c>
      <c r="D153" s="138" t="s">
        <v>69</v>
      </c>
      <c r="E153" s="141">
        <f>40058+436+1</f>
        <v>40495</v>
      </c>
      <c r="F153" s="141">
        <v>39837</v>
      </c>
      <c r="G153" s="429">
        <f t="shared" si="9"/>
        <v>98.375108038029396</v>
      </c>
    </row>
    <row r="154" spans="2:7" x14ac:dyDescent="0.2">
      <c r="B154" s="166">
        <f t="shared" si="10"/>
        <v>147</v>
      </c>
      <c r="C154" s="185"/>
      <c r="D154" s="185" t="s">
        <v>87</v>
      </c>
      <c r="E154" s="186">
        <f>SUM(E155:E156)</f>
        <v>72665</v>
      </c>
      <c r="F154" s="186">
        <f>SUM(F155:F156)</f>
        <v>52962</v>
      </c>
      <c r="G154" s="522">
        <f t="shared" si="9"/>
        <v>72.885157916465971</v>
      </c>
    </row>
    <row r="155" spans="2:7" x14ac:dyDescent="0.2">
      <c r="B155" s="166">
        <f t="shared" si="10"/>
        <v>148</v>
      </c>
      <c r="C155" s="138">
        <v>223001</v>
      </c>
      <c r="D155" s="138" t="s">
        <v>236</v>
      </c>
      <c r="E155" s="141">
        <v>11340</v>
      </c>
      <c r="F155" s="141">
        <v>10040</v>
      </c>
      <c r="G155" s="429">
        <f t="shared" si="9"/>
        <v>88.53615520282186</v>
      </c>
    </row>
    <row r="156" spans="2:7" x14ac:dyDescent="0.2">
      <c r="B156" s="166">
        <f t="shared" si="10"/>
        <v>149</v>
      </c>
      <c r="C156" s="138">
        <v>223003</v>
      </c>
      <c r="D156" s="138" t="s">
        <v>70</v>
      </c>
      <c r="E156" s="141">
        <f>61322+3</f>
        <v>61325</v>
      </c>
      <c r="F156" s="141">
        <v>42922</v>
      </c>
      <c r="G156" s="429">
        <f t="shared" si="9"/>
        <v>69.991031390134523</v>
      </c>
    </row>
    <row r="157" spans="2:7" x14ac:dyDescent="0.2">
      <c r="B157" s="166">
        <f t="shared" si="10"/>
        <v>150</v>
      </c>
      <c r="C157" s="185"/>
      <c r="D157" s="185" t="s">
        <v>305</v>
      </c>
      <c r="E157" s="186">
        <f>SUM(E158:E161)</f>
        <v>60718</v>
      </c>
      <c r="F157" s="186">
        <f>SUM(F158:F161)</f>
        <v>60682</v>
      </c>
      <c r="G157" s="522">
        <f t="shared" si="9"/>
        <v>99.940709509535878</v>
      </c>
    </row>
    <row r="158" spans="2:7" x14ac:dyDescent="0.2">
      <c r="B158" s="166">
        <f t="shared" si="10"/>
        <v>151</v>
      </c>
      <c r="C158" s="138">
        <v>212003</v>
      </c>
      <c r="D158" s="138" t="s">
        <v>234</v>
      </c>
      <c r="E158" s="141">
        <f>7500+2800</f>
        <v>10300</v>
      </c>
      <c r="F158" s="141">
        <v>10263</v>
      </c>
      <c r="G158" s="429">
        <f t="shared" si="9"/>
        <v>99.640776699029118</v>
      </c>
    </row>
    <row r="159" spans="2:7" x14ac:dyDescent="0.2">
      <c r="B159" s="166">
        <f t="shared" si="10"/>
        <v>152</v>
      </c>
      <c r="C159" s="138">
        <v>292012</v>
      </c>
      <c r="D159" s="138" t="s">
        <v>218</v>
      </c>
      <c r="E159" s="141">
        <v>45302</v>
      </c>
      <c r="F159" s="141">
        <v>45303</v>
      </c>
      <c r="G159" s="429">
        <f t="shared" si="9"/>
        <v>100.00220740806145</v>
      </c>
    </row>
    <row r="160" spans="2:7" x14ac:dyDescent="0.2">
      <c r="B160" s="166">
        <f t="shared" si="10"/>
        <v>153</v>
      </c>
      <c r="C160" s="138">
        <v>292017</v>
      </c>
      <c r="D160" s="138" t="s">
        <v>219</v>
      </c>
      <c r="E160" s="141">
        <v>3170</v>
      </c>
      <c r="F160" s="141">
        <v>3170</v>
      </c>
      <c r="G160" s="429">
        <f t="shared" si="9"/>
        <v>100</v>
      </c>
    </row>
    <row r="161" spans="2:7" ht="13.5" thickBot="1" x14ac:dyDescent="0.25">
      <c r="B161" s="166">
        <f t="shared" si="10"/>
        <v>154</v>
      </c>
      <c r="C161" s="138">
        <v>292019</v>
      </c>
      <c r="D161" s="138" t="s">
        <v>220</v>
      </c>
      <c r="E161" s="141">
        <f>3500-1554</f>
        <v>1946</v>
      </c>
      <c r="F161" s="141">
        <v>1946</v>
      </c>
      <c r="G161" s="429">
        <f t="shared" si="9"/>
        <v>100</v>
      </c>
    </row>
    <row r="162" spans="2:7" ht="15.75" thickBot="1" x14ac:dyDescent="0.3">
      <c r="B162" s="166">
        <f t="shared" si="10"/>
        <v>155</v>
      </c>
      <c r="C162" s="181">
        <v>5</v>
      </c>
      <c r="D162" s="181" t="s">
        <v>103</v>
      </c>
      <c r="E162" s="182">
        <f>E163+E168+E174+E176+E179+E185+E191+E197+E200</f>
        <v>1822324</v>
      </c>
      <c r="F162" s="182">
        <f>F163+F168+F174+F176+F179+F185+F191+F197+F200</f>
        <v>1496604</v>
      </c>
      <c r="G162" s="521">
        <f t="shared" si="9"/>
        <v>82.126120272794523</v>
      </c>
    </row>
    <row r="163" spans="2:7" x14ac:dyDescent="0.2">
      <c r="B163" s="166">
        <f t="shared" si="10"/>
        <v>156</v>
      </c>
      <c r="C163" s="185">
        <v>290</v>
      </c>
      <c r="D163" s="185" t="s">
        <v>165</v>
      </c>
      <c r="E163" s="186">
        <f>SUM(E164:E167)</f>
        <v>10992</v>
      </c>
      <c r="F163" s="186">
        <f>SUM(F164:F167)</f>
        <v>17212</v>
      </c>
      <c r="G163" s="522">
        <f t="shared" si="9"/>
        <v>156.58660844250366</v>
      </c>
    </row>
    <row r="164" spans="2:7" x14ac:dyDescent="0.2">
      <c r="B164" s="166">
        <f t="shared" si="10"/>
        <v>157</v>
      </c>
      <c r="C164" s="138">
        <v>292012</v>
      </c>
      <c r="D164" s="138" t="s">
        <v>218</v>
      </c>
      <c r="E164" s="141">
        <v>4000</v>
      </c>
      <c r="F164" s="141">
        <v>11477</v>
      </c>
      <c r="G164" s="429">
        <f t="shared" si="9"/>
        <v>286.92500000000001</v>
      </c>
    </row>
    <row r="165" spans="2:7" x14ac:dyDescent="0.2">
      <c r="B165" s="166">
        <f t="shared" si="10"/>
        <v>158</v>
      </c>
      <c r="C165" s="138">
        <v>292017</v>
      </c>
      <c r="D165" s="138" t="s">
        <v>620</v>
      </c>
      <c r="E165" s="141">
        <f>2576+776+640</f>
        <v>3992</v>
      </c>
      <c r="F165" s="141">
        <v>3173</v>
      </c>
      <c r="G165" s="429">
        <f t="shared" si="9"/>
        <v>79.483967935871746</v>
      </c>
    </row>
    <row r="166" spans="2:7" x14ac:dyDescent="0.2">
      <c r="B166" s="166">
        <f t="shared" si="10"/>
        <v>159</v>
      </c>
      <c r="C166" s="138">
        <v>292019</v>
      </c>
      <c r="D166" s="138" t="s">
        <v>220</v>
      </c>
      <c r="E166" s="141">
        <v>3000</v>
      </c>
      <c r="F166" s="141">
        <v>2532</v>
      </c>
      <c r="G166" s="429">
        <f t="shared" si="9"/>
        <v>84.399999999999991</v>
      </c>
    </row>
    <row r="167" spans="2:7" x14ac:dyDescent="0.2">
      <c r="B167" s="166">
        <f t="shared" si="10"/>
        <v>160</v>
      </c>
      <c r="C167" s="138">
        <v>292027</v>
      </c>
      <c r="D167" s="138" t="s">
        <v>212</v>
      </c>
      <c r="E167" s="141"/>
      <c r="F167" s="141">
        <v>30</v>
      </c>
      <c r="G167" s="429">
        <v>0</v>
      </c>
    </row>
    <row r="168" spans="2:7" x14ac:dyDescent="0.2">
      <c r="B168" s="166">
        <f t="shared" si="10"/>
        <v>161</v>
      </c>
      <c r="C168" s="185"/>
      <c r="D168" s="185" t="s">
        <v>71</v>
      </c>
      <c r="E168" s="186">
        <f>SUM(E169:E173)</f>
        <v>110428</v>
      </c>
      <c r="F168" s="186">
        <f>SUM(F169:F173)</f>
        <v>81017</v>
      </c>
      <c r="G168" s="522">
        <f t="shared" si="9"/>
        <v>73.366356358894478</v>
      </c>
    </row>
    <row r="169" spans="2:7" x14ac:dyDescent="0.2">
      <c r="B169" s="166">
        <f t="shared" si="10"/>
        <v>162</v>
      </c>
      <c r="C169" s="138">
        <v>223001</v>
      </c>
      <c r="D169" s="138" t="s">
        <v>373</v>
      </c>
      <c r="E169" s="141">
        <v>21623</v>
      </c>
      <c r="F169" s="141">
        <v>12337</v>
      </c>
      <c r="G169" s="429">
        <f t="shared" si="9"/>
        <v>57.054987744531282</v>
      </c>
    </row>
    <row r="170" spans="2:7" x14ac:dyDescent="0.2">
      <c r="B170" s="166">
        <f t="shared" si="10"/>
        <v>163</v>
      </c>
      <c r="C170" s="138">
        <v>223002</v>
      </c>
      <c r="D170" s="138" t="s">
        <v>69</v>
      </c>
      <c r="E170" s="141">
        <v>55920</v>
      </c>
      <c r="F170" s="141">
        <v>44196</v>
      </c>
      <c r="G170" s="429">
        <f t="shared" si="9"/>
        <v>79.034334763948493</v>
      </c>
    </row>
    <row r="171" spans="2:7" x14ac:dyDescent="0.2">
      <c r="B171" s="166">
        <f t="shared" si="10"/>
        <v>164</v>
      </c>
      <c r="C171" s="138">
        <v>223003</v>
      </c>
      <c r="D171" s="138" t="s">
        <v>307</v>
      </c>
      <c r="E171" s="141">
        <v>9320</v>
      </c>
      <c r="F171" s="141">
        <v>5726</v>
      </c>
      <c r="G171" s="429">
        <f t="shared" si="9"/>
        <v>61.437768240343345</v>
      </c>
    </row>
    <row r="172" spans="2:7" ht="14.25" customHeight="1" x14ac:dyDescent="0.2">
      <c r="B172" s="166">
        <f t="shared" si="10"/>
        <v>165</v>
      </c>
      <c r="C172" s="138">
        <v>223003</v>
      </c>
      <c r="D172" s="138" t="s">
        <v>306</v>
      </c>
      <c r="E172" s="141">
        <v>22265</v>
      </c>
      <c r="F172" s="141">
        <v>17768</v>
      </c>
      <c r="G172" s="429">
        <f t="shared" si="9"/>
        <v>79.802380417695943</v>
      </c>
    </row>
    <row r="173" spans="2:7" s="265" customFormat="1" x14ac:dyDescent="0.2">
      <c r="B173" s="166">
        <f t="shared" si="10"/>
        <v>166</v>
      </c>
      <c r="C173" s="138">
        <v>223003</v>
      </c>
      <c r="D173" s="138" t="s">
        <v>308</v>
      </c>
      <c r="E173" s="141">
        <v>1300</v>
      </c>
      <c r="F173" s="141">
        <v>990</v>
      </c>
      <c r="G173" s="429">
        <f t="shared" si="9"/>
        <v>76.153846153846146</v>
      </c>
    </row>
    <row r="174" spans="2:7" x14ac:dyDescent="0.2">
      <c r="B174" s="166">
        <f t="shared" si="10"/>
        <v>167</v>
      </c>
      <c r="C174" s="185"/>
      <c r="D174" s="185" t="s">
        <v>104</v>
      </c>
      <c r="E174" s="186">
        <f>E175</f>
        <v>9900</v>
      </c>
      <c r="F174" s="186">
        <f>F175</f>
        <v>2107</v>
      </c>
      <c r="G174" s="522">
        <f t="shared" si="9"/>
        <v>21.282828282828284</v>
      </c>
    </row>
    <row r="175" spans="2:7" x14ac:dyDescent="0.2">
      <c r="B175" s="166">
        <f t="shared" si="10"/>
        <v>168</v>
      </c>
      <c r="C175" s="138">
        <v>223001</v>
      </c>
      <c r="D175" s="138" t="s">
        <v>236</v>
      </c>
      <c r="E175" s="141">
        <v>9900</v>
      </c>
      <c r="F175" s="141">
        <v>2107</v>
      </c>
      <c r="G175" s="429">
        <f t="shared" si="9"/>
        <v>21.282828282828284</v>
      </c>
    </row>
    <row r="176" spans="2:7" x14ac:dyDescent="0.2">
      <c r="B176" s="166">
        <f t="shared" si="10"/>
        <v>169</v>
      </c>
      <c r="C176" s="185"/>
      <c r="D176" s="185" t="s">
        <v>310</v>
      </c>
      <c r="E176" s="186">
        <f>SUM(E177:E178)</f>
        <v>9945</v>
      </c>
      <c r="F176" s="186">
        <f>SUM(F177:F178)</f>
        <v>7419</v>
      </c>
      <c r="G176" s="522">
        <f t="shared" si="9"/>
        <v>74.600301659125194</v>
      </c>
    </row>
    <row r="177" spans="2:7" x14ac:dyDescent="0.2">
      <c r="B177" s="166">
        <f t="shared" si="10"/>
        <v>170</v>
      </c>
      <c r="C177" s="138">
        <v>223001</v>
      </c>
      <c r="D177" s="138" t="s">
        <v>309</v>
      </c>
      <c r="E177" s="141">
        <v>9745</v>
      </c>
      <c r="F177" s="141">
        <v>7164</v>
      </c>
      <c r="G177" s="429">
        <f t="shared" si="9"/>
        <v>73.514622883530009</v>
      </c>
    </row>
    <row r="178" spans="2:7" x14ac:dyDescent="0.2">
      <c r="B178" s="166">
        <f t="shared" si="10"/>
        <v>171</v>
      </c>
      <c r="C178" s="138">
        <v>223001</v>
      </c>
      <c r="D178" s="138" t="s">
        <v>492</v>
      </c>
      <c r="E178" s="141">
        <v>200</v>
      </c>
      <c r="F178" s="141">
        <v>255</v>
      </c>
      <c r="G178" s="429">
        <f t="shared" si="9"/>
        <v>127.49999999999999</v>
      </c>
    </row>
    <row r="179" spans="2:7" x14ac:dyDescent="0.2">
      <c r="B179" s="166">
        <f t="shared" si="10"/>
        <v>172</v>
      </c>
      <c r="C179" s="185"/>
      <c r="D179" s="185" t="s">
        <v>58</v>
      </c>
      <c r="E179" s="186">
        <f>SUM(E180:E184)</f>
        <v>504919</v>
      </c>
      <c r="F179" s="186">
        <f>SUM(F180:F184)</f>
        <v>432480</v>
      </c>
      <c r="G179" s="522">
        <f t="shared" si="9"/>
        <v>85.653342417298617</v>
      </c>
    </row>
    <row r="180" spans="2:7" s="38" customFormat="1" x14ac:dyDescent="0.2">
      <c r="B180" s="166">
        <f t="shared" si="10"/>
        <v>173</v>
      </c>
      <c r="C180" s="138">
        <v>212003</v>
      </c>
      <c r="D180" s="138" t="s">
        <v>234</v>
      </c>
      <c r="E180" s="141">
        <v>40</v>
      </c>
      <c r="F180" s="141">
        <v>39</v>
      </c>
      <c r="G180" s="429">
        <f t="shared" si="9"/>
        <v>97.5</v>
      </c>
    </row>
    <row r="181" spans="2:7" x14ac:dyDescent="0.2">
      <c r="B181" s="166">
        <f t="shared" si="10"/>
        <v>174</v>
      </c>
      <c r="C181" s="188">
        <v>223001</v>
      </c>
      <c r="D181" s="58" t="s">
        <v>311</v>
      </c>
      <c r="E181" s="141">
        <v>76360</v>
      </c>
      <c r="F181" s="141">
        <v>67443</v>
      </c>
      <c r="G181" s="429">
        <f t="shared" si="9"/>
        <v>88.322420115243588</v>
      </c>
    </row>
    <row r="182" spans="2:7" x14ac:dyDescent="0.2">
      <c r="B182" s="166">
        <f t="shared" si="10"/>
        <v>175</v>
      </c>
      <c r="C182" s="138">
        <v>223001</v>
      </c>
      <c r="D182" s="138" t="s">
        <v>309</v>
      </c>
      <c r="E182" s="141">
        <v>194400</v>
      </c>
      <c r="F182" s="141">
        <v>167897</v>
      </c>
      <c r="G182" s="429">
        <f t="shared" si="9"/>
        <v>86.366769547325106</v>
      </c>
    </row>
    <row r="183" spans="2:7" x14ac:dyDescent="0.2">
      <c r="B183" s="166">
        <f t="shared" si="10"/>
        <v>176</v>
      </c>
      <c r="C183" s="138">
        <v>223001</v>
      </c>
      <c r="D183" s="138" t="s">
        <v>313</v>
      </c>
      <c r="E183" s="141">
        <v>216562</v>
      </c>
      <c r="F183" s="141">
        <v>190440</v>
      </c>
      <c r="G183" s="429">
        <f t="shared" si="9"/>
        <v>87.937865368808929</v>
      </c>
    </row>
    <row r="184" spans="2:7" x14ac:dyDescent="0.2">
      <c r="B184" s="166">
        <f t="shared" si="10"/>
        <v>177</v>
      </c>
      <c r="C184" s="138">
        <v>223001</v>
      </c>
      <c r="D184" s="138" t="s">
        <v>413</v>
      </c>
      <c r="E184" s="141">
        <v>17557</v>
      </c>
      <c r="F184" s="141">
        <v>6661</v>
      </c>
      <c r="G184" s="429">
        <f t="shared" si="9"/>
        <v>37.939283476675975</v>
      </c>
    </row>
    <row r="185" spans="2:7" ht="25.5" x14ac:dyDescent="0.2">
      <c r="B185" s="166">
        <f t="shared" si="10"/>
        <v>178</v>
      </c>
      <c r="C185" s="185"/>
      <c r="D185" s="190" t="s">
        <v>314</v>
      </c>
      <c r="E185" s="191">
        <f>SUM(E186:E190)</f>
        <v>502165</v>
      </c>
      <c r="F185" s="191">
        <f>SUM(F186:F190)</f>
        <v>436261</v>
      </c>
      <c r="G185" s="533">
        <f t="shared" si="9"/>
        <v>86.876026803938942</v>
      </c>
    </row>
    <row r="186" spans="2:7" x14ac:dyDescent="0.2">
      <c r="B186" s="166">
        <f t="shared" si="10"/>
        <v>179</v>
      </c>
      <c r="C186" s="138">
        <v>212003</v>
      </c>
      <c r="D186" s="138" t="s">
        <v>234</v>
      </c>
      <c r="E186" s="141">
        <v>70</v>
      </c>
      <c r="F186" s="141">
        <v>70</v>
      </c>
      <c r="G186" s="429">
        <f t="shared" si="9"/>
        <v>100</v>
      </c>
    </row>
    <row r="187" spans="2:7" x14ac:dyDescent="0.2">
      <c r="B187" s="166">
        <f t="shared" si="10"/>
        <v>180</v>
      </c>
      <c r="C187" s="138">
        <v>223001</v>
      </c>
      <c r="D187" s="138" t="s">
        <v>309</v>
      </c>
      <c r="E187" s="141">
        <v>116070</v>
      </c>
      <c r="F187" s="141">
        <v>107631</v>
      </c>
      <c r="G187" s="429">
        <f t="shared" si="9"/>
        <v>92.729387438614623</v>
      </c>
    </row>
    <row r="188" spans="2:7" x14ac:dyDescent="0.2">
      <c r="B188" s="166">
        <f t="shared" si="10"/>
        <v>181</v>
      </c>
      <c r="C188" s="138">
        <v>223001</v>
      </c>
      <c r="D188" s="138" t="s">
        <v>313</v>
      </c>
      <c r="E188" s="141">
        <v>236010</v>
      </c>
      <c r="F188" s="141">
        <v>213254</v>
      </c>
      <c r="G188" s="429">
        <f t="shared" si="9"/>
        <v>90.358035676454378</v>
      </c>
    </row>
    <row r="189" spans="2:7" x14ac:dyDescent="0.2">
      <c r="B189" s="166">
        <f t="shared" si="10"/>
        <v>182</v>
      </c>
      <c r="C189" s="138">
        <v>223001</v>
      </c>
      <c r="D189" s="138" t="s">
        <v>311</v>
      </c>
      <c r="E189" s="141">
        <v>135780</v>
      </c>
      <c r="F189" s="141">
        <v>108794</v>
      </c>
      <c r="G189" s="429">
        <f t="shared" si="9"/>
        <v>80.125202533510091</v>
      </c>
    </row>
    <row r="190" spans="2:7" x14ac:dyDescent="0.2">
      <c r="B190" s="166">
        <f t="shared" si="10"/>
        <v>183</v>
      </c>
      <c r="C190" s="138">
        <v>223001</v>
      </c>
      <c r="D190" s="138" t="s">
        <v>413</v>
      </c>
      <c r="E190" s="141">
        <v>14235</v>
      </c>
      <c r="F190" s="141">
        <v>6512</v>
      </c>
      <c r="G190" s="429">
        <f t="shared" si="9"/>
        <v>45.746399719002454</v>
      </c>
    </row>
    <row r="191" spans="2:7" x14ac:dyDescent="0.2">
      <c r="B191" s="166">
        <f t="shared" si="10"/>
        <v>184</v>
      </c>
      <c r="C191" s="185"/>
      <c r="D191" s="185" t="s">
        <v>497</v>
      </c>
      <c r="E191" s="186">
        <f>SUM(E192:E196)</f>
        <v>387265</v>
      </c>
      <c r="F191" s="186">
        <f>SUM(F192:F196)</f>
        <v>307274</v>
      </c>
      <c r="G191" s="522">
        <f t="shared" si="9"/>
        <v>79.344634810788477</v>
      </c>
    </row>
    <row r="192" spans="2:7" x14ac:dyDescent="0.2">
      <c r="B192" s="166">
        <f t="shared" si="10"/>
        <v>185</v>
      </c>
      <c r="C192" s="138">
        <v>223001</v>
      </c>
      <c r="D192" s="138" t="s">
        <v>309</v>
      </c>
      <c r="E192" s="141">
        <v>168630</v>
      </c>
      <c r="F192" s="141">
        <v>171994</v>
      </c>
      <c r="G192" s="429">
        <f t="shared" si="9"/>
        <v>101.99490007709187</v>
      </c>
    </row>
    <row r="193" spans="2:7" x14ac:dyDescent="0.2">
      <c r="B193" s="166">
        <f t="shared" si="10"/>
        <v>186</v>
      </c>
      <c r="C193" s="138">
        <v>223001</v>
      </c>
      <c r="D193" s="138" t="s">
        <v>313</v>
      </c>
      <c r="E193" s="141">
        <v>160470</v>
      </c>
      <c r="F193" s="141">
        <v>96142</v>
      </c>
      <c r="G193" s="429">
        <f t="shared" si="9"/>
        <v>59.912756278432113</v>
      </c>
    </row>
    <row r="194" spans="2:7" x14ac:dyDescent="0.2">
      <c r="B194" s="166">
        <f t="shared" si="10"/>
        <v>187</v>
      </c>
      <c r="C194" s="138">
        <v>223001</v>
      </c>
      <c r="D194" s="138" t="s">
        <v>311</v>
      </c>
      <c r="E194" s="141">
        <v>39347</v>
      </c>
      <c r="F194" s="141">
        <v>32771</v>
      </c>
      <c r="G194" s="429">
        <f t="shared" si="9"/>
        <v>83.287162934912445</v>
      </c>
    </row>
    <row r="195" spans="2:7" s="38" customFormat="1" ht="21.75" customHeight="1" x14ac:dyDescent="0.2">
      <c r="B195" s="166">
        <f t="shared" si="10"/>
        <v>188</v>
      </c>
      <c r="C195" s="138">
        <v>223001</v>
      </c>
      <c r="D195" s="138" t="s">
        <v>413</v>
      </c>
      <c r="E195" s="141">
        <v>18268</v>
      </c>
      <c r="F195" s="141">
        <v>6367</v>
      </c>
      <c r="G195" s="429">
        <f t="shared" si="9"/>
        <v>34.853295379899279</v>
      </c>
    </row>
    <row r="196" spans="2:7" ht="24" x14ac:dyDescent="0.2">
      <c r="B196" s="166">
        <f t="shared" si="10"/>
        <v>189</v>
      </c>
      <c r="C196" s="188">
        <v>223001</v>
      </c>
      <c r="D196" s="58" t="s">
        <v>312</v>
      </c>
      <c r="E196" s="189">
        <v>550</v>
      </c>
      <c r="F196" s="189">
        <v>0</v>
      </c>
      <c r="G196" s="531">
        <f t="shared" si="9"/>
        <v>0</v>
      </c>
    </row>
    <row r="197" spans="2:7" x14ac:dyDescent="0.2">
      <c r="B197" s="166">
        <f t="shared" si="10"/>
        <v>190</v>
      </c>
      <c r="C197" s="185"/>
      <c r="D197" s="185" t="s">
        <v>318</v>
      </c>
      <c r="E197" s="186">
        <f>SUM(E198:E199)</f>
        <v>266870</v>
      </c>
      <c r="F197" s="186">
        <f>SUM(F198:F199)</f>
        <v>200016</v>
      </c>
      <c r="G197" s="522">
        <f t="shared" si="9"/>
        <v>74.948851500730697</v>
      </c>
    </row>
    <row r="198" spans="2:7" x14ac:dyDescent="0.2">
      <c r="B198" s="166">
        <f t="shared" si="10"/>
        <v>191</v>
      </c>
      <c r="C198" s="138">
        <v>223001</v>
      </c>
      <c r="D198" s="138" t="s">
        <v>315</v>
      </c>
      <c r="E198" s="141">
        <v>264870</v>
      </c>
      <c r="F198" s="141">
        <v>200016</v>
      </c>
      <c r="G198" s="429">
        <f t="shared" si="9"/>
        <v>75.514780835881751</v>
      </c>
    </row>
    <row r="199" spans="2:7" x14ac:dyDescent="0.2">
      <c r="B199" s="166">
        <f t="shared" si="10"/>
        <v>192</v>
      </c>
      <c r="C199" s="138">
        <v>223001</v>
      </c>
      <c r="D199" s="138" t="s">
        <v>316</v>
      </c>
      <c r="E199" s="141">
        <v>2000</v>
      </c>
      <c r="F199" s="141">
        <v>0</v>
      </c>
      <c r="G199" s="429">
        <f t="shared" si="9"/>
        <v>0</v>
      </c>
    </row>
    <row r="200" spans="2:7" x14ac:dyDescent="0.2">
      <c r="B200" s="166">
        <f t="shared" si="10"/>
        <v>193</v>
      </c>
      <c r="C200" s="185"/>
      <c r="D200" s="185" t="s">
        <v>317</v>
      </c>
      <c r="E200" s="186">
        <f>E201</f>
        <v>19840</v>
      </c>
      <c r="F200" s="186">
        <f>F201</f>
        <v>12818</v>
      </c>
      <c r="G200" s="522">
        <f t="shared" ref="G200:G264" si="11">F200/E200*100</f>
        <v>64.60685483870968</v>
      </c>
    </row>
    <row r="201" spans="2:7" ht="13.5" thickBot="1" x14ac:dyDescent="0.25">
      <c r="B201" s="166">
        <f t="shared" si="10"/>
        <v>194</v>
      </c>
      <c r="C201" s="177">
        <v>223001</v>
      </c>
      <c r="D201" s="177" t="s">
        <v>236</v>
      </c>
      <c r="E201" s="178">
        <v>19840</v>
      </c>
      <c r="F201" s="178">
        <v>12818</v>
      </c>
      <c r="G201" s="532">
        <f t="shared" si="11"/>
        <v>64.60685483870968</v>
      </c>
    </row>
    <row r="202" spans="2:7" ht="15.75" thickBot="1" x14ac:dyDescent="0.3">
      <c r="B202" s="166">
        <f t="shared" si="10"/>
        <v>195</v>
      </c>
      <c r="C202" s="181">
        <v>6</v>
      </c>
      <c r="D202" s="181" t="s">
        <v>279</v>
      </c>
      <c r="E202" s="182">
        <f>E203+E205+E209</f>
        <v>92823</v>
      </c>
      <c r="F202" s="182">
        <f>F203+F205+F209</f>
        <v>94512</v>
      </c>
      <c r="G202" s="521">
        <f t="shared" si="11"/>
        <v>101.81959212695129</v>
      </c>
    </row>
    <row r="203" spans="2:7" x14ac:dyDescent="0.2">
      <c r="B203" s="166">
        <f t="shared" si="10"/>
        <v>196</v>
      </c>
      <c r="C203" s="183">
        <v>210</v>
      </c>
      <c r="D203" s="183" t="s">
        <v>233</v>
      </c>
      <c r="E203" s="184">
        <f>E204</f>
        <v>1350</v>
      </c>
      <c r="F203" s="184">
        <f>F204</f>
        <v>1328</v>
      </c>
      <c r="G203" s="530">
        <f t="shared" si="11"/>
        <v>98.370370370370381</v>
      </c>
    </row>
    <row r="204" spans="2:7" x14ac:dyDescent="0.2">
      <c r="B204" s="166">
        <f t="shared" si="10"/>
        <v>197</v>
      </c>
      <c r="C204" s="138">
        <v>212003</v>
      </c>
      <c r="D204" s="138" t="s">
        <v>234</v>
      </c>
      <c r="E204" s="141">
        <v>1350</v>
      </c>
      <c r="F204" s="141">
        <v>1328</v>
      </c>
      <c r="G204" s="429">
        <f t="shared" si="11"/>
        <v>98.370370370370381</v>
      </c>
    </row>
    <row r="205" spans="2:7" x14ac:dyDescent="0.2">
      <c r="B205" s="166">
        <f t="shared" si="10"/>
        <v>198</v>
      </c>
      <c r="C205" s="185">
        <v>220</v>
      </c>
      <c r="D205" s="185" t="s">
        <v>207</v>
      </c>
      <c r="E205" s="186">
        <f>SUM(E206:E208)</f>
        <v>91073</v>
      </c>
      <c r="F205" s="186">
        <f>SUM(F206:F208)</f>
        <v>92793</v>
      </c>
      <c r="G205" s="522">
        <f t="shared" si="11"/>
        <v>101.88859486346118</v>
      </c>
    </row>
    <row r="206" spans="2:7" x14ac:dyDescent="0.2">
      <c r="B206" s="166">
        <f t="shared" ref="B206:B279" si="12">B205+1</f>
        <v>199</v>
      </c>
      <c r="C206" s="138">
        <v>223001</v>
      </c>
      <c r="D206" s="138" t="s">
        <v>236</v>
      </c>
      <c r="E206" s="141">
        <v>38560</v>
      </c>
      <c r="F206" s="141">
        <v>40864</v>
      </c>
      <c r="G206" s="429">
        <f t="shared" si="11"/>
        <v>105.97510373443984</v>
      </c>
    </row>
    <row r="207" spans="2:7" x14ac:dyDescent="0.2">
      <c r="B207" s="166">
        <f t="shared" si="12"/>
        <v>200</v>
      </c>
      <c r="C207" s="138">
        <v>223002</v>
      </c>
      <c r="D207" s="138" t="s">
        <v>69</v>
      </c>
      <c r="E207" s="141">
        <v>35700</v>
      </c>
      <c r="F207" s="141">
        <v>35854</v>
      </c>
      <c r="G207" s="429">
        <f t="shared" si="11"/>
        <v>100.43137254901961</v>
      </c>
    </row>
    <row r="208" spans="2:7" x14ac:dyDescent="0.2">
      <c r="B208" s="166">
        <f t="shared" si="12"/>
        <v>201</v>
      </c>
      <c r="C208" s="138">
        <v>223003</v>
      </c>
      <c r="D208" s="138" t="s">
        <v>70</v>
      </c>
      <c r="E208" s="141">
        <v>16813</v>
      </c>
      <c r="F208" s="141">
        <v>16075</v>
      </c>
      <c r="G208" s="429">
        <f t="shared" si="11"/>
        <v>95.610539463510378</v>
      </c>
    </row>
    <row r="209" spans="2:7" x14ac:dyDescent="0.2">
      <c r="B209" s="166">
        <f t="shared" si="12"/>
        <v>202</v>
      </c>
      <c r="C209" s="185">
        <v>290</v>
      </c>
      <c r="D209" s="185" t="s">
        <v>165</v>
      </c>
      <c r="E209" s="186">
        <f>E210</f>
        <v>400</v>
      </c>
      <c r="F209" s="186">
        <f>F210</f>
        <v>391</v>
      </c>
      <c r="G209" s="522">
        <f t="shared" si="11"/>
        <v>97.75</v>
      </c>
    </row>
    <row r="210" spans="2:7" ht="13.5" thickBot="1" x14ac:dyDescent="0.25">
      <c r="B210" s="166">
        <f t="shared" si="12"/>
        <v>203</v>
      </c>
      <c r="C210" s="138">
        <v>292012</v>
      </c>
      <c r="D210" s="138" t="s">
        <v>218</v>
      </c>
      <c r="E210" s="141">
        <v>400</v>
      </c>
      <c r="F210" s="141">
        <v>391</v>
      </c>
      <c r="G210" s="429">
        <f t="shared" si="11"/>
        <v>97.75</v>
      </c>
    </row>
    <row r="211" spans="2:7" ht="15.75" thickBot="1" x14ac:dyDescent="0.3">
      <c r="B211" s="166">
        <f t="shared" si="12"/>
        <v>204</v>
      </c>
      <c r="C211" s="181">
        <v>7</v>
      </c>
      <c r="D211" s="181" t="s">
        <v>281</v>
      </c>
      <c r="E211" s="182">
        <f>E212+E214</f>
        <v>175750</v>
      </c>
      <c r="F211" s="182">
        <f>F212+F214</f>
        <v>178433</v>
      </c>
      <c r="G211" s="521">
        <f t="shared" si="11"/>
        <v>101.52660028449503</v>
      </c>
    </row>
    <row r="212" spans="2:7" x14ac:dyDescent="0.2">
      <c r="B212" s="166">
        <f t="shared" si="12"/>
        <v>205</v>
      </c>
      <c r="C212" s="183">
        <v>210</v>
      </c>
      <c r="D212" s="183" t="s">
        <v>233</v>
      </c>
      <c r="E212" s="184">
        <f>E213</f>
        <v>750</v>
      </c>
      <c r="F212" s="184">
        <f>F213</f>
        <v>450</v>
      </c>
      <c r="G212" s="530">
        <f t="shared" si="11"/>
        <v>60</v>
      </c>
    </row>
    <row r="213" spans="2:7" x14ac:dyDescent="0.2">
      <c r="B213" s="166">
        <f t="shared" si="12"/>
        <v>206</v>
      </c>
      <c r="C213" s="138">
        <v>212003</v>
      </c>
      <c r="D213" s="138" t="s">
        <v>234</v>
      </c>
      <c r="E213" s="141">
        <v>750</v>
      </c>
      <c r="F213" s="141">
        <v>450</v>
      </c>
      <c r="G213" s="429">
        <f t="shared" si="11"/>
        <v>60</v>
      </c>
    </row>
    <row r="214" spans="2:7" x14ac:dyDescent="0.2">
      <c r="B214" s="166">
        <f t="shared" si="12"/>
        <v>207</v>
      </c>
      <c r="C214" s="185">
        <v>220</v>
      </c>
      <c r="D214" s="185" t="s">
        <v>207</v>
      </c>
      <c r="E214" s="186">
        <f>SUM(E215:E217)</f>
        <v>175000</v>
      </c>
      <c r="F214" s="186">
        <f>SUM(F215:F217)</f>
        <v>177983</v>
      </c>
      <c r="G214" s="522">
        <f t="shared" si="11"/>
        <v>101.70457142857143</v>
      </c>
    </row>
    <row r="215" spans="2:7" x14ac:dyDescent="0.2">
      <c r="B215" s="166">
        <f t="shared" si="12"/>
        <v>208</v>
      </c>
      <c r="C215" s="138">
        <v>223001</v>
      </c>
      <c r="D215" s="138" t="s">
        <v>236</v>
      </c>
      <c r="E215" s="141">
        <v>47000</v>
      </c>
      <c r="F215" s="141">
        <v>64573</v>
      </c>
      <c r="G215" s="429">
        <f t="shared" si="11"/>
        <v>137.38936170212764</v>
      </c>
    </row>
    <row r="216" spans="2:7" x14ac:dyDescent="0.2">
      <c r="B216" s="166">
        <f t="shared" si="12"/>
        <v>209</v>
      </c>
      <c r="C216" s="138">
        <v>223002</v>
      </c>
      <c r="D216" s="138" t="s">
        <v>69</v>
      </c>
      <c r="E216" s="141">
        <v>45000</v>
      </c>
      <c r="F216" s="141">
        <v>52945</v>
      </c>
      <c r="G216" s="429">
        <f t="shared" si="11"/>
        <v>117.65555555555555</v>
      </c>
    </row>
    <row r="217" spans="2:7" ht="13.5" thickBot="1" x14ac:dyDescent="0.25">
      <c r="B217" s="166">
        <f t="shared" si="12"/>
        <v>210</v>
      </c>
      <c r="C217" s="138">
        <v>223003</v>
      </c>
      <c r="D217" s="138" t="s">
        <v>70</v>
      </c>
      <c r="E217" s="187">
        <v>83000</v>
      </c>
      <c r="F217" s="187">
        <v>60465</v>
      </c>
      <c r="G217" s="534">
        <f t="shared" si="11"/>
        <v>72.849397590361448</v>
      </c>
    </row>
    <row r="218" spans="2:7" ht="15.75" thickBot="1" x14ac:dyDescent="0.3">
      <c r="B218" s="166">
        <f t="shared" si="12"/>
        <v>211</v>
      </c>
      <c r="C218" s="192">
        <v>8</v>
      </c>
      <c r="D218" s="192" t="s">
        <v>6</v>
      </c>
      <c r="E218" s="193">
        <f>E219+E221</f>
        <v>95386</v>
      </c>
      <c r="F218" s="193">
        <f>F219+F221+F223</f>
        <v>103041</v>
      </c>
      <c r="G218" s="535">
        <f t="shared" si="11"/>
        <v>108.02528672970877</v>
      </c>
    </row>
    <row r="219" spans="2:7" x14ac:dyDescent="0.2">
      <c r="B219" s="166">
        <f t="shared" si="12"/>
        <v>212</v>
      </c>
      <c r="C219" s="183">
        <v>210</v>
      </c>
      <c r="D219" s="183" t="s">
        <v>233</v>
      </c>
      <c r="E219" s="184">
        <f>E220</f>
        <v>30286</v>
      </c>
      <c r="F219" s="184">
        <f>F220</f>
        <v>27380</v>
      </c>
      <c r="G219" s="530">
        <f t="shared" si="11"/>
        <v>90.404807501816023</v>
      </c>
    </row>
    <row r="220" spans="2:7" x14ac:dyDescent="0.2">
      <c r="B220" s="166">
        <f t="shared" si="12"/>
        <v>213</v>
      </c>
      <c r="C220" s="138">
        <v>212003</v>
      </c>
      <c r="D220" s="138" t="s">
        <v>234</v>
      </c>
      <c r="E220" s="141">
        <v>30286</v>
      </c>
      <c r="F220" s="141">
        <v>27380</v>
      </c>
      <c r="G220" s="429">
        <f t="shared" si="11"/>
        <v>90.404807501816023</v>
      </c>
    </row>
    <row r="221" spans="2:7" x14ac:dyDescent="0.2">
      <c r="B221" s="166">
        <f t="shared" si="12"/>
        <v>214</v>
      </c>
      <c r="C221" s="185">
        <v>220</v>
      </c>
      <c r="D221" s="185" t="s">
        <v>207</v>
      </c>
      <c r="E221" s="186">
        <f>E222</f>
        <v>65100</v>
      </c>
      <c r="F221" s="186">
        <f>F222</f>
        <v>71457</v>
      </c>
      <c r="G221" s="522">
        <f t="shared" si="11"/>
        <v>109.76497695852534</v>
      </c>
    </row>
    <row r="222" spans="2:7" x14ac:dyDescent="0.2">
      <c r="B222" s="166">
        <f t="shared" si="12"/>
        <v>215</v>
      </c>
      <c r="C222" s="138">
        <v>223002</v>
      </c>
      <c r="D222" s="138" t="s">
        <v>69</v>
      </c>
      <c r="E222" s="141">
        <v>65100</v>
      </c>
      <c r="F222" s="141">
        <v>71457</v>
      </c>
      <c r="G222" s="429">
        <f t="shared" si="11"/>
        <v>109.76497695852534</v>
      </c>
    </row>
    <row r="223" spans="2:7" x14ac:dyDescent="0.2">
      <c r="B223" s="166">
        <f t="shared" si="12"/>
        <v>216</v>
      </c>
      <c r="C223" s="185">
        <v>290</v>
      </c>
      <c r="D223" s="185" t="s">
        <v>165</v>
      </c>
      <c r="E223" s="186">
        <f>E224</f>
        <v>0</v>
      </c>
      <c r="F223" s="186">
        <f>F224</f>
        <v>4204</v>
      </c>
      <c r="G223" s="522">
        <v>0</v>
      </c>
    </row>
    <row r="224" spans="2:7" ht="13.5" thickBot="1" x14ac:dyDescent="0.25">
      <c r="B224" s="166">
        <f t="shared" si="12"/>
        <v>217</v>
      </c>
      <c r="C224" s="138">
        <v>292012</v>
      </c>
      <c r="D224" s="138" t="s">
        <v>218</v>
      </c>
      <c r="E224" s="141">
        <v>0</v>
      </c>
      <c r="F224" s="141">
        <v>4204</v>
      </c>
      <c r="G224" s="429">
        <v>0</v>
      </c>
    </row>
    <row r="225" spans="2:7" ht="15.75" thickBot="1" x14ac:dyDescent="0.3">
      <c r="B225" s="166">
        <f t="shared" si="12"/>
        <v>218</v>
      </c>
      <c r="C225" s="181">
        <v>9</v>
      </c>
      <c r="D225" s="181" t="s">
        <v>4</v>
      </c>
      <c r="E225" s="182">
        <f>E226+E228+E232</f>
        <v>176797</v>
      </c>
      <c r="F225" s="182">
        <f>F226+F228+F232</f>
        <v>182114</v>
      </c>
      <c r="G225" s="521">
        <f t="shared" si="11"/>
        <v>103.00740397178684</v>
      </c>
    </row>
    <row r="226" spans="2:7" x14ac:dyDescent="0.2">
      <c r="B226" s="166">
        <f t="shared" si="12"/>
        <v>219</v>
      </c>
      <c r="C226" s="183">
        <v>210</v>
      </c>
      <c r="D226" s="183" t="s">
        <v>233</v>
      </c>
      <c r="E226" s="184">
        <f>E227</f>
        <v>7000</v>
      </c>
      <c r="F226" s="184">
        <f>F227</f>
        <v>6302</v>
      </c>
      <c r="G226" s="530">
        <f t="shared" si="11"/>
        <v>90.028571428571425</v>
      </c>
    </row>
    <row r="227" spans="2:7" x14ac:dyDescent="0.2">
      <c r="B227" s="166">
        <f t="shared" si="12"/>
        <v>220</v>
      </c>
      <c r="C227" s="138">
        <v>212003</v>
      </c>
      <c r="D227" s="138" t="s">
        <v>234</v>
      </c>
      <c r="E227" s="141">
        <v>7000</v>
      </c>
      <c r="F227" s="141">
        <v>6302</v>
      </c>
      <c r="G227" s="429">
        <f t="shared" si="11"/>
        <v>90.028571428571425</v>
      </c>
    </row>
    <row r="228" spans="2:7" x14ac:dyDescent="0.2">
      <c r="B228" s="166">
        <f t="shared" si="12"/>
        <v>221</v>
      </c>
      <c r="C228" s="185">
        <v>220</v>
      </c>
      <c r="D228" s="185" t="s">
        <v>207</v>
      </c>
      <c r="E228" s="186">
        <f>SUM(E229:E231)</f>
        <v>146945</v>
      </c>
      <c r="F228" s="186">
        <f>SUM(F229:F231)</f>
        <v>152960</v>
      </c>
      <c r="G228" s="522">
        <f t="shared" si="11"/>
        <v>104.09336826703867</v>
      </c>
    </row>
    <row r="229" spans="2:7" x14ac:dyDescent="0.2">
      <c r="B229" s="166">
        <f t="shared" si="12"/>
        <v>222</v>
      </c>
      <c r="C229" s="138">
        <v>223001</v>
      </c>
      <c r="D229" s="138" t="s">
        <v>236</v>
      </c>
      <c r="E229" s="141">
        <v>59750</v>
      </c>
      <c r="F229" s="141">
        <v>62656</v>
      </c>
      <c r="G229" s="429">
        <f t="shared" si="11"/>
        <v>104.86359832635983</v>
      </c>
    </row>
    <row r="230" spans="2:7" x14ac:dyDescent="0.2">
      <c r="B230" s="166">
        <f t="shared" si="12"/>
        <v>223</v>
      </c>
      <c r="C230" s="138">
        <v>223002</v>
      </c>
      <c r="D230" s="138" t="s">
        <v>69</v>
      </c>
      <c r="E230" s="141">
        <v>50000</v>
      </c>
      <c r="F230" s="141">
        <v>49897</v>
      </c>
      <c r="G230" s="429">
        <f t="shared" si="11"/>
        <v>99.794000000000011</v>
      </c>
    </row>
    <row r="231" spans="2:7" x14ac:dyDescent="0.2">
      <c r="B231" s="166">
        <f t="shared" si="12"/>
        <v>224</v>
      </c>
      <c r="C231" s="138">
        <v>223003</v>
      </c>
      <c r="D231" s="138" t="s">
        <v>70</v>
      </c>
      <c r="E231" s="141">
        <v>37195</v>
      </c>
      <c r="F231" s="141">
        <v>40407</v>
      </c>
      <c r="G231" s="429">
        <f t="shared" si="11"/>
        <v>108.6355692969485</v>
      </c>
    </row>
    <row r="232" spans="2:7" x14ac:dyDescent="0.2">
      <c r="B232" s="166">
        <f t="shared" si="12"/>
        <v>225</v>
      </c>
      <c r="C232" s="185">
        <v>290</v>
      </c>
      <c r="D232" s="185" t="s">
        <v>165</v>
      </c>
      <c r="E232" s="186">
        <f>E234+E235+E233</f>
        <v>22852</v>
      </c>
      <c r="F232" s="186">
        <f>F234+F235+F233</f>
        <v>22852</v>
      </c>
      <c r="G232" s="522">
        <f t="shared" si="11"/>
        <v>100</v>
      </c>
    </row>
    <row r="233" spans="2:7" x14ac:dyDescent="0.2">
      <c r="B233" s="166">
        <f t="shared" si="12"/>
        <v>226</v>
      </c>
      <c r="C233" s="138">
        <v>292006</v>
      </c>
      <c r="D233" s="138" t="s">
        <v>749</v>
      </c>
      <c r="E233" s="141">
        <v>4283</v>
      </c>
      <c r="F233" s="141">
        <v>4283</v>
      </c>
      <c r="G233" s="429">
        <f t="shared" si="11"/>
        <v>100</v>
      </c>
    </row>
    <row r="234" spans="2:7" x14ac:dyDescent="0.2">
      <c r="B234" s="166">
        <f t="shared" si="12"/>
        <v>227</v>
      </c>
      <c r="C234" s="138">
        <v>292012</v>
      </c>
      <c r="D234" s="138" t="s">
        <v>218</v>
      </c>
      <c r="E234" s="141">
        <f>2792+2</f>
        <v>2794</v>
      </c>
      <c r="F234" s="141">
        <v>2794</v>
      </c>
      <c r="G234" s="429">
        <f t="shared" si="11"/>
        <v>100</v>
      </c>
    </row>
    <row r="235" spans="2:7" ht="13.5" thickBot="1" x14ac:dyDescent="0.25">
      <c r="B235" s="166">
        <f t="shared" si="12"/>
        <v>228</v>
      </c>
      <c r="C235" s="357">
        <v>292017</v>
      </c>
      <c r="D235" s="357" t="s">
        <v>219</v>
      </c>
      <c r="E235" s="194">
        <f>15731+44</f>
        <v>15775</v>
      </c>
      <c r="F235" s="194">
        <v>15775</v>
      </c>
      <c r="G235" s="536">
        <f t="shared" si="11"/>
        <v>100</v>
      </c>
    </row>
    <row r="236" spans="2:7" ht="15.75" thickBot="1" x14ac:dyDescent="0.3">
      <c r="B236" s="166">
        <f t="shared" si="12"/>
        <v>229</v>
      </c>
      <c r="C236" s="181">
        <v>10</v>
      </c>
      <c r="D236" s="181" t="s">
        <v>0</v>
      </c>
      <c r="E236" s="182">
        <f>E237+E239+E243</f>
        <v>227539</v>
      </c>
      <c r="F236" s="182">
        <f>F237+F239+F243</f>
        <v>228557</v>
      </c>
      <c r="G236" s="521">
        <f t="shared" si="11"/>
        <v>100.44739583104433</v>
      </c>
    </row>
    <row r="237" spans="2:7" x14ac:dyDescent="0.2">
      <c r="B237" s="166">
        <f t="shared" si="12"/>
        <v>230</v>
      </c>
      <c r="C237" s="183">
        <v>210</v>
      </c>
      <c r="D237" s="183" t="s">
        <v>233</v>
      </c>
      <c r="E237" s="184">
        <f>E238</f>
        <v>13000</v>
      </c>
      <c r="F237" s="184">
        <f>F238</f>
        <v>25275</v>
      </c>
      <c r="G237" s="530">
        <f t="shared" si="11"/>
        <v>194.42307692307693</v>
      </c>
    </row>
    <row r="238" spans="2:7" x14ac:dyDescent="0.2">
      <c r="B238" s="166">
        <f t="shared" si="12"/>
        <v>231</v>
      </c>
      <c r="C238" s="138">
        <v>212003</v>
      </c>
      <c r="D238" s="138" t="s">
        <v>234</v>
      </c>
      <c r="E238" s="141">
        <v>13000</v>
      </c>
      <c r="F238" s="141">
        <v>25275</v>
      </c>
      <c r="G238" s="429">
        <f t="shared" si="11"/>
        <v>194.42307692307693</v>
      </c>
    </row>
    <row r="239" spans="2:7" x14ac:dyDescent="0.2">
      <c r="B239" s="166">
        <f t="shared" si="12"/>
        <v>232</v>
      </c>
      <c r="C239" s="185">
        <v>220</v>
      </c>
      <c r="D239" s="185" t="s">
        <v>207</v>
      </c>
      <c r="E239" s="186">
        <f>SUM(E240:E242)</f>
        <v>210037</v>
      </c>
      <c r="F239" s="186">
        <f>SUM(F240:F242)</f>
        <v>198780</v>
      </c>
      <c r="G239" s="522">
        <f t="shared" si="11"/>
        <v>94.640468108000022</v>
      </c>
    </row>
    <row r="240" spans="2:7" x14ac:dyDescent="0.2">
      <c r="B240" s="166">
        <f t="shared" si="12"/>
        <v>233</v>
      </c>
      <c r="C240" s="138">
        <v>223001</v>
      </c>
      <c r="D240" s="138" t="s">
        <v>236</v>
      </c>
      <c r="E240" s="141">
        <v>68697</v>
      </c>
      <c r="F240" s="141">
        <v>78462</v>
      </c>
      <c r="G240" s="429">
        <f t="shared" si="11"/>
        <v>114.21459452377833</v>
      </c>
    </row>
    <row r="241" spans="2:7" x14ac:dyDescent="0.2">
      <c r="B241" s="166">
        <f t="shared" si="12"/>
        <v>234</v>
      </c>
      <c r="C241" s="138">
        <v>223002</v>
      </c>
      <c r="D241" s="138" t="s">
        <v>69</v>
      </c>
      <c r="E241" s="141">
        <v>31300</v>
      </c>
      <c r="F241" s="141">
        <v>35167</v>
      </c>
      <c r="G241" s="429">
        <f t="shared" si="11"/>
        <v>112.35463258785943</v>
      </c>
    </row>
    <row r="242" spans="2:7" x14ac:dyDescent="0.2">
      <c r="B242" s="166">
        <f t="shared" si="12"/>
        <v>235</v>
      </c>
      <c r="C242" s="138">
        <v>223003</v>
      </c>
      <c r="D242" s="138" t="s">
        <v>70</v>
      </c>
      <c r="E242" s="141">
        <v>110040</v>
      </c>
      <c r="F242" s="141">
        <v>85151</v>
      </c>
      <c r="G242" s="429">
        <f t="shared" si="11"/>
        <v>77.381861141403135</v>
      </c>
    </row>
    <row r="243" spans="2:7" x14ac:dyDescent="0.2">
      <c r="B243" s="166">
        <f t="shared" si="12"/>
        <v>236</v>
      </c>
      <c r="C243" s="185">
        <v>290</v>
      </c>
      <c r="D243" s="185" t="s">
        <v>165</v>
      </c>
      <c r="E243" s="186">
        <f>E245+E244</f>
        <v>4502</v>
      </c>
      <c r="F243" s="186">
        <f>F245+F244</f>
        <v>4502</v>
      </c>
      <c r="G243" s="522">
        <f t="shared" si="11"/>
        <v>100</v>
      </c>
    </row>
    <row r="244" spans="2:7" x14ac:dyDescent="0.2">
      <c r="B244" s="166">
        <f t="shared" si="12"/>
        <v>237</v>
      </c>
      <c r="C244" s="357">
        <v>292006</v>
      </c>
      <c r="D244" s="357" t="s">
        <v>743</v>
      </c>
      <c r="E244" s="194">
        <v>2871</v>
      </c>
      <c r="F244" s="194">
        <v>2871</v>
      </c>
      <c r="G244" s="536">
        <f t="shared" si="11"/>
        <v>100</v>
      </c>
    </row>
    <row r="245" spans="2:7" ht="13.5" thickBot="1" x14ac:dyDescent="0.25">
      <c r="B245" s="166">
        <f t="shared" si="12"/>
        <v>238</v>
      </c>
      <c r="C245" s="357">
        <v>292017</v>
      </c>
      <c r="D245" s="357" t="s">
        <v>219</v>
      </c>
      <c r="E245" s="194">
        <v>1631</v>
      </c>
      <c r="F245" s="194">
        <v>1631</v>
      </c>
      <c r="G245" s="536">
        <f t="shared" si="11"/>
        <v>100</v>
      </c>
    </row>
    <row r="246" spans="2:7" ht="15.75" thickBot="1" x14ac:dyDescent="0.3">
      <c r="B246" s="166">
        <f t="shared" si="12"/>
        <v>239</v>
      </c>
      <c r="C246" s="181">
        <v>11</v>
      </c>
      <c r="D246" s="181" t="s">
        <v>7</v>
      </c>
      <c r="E246" s="182">
        <f>E247+E249</f>
        <v>315100</v>
      </c>
      <c r="F246" s="182">
        <f>F247+F249</f>
        <v>303364</v>
      </c>
      <c r="G246" s="521">
        <f t="shared" si="11"/>
        <v>96.275468105363387</v>
      </c>
    </row>
    <row r="247" spans="2:7" x14ac:dyDescent="0.2">
      <c r="B247" s="166">
        <f t="shared" si="12"/>
        <v>240</v>
      </c>
      <c r="C247" s="183">
        <v>210</v>
      </c>
      <c r="D247" s="183" t="s">
        <v>233</v>
      </c>
      <c r="E247" s="184">
        <f>E248</f>
        <v>73600</v>
      </c>
      <c r="F247" s="184">
        <f>F248</f>
        <v>70557</v>
      </c>
      <c r="G247" s="530">
        <f t="shared" si="11"/>
        <v>95.865489130434781</v>
      </c>
    </row>
    <row r="248" spans="2:7" x14ac:dyDescent="0.2">
      <c r="B248" s="166">
        <f t="shared" si="12"/>
        <v>241</v>
      </c>
      <c r="C248" s="138">
        <v>212003</v>
      </c>
      <c r="D248" s="138" t="s">
        <v>234</v>
      </c>
      <c r="E248" s="141">
        <f>58000+15600</f>
        <v>73600</v>
      </c>
      <c r="F248" s="141">
        <v>70557</v>
      </c>
      <c r="G248" s="429">
        <f t="shared" si="11"/>
        <v>95.865489130434781</v>
      </c>
    </row>
    <row r="249" spans="2:7" x14ac:dyDescent="0.2">
      <c r="B249" s="166">
        <f t="shared" si="12"/>
        <v>242</v>
      </c>
      <c r="C249" s="185">
        <v>220</v>
      </c>
      <c r="D249" s="185" t="s">
        <v>207</v>
      </c>
      <c r="E249" s="186">
        <f>SUM(E250:E252)</f>
        <v>241500</v>
      </c>
      <c r="F249" s="186">
        <f>SUM(F250:F252)</f>
        <v>232807</v>
      </c>
      <c r="G249" s="522">
        <f t="shared" si="11"/>
        <v>96.400414078674942</v>
      </c>
    </row>
    <row r="250" spans="2:7" x14ac:dyDescent="0.2">
      <c r="B250" s="166">
        <f t="shared" si="12"/>
        <v>243</v>
      </c>
      <c r="C250" s="138">
        <v>223001</v>
      </c>
      <c r="D250" s="138" t="s">
        <v>236</v>
      </c>
      <c r="E250" s="141">
        <v>104500</v>
      </c>
      <c r="F250" s="141">
        <v>98146</v>
      </c>
      <c r="G250" s="429">
        <f t="shared" si="11"/>
        <v>93.919617224880383</v>
      </c>
    </row>
    <row r="251" spans="2:7" x14ac:dyDescent="0.2">
      <c r="B251" s="166">
        <f t="shared" si="12"/>
        <v>244</v>
      </c>
      <c r="C251" s="138">
        <v>223002</v>
      </c>
      <c r="D251" s="138" t="s">
        <v>69</v>
      </c>
      <c r="E251" s="141">
        <v>57000</v>
      </c>
      <c r="F251" s="141">
        <v>55186</v>
      </c>
      <c r="G251" s="429">
        <f t="shared" si="11"/>
        <v>96.81754385964912</v>
      </c>
    </row>
    <row r="252" spans="2:7" ht="13.5" thickBot="1" x14ac:dyDescent="0.25">
      <c r="B252" s="166">
        <f t="shared" si="12"/>
        <v>245</v>
      </c>
      <c r="C252" s="138">
        <v>223003</v>
      </c>
      <c r="D252" s="138" t="s">
        <v>70</v>
      </c>
      <c r="E252" s="141">
        <v>80000</v>
      </c>
      <c r="F252" s="141">
        <v>79475</v>
      </c>
      <c r="G252" s="429">
        <f t="shared" si="11"/>
        <v>99.34375</v>
      </c>
    </row>
    <row r="253" spans="2:7" ht="15.75" thickBot="1" x14ac:dyDescent="0.3">
      <c r="B253" s="166">
        <f t="shared" si="12"/>
        <v>246</v>
      </c>
      <c r="C253" s="181">
        <v>12</v>
      </c>
      <c r="D253" s="181" t="s">
        <v>5</v>
      </c>
      <c r="E253" s="182">
        <f>E254+E256+E260</f>
        <v>184297</v>
      </c>
      <c r="F253" s="182">
        <f>F254+F256+F260</f>
        <v>221077</v>
      </c>
      <c r="G253" s="521">
        <f t="shared" si="11"/>
        <v>119.95691736707596</v>
      </c>
    </row>
    <row r="254" spans="2:7" x14ac:dyDescent="0.2">
      <c r="B254" s="166">
        <f t="shared" si="12"/>
        <v>247</v>
      </c>
      <c r="C254" s="183">
        <v>210</v>
      </c>
      <c r="D254" s="183" t="s">
        <v>233</v>
      </c>
      <c r="E254" s="184">
        <f>E255</f>
        <v>17000</v>
      </c>
      <c r="F254" s="184">
        <f>F255</f>
        <v>19100</v>
      </c>
      <c r="G254" s="530">
        <f t="shared" si="11"/>
        <v>112.35294117647059</v>
      </c>
    </row>
    <row r="255" spans="2:7" x14ac:dyDescent="0.2">
      <c r="B255" s="166">
        <f t="shared" si="12"/>
        <v>248</v>
      </c>
      <c r="C255" s="138">
        <v>212003</v>
      </c>
      <c r="D255" s="138" t="s">
        <v>234</v>
      </c>
      <c r="E255" s="141">
        <v>17000</v>
      </c>
      <c r="F255" s="141">
        <v>19100</v>
      </c>
      <c r="G255" s="429">
        <f t="shared" si="11"/>
        <v>112.35294117647059</v>
      </c>
    </row>
    <row r="256" spans="2:7" x14ac:dyDescent="0.2">
      <c r="B256" s="166">
        <f t="shared" si="12"/>
        <v>249</v>
      </c>
      <c r="C256" s="185">
        <v>220</v>
      </c>
      <c r="D256" s="185" t="s">
        <v>207</v>
      </c>
      <c r="E256" s="186">
        <f>SUM(E257:E259)</f>
        <v>153500</v>
      </c>
      <c r="F256" s="186">
        <f>SUM(F257:F259)</f>
        <v>188180</v>
      </c>
      <c r="G256" s="522">
        <f t="shared" si="11"/>
        <v>122.5928338762215</v>
      </c>
    </row>
    <row r="257" spans="2:7" x14ac:dyDescent="0.2">
      <c r="B257" s="166">
        <f t="shared" si="12"/>
        <v>250</v>
      </c>
      <c r="C257" s="138">
        <v>223001</v>
      </c>
      <c r="D257" s="138" t="s">
        <v>236</v>
      </c>
      <c r="E257" s="141">
        <v>67000</v>
      </c>
      <c r="F257" s="141">
        <v>90548</v>
      </c>
      <c r="G257" s="429">
        <f t="shared" si="11"/>
        <v>135.14626865671642</v>
      </c>
    </row>
    <row r="258" spans="2:7" x14ac:dyDescent="0.2">
      <c r="B258" s="166">
        <f t="shared" si="12"/>
        <v>251</v>
      </c>
      <c r="C258" s="138">
        <v>223002</v>
      </c>
      <c r="D258" s="138" t="s">
        <v>69</v>
      </c>
      <c r="E258" s="141">
        <v>53000</v>
      </c>
      <c r="F258" s="141">
        <v>58993</v>
      </c>
      <c r="G258" s="429">
        <f t="shared" si="11"/>
        <v>111.30754716981133</v>
      </c>
    </row>
    <row r="259" spans="2:7" x14ac:dyDescent="0.2">
      <c r="B259" s="166">
        <f t="shared" si="12"/>
        <v>252</v>
      </c>
      <c r="C259" s="177">
        <v>223003</v>
      </c>
      <c r="D259" s="177" t="s">
        <v>70</v>
      </c>
      <c r="E259" s="178">
        <v>33500</v>
      </c>
      <c r="F259" s="178">
        <v>38639</v>
      </c>
      <c r="G259" s="532">
        <f t="shared" si="11"/>
        <v>115.34029850746268</v>
      </c>
    </row>
    <row r="260" spans="2:7" x14ac:dyDescent="0.2">
      <c r="B260" s="166">
        <f t="shared" si="12"/>
        <v>253</v>
      </c>
      <c r="C260" s="185">
        <v>290</v>
      </c>
      <c r="D260" s="185" t="s">
        <v>165</v>
      </c>
      <c r="E260" s="186">
        <f>E261</f>
        <v>13797</v>
      </c>
      <c r="F260" s="186">
        <f>F261</f>
        <v>13797</v>
      </c>
      <c r="G260" s="522">
        <f t="shared" si="11"/>
        <v>100</v>
      </c>
    </row>
    <row r="261" spans="2:7" ht="13.5" thickBot="1" x14ac:dyDescent="0.25">
      <c r="B261" s="166">
        <f t="shared" si="12"/>
        <v>254</v>
      </c>
      <c r="C261" s="138">
        <v>292017</v>
      </c>
      <c r="D261" s="138" t="s">
        <v>219</v>
      </c>
      <c r="E261" s="141">
        <v>13797</v>
      </c>
      <c r="F261" s="141">
        <v>13797</v>
      </c>
      <c r="G261" s="429">
        <f t="shared" si="11"/>
        <v>100</v>
      </c>
    </row>
    <row r="262" spans="2:7" ht="15.75" thickBot="1" x14ac:dyDescent="0.3">
      <c r="B262" s="166">
        <f t="shared" si="12"/>
        <v>255</v>
      </c>
      <c r="C262" s="181">
        <v>13</v>
      </c>
      <c r="D262" s="181" t="s">
        <v>12</v>
      </c>
      <c r="E262" s="182">
        <f>E263+E265</f>
        <v>102500</v>
      </c>
      <c r="F262" s="182">
        <f>F263+F265</f>
        <v>118263</v>
      </c>
      <c r="G262" s="521">
        <f t="shared" si="11"/>
        <v>115.37853658536585</v>
      </c>
    </row>
    <row r="263" spans="2:7" x14ac:dyDescent="0.2">
      <c r="B263" s="166">
        <f t="shared" si="12"/>
        <v>256</v>
      </c>
      <c r="C263" s="183">
        <v>210</v>
      </c>
      <c r="D263" s="183" t="s">
        <v>233</v>
      </c>
      <c r="E263" s="184">
        <f>E264</f>
        <v>9500</v>
      </c>
      <c r="F263" s="184">
        <f>F264</f>
        <v>9923</v>
      </c>
      <c r="G263" s="530">
        <f t="shared" si="11"/>
        <v>104.45263157894738</v>
      </c>
    </row>
    <row r="264" spans="2:7" x14ac:dyDescent="0.2">
      <c r="B264" s="166">
        <f t="shared" si="12"/>
        <v>257</v>
      </c>
      <c r="C264" s="138">
        <v>212003</v>
      </c>
      <c r="D264" s="138" t="s">
        <v>234</v>
      </c>
      <c r="E264" s="141">
        <f>6000+3500</f>
        <v>9500</v>
      </c>
      <c r="F264" s="141">
        <v>9923</v>
      </c>
      <c r="G264" s="429">
        <f t="shared" si="11"/>
        <v>104.45263157894738</v>
      </c>
    </row>
    <row r="265" spans="2:7" x14ac:dyDescent="0.2">
      <c r="B265" s="166">
        <f t="shared" si="12"/>
        <v>258</v>
      </c>
      <c r="C265" s="185">
        <v>220</v>
      </c>
      <c r="D265" s="185" t="s">
        <v>207</v>
      </c>
      <c r="E265" s="186">
        <f>SUM(E266:E268)</f>
        <v>93000</v>
      </c>
      <c r="F265" s="186">
        <f>SUM(F266:F268)</f>
        <v>108340</v>
      </c>
      <c r="G265" s="522">
        <f t="shared" ref="G265:G329" si="13">F265/E265*100</f>
        <v>116.49462365591398</v>
      </c>
    </row>
    <row r="266" spans="2:7" x14ac:dyDescent="0.2">
      <c r="B266" s="166">
        <f t="shared" si="12"/>
        <v>259</v>
      </c>
      <c r="C266" s="138">
        <v>223001</v>
      </c>
      <c r="D266" s="138" t="s">
        <v>236</v>
      </c>
      <c r="E266" s="141">
        <v>35000</v>
      </c>
      <c r="F266" s="141">
        <v>33023</v>
      </c>
      <c r="G266" s="429">
        <f t="shared" si="13"/>
        <v>94.351428571428571</v>
      </c>
    </row>
    <row r="267" spans="2:7" x14ac:dyDescent="0.2">
      <c r="B267" s="166">
        <f t="shared" si="12"/>
        <v>260</v>
      </c>
      <c r="C267" s="138">
        <v>223002</v>
      </c>
      <c r="D267" s="138" t="s">
        <v>69</v>
      </c>
      <c r="E267" s="141">
        <v>16000</v>
      </c>
      <c r="F267" s="141">
        <v>21411</v>
      </c>
      <c r="G267" s="429">
        <f t="shared" si="13"/>
        <v>133.81875000000002</v>
      </c>
    </row>
    <row r="268" spans="2:7" ht="13.5" thickBot="1" x14ac:dyDescent="0.25">
      <c r="B268" s="166">
        <f t="shared" si="12"/>
        <v>261</v>
      </c>
      <c r="C268" s="138">
        <v>223003</v>
      </c>
      <c r="D268" s="138" t="s">
        <v>70</v>
      </c>
      <c r="E268" s="141">
        <v>42000</v>
      </c>
      <c r="F268" s="141">
        <v>53906</v>
      </c>
      <c r="G268" s="429">
        <f t="shared" si="13"/>
        <v>128.34761904761905</v>
      </c>
    </row>
    <row r="269" spans="2:7" ht="15.75" thickBot="1" x14ac:dyDescent="0.3">
      <c r="B269" s="166">
        <f t="shared" si="12"/>
        <v>262</v>
      </c>
      <c r="C269" s="181">
        <v>14</v>
      </c>
      <c r="D269" s="181" t="s">
        <v>1</v>
      </c>
      <c r="E269" s="182">
        <f>E270+E272</f>
        <v>176800</v>
      </c>
      <c r="F269" s="182">
        <f>F270+F272</f>
        <v>185923</v>
      </c>
      <c r="G269" s="521">
        <f t="shared" si="13"/>
        <v>105.16006787330316</v>
      </c>
    </row>
    <row r="270" spans="2:7" x14ac:dyDescent="0.2">
      <c r="B270" s="166">
        <f t="shared" si="12"/>
        <v>263</v>
      </c>
      <c r="C270" s="183">
        <v>210</v>
      </c>
      <c r="D270" s="183" t="s">
        <v>233</v>
      </c>
      <c r="E270" s="184">
        <f>E271</f>
        <v>200</v>
      </c>
      <c r="F270" s="184">
        <f>F271</f>
        <v>139</v>
      </c>
      <c r="G270" s="530">
        <f t="shared" si="13"/>
        <v>69.5</v>
      </c>
    </row>
    <row r="271" spans="2:7" x14ac:dyDescent="0.2">
      <c r="B271" s="166">
        <f t="shared" si="12"/>
        <v>264</v>
      </c>
      <c r="C271" s="138">
        <v>212003</v>
      </c>
      <c r="D271" s="138" t="s">
        <v>234</v>
      </c>
      <c r="E271" s="141">
        <v>200</v>
      </c>
      <c r="F271" s="141">
        <v>139</v>
      </c>
      <c r="G271" s="429">
        <f t="shared" si="13"/>
        <v>69.5</v>
      </c>
    </row>
    <row r="272" spans="2:7" x14ac:dyDescent="0.2">
      <c r="B272" s="166">
        <f t="shared" si="12"/>
        <v>265</v>
      </c>
      <c r="C272" s="185">
        <v>220</v>
      </c>
      <c r="D272" s="185" t="s">
        <v>207</v>
      </c>
      <c r="E272" s="186">
        <f>E273</f>
        <v>176600</v>
      </c>
      <c r="F272" s="186">
        <f>F273</f>
        <v>185784</v>
      </c>
      <c r="G272" s="522">
        <f t="shared" si="13"/>
        <v>105.2004530011325</v>
      </c>
    </row>
    <row r="273" spans="2:7" x14ac:dyDescent="0.2">
      <c r="B273" s="166">
        <f t="shared" si="12"/>
        <v>266</v>
      </c>
      <c r="C273" s="138">
        <v>223002</v>
      </c>
      <c r="D273" s="138" t="s">
        <v>69</v>
      </c>
      <c r="E273" s="141">
        <v>176600</v>
      </c>
      <c r="F273" s="141">
        <v>185784</v>
      </c>
      <c r="G273" s="429">
        <f t="shared" si="13"/>
        <v>105.2004530011325</v>
      </c>
    </row>
    <row r="274" spans="2:7" ht="16.5" thickBot="1" x14ac:dyDescent="0.3">
      <c r="B274" s="166">
        <f t="shared" si="12"/>
        <v>267</v>
      </c>
      <c r="C274" s="179">
        <v>300</v>
      </c>
      <c r="D274" s="179" t="s">
        <v>210</v>
      </c>
      <c r="E274" s="180">
        <f>E275+E315+E326+E332+E335+E338+E320+E323</f>
        <v>28403164</v>
      </c>
      <c r="F274" s="180">
        <f>F275+F315+F326+F332+F335+F338+F320+F323</f>
        <v>28355015</v>
      </c>
      <c r="G274" s="529">
        <f t="shared" si="13"/>
        <v>99.83048015354909</v>
      </c>
    </row>
    <row r="275" spans="2:7" ht="15.75" thickBot="1" x14ac:dyDescent="0.3">
      <c r="B275" s="166">
        <f t="shared" si="12"/>
        <v>268</v>
      </c>
      <c r="C275" s="181"/>
      <c r="D275" s="181" t="s">
        <v>38</v>
      </c>
      <c r="E275" s="182">
        <f>E276+E311</f>
        <v>27622501</v>
      </c>
      <c r="F275" s="182">
        <f>F276+F311</f>
        <v>27573295</v>
      </c>
      <c r="G275" s="521">
        <f t="shared" si="13"/>
        <v>99.821862618450083</v>
      </c>
    </row>
    <row r="276" spans="2:7" x14ac:dyDescent="0.2">
      <c r="B276" s="166">
        <f t="shared" si="12"/>
        <v>269</v>
      </c>
      <c r="C276" s="183">
        <v>310</v>
      </c>
      <c r="D276" s="183" t="s">
        <v>211</v>
      </c>
      <c r="E276" s="184">
        <f>E277+E281+E299+E301</f>
        <v>27587501</v>
      </c>
      <c r="F276" s="184">
        <f>F277+F281+F299+F301</f>
        <v>27522357</v>
      </c>
      <c r="G276" s="530">
        <f t="shared" si="13"/>
        <v>99.763864077431293</v>
      </c>
    </row>
    <row r="277" spans="2:7" x14ac:dyDescent="0.2">
      <c r="B277" s="166">
        <f t="shared" si="12"/>
        <v>270</v>
      </c>
      <c r="C277" s="195">
        <v>311</v>
      </c>
      <c r="D277" s="195" t="s">
        <v>209</v>
      </c>
      <c r="E277" s="196">
        <f>SUM(E278:E279)</f>
        <v>68427</v>
      </c>
      <c r="F277" s="196">
        <f>SUM(F278:F280)</f>
        <v>95245</v>
      </c>
      <c r="G277" s="537">
        <f t="shared" si="13"/>
        <v>139.19213176085464</v>
      </c>
    </row>
    <row r="278" spans="2:7" x14ac:dyDescent="0.2">
      <c r="B278" s="166">
        <f t="shared" si="12"/>
        <v>271</v>
      </c>
      <c r="C278" s="138"/>
      <c r="D278" s="138" t="s">
        <v>531</v>
      </c>
      <c r="E278" s="141">
        <f>110400-46373</f>
        <v>64027</v>
      </c>
      <c r="F278" s="141">
        <v>65970</v>
      </c>
      <c r="G278" s="429">
        <f t="shared" si="13"/>
        <v>103.03465725397099</v>
      </c>
    </row>
    <row r="279" spans="2:7" ht="24" x14ac:dyDescent="0.2">
      <c r="B279" s="166">
        <f t="shared" si="12"/>
        <v>272</v>
      </c>
      <c r="C279" s="138"/>
      <c r="D279" s="356" t="s">
        <v>675</v>
      </c>
      <c r="E279" s="141">
        <v>4400</v>
      </c>
      <c r="F279" s="141">
        <v>4400</v>
      </c>
      <c r="G279" s="429">
        <f t="shared" si="13"/>
        <v>100</v>
      </c>
    </row>
    <row r="280" spans="2:7" s="38" customFormat="1" x14ac:dyDescent="0.2">
      <c r="B280" s="166">
        <f t="shared" ref="B280:B323" si="14">B279+1</f>
        <v>273</v>
      </c>
      <c r="C280" s="138"/>
      <c r="D280" s="356" t="s">
        <v>765</v>
      </c>
      <c r="E280" s="141">
        <v>0</v>
      </c>
      <c r="F280" s="141">
        <v>24875</v>
      </c>
      <c r="G280" s="429">
        <v>0</v>
      </c>
    </row>
    <row r="281" spans="2:7" ht="24" x14ac:dyDescent="0.2">
      <c r="B281" s="166">
        <f t="shared" si="14"/>
        <v>274</v>
      </c>
      <c r="C281" s="197">
        <v>312001</v>
      </c>
      <c r="D281" s="198" t="s">
        <v>221</v>
      </c>
      <c r="E281" s="199">
        <f>SUM(E282:E298)</f>
        <v>6267974</v>
      </c>
      <c r="F281" s="199">
        <f>SUM(F282:F298)</f>
        <v>5464678</v>
      </c>
      <c r="G281" s="538">
        <f t="shared" si="13"/>
        <v>87.184120419133833</v>
      </c>
    </row>
    <row r="282" spans="2:7" x14ac:dyDescent="0.2">
      <c r="B282" s="166">
        <f t="shared" si="14"/>
        <v>275</v>
      </c>
      <c r="C282" s="200"/>
      <c r="D282" s="58" t="s">
        <v>319</v>
      </c>
      <c r="E282" s="201">
        <f>1714596+8560</f>
        <v>1723156</v>
      </c>
      <c r="F282" s="201">
        <f>1768587-97300</f>
        <v>1671287</v>
      </c>
      <c r="G282" s="539">
        <f t="shared" si="13"/>
        <v>96.989883678552616</v>
      </c>
    </row>
    <row r="283" spans="2:7" x14ac:dyDescent="0.2">
      <c r="B283" s="166">
        <f t="shared" si="14"/>
        <v>276</v>
      </c>
      <c r="C283" s="200"/>
      <c r="D283" s="58" t="s">
        <v>617</v>
      </c>
      <c r="E283" s="201">
        <v>112116</v>
      </c>
      <c r="F283" s="201"/>
      <c r="G283" s="539">
        <f t="shared" si="13"/>
        <v>0</v>
      </c>
    </row>
    <row r="284" spans="2:7" x14ac:dyDescent="0.2">
      <c r="B284" s="166">
        <f t="shared" si="14"/>
        <v>277</v>
      </c>
      <c r="C284" s="200"/>
      <c r="D284" s="58" t="s">
        <v>703</v>
      </c>
      <c r="E284" s="201">
        <v>1520900</v>
      </c>
      <c r="F284" s="201">
        <v>1520901</v>
      </c>
      <c r="G284" s="539">
        <f t="shared" si="13"/>
        <v>100.00006575054243</v>
      </c>
    </row>
    <row r="285" spans="2:7" x14ac:dyDescent="0.2">
      <c r="B285" s="166">
        <f t="shared" si="14"/>
        <v>278</v>
      </c>
      <c r="C285" s="200"/>
      <c r="D285" s="58" t="s">
        <v>750</v>
      </c>
      <c r="E285" s="201">
        <v>97300</v>
      </c>
      <c r="F285" s="201">
        <v>97300</v>
      </c>
      <c r="G285" s="539">
        <f t="shared" si="13"/>
        <v>100</v>
      </c>
    </row>
    <row r="286" spans="2:7" x14ac:dyDescent="0.2">
      <c r="B286" s="166">
        <f t="shared" si="14"/>
        <v>279</v>
      </c>
      <c r="C286" s="200"/>
      <c r="D286" s="58" t="s">
        <v>322</v>
      </c>
      <c r="E286" s="189">
        <f>1619179+120448+108738</f>
        <v>1848365</v>
      </c>
      <c r="F286" s="189">
        <v>1814238</v>
      </c>
      <c r="G286" s="531">
        <f t="shared" si="13"/>
        <v>98.153665536839313</v>
      </c>
    </row>
    <row r="287" spans="2:7" x14ac:dyDescent="0.2">
      <c r="B287" s="166">
        <f t="shared" si="14"/>
        <v>280</v>
      </c>
      <c r="C287" s="200"/>
      <c r="D287" s="58" t="s">
        <v>704</v>
      </c>
      <c r="E287" s="189">
        <f>17+3301</f>
        <v>3318</v>
      </c>
      <c r="F287" s="189">
        <v>66</v>
      </c>
      <c r="G287" s="531">
        <f t="shared" si="13"/>
        <v>1.9891500904159132</v>
      </c>
    </row>
    <row r="288" spans="2:7" x14ac:dyDescent="0.2">
      <c r="B288" s="166">
        <f t="shared" si="14"/>
        <v>281</v>
      </c>
      <c r="C288" s="200"/>
      <c r="D288" s="58" t="s">
        <v>613</v>
      </c>
      <c r="E288" s="189">
        <f>150000+80000</f>
        <v>230000</v>
      </c>
      <c r="F288" s="189">
        <v>216980</v>
      </c>
      <c r="G288" s="531">
        <f t="shared" si="13"/>
        <v>94.339130434782604</v>
      </c>
    </row>
    <row r="289" spans="2:7" x14ac:dyDescent="0.2">
      <c r="B289" s="166">
        <f t="shared" si="14"/>
        <v>282</v>
      </c>
      <c r="C289" s="200"/>
      <c r="D289" s="58" t="s">
        <v>169</v>
      </c>
      <c r="E289" s="189">
        <v>16000</v>
      </c>
      <c r="F289" s="189">
        <v>15050</v>
      </c>
      <c r="G289" s="531">
        <f t="shared" si="13"/>
        <v>94.0625</v>
      </c>
    </row>
    <row r="290" spans="2:7" x14ac:dyDescent="0.2">
      <c r="B290" s="166">
        <f t="shared" si="14"/>
        <v>283</v>
      </c>
      <c r="C290" s="305"/>
      <c r="D290" s="58" t="s">
        <v>676</v>
      </c>
      <c r="E290" s="189">
        <v>14492</v>
      </c>
      <c r="F290" s="189">
        <v>14492</v>
      </c>
      <c r="G290" s="531">
        <f t="shared" si="13"/>
        <v>100</v>
      </c>
    </row>
    <row r="291" spans="2:7" ht="24" x14ac:dyDescent="0.2">
      <c r="B291" s="166">
        <f t="shared" si="14"/>
        <v>284</v>
      </c>
      <c r="C291" s="305"/>
      <c r="D291" s="58" t="s">
        <v>771</v>
      </c>
      <c r="E291" s="189">
        <v>7360</v>
      </c>
      <c r="F291" s="189"/>
      <c r="G291" s="531">
        <f t="shared" si="13"/>
        <v>0</v>
      </c>
    </row>
    <row r="292" spans="2:7" x14ac:dyDescent="0.2">
      <c r="B292" s="166">
        <f t="shared" si="14"/>
        <v>285</v>
      </c>
      <c r="C292" s="305"/>
      <c r="D292" s="58" t="s">
        <v>701</v>
      </c>
      <c r="E292" s="189">
        <v>3827</v>
      </c>
      <c r="F292" s="189"/>
      <c r="G292" s="531">
        <f t="shared" si="13"/>
        <v>0</v>
      </c>
    </row>
    <row r="293" spans="2:7" ht="24" x14ac:dyDescent="0.2">
      <c r="B293" s="166">
        <f t="shared" si="14"/>
        <v>286</v>
      </c>
      <c r="C293" s="305"/>
      <c r="D293" s="58" t="s">
        <v>505</v>
      </c>
      <c r="E293" s="189">
        <v>83500</v>
      </c>
      <c r="F293" s="189"/>
      <c r="G293" s="531">
        <f t="shared" si="13"/>
        <v>0</v>
      </c>
    </row>
    <row r="294" spans="2:7" x14ac:dyDescent="0.2">
      <c r="B294" s="166">
        <f t="shared" si="14"/>
        <v>287</v>
      </c>
      <c r="C294" s="305"/>
      <c r="D294" s="55" t="s">
        <v>523</v>
      </c>
      <c r="E294" s="189"/>
      <c r="F294" s="189">
        <f>16160+1331</f>
        <v>17491</v>
      </c>
      <c r="G294" s="531">
        <v>0</v>
      </c>
    </row>
    <row r="295" spans="2:7" x14ac:dyDescent="0.2">
      <c r="B295" s="166">
        <f t="shared" si="14"/>
        <v>288</v>
      </c>
      <c r="C295" s="305"/>
      <c r="D295" s="225" t="s">
        <v>728</v>
      </c>
      <c r="E295" s="189"/>
      <c r="F295" s="189">
        <f>38808+3196</f>
        <v>42004</v>
      </c>
      <c r="G295" s="531">
        <v>0</v>
      </c>
    </row>
    <row r="296" spans="2:7" x14ac:dyDescent="0.2">
      <c r="B296" s="166">
        <f t="shared" si="14"/>
        <v>289</v>
      </c>
      <c r="C296" s="305"/>
      <c r="D296" s="55" t="s">
        <v>462</v>
      </c>
      <c r="E296" s="189"/>
      <c r="F296" s="189">
        <f>32779+2699</f>
        <v>35478</v>
      </c>
      <c r="G296" s="531">
        <v>0</v>
      </c>
    </row>
    <row r="297" spans="2:7" ht="24" x14ac:dyDescent="0.2">
      <c r="B297" s="166">
        <f t="shared" si="14"/>
        <v>290</v>
      </c>
      <c r="C297" s="305"/>
      <c r="D297" s="267" t="s">
        <v>766</v>
      </c>
      <c r="E297" s="189"/>
      <c r="F297" s="189">
        <v>19391</v>
      </c>
      <c r="G297" s="531">
        <v>0</v>
      </c>
    </row>
    <row r="298" spans="2:7" ht="24" x14ac:dyDescent="0.2">
      <c r="B298" s="166">
        <f t="shared" si="14"/>
        <v>291</v>
      </c>
      <c r="C298" s="305"/>
      <c r="D298" s="58" t="s">
        <v>677</v>
      </c>
      <c r="E298" s="189">
        <v>607640</v>
      </c>
      <c r="F298" s="189"/>
      <c r="G298" s="531">
        <f t="shared" si="13"/>
        <v>0</v>
      </c>
    </row>
    <row r="299" spans="2:7" x14ac:dyDescent="0.2">
      <c r="B299" s="166">
        <f t="shared" si="14"/>
        <v>292</v>
      </c>
      <c r="C299" s="195">
        <v>312002</v>
      </c>
      <c r="D299" s="195" t="s">
        <v>274</v>
      </c>
      <c r="E299" s="196">
        <f>E300</f>
        <v>100000</v>
      </c>
      <c r="F299" s="196">
        <f>F300</f>
        <v>240990</v>
      </c>
      <c r="G299" s="537">
        <f t="shared" si="13"/>
        <v>240.98999999999998</v>
      </c>
    </row>
    <row r="300" spans="2:7" x14ac:dyDescent="0.2">
      <c r="B300" s="166">
        <f t="shared" si="14"/>
        <v>293</v>
      </c>
      <c r="C300" s="200"/>
      <c r="D300" s="138" t="s">
        <v>275</v>
      </c>
      <c r="E300" s="141">
        <v>100000</v>
      </c>
      <c r="F300" s="141">
        <v>240990</v>
      </c>
      <c r="G300" s="429">
        <f t="shared" si="13"/>
        <v>240.98999999999998</v>
      </c>
    </row>
    <row r="301" spans="2:7" ht="24" x14ac:dyDescent="0.2">
      <c r="B301" s="166">
        <f t="shared" si="14"/>
        <v>294</v>
      </c>
      <c r="C301" s="197">
        <v>312012</v>
      </c>
      <c r="D301" s="198" t="s">
        <v>222</v>
      </c>
      <c r="E301" s="199">
        <f>SUM(E302:E310)</f>
        <v>21151100</v>
      </c>
      <c r="F301" s="199">
        <f>SUM(F302:F310)</f>
        <v>21721444</v>
      </c>
      <c r="G301" s="538">
        <f t="shared" si="13"/>
        <v>102.69652169390717</v>
      </c>
    </row>
    <row r="302" spans="2:7" x14ac:dyDescent="0.2">
      <c r="B302" s="166">
        <f t="shared" si="14"/>
        <v>295</v>
      </c>
      <c r="C302" s="200"/>
      <c r="D302" s="138" t="s">
        <v>278</v>
      </c>
      <c r="E302" s="141">
        <f>13619295-528933+3444+1383451+252005</f>
        <v>14729262</v>
      </c>
      <c r="F302" s="141">
        <f>13793268+117844+32151+2850+825+126928+70500+35400+70221+14368+10410+540+2000+409065+912805+102834+41311+1</f>
        <v>15743321</v>
      </c>
      <c r="G302" s="429">
        <f t="shared" si="13"/>
        <v>106.88465586395299</v>
      </c>
    </row>
    <row r="303" spans="2:7" x14ac:dyDescent="0.2">
      <c r="B303" s="166">
        <f t="shared" si="14"/>
        <v>296</v>
      </c>
      <c r="C303" s="200"/>
      <c r="D303" s="138" t="s">
        <v>504</v>
      </c>
      <c r="E303" s="141">
        <f>5344800+284643+31283+18368+317443-1440+2281</f>
        <v>5997378</v>
      </c>
      <c r="F303" s="141">
        <v>5510309</v>
      </c>
      <c r="G303" s="429">
        <f t="shared" si="13"/>
        <v>91.878634296520914</v>
      </c>
    </row>
    <row r="304" spans="2:7" x14ac:dyDescent="0.2">
      <c r="B304" s="166">
        <f t="shared" si="14"/>
        <v>297</v>
      </c>
      <c r="C304" s="200"/>
      <c r="D304" s="138" t="s">
        <v>490</v>
      </c>
      <c r="E304" s="141">
        <f>243527-243527</f>
        <v>0</v>
      </c>
      <c r="F304" s="141">
        <v>78500</v>
      </c>
      <c r="G304" s="429">
        <v>0</v>
      </c>
    </row>
    <row r="305" spans="2:7" x14ac:dyDescent="0.2">
      <c r="B305" s="166">
        <f t="shared" si="14"/>
        <v>298</v>
      </c>
      <c r="C305" s="200"/>
      <c r="D305" s="138" t="s">
        <v>277</v>
      </c>
      <c r="E305" s="141">
        <v>185000</v>
      </c>
      <c r="F305" s="141">
        <v>148923</v>
      </c>
      <c r="G305" s="429">
        <f t="shared" si="13"/>
        <v>80.498918918918918</v>
      </c>
    </row>
    <row r="306" spans="2:7" x14ac:dyDescent="0.2">
      <c r="B306" s="166">
        <f t="shared" si="14"/>
        <v>299</v>
      </c>
      <c r="C306" s="200"/>
      <c r="D306" s="138" t="s">
        <v>257</v>
      </c>
      <c r="E306" s="141">
        <v>85000</v>
      </c>
      <c r="F306" s="141">
        <v>90952</v>
      </c>
      <c r="G306" s="429">
        <f t="shared" si="13"/>
        <v>107.00235294117645</v>
      </c>
    </row>
    <row r="307" spans="2:7" x14ac:dyDescent="0.2">
      <c r="B307" s="166">
        <f t="shared" si="14"/>
        <v>300</v>
      </c>
      <c r="C307" s="200"/>
      <c r="D307" s="138" t="s">
        <v>120</v>
      </c>
      <c r="E307" s="141">
        <f>44000+26460</f>
        <v>70460</v>
      </c>
      <c r="F307" s="141">
        <v>65178</v>
      </c>
      <c r="G307" s="429">
        <f t="shared" si="13"/>
        <v>92.503548112404204</v>
      </c>
    </row>
    <row r="308" spans="2:7" x14ac:dyDescent="0.2">
      <c r="B308" s="166">
        <f t="shared" si="14"/>
        <v>301</v>
      </c>
      <c r="C308" s="200"/>
      <c r="D308" s="138" t="s">
        <v>276</v>
      </c>
      <c r="E308" s="141">
        <v>18500</v>
      </c>
      <c r="F308" s="141">
        <f>17841+624+1</f>
        <v>18466</v>
      </c>
      <c r="G308" s="429">
        <f t="shared" si="13"/>
        <v>99.816216216216219</v>
      </c>
    </row>
    <row r="309" spans="2:7" x14ac:dyDescent="0.2">
      <c r="B309" s="166">
        <f t="shared" si="14"/>
        <v>302</v>
      </c>
      <c r="C309" s="200"/>
      <c r="D309" s="138" t="s">
        <v>320</v>
      </c>
      <c r="E309" s="187">
        <v>59000</v>
      </c>
      <c r="F309" s="187">
        <v>58728</v>
      </c>
      <c r="G309" s="534">
        <f t="shared" si="13"/>
        <v>99.538983050847463</v>
      </c>
    </row>
    <row r="310" spans="2:7" x14ac:dyDescent="0.2">
      <c r="B310" s="166">
        <f t="shared" si="14"/>
        <v>303</v>
      </c>
      <c r="C310" s="200"/>
      <c r="D310" s="138" t="s">
        <v>59</v>
      </c>
      <c r="E310" s="141">
        <v>6500</v>
      </c>
      <c r="F310" s="141">
        <v>7067</v>
      </c>
      <c r="G310" s="429">
        <f t="shared" si="13"/>
        <v>108.72307692307692</v>
      </c>
    </row>
    <row r="311" spans="2:7" x14ac:dyDescent="0.2">
      <c r="B311" s="166">
        <f t="shared" si="14"/>
        <v>304</v>
      </c>
      <c r="C311" s="183">
        <v>330</v>
      </c>
      <c r="D311" s="183" t="s">
        <v>672</v>
      </c>
      <c r="E311" s="184">
        <f>E312</f>
        <v>35000</v>
      </c>
      <c r="F311" s="184">
        <f>F312</f>
        <v>50938</v>
      </c>
      <c r="G311" s="530">
        <f t="shared" si="13"/>
        <v>145.53714285714284</v>
      </c>
    </row>
    <row r="312" spans="2:7" x14ac:dyDescent="0.2">
      <c r="B312" s="166">
        <f t="shared" si="14"/>
        <v>305</v>
      </c>
      <c r="C312" s="197">
        <v>331</v>
      </c>
      <c r="D312" s="198" t="s">
        <v>671</v>
      </c>
      <c r="E312" s="199">
        <f>E313</f>
        <v>35000</v>
      </c>
      <c r="F312" s="199">
        <f>SUM(F313:F314)</f>
        <v>50938</v>
      </c>
      <c r="G312" s="538">
        <f t="shared" si="13"/>
        <v>145.53714285714284</v>
      </c>
    </row>
    <row r="313" spans="2:7" ht="24" x14ac:dyDescent="0.2">
      <c r="B313" s="166">
        <f t="shared" si="14"/>
        <v>306</v>
      </c>
      <c r="C313" s="200"/>
      <c r="D313" s="356" t="s">
        <v>484</v>
      </c>
      <c r="E313" s="141">
        <v>35000</v>
      </c>
      <c r="F313" s="141">
        <v>33438</v>
      </c>
      <c r="G313" s="429">
        <f t="shared" si="13"/>
        <v>95.537142857142854</v>
      </c>
    </row>
    <row r="314" spans="2:7" ht="13.5" thickBot="1" x14ac:dyDescent="0.25">
      <c r="B314" s="166">
        <f t="shared" si="14"/>
        <v>307</v>
      </c>
      <c r="C314" s="376"/>
      <c r="D314" s="264" t="s">
        <v>769</v>
      </c>
      <c r="E314" s="194">
        <v>0</v>
      </c>
      <c r="F314" s="194">
        <v>17500</v>
      </c>
      <c r="G314" s="536">
        <v>0</v>
      </c>
    </row>
    <row r="315" spans="2:7" ht="15.75" thickBot="1" x14ac:dyDescent="0.3">
      <c r="B315" s="166">
        <f t="shared" si="14"/>
        <v>308</v>
      </c>
      <c r="C315" s="181">
        <v>1</v>
      </c>
      <c r="D315" s="181" t="s">
        <v>48</v>
      </c>
      <c r="E315" s="182">
        <f>E318+E316</f>
        <v>15820</v>
      </c>
      <c r="F315" s="182">
        <f>F318+F316</f>
        <v>15820</v>
      </c>
      <c r="G315" s="521">
        <f t="shared" si="13"/>
        <v>100</v>
      </c>
    </row>
    <row r="316" spans="2:7" x14ac:dyDescent="0.2">
      <c r="B316" s="166">
        <f t="shared" si="14"/>
        <v>309</v>
      </c>
      <c r="C316" s="197">
        <v>311</v>
      </c>
      <c r="D316" s="198" t="s">
        <v>209</v>
      </c>
      <c r="E316" s="199">
        <f>E317</f>
        <v>200</v>
      </c>
      <c r="F316" s="199">
        <f>F317</f>
        <v>200</v>
      </c>
      <c r="G316" s="538">
        <f t="shared" si="13"/>
        <v>100</v>
      </c>
    </row>
    <row r="317" spans="2:7" s="38" customFormat="1" x14ac:dyDescent="0.2">
      <c r="B317" s="166">
        <f t="shared" si="14"/>
        <v>310</v>
      </c>
      <c r="C317" s="202"/>
      <c r="D317" s="203" t="s">
        <v>632</v>
      </c>
      <c r="E317" s="204">
        <v>200</v>
      </c>
      <c r="F317" s="204">
        <v>200</v>
      </c>
      <c r="G317" s="430">
        <f t="shared" si="13"/>
        <v>100</v>
      </c>
    </row>
    <row r="318" spans="2:7" s="38" customFormat="1" ht="24" x14ac:dyDescent="0.2">
      <c r="B318" s="166">
        <f t="shared" si="14"/>
        <v>311</v>
      </c>
      <c r="C318" s="197">
        <v>312001</v>
      </c>
      <c r="D318" s="198" t="s">
        <v>221</v>
      </c>
      <c r="E318" s="199">
        <f>E319</f>
        <v>15620</v>
      </c>
      <c r="F318" s="199">
        <f>F319</f>
        <v>15620</v>
      </c>
      <c r="G318" s="538">
        <f t="shared" si="13"/>
        <v>100</v>
      </c>
    </row>
    <row r="319" spans="2:7" s="38" customFormat="1" ht="13.5" thickBot="1" x14ac:dyDescent="0.25">
      <c r="B319" s="166">
        <f t="shared" si="14"/>
        <v>312</v>
      </c>
      <c r="C319" s="202"/>
      <c r="D319" s="203" t="s">
        <v>321</v>
      </c>
      <c r="E319" s="204">
        <f>10000+900+4720</f>
        <v>15620</v>
      </c>
      <c r="F319" s="204">
        <v>15620</v>
      </c>
      <c r="G319" s="430">
        <f t="shared" si="13"/>
        <v>100</v>
      </c>
    </row>
    <row r="320" spans="2:7" s="38" customFormat="1" ht="15.75" thickBot="1" x14ac:dyDescent="0.3">
      <c r="B320" s="166">
        <f t="shared" si="14"/>
        <v>313</v>
      </c>
      <c r="C320" s="181">
        <v>3</v>
      </c>
      <c r="D320" s="181" t="s">
        <v>8</v>
      </c>
      <c r="E320" s="182">
        <f>E321</f>
        <v>300</v>
      </c>
      <c r="F320" s="182">
        <f>F321</f>
        <v>300</v>
      </c>
      <c r="G320" s="521">
        <f t="shared" si="13"/>
        <v>100</v>
      </c>
    </row>
    <row r="321" spans="2:7" s="38" customFormat="1" x14ac:dyDescent="0.2">
      <c r="B321" s="166">
        <f t="shared" si="14"/>
        <v>314</v>
      </c>
      <c r="C321" s="195">
        <v>311</v>
      </c>
      <c r="D321" s="195" t="s">
        <v>209</v>
      </c>
      <c r="E321" s="196">
        <f>E322</f>
        <v>300</v>
      </c>
      <c r="F321" s="196">
        <f>F322</f>
        <v>300</v>
      </c>
      <c r="G321" s="537">
        <f t="shared" si="13"/>
        <v>100</v>
      </c>
    </row>
    <row r="322" spans="2:7" s="38" customFormat="1" ht="13.5" thickBot="1" x14ac:dyDescent="0.25">
      <c r="B322" s="166">
        <f t="shared" si="14"/>
        <v>315</v>
      </c>
      <c r="C322" s="138"/>
      <c r="D322" s="138" t="s">
        <v>209</v>
      </c>
      <c r="E322" s="141">
        <v>300</v>
      </c>
      <c r="F322" s="141">
        <v>300</v>
      </c>
      <c r="G322" s="429">
        <f t="shared" si="13"/>
        <v>100</v>
      </c>
    </row>
    <row r="323" spans="2:7" s="38" customFormat="1" ht="15.75" thickBot="1" x14ac:dyDescent="0.3">
      <c r="B323" s="166">
        <f t="shared" si="14"/>
        <v>316</v>
      </c>
      <c r="C323" s="181">
        <v>6</v>
      </c>
      <c r="D323" s="181" t="s">
        <v>279</v>
      </c>
      <c r="E323" s="182">
        <f>E324</f>
        <v>5000</v>
      </c>
      <c r="F323" s="182">
        <f>F324</f>
        <v>5000</v>
      </c>
      <c r="G323" s="521">
        <f t="shared" si="13"/>
        <v>100</v>
      </c>
    </row>
    <row r="324" spans="2:7" s="38" customFormat="1" x14ac:dyDescent="0.2">
      <c r="B324" s="166">
        <f t="shared" ref="B324:B341" si="15">B323+1</f>
        <v>317</v>
      </c>
      <c r="C324" s="195">
        <v>311</v>
      </c>
      <c r="D324" s="195" t="s">
        <v>209</v>
      </c>
      <c r="E324" s="196">
        <f>E325</f>
        <v>5000</v>
      </c>
      <c r="F324" s="196">
        <f>F325</f>
        <v>5000</v>
      </c>
      <c r="G324" s="537">
        <f t="shared" si="13"/>
        <v>100</v>
      </c>
    </row>
    <row r="325" spans="2:7" ht="13.5" thickBot="1" x14ac:dyDescent="0.25">
      <c r="B325" s="166">
        <f t="shared" si="15"/>
        <v>318</v>
      </c>
      <c r="C325" s="138"/>
      <c r="D325" s="138" t="s">
        <v>209</v>
      </c>
      <c r="E325" s="141">
        <v>5000</v>
      </c>
      <c r="F325" s="141">
        <v>5000</v>
      </c>
      <c r="G325" s="429">
        <f t="shared" si="13"/>
        <v>100</v>
      </c>
    </row>
    <row r="326" spans="2:7" ht="15.75" thickBot="1" x14ac:dyDescent="0.3">
      <c r="B326" s="166">
        <f t="shared" si="15"/>
        <v>319</v>
      </c>
      <c r="C326" s="181">
        <v>5</v>
      </c>
      <c r="D326" s="181" t="s">
        <v>103</v>
      </c>
      <c r="E326" s="182">
        <f>E327+E329</f>
        <v>635000</v>
      </c>
      <c r="F326" s="182">
        <f>F327+F329</f>
        <v>636057</v>
      </c>
      <c r="G326" s="521">
        <f t="shared" si="13"/>
        <v>100.16645669291337</v>
      </c>
    </row>
    <row r="327" spans="2:7" x14ac:dyDescent="0.2">
      <c r="B327" s="166">
        <f t="shared" si="15"/>
        <v>320</v>
      </c>
      <c r="C327" s="195">
        <v>311</v>
      </c>
      <c r="D327" s="195" t="s">
        <v>209</v>
      </c>
      <c r="E327" s="196">
        <f>E328</f>
        <v>3000</v>
      </c>
      <c r="F327" s="196">
        <f>F328</f>
        <v>4700</v>
      </c>
      <c r="G327" s="537">
        <f t="shared" si="13"/>
        <v>156.66666666666666</v>
      </c>
    </row>
    <row r="328" spans="2:7" s="38" customFormat="1" x14ac:dyDescent="0.2">
      <c r="B328" s="166">
        <f t="shared" si="15"/>
        <v>321</v>
      </c>
      <c r="C328" s="138"/>
      <c r="D328" s="138" t="s">
        <v>323</v>
      </c>
      <c r="E328" s="141">
        <v>3000</v>
      </c>
      <c r="F328" s="141">
        <v>4700</v>
      </c>
      <c r="G328" s="429">
        <f t="shared" si="13"/>
        <v>156.66666666666666</v>
      </c>
    </row>
    <row r="329" spans="2:7" ht="24" x14ac:dyDescent="0.2">
      <c r="B329" s="166">
        <f t="shared" si="15"/>
        <v>322</v>
      </c>
      <c r="C329" s="197">
        <v>312001</v>
      </c>
      <c r="D329" s="198" t="s">
        <v>221</v>
      </c>
      <c r="E329" s="199">
        <f>SUM(E330:E331)</f>
        <v>632000</v>
      </c>
      <c r="F329" s="199">
        <f>SUM(F330:F331)</f>
        <v>631357</v>
      </c>
      <c r="G329" s="538">
        <f t="shared" si="13"/>
        <v>99.898259493670878</v>
      </c>
    </row>
    <row r="330" spans="2:7" x14ac:dyDescent="0.2">
      <c r="B330" s="166">
        <f t="shared" si="15"/>
        <v>323</v>
      </c>
      <c r="C330" s="138"/>
      <c r="D330" s="138" t="s">
        <v>282</v>
      </c>
      <c r="E330" s="187">
        <f>500000+60000</f>
        <v>560000</v>
      </c>
      <c r="F330" s="187">
        <v>568105</v>
      </c>
      <c r="G330" s="534">
        <f t="shared" ref="G330:G342" si="16">F330/E330*100</f>
        <v>101.44732142857143</v>
      </c>
    </row>
    <row r="331" spans="2:7" s="38" customFormat="1" ht="13.5" thickBot="1" x14ac:dyDescent="0.25">
      <c r="B331" s="166">
        <f t="shared" si="15"/>
        <v>324</v>
      </c>
      <c r="C331" s="263"/>
      <c r="D331" s="264" t="s">
        <v>493</v>
      </c>
      <c r="E331" s="194">
        <v>72000</v>
      </c>
      <c r="F331" s="194">
        <v>63252</v>
      </c>
      <c r="G331" s="536">
        <f t="shared" si="16"/>
        <v>87.85</v>
      </c>
    </row>
    <row r="332" spans="2:7" s="38" customFormat="1" ht="15.75" thickBot="1" x14ac:dyDescent="0.25">
      <c r="B332" s="166">
        <f t="shared" si="15"/>
        <v>325</v>
      </c>
      <c r="C332" s="210">
        <v>9</v>
      </c>
      <c r="D332" s="210" t="s">
        <v>4</v>
      </c>
      <c r="E332" s="211">
        <f>E333</f>
        <v>94098</v>
      </c>
      <c r="F332" s="211">
        <f>F333</f>
        <v>94098</v>
      </c>
      <c r="G332" s="540">
        <f t="shared" si="16"/>
        <v>100</v>
      </c>
    </row>
    <row r="333" spans="2:7" s="38" customFormat="1" x14ac:dyDescent="0.2">
      <c r="B333" s="166">
        <f t="shared" si="15"/>
        <v>326</v>
      </c>
      <c r="C333" s="195">
        <v>311</v>
      </c>
      <c r="D333" s="195" t="s">
        <v>209</v>
      </c>
      <c r="E333" s="196">
        <f>E334</f>
        <v>94098</v>
      </c>
      <c r="F333" s="196">
        <f>F334</f>
        <v>94098</v>
      </c>
      <c r="G333" s="537">
        <f t="shared" si="16"/>
        <v>100</v>
      </c>
    </row>
    <row r="334" spans="2:7" s="38" customFormat="1" ht="13.5" thickBot="1" x14ac:dyDescent="0.25">
      <c r="B334" s="166">
        <f t="shared" si="15"/>
        <v>327</v>
      </c>
      <c r="C334" s="138"/>
      <c r="D334" s="138" t="s">
        <v>705</v>
      </c>
      <c r="E334" s="141">
        <f>80240+13858</f>
        <v>94098</v>
      </c>
      <c r="F334" s="141">
        <v>94098</v>
      </c>
      <c r="G334" s="429">
        <f t="shared" si="16"/>
        <v>100</v>
      </c>
    </row>
    <row r="335" spans="2:7" s="38" customFormat="1" ht="15.75" thickBot="1" x14ac:dyDescent="0.3">
      <c r="B335" s="166">
        <f t="shared" si="15"/>
        <v>328</v>
      </c>
      <c r="C335" s="181">
        <v>10</v>
      </c>
      <c r="D335" s="181" t="s">
        <v>0</v>
      </c>
      <c r="E335" s="182">
        <f>E336</f>
        <v>1000</v>
      </c>
      <c r="F335" s="182">
        <f>F336</f>
        <v>1000</v>
      </c>
      <c r="G335" s="521">
        <f t="shared" si="16"/>
        <v>100</v>
      </c>
    </row>
    <row r="336" spans="2:7" s="38" customFormat="1" ht="24" x14ac:dyDescent="0.2">
      <c r="B336" s="166">
        <f t="shared" si="15"/>
        <v>329</v>
      </c>
      <c r="C336" s="205">
        <v>312001</v>
      </c>
      <c r="D336" s="206" t="s">
        <v>221</v>
      </c>
      <c r="E336" s="207">
        <f>E337</f>
        <v>1000</v>
      </c>
      <c r="F336" s="207">
        <f>F337</f>
        <v>1000</v>
      </c>
      <c r="G336" s="541">
        <f t="shared" si="16"/>
        <v>100</v>
      </c>
    </row>
    <row r="337" spans="2:7" s="38" customFormat="1" ht="13.5" thickBot="1" x14ac:dyDescent="0.25">
      <c r="B337" s="166">
        <f t="shared" si="15"/>
        <v>330</v>
      </c>
      <c r="C337" s="202"/>
      <c r="D337" s="208" t="s">
        <v>639</v>
      </c>
      <c r="E337" s="209">
        <v>1000</v>
      </c>
      <c r="F337" s="209">
        <v>1000</v>
      </c>
      <c r="G337" s="430">
        <f t="shared" si="16"/>
        <v>100</v>
      </c>
    </row>
    <row r="338" spans="2:7" s="38" customFormat="1" ht="15.75" thickBot="1" x14ac:dyDescent="0.25">
      <c r="B338" s="166">
        <f t="shared" si="15"/>
        <v>331</v>
      </c>
      <c r="C338" s="210">
        <v>12</v>
      </c>
      <c r="D338" s="210" t="s">
        <v>5</v>
      </c>
      <c r="E338" s="211">
        <f>E339</f>
        <v>29445</v>
      </c>
      <c r="F338" s="211">
        <f>F339</f>
        <v>29445</v>
      </c>
      <c r="G338" s="540">
        <f t="shared" si="16"/>
        <v>100</v>
      </c>
    </row>
    <row r="339" spans="2:7" s="38" customFormat="1" x14ac:dyDescent="0.2">
      <c r="B339" s="166">
        <f t="shared" si="15"/>
        <v>332</v>
      </c>
      <c r="C339" s="195">
        <v>311</v>
      </c>
      <c r="D339" s="195" t="s">
        <v>209</v>
      </c>
      <c r="E339" s="196">
        <f>E340+E341</f>
        <v>29445</v>
      </c>
      <c r="F339" s="196">
        <f>F340+F341</f>
        <v>29445</v>
      </c>
      <c r="G339" s="537">
        <f t="shared" si="16"/>
        <v>100</v>
      </c>
    </row>
    <row r="340" spans="2:7" s="38" customFormat="1" x14ac:dyDescent="0.2">
      <c r="B340" s="166">
        <f t="shared" si="15"/>
        <v>333</v>
      </c>
      <c r="C340" s="138"/>
      <c r="D340" s="138" t="s">
        <v>705</v>
      </c>
      <c r="E340" s="141">
        <f>26489+2156</f>
        <v>28645</v>
      </c>
      <c r="F340" s="141">
        <v>28645</v>
      </c>
      <c r="G340" s="429">
        <f t="shared" si="16"/>
        <v>100</v>
      </c>
    </row>
    <row r="341" spans="2:7" x14ac:dyDescent="0.2">
      <c r="B341" s="166">
        <f t="shared" si="15"/>
        <v>334</v>
      </c>
      <c r="C341" s="177"/>
      <c r="D341" s="177" t="s">
        <v>754</v>
      </c>
      <c r="E341" s="178">
        <v>800</v>
      </c>
      <c r="F341" s="178">
        <v>800</v>
      </c>
      <c r="G341" s="532">
        <f t="shared" si="16"/>
        <v>100</v>
      </c>
    </row>
    <row r="342" spans="2:7" ht="12.75" customHeight="1" x14ac:dyDescent="0.2">
      <c r="B342" s="166">
        <f>B341+1</f>
        <v>335</v>
      </c>
      <c r="C342" s="212"/>
      <c r="D342" s="212" t="s">
        <v>110</v>
      </c>
      <c r="E342" s="213">
        <f>E274+E21+E6</f>
        <v>79177100</v>
      </c>
      <c r="F342" s="213">
        <f>F274+F21+F6</f>
        <v>78612236</v>
      </c>
      <c r="G342" s="372">
        <f t="shared" si="16"/>
        <v>99.286581599982824</v>
      </c>
    </row>
    <row r="343" spans="2:7" ht="24.75" customHeight="1" x14ac:dyDescent="0.2"/>
    <row r="344" spans="2:7" ht="13.5" customHeight="1" x14ac:dyDescent="0.2">
      <c r="B344" s="603" t="s">
        <v>160</v>
      </c>
      <c r="C344" s="604"/>
      <c r="D344" s="604"/>
      <c r="E344" s="600" t="s">
        <v>747</v>
      </c>
      <c r="F344" s="600" t="s">
        <v>757</v>
      </c>
      <c r="G344" s="597" t="s">
        <v>758</v>
      </c>
    </row>
    <row r="345" spans="2:7" x14ac:dyDescent="0.2">
      <c r="B345" s="605"/>
      <c r="C345" s="606"/>
      <c r="D345" s="606"/>
      <c r="E345" s="601"/>
      <c r="F345" s="601"/>
      <c r="G345" s="598"/>
    </row>
    <row r="346" spans="2:7" ht="19.5" customHeight="1" x14ac:dyDescent="0.2">
      <c r="B346" s="612" t="s">
        <v>107</v>
      </c>
      <c r="C346" s="609" t="s">
        <v>109</v>
      </c>
      <c r="D346" s="611" t="s">
        <v>108</v>
      </c>
      <c r="E346" s="601"/>
      <c r="F346" s="601"/>
      <c r="G346" s="598"/>
    </row>
    <row r="347" spans="2:7" x14ac:dyDescent="0.2">
      <c r="B347" s="612"/>
      <c r="C347" s="610"/>
      <c r="D347" s="619"/>
      <c r="E347" s="602"/>
      <c r="F347" s="602"/>
      <c r="G347" s="599"/>
    </row>
    <row r="348" spans="2:7" ht="16.5" thickBot="1" x14ac:dyDescent="0.3">
      <c r="B348" s="214">
        <v>1</v>
      </c>
      <c r="C348" s="215">
        <v>200</v>
      </c>
      <c r="D348" s="215" t="s">
        <v>159</v>
      </c>
      <c r="E348" s="216">
        <f>E349+E354</f>
        <v>1761315</v>
      </c>
      <c r="F348" s="216">
        <f>F349+F354</f>
        <v>495588</v>
      </c>
      <c r="G348" s="542">
        <f>F348/E348*100</f>
        <v>28.137385987174358</v>
      </c>
    </row>
    <row r="349" spans="2:7" ht="15.75" thickBot="1" x14ac:dyDescent="0.3">
      <c r="B349" s="217">
        <f>B348+1</f>
        <v>2</v>
      </c>
      <c r="C349" s="218"/>
      <c r="D349" s="218" t="s">
        <v>38</v>
      </c>
      <c r="E349" s="219">
        <f>E350</f>
        <v>1757315</v>
      </c>
      <c r="F349" s="219">
        <f>F350</f>
        <v>494898</v>
      </c>
      <c r="G349" s="519">
        <f t="shared" ref="G349:G394" si="17">F349/E349*100</f>
        <v>28.16216785266159</v>
      </c>
    </row>
    <row r="350" spans="2:7" x14ac:dyDescent="0.2">
      <c r="B350" s="217">
        <f t="shared" ref="B350:B394" si="18">B349+1</f>
        <v>3</v>
      </c>
      <c r="C350" s="172">
        <v>230</v>
      </c>
      <c r="D350" s="172" t="s">
        <v>160</v>
      </c>
      <c r="E350" s="173">
        <f>SUM(E351:E353)</f>
        <v>1757315</v>
      </c>
      <c r="F350" s="173">
        <f>SUM(F351:F353)</f>
        <v>494898</v>
      </c>
      <c r="G350" s="520">
        <f t="shared" si="17"/>
        <v>28.16216785266159</v>
      </c>
    </row>
    <row r="351" spans="2:7" x14ac:dyDescent="0.2">
      <c r="B351" s="217">
        <f t="shared" si="18"/>
        <v>4</v>
      </c>
      <c r="C351" s="118">
        <v>231</v>
      </c>
      <c r="D351" s="118" t="s">
        <v>437</v>
      </c>
      <c r="E351" s="20">
        <v>400000</v>
      </c>
      <c r="F351" s="20">
        <f>178530+900</f>
        <v>179430</v>
      </c>
      <c r="G351" s="397">
        <f t="shared" si="17"/>
        <v>44.857500000000002</v>
      </c>
    </row>
    <row r="352" spans="2:7" x14ac:dyDescent="0.2">
      <c r="B352" s="217">
        <f t="shared" si="18"/>
        <v>5</v>
      </c>
      <c r="C352" s="118">
        <v>231</v>
      </c>
      <c r="D352" s="118" t="s">
        <v>678</v>
      </c>
      <c r="E352" s="121">
        <v>207315</v>
      </c>
      <c r="F352" s="121">
        <v>207315</v>
      </c>
      <c r="G352" s="405">
        <f t="shared" si="17"/>
        <v>100</v>
      </c>
    </row>
    <row r="353" spans="1:13" ht="13.5" thickBot="1" x14ac:dyDescent="0.25">
      <c r="B353" s="217">
        <f t="shared" si="18"/>
        <v>6</v>
      </c>
      <c r="C353" s="118">
        <v>233001</v>
      </c>
      <c r="D353" s="118" t="s">
        <v>161</v>
      </c>
      <c r="E353" s="121">
        <f>150000+1000000</f>
        <v>1150000</v>
      </c>
      <c r="F353" s="121">
        <v>108153</v>
      </c>
      <c r="G353" s="405">
        <f t="shared" si="17"/>
        <v>9.4046086956521737</v>
      </c>
    </row>
    <row r="354" spans="1:13" ht="15.75" thickBot="1" x14ac:dyDescent="0.3">
      <c r="B354" s="217">
        <f t="shared" si="18"/>
        <v>7</v>
      </c>
      <c r="C354" s="181">
        <v>2</v>
      </c>
      <c r="D354" s="181" t="s">
        <v>506</v>
      </c>
      <c r="E354" s="182">
        <f>E355</f>
        <v>4000</v>
      </c>
      <c r="F354" s="182">
        <f>F355</f>
        <v>690</v>
      </c>
      <c r="G354" s="521">
        <f t="shared" si="17"/>
        <v>17.25</v>
      </c>
    </row>
    <row r="355" spans="1:13" x14ac:dyDescent="0.2">
      <c r="B355" s="217">
        <f t="shared" si="18"/>
        <v>8</v>
      </c>
      <c r="C355" s="185">
        <v>230</v>
      </c>
      <c r="D355" s="183" t="s">
        <v>160</v>
      </c>
      <c r="E355" s="186">
        <f t="shared" ref="E355:F355" si="19">E356</f>
        <v>4000</v>
      </c>
      <c r="F355" s="186">
        <f t="shared" si="19"/>
        <v>690</v>
      </c>
      <c r="G355" s="522">
        <f t="shared" si="17"/>
        <v>17.25</v>
      </c>
    </row>
    <row r="356" spans="1:13" x14ac:dyDescent="0.2">
      <c r="A356" s="307" t="s">
        <v>433</v>
      </c>
      <c r="B356" s="217">
        <f t="shared" si="18"/>
        <v>9</v>
      </c>
      <c r="C356" s="138">
        <v>231</v>
      </c>
      <c r="D356" s="138" t="s">
        <v>640</v>
      </c>
      <c r="E356" s="141">
        <v>4000</v>
      </c>
      <c r="F356" s="141">
        <v>690</v>
      </c>
      <c r="G356" s="429">
        <f t="shared" si="17"/>
        <v>17.25</v>
      </c>
    </row>
    <row r="357" spans="1:13" ht="16.5" thickBot="1" x14ac:dyDescent="0.3">
      <c r="B357" s="217">
        <f>B356+1</f>
        <v>10</v>
      </c>
      <c r="C357" s="220">
        <v>300</v>
      </c>
      <c r="D357" s="220" t="s">
        <v>210</v>
      </c>
      <c r="E357" s="221">
        <f>E358+E387</f>
        <v>59222135</v>
      </c>
      <c r="F357" s="221">
        <f>F358+F387+F391</f>
        <v>13064224</v>
      </c>
      <c r="G357" s="523">
        <f t="shared" si="17"/>
        <v>22.059697780230316</v>
      </c>
    </row>
    <row r="358" spans="1:13" ht="15.75" thickBot="1" x14ac:dyDescent="0.3">
      <c r="B358" s="217">
        <f t="shared" si="18"/>
        <v>11</v>
      </c>
      <c r="C358" s="218"/>
      <c r="D358" s="218" t="s">
        <v>38</v>
      </c>
      <c r="E358" s="219">
        <f>E359</f>
        <v>58916113</v>
      </c>
      <c r="F358" s="219">
        <f>F359</f>
        <v>12748307</v>
      </c>
      <c r="G358" s="519">
        <f t="shared" si="17"/>
        <v>21.638065294633403</v>
      </c>
    </row>
    <row r="359" spans="1:13" x14ac:dyDescent="0.2">
      <c r="B359" s="217">
        <f t="shared" si="18"/>
        <v>12</v>
      </c>
      <c r="C359" s="172">
        <v>320</v>
      </c>
      <c r="D359" s="172" t="s">
        <v>258</v>
      </c>
      <c r="E359" s="173">
        <f>E362+E360</f>
        <v>58916113</v>
      </c>
      <c r="F359" s="173">
        <f>F362+F360</f>
        <v>12748307</v>
      </c>
      <c r="G359" s="520">
        <f t="shared" si="17"/>
        <v>21.638065294633403</v>
      </c>
    </row>
    <row r="360" spans="1:13" x14ac:dyDescent="0.2">
      <c r="B360" s="217">
        <f t="shared" si="18"/>
        <v>13</v>
      </c>
      <c r="C360" s="222">
        <v>321</v>
      </c>
      <c r="D360" s="222" t="s">
        <v>679</v>
      </c>
      <c r="E360" s="223">
        <f>E361</f>
        <v>20000</v>
      </c>
      <c r="F360" s="223">
        <f>F361</f>
        <v>20000</v>
      </c>
      <c r="G360" s="524">
        <f t="shared" si="17"/>
        <v>100</v>
      </c>
    </row>
    <row r="361" spans="1:13" x14ac:dyDescent="0.2">
      <c r="B361" s="217">
        <f t="shared" si="18"/>
        <v>14</v>
      </c>
      <c r="C361" s="22"/>
      <c r="D361" s="55" t="s">
        <v>680</v>
      </c>
      <c r="E361" s="56">
        <v>20000</v>
      </c>
      <c r="F361" s="56">
        <v>20000</v>
      </c>
      <c r="G361" s="396">
        <f t="shared" si="17"/>
        <v>100</v>
      </c>
    </row>
    <row r="362" spans="1:13" x14ac:dyDescent="0.2">
      <c r="B362" s="217">
        <f t="shared" si="18"/>
        <v>15</v>
      </c>
      <c r="C362" s="222">
        <v>322001</v>
      </c>
      <c r="D362" s="222" t="s">
        <v>259</v>
      </c>
      <c r="E362" s="223">
        <f>SUM(E363:E386)</f>
        <v>58896113</v>
      </c>
      <c r="F362" s="223">
        <f>SUM(F363:F386)</f>
        <v>12728307</v>
      </c>
      <c r="G362" s="524">
        <f t="shared" si="17"/>
        <v>21.611455071746416</v>
      </c>
      <c r="K362" s="307" t="s">
        <v>785</v>
      </c>
      <c r="L362" s="5">
        <f>F374+F376+F377+F384+F386+F390</f>
        <v>6290063</v>
      </c>
      <c r="M362" s="5">
        <f>F357-L362</f>
        <v>6774161</v>
      </c>
    </row>
    <row r="363" spans="1:13" x14ac:dyDescent="0.2">
      <c r="B363" s="217">
        <f t="shared" si="18"/>
        <v>16</v>
      </c>
      <c r="C363" s="22"/>
      <c r="D363" s="55" t="s">
        <v>267</v>
      </c>
      <c r="E363" s="56">
        <f>10840870-3973987+162111</f>
        <v>7028994</v>
      </c>
      <c r="F363" s="56">
        <v>6588740</v>
      </c>
      <c r="G363" s="396">
        <f t="shared" si="17"/>
        <v>93.736600145056315</v>
      </c>
    </row>
    <row r="364" spans="1:13" ht="24" x14ac:dyDescent="0.2">
      <c r="B364" s="217">
        <f t="shared" si="18"/>
        <v>17</v>
      </c>
      <c r="C364" s="22"/>
      <c r="D364" s="55" t="s">
        <v>772</v>
      </c>
      <c r="E364" s="56">
        <v>61000</v>
      </c>
      <c r="F364" s="56">
        <v>0</v>
      </c>
      <c r="G364" s="396">
        <f t="shared" si="17"/>
        <v>0</v>
      </c>
    </row>
    <row r="365" spans="1:13" ht="24" x14ac:dyDescent="0.2">
      <c r="B365" s="217">
        <f t="shared" si="18"/>
        <v>18</v>
      </c>
      <c r="C365" s="22"/>
      <c r="D365" s="55" t="s">
        <v>681</v>
      </c>
      <c r="E365" s="56">
        <v>14000</v>
      </c>
      <c r="F365" s="56">
        <v>14000</v>
      </c>
      <c r="G365" s="396">
        <f t="shared" si="17"/>
        <v>100</v>
      </c>
    </row>
    <row r="366" spans="1:13" ht="24" x14ac:dyDescent="0.2">
      <c r="B366" s="217">
        <f t="shared" si="18"/>
        <v>19</v>
      </c>
      <c r="C366" s="22"/>
      <c r="D366" s="55" t="s">
        <v>420</v>
      </c>
      <c r="E366" s="56">
        <f>707630-566104</f>
        <v>141526</v>
      </c>
      <c r="F366" s="56">
        <v>141526</v>
      </c>
      <c r="G366" s="396">
        <f t="shared" si="17"/>
        <v>100</v>
      </c>
    </row>
    <row r="367" spans="1:13" ht="24" x14ac:dyDescent="0.2">
      <c r="B367" s="217">
        <f t="shared" si="18"/>
        <v>20</v>
      </c>
      <c r="C367" s="22"/>
      <c r="D367" s="55" t="s">
        <v>694</v>
      </c>
      <c r="E367" s="56">
        <v>8000</v>
      </c>
      <c r="F367" s="56">
        <v>0</v>
      </c>
      <c r="G367" s="396">
        <f t="shared" si="17"/>
        <v>0</v>
      </c>
    </row>
    <row r="368" spans="1:13" x14ac:dyDescent="0.2">
      <c r="B368" s="217">
        <f t="shared" si="18"/>
        <v>21</v>
      </c>
      <c r="C368" s="22"/>
      <c r="D368" s="55" t="s">
        <v>439</v>
      </c>
      <c r="E368" s="56">
        <v>6223762</v>
      </c>
      <c r="F368" s="56">
        <v>0</v>
      </c>
      <c r="G368" s="396">
        <f t="shared" si="17"/>
        <v>0</v>
      </c>
    </row>
    <row r="369" spans="2:7" x14ac:dyDescent="0.2">
      <c r="B369" s="217">
        <f t="shared" si="18"/>
        <v>22</v>
      </c>
      <c r="C369" s="22"/>
      <c r="D369" s="55" t="s">
        <v>440</v>
      </c>
      <c r="E369" s="56">
        <v>386094</v>
      </c>
      <c r="F369" s="56">
        <v>0</v>
      </c>
      <c r="G369" s="396">
        <f t="shared" si="17"/>
        <v>0</v>
      </c>
    </row>
    <row r="370" spans="2:7" x14ac:dyDescent="0.2">
      <c r="B370" s="217">
        <f t="shared" si="18"/>
        <v>23</v>
      </c>
      <c r="C370" s="22"/>
      <c r="D370" s="55" t="s">
        <v>610</v>
      </c>
      <c r="E370" s="56">
        <f>763600-153590</f>
        <v>610010</v>
      </c>
      <c r="F370" s="56">
        <v>0</v>
      </c>
      <c r="G370" s="396">
        <f t="shared" si="17"/>
        <v>0</v>
      </c>
    </row>
    <row r="371" spans="2:7" x14ac:dyDescent="0.2">
      <c r="B371" s="217">
        <f t="shared" si="18"/>
        <v>24</v>
      </c>
      <c r="C371" s="22"/>
      <c r="D371" s="55" t="s">
        <v>441</v>
      </c>
      <c r="E371" s="56">
        <f>36800+322000</f>
        <v>358800</v>
      </c>
      <c r="F371" s="56">
        <v>0</v>
      </c>
      <c r="G371" s="396">
        <f t="shared" si="17"/>
        <v>0</v>
      </c>
    </row>
    <row r="372" spans="2:7" ht="15.75" customHeight="1" x14ac:dyDescent="0.2">
      <c r="B372" s="217">
        <f t="shared" si="18"/>
        <v>25</v>
      </c>
      <c r="C372" s="22"/>
      <c r="D372" s="55" t="s">
        <v>689</v>
      </c>
      <c r="E372" s="56">
        <v>2377300</v>
      </c>
      <c r="F372" s="56">
        <v>0</v>
      </c>
      <c r="G372" s="396">
        <f t="shared" si="17"/>
        <v>0</v>
      </c>
    </row>
    <row r="373" spans="2:7" ht="14.25" customHeight="1" x14ac:dyDescent="0.2">
      <c r="B373" s="217">
        <f t="shared" si="18"/>
        <v>26</v>
      </c>
      <c r="C373" s="22"/>
      <c r="D373" s="55" t="s">
        <v>442</v>
      </c>
      <c r="E373" s="56">
        <v>662400</v>
      </c>
      <c r="F373" s="56">
        <v>0</v>
      </c>
      <c r="G373" s="396">
        <f t="shared" si="17"/>
        <v>0</v>
      </c>
    </row>
    <row r="374" spans="2:7" x14ac:dyDescent="0.2">
      <c r="B374" s="217">
        <f t="shared" si="18"/>
        <v>27</v>
      </c>
      <c r="C374" s="22"/>
      <c r="D374" s="55" t="s">
        <v>443</v>
      </c>
      <c r="E374" s="56">
        <v>4834739</v>
      </c>
      <c r="F374" s="56">
        <v>3853231</v>
      </c>
      <c r="G374" s="396">
        <f t="shared" si="17"/>
        <v>79.698842067793109</v>
      </c>
    </row>
    <row r="375" spans="2:7" x14ac:dyDescent="0.2">
      <c r="B375" s="217">
        <f t="shared" si="18"/>
        <v>28</v>
      </c>
      <c r="C375" s="22"/>
      <c r="D375" s="55" t="s">
        <v>400</v>
      </c>
      <c r="E375" s="56">
        <v>1087992</v>
      </c>
      <c r="F375" s="56">
        <v>0</v>
      </c>
      <c r="G375" s="396">
        <f t="shared" si="17"/>
        <v>0</v>
      </c>
    </row>
    <row r="376" spans="2:7" x14ac:dyDescent="0.2">
      <c r="B376" s="217">
        <f t="shared" si="18"/>
        <v>29</v>
      </c>
      <c r="C376" s="22"/>
      <c r="D376" s="55" t="s">
        <v>462</v>
      </c>
      <c r="E376" s="56">
        <v>2208000</v>
      </c>
      <c r="F376" s="56">
        <v>506832</v>
      </c>
      <c r="G376" s="396">
        <f t="shared" si="17"/>
        <v>22.954347826086956</v>
      </c>
    </row>
    <row r="377" spans="2:7" ht="13.5" customHeight="1" x14ac:dyDescent="0.2">
      <c r="B377" s="217">
        <f t="shared" si="18"/>
        <v>30</v>
      </c>
      <c r="C377" s="22"/>
      <c r="D377" s="55" t="s">
        <v>523</v>
      </c>
      <c r="E377" s="56">
        <f>1564000-604837</f>
        <v>959163</v>
      </c>
      <c r="F377" s="56">
        <v>249870</v>
      </c>
      <c r="G377" s="396">
        <f t="shared" si="17"/>
        <v>26.050838074446158</v>
      </c>
    </row>
    <row r="378" spans="2:7" x14ac:dyDescent="0.2">
      <c r="B378" s="217">
        <f t="shared" si="18"/>
        <v>31</v>
      </c>
      <c r="C378" s="22"/>
      <c r="D378" s="55" t="s">
        <v>293</v>
      </c>
      <c r="E378" s="56">
        <f>1656000+368000-244720</f>
        <v>1779280</v>
      </c>
      <c r="F378" s="56">
        <v>0</v>
      </c>
      <c r="G378" s="396">
        <f t="shared" si="17"/>
        <v>0</v>
      </c>
    </row>
    <row r="379" spans="2:7" x14ac:dyDescent="0.2">
      <c r="B379" s="217">
        <f t="shared" si="18"/>
        <v>32</v>
      </c>
      <c r="C379" s="22"/>
      <c r="D379" s="55" t="s">
        <v>424</v>
      </c>
      <c r="E379" s="56">
        <v>920000</v>
      </c>
      <c r="F379" s="56">
        <v>0</v>
      </c>
      <c r="G379" s="396">
        <f t="shared" si="17"/>
        <v>0</v>
      </c>
    </row>
    <row r="380" spans="2:7" x14ac:dyDescent="0.2">
      <c r="B380" s="217">
        <f t="shared" si="18"/>
        <v>33</v>
      </c>
      <c r="C380" s="22"/>
      <c r="D380" s="55" t="s">
        <v>288</v>
      </c>
      <c r="E380" s="56">
        <v>515200</v>
      </c>
      <c r="F380" s="56">
        <v>0</v>
      </c>
      <c r="G380" s="396">
        <f t="shared" si="17"/>
        <v>0</v>
      </c>
    </row>
    <row r="381" spans="2:7" x14ac:dyDescent="0.2">
      <c r="B381" s="217">
        <f t="shared" si="18"/>
        <v>34</v>
      </c>
      <c r="C381" s="22"/>
      <c r="D381" s="55" t="s">
        <v>530</v>
      </c>
      <c r="E381" s="56">
        <v>1702000</v>
      </c>
      <c r="F381" s="56">
        <v>0</v>
      </c>
      <c r="G381" s="396">
        <f t="shared" si="17"/>
        <v>0</v>
      </c>
    </row>
    <row r="382" spans="2:7" x14ac:dyDescent="0.2">
      <c r="B382" s="217">
        <f t="shared" si="18"/>
        <v>35</v>
      </c>
      <c r="C382" s="22"/>
      <c r="D382" s="117" t="s">
        <v>444</v>
      </c>
      <c r="E382" s="56">
        <v>13800000</v>
      </c>
      <c r="F382" s="56">
        <v>0</v>
      </c>
      <c r="G382" s="396">
        <f t="shared" si="17"/>
        <v>0</v>
      </c>
    </row>
    <row r="383" spans="2:7" x14ac:dyDescent="0.2">
      <c r="B383" s="217">
        <f t="shared" si="18"/>
        <v>36</v>
      </c>
      <c r="C383" s="22"/>
      <c r="D383" s="340" t="s">
        <v>716</v>
      </c>
      <c r="E383" s="56">
        <f>1316704+30749+95829</f>
        <v>1443282</v>
      </c>
      <c r="F383" s="56">
        <v>0</v>
      </c>
      <c r="G383" s="396">
        <f t="shared" si="17"/>
        <v>0</v>
      </c>
    </row>
    <row r="384" spans="2:7" ht="24" x14ac:dyDescent="0.2">
      <c r="B384" s="217">
        <f t="shared" si="18"/>
        <v>37</v>
      </c>
      <c r="C384" s="22"/>
      <c r="D384" s="55" t="s">
        <v>445</v>
      </c>
      <c r="E384" s="56">
        <f>950800-115883</f>
        <v>834917</v>
      </c>
      <c r="F384" s="56">
        <v>774047</v>
      </c>
      <c r="G384" s="396">
        <f t="shared" si="17"/>
        <v>92.709454951809576</v>
      </c>
    </row>
    <row r="385" spans="2:7" ht="24" x14ac:dyDescent="0.2">
      <c r="B385" s="217">
        <f t="shared" si="18"/>
        <v>38</v>
      </c>
      <c r="C385" s="224"/>
      <c r="D385" s="544" t="s">
        <v>729</v>
      </c>
      <c r="E385" s="226">
        <v>6339654</v>
      </c>
      <c r="F385" s="226">
        <v>0</v>
      </c>
      <c r="G385" s="525">
        <f t="shared" si="17"/>
        <v>0</v>
      </c>
    </row>
    <row r="386" spans="2:7" ht="13.5" thickBot="1" x14ac:dyDescent="0.25">
      <c r="B386" s="217">
        <f t="shared" si="18"/>
        <v>39</v>
      </c>
      <c r="C386" s="224"/>
      <c r="D386" s="543" t="s">
        <v>728</v>
      </c>
      <c r="E386" s="226">
        <f>3588000+331345+680655</f>
        <v>4600000</v>
      </c>
      <c r="F386" s="226">
        <v>600061</v>
      </c>
      <c r="G386" s="525">
        <f t="shared" si="17"/>
        <v>13.044804347826085</v>
      </c>
    </row>
    <row r="387" spans="2:7" ht="15.75" thickBot="1" x14ac:dyDescent="0.3">
      <c r="B387" s="217">
        <f t="shared" si="18"/>
        <v>40</v>
      </c>
      <c r="C387" s="218">
        <v>2</v>
      </c>
      <c r="D387" s="218" t="s">
        <v>11</v>
      </c>
      <c r="E387" s="219">
        <f t="shared" ref="E387:F389" si="20">E388</f>
        <v>306022</v>
      </c>
      <c r="F387" s="219">
        <f t="shared" si="20"/>
        <v>306022</v>
      </c>
      <c r="G387" s="519">
        <f t="shared" si="17"/>
        <v>100</v>
      </c>
    </row>
    <row r="388" spans="2:7" x14ac:dyDescent="0.2">
      <c r="B388" s="217">
        <f t="shared" si="18"/>
        <v>41</v>
      </c>
      <c r="C388" s="172">
        <v>320</v>
      </c>
      <c r="D388" s="172" t="s">
        <v>258</v>
      </c>
      <c r="E388" s="173">
        <f t="shared" si="20"/>
        <v>306022</v>
      </c>
      <c r="F388" s="173">
        <f t="shared" si="20"/>
        <v>306022</v>
      </c>
      <c r="G388" s="520">
        <f t="shared" si="17"/>
        <v>100</v>
      </c>
    </row>
    <row r="389" spans="2:7" x14ac:dyDescent="0.2">
      <c r="B389" s="217">
        <f t="shared" si="18"/>
        <v>42</v>
      </c>
      <c r="C389" s="222">
        <v>322001</v>
      </c>
      <c r="D389" s="222" t="s">
        <v>259</v>
      </c>
      <c r="E389" s="223">
        <f t="shared" si="20"/>
        <v>306022</v>
      </c>
      <c r="F389" s="223">
        <f t="shared" si="20"/>
        <v>306022</v>
      </c>
      <c r="G389" s="524">
        <f t="shared" si="17"/>
        <v>100</v>
      </c>
    </row>
    <row r="390" spans="2:7" ht="24.75" thickBot="1" x14ac:dyDescent="0.25">
      <c r="B390" s="217">
        <f t="shared" si="18"/>
        <v>43</v>
      </c>
      <c r="C390" s="224"/>
      <c r="D390" s="225" t="s">
        <v>470</v>
      </c>
      <c r="E390" s="226">
        <v>306022</v>
      </c>
      <c r="F390" s="226">
        <v>306022</v>
      </c>
      <c r="G390" s="525">
        <f t="shared" si="17"/>
        <v>100</v>
      </c>
    </row>
    <row r="391" spans="2:7" ht="15.75" thickBot="1" x14ac:dyDescent="0.3">
      <c r="B391" s="217">
        <f t="shared" si="18"/>
        <v>44</v>
      </c>
      <c r="C391" s="181">
        <v>10</v>
      </c>
      <c r="D391" s="181" t="s">
        <v>0</v>
      </c>
      <c r="E391" s="182">
        <f>E392</f>
        <v>0</v>
      </c>
      <c r="F391" s="182">
        <f>F392</f>
        <v>9895</v>
      </c>
      <c r="G391" s="521">
        <v>0</v>
      </c>
    </row>
    <row r="392" spans="2:7" x14ac:dyDescent="0.2">
      <c r="B392" s="217">
        <f t="shared" si="18"/>
        <v>45</v>
      </c>
      <c r="C392" s="195">
        <v>322002</v>
      </c>
      <c r="D392" s="195" t="s">
        <v>274</v>
      </c>
      <c r="E392" s="196">
        <f>E393</f>
        <v>0</v>
      </c>
      <c r="F392" s="196">
        <f>F393</f>
        <v>9895</v>
      </c>
      <c r="G392" s="537">
        <v>0</v>
      </c>
    </row>
    <row r="393" spans="2:7" x14ac:dyDescent="0.2">
      <c r="B393" s="217">
        <f t="shared" si="18"/>
        <v>46</v>
      </c>
      <c r="C393" s="200"/>
      <c r="D393" s="138" t="s">
        <v>275</v>
      </c>
      <c r="E393" s="141">
        <v>0</v>
      </c>
      <c r="F393" s="141">
        <v>9895</v>
      </c>
      <c r="G393" s="429">
        <v>0</v>
      </c>
    </row>
    <row r="394" spans="2:7" ht="15" x14ac:dyDescent="0.2">
      <c r="B394" s="217">
        <f t="shared" si="18"/>
        <v>47</v>
      </c>
      <c r="C394" s="227"/>
      <c r="D394" s="227" t="s">
        <v>40</v>
      </c>
      <c r="E394" s="228">
        <f>E357+E348</f>
        <v>60983450</v>
      </c>
      <c r="F394" s="228">
        <f>F357+F348</f>
        <v>13559812</v>
      </c>
      <c r="G394" s="373">
        <f t="shared" si="17"/>
        <v>22.235232673782804</v>
      </c>
    </row>
    <row r="395" spans="2:7" ht="12.75" customHeight="1" x14ac:dyDescent="0.2"/>
    <row r="396" spans="2:7" ht="15.75" customHeight="1" x14ac:dyDescent="0.2">
      <c r="B396" s="603" t="s">
        <v>295</v>
      </c>
      <c r="C396" s="604"/>
      <c r="D396" s="604"/>
      <c r="E396" s="600" t="s">
        <v>747</v>
      </c>
      <c r="F396" s="600" t="s">
        <v>757</v>
      </c>
      <c r="G396" s="597" t="s">
        <v>758</v>
      </c>
    </row>
    <row r="397" spans="2:7" ht="17.25" customHeight="1" x14ac:dyDescent="0.2">
      <c r="B397" s="605"/>
      <c r="C397" s="606"/>
      <c r="D397" s="606"/>
      <c r="E397" s="601"/>
      <c r="F397" s="601"/>
      <c r="G397" s="598"/>
    </row>
    <row r="398" spans="2:7" ht="17.25" customHeight="1" x14ac:dyDescent="0.2">
      <c r="B398" s="608" t="s">
        <v>107</v>
      </c>
      <c r="C398" s="609" t="s">
        <v>109</v>
      </c>
      <c r="D398" s="611" t="s">
        <v>108</v>
      </c>
      <c r="E398" s="601"/>
      <c r="F398" s="601"/>
      <c r="G398" s="598"/>
    </row>
    <row r="399" spans="2:7" x14ac:dyDescent="0.2">
      <c r="B399" s="608"/>
      <c r="C399" s="609"/>
      <c r="D399" s="611"/>
      <c r="E399" s="602"/>
      <c r="F399" s="602"/>
      <c r="G399" s="599"/>
    </row>
    <row r="400" spans="2:7" ht="15" x14ac:dyDescent="0.2">
      <c r="B400" s="229">
        <v>1</v>
      </c>
      <c r="C400" s="230"/>
      <c r="D400" s="230" t="s">
        <v>110</v>
      </c>
      <c r="E400" s="231">
        <f>E342</f>
        <v>79177100</v>
      </c>
      <c r="F400" s="231">
        <f>F342</f>
        <v>78612236</v>
      </c>
      <c r="G400" s="374">
        <f t="shared" ref="G400:G402" si="21">F400/E400*100</f>
        <v>99.286581599982824</v>
      </c>
    </row>
    <row r="401" spans="2:7" ht="15" x14ac:dyDescent="0.2">
      <c r="B401" s="229">
        <v>2</v>
      </c>
      <c r="C401" s="230"/>
      <c r="D401" s="230" t="s">
        <v>40</v>
      </c>
      <c r="E401" s="231">
        <f>E394</f>
        <v>60983450</v>
      </c>
      <c r="F401" s="231">
        <f>F394</f>
        <v>13559812</v>
      </c>
      <c r="G401" s="374">
        <f t="shared" si="21"/>
        <v>22.235232673782804</v>
      </c>
    </row>
    <row r="402" spans="2:7" s="288" customFormat="1" ht="15" x14ac:dyDescent="0.2">
      <c r="B402" s="232">
        <v>3</v>
      </c>
      <c r="C402" s="233"/>
      <c r="D402" s="233" t="s">
        <v>41</v>
      </c>
      <c r="E402" s="234">
        <f>E401+E400</f>
        <v>140160550</v>
      </c>
      <c r="F402" s="234">
        <f>F401+F400</f>
        <v>92172048</v>
      </c>
      <c r="G402" s="375">
        <f t="shared" si="21"/>
        <v>65.761762493083822</v>
      </c>
    </row>
    <row r="403" spans="2:7" s="261" customFormat="1" x14ac:dyDescent="0.2">
      <c r="B403" s="291"/>
      <c r="C403" s="288"/>
      <c r="D403" s="288"/>
      <c r="G403" s="403"/>
    </row>
    <row r="404" spans="2:7" s="288" customFormat="1" x14ac:dyDescent="0.2">
      <c r="B404" s="291"/>
      <c r="E404" s="261"/>
      <c r="F404" s="261"/>
      <c r="G404" s="403"/>
    </row>
    <row r="405" spans="2:7" s="288" customFormat="1" x14ac:dyDescent="0.2">
      <c r="B405" s="291"/>
      <c r="E405" s="261"/>
      <c r="F405" s="261"/>
      <c r="G405" s="403"/>
    </row>
    <row r="406" spans="2:7" s="288" customFormat="1" x14ac:dyDescent="0.2">
      <c r="B406" s="291"/>
      <c r="E406" s="261"/>
      <c r="F406" s="261"/>
      <c r="G406" s="403"/>
    </row>
    <row r="407" spans="2:7" s="288" customFormat="1" x14ac:dyDescent="0.2">
      <c r="B407" s="291"/>
      <c r="E407" s="261"/>
      <c r="F407" s="261"/>
      <c r="G407" s="403"/>
    </row>
    <row r="408" spans="2:7" s="288" customFormat="1" x14ac:dyDescent="0.2">
      <c r="B408" s="291"/>
      <c r="E408" s="261"/>
      <c r="F408" s="261"/>
      <c r="G408" s="403"/>
    </row>
    <row r="409" spans="2:7" s="288" customFormat="1" x14ac:dyDescent="0.2">
      <c r="B409" s="291"/>
      <c r="E409" s="261"/>
      <c r="F409" s="261"/>
      <c r="G409" s="403"/>
    </row>
    <row r="410" spans="2:7" s="288" customFormat="1" x14ac:dyDescent="0.2">
      <c r="B410" s="291"/>
      <c r="E410" s="261"/>
      <c r="F410" s="261"/>
      <c r="G410" s="403"/>
    </row>
    <row r="411" spans="2:7" s="288" customFormat="1" x14ac:dyDescent="0.2">
      <c r="B411" s="291"/>
      <c r="E411" s="261"/>
      <c r="F411" s="261"/>
      <c r="G411" s="403"/>
    </row>
    <row r="412" spans="2:7" s="288" customFormat="1" x14ac:dyDescent="0.2">
      <c r="B412" s="291"/>
      <c r="E412" s="261"/>
      <c r="F412" s="261"/>
      <c r="G412" s="403"/>
    </row>
    <row r="413" spans="2:7" s="288" customFormat="1" x14ac:dyDescent="0.2">
      <c r="B413" s="291"/>
      <c r="E413" s="261"/>
      <c r="F413" s="261"/>
      <c r="G413" s="403"/>
    </row>
    <row r="414" spans="2:7" s="288" customFormat="1" x14ac:dyDescent="0.2">
      <c r="B414" s="291"/>
      <c r="E414" s="261"/>
      <c r="F414" s="261"/>
      <c r="G414" s="403"/>
    </row>
    <row r="415" spans="2:7" s="288" customFormat="1" x14ac:dyDescent="0.2">
      <c r="B415" s="291"/>
      <c r="E415" s="261"/>
      <c r="F415" s="261"/>
      <c r="G415" s="403"/>
    </row>
    <row r="416" spans="2:7" s="288" customFormat="1" x14ac:dyDescent="0.2">
      <c r="B416" s="291"/>
      <c r="E416" s="261"/>
      <c r="F416" s="261"/>
      <c r="G416" s="403"/>
    </row>
    <row r="417" spans="2:7" s="288" customFormat="1" x14ac:dyDescent="0.2">
      <c r="B417" s="291"/>
      <c r="E417" s="261"/>
      <c r="F417" s="261"/>
      <c r="G417" s="403"/>
    </row>
    <row r="418" spans="2:7" s="288" customFormat="1" x14ac:dyDescent="0.2">
      <c r="B418" s="291"/>
      <c r="E418" s="261"/>
      <c r="F418" s="261"/>
      <c r="G418" s="403"/>
    </row>
    <row r="419" spans="2:7" s="288" customFormat="1" x14ac:dyDescent="0.2">
      <c r="B419" s="291"/>
      <c r="E419" s="261"/>
      <c r="F419" s="261"/>
      <c r="G419" s="403"/>
    </row>
    <row r="420" spans="2:7" s="288" customFormat="1" x14ac:dyDescent="0.2">
      <c r="B420" s="291"/>
      <c r="E420" s="261"/>
      <c r="F420" s="261"/>
      <c r="G420" s="403"/>
    </row>
    <row r="421" spans="2:7" s="288" customFormat="1" x14ac:dyDescent="0.2">
      <c r="B421" s="291"/>
      <c r="E421" s="261"/>
      <c r="F421" s="261"/>
      <c r="G421" s="403"/>
    </row>
    <row r="422" spans="2:7" s="288" customFormat="1" x14ac:dyDescent="0.2">
      <c r="B422" s="291"/>
      <c r="E422" s="261"/>
      <c r="F422" s="261"/>
      <c r="G422" s="403"/>
    </row>
    <row r="423" spans="2:7" s="288" customFormat="1" x14ac:dyDescent="0.2">
      <c r="B423" s="291"/>
      <c r="E423" s="261"/>
      <c r="F423" s="261"/>
      <c r="G423" s="403"/>
    </row>
    <row r="424" spans="2:7" s="288" customFormat="1" x14ac:dyDescent="0.2">
      <c r="B424" s="291"/>
      <c r="E424" s="261"/>
      <c r="F424" s="261"/>
      <c r="G424" s="403"/>
    </row>
    <row r="425" spans="2:7" s="288" customFormat="1" x14ac:dyDescent="0.2">
      <c r="B425" s="291"/>
      <c r="E425" s="261"/>
      <c r="F425" s="261"/>
      <c r="G425" s="403"/>
    </row>
    <row r="426" spans="2:7" s="288" customFormat="1" x14ac:dyDescent="0.2">
      <c r="B426" s="291"/>
      <c r="E426" s="261"/>
      <c r="F426" s="261"/>
      <c r="G426" s="403"/>
    </row>
    <row r="427" spans="2:7" s="288" customFormat="1" x14ac:dyDescent="0.2">
      <c r="B427" s="291"/>
      <c r="E427" s="261"/>
      <c r="F427" s="261"/>
      <c r="G427" s="403"/>
    </row>
    <row r="428" spans="2:7" s="288" customFormat="1" x14ac:dyDescent="0.2">
      <c r="B428" s="291"/>
      <c r="E428" s="261"/>
      <c r="F428" s="261"/>
      <c r="G428" s="403"/>
    </row>
    <row r="429" spans="2:7" s="288" customFormat="1" x14ac:dyDescent="0.2">
      <c r="B429" s="291"/>
      <c r="E429" s="261"/>
      <c r="F429" s="261"/>
      <c r="G429" s="403"/>
    </row>
    <row r="430" spans="2:7" s="288" customFormat="1" x14ac:dyDescent="0.2">
      <c r="B430" s="291"/>
      <c r="E430" s="261"/>
      <c r="F430" s="261"/>
      <c r="G430" s="403"/>
    </row>
    <row r="431" spans="2:7" s="288" customFormat="1" x14ac:dyDescent="0.2">
      <c r="B431" s="291"/>
      <c r="E431" s="261"/>
      <c r="F431" s="261"/>
      <c r="G431" s="403"/>
    </row>
    <row r="432" spans="2:7" s="288" customFormat="1" x14ac:dyDescent="0.2">
      <c r="B432" s="291"/>
      <c r="E432" s="261"/>
      <c r="F432" s="261"/>
      <c r="G432" s="403"/>
    </row>
    <row r="433" spans="2:7" s="288" customFormat="1" x14ac:dyDescent="0.2">
      <c r="B433" s="291"/>
      <c r="E433" s="261"/>
      <c r="F433" s="261"/>
      <c r="G433" s="403"/>
    </row>
    <row r="434" spans="2:7" s="288" customFormat="1" x14ac:dyDescent="0.2">
      <c r="B434" s="291"/>
      <c r="E434" s="261"/>
      <c r="F434" s="261"/>
      <c r="G434" s="403"/>
    </row>
    <row r="435" spans="2:7" s="288" customFormat="1" x14ac:dyDescent="0.2">
      <c r="B435" s="291"/>
      <c r="E435" s="261"/>
      <c r="F435" s="261"/>
      <c r="G435" s="403"/>
    </row>
    <row r="436" spans="2:7" s="288" customFormat="1" x14ac:dyDescent="0.2">
      <c r="B436" s="291"/>
      <c r="E436" s="261"/>
      <c r="F436" s="261"/>
      <c r="G436" s="403"/>
    </row>
    <row r="437" spans="2:7" s="288" customFormat="1" x14ac:dyDescent="0.2">
      <c r="B437" s="291"/>
      <c r="E437" s="261"/>
      <c r="F437" s="261"/>
      <c r="G437" s="403"/>
    </row>
    <row r="438" spans="2:7" s="288" customFormat="1" x14ac:dyDescent="0.2">
      <c r="B438" s="291"/>
      <c r="E438" s="261"/>
      <c r="F438" s="261"/>
      <c r="G438" s="403"/>
    </row>
    <row r="439" spans="2:7" s="288" customFormat="1" x14ac:dyDescent="0.2">
      <c r="B439" s="291"/>
      <c r="E439" s="261"/>
      <c r="F439" s="261"/>
      <c r="G439" s="403"/>
    </row>
    <row r="440" spans="2:7" s="288" customFormat="1" x14ac:dyDescent="0.2">
      <c r="B440" s="291"/>
      <c r="E440" s="261"/>
      <c r="F440" s="261"/>
      <c r="G440" s="403"/>
    </row>
    <row r="441" spans="2:7" s="288" customFormat="1" x14ac:dyDescent="0.2">
      <c r="B441" s="291"/>
      <c r="E441" s="261"/>
      <c r="F441" s="261"/>
      <c r="G441" s="403"/>
    </row>
    <row r="442" spans="2:7" s="288" customFormat="1" x14ac:dyDescent="0.2">
      <c r="B442" s="291"/>
      <c r="E442" s="261"/>
      <c r="F442" s="261"/>
      <c r="G442" s="403"/>
    </row>
    <row r="443" spans="2:7" s="288" customFormat="1" x14ac:dyDescent="0.2">
      <c r="B443" s="291"/>
      <c r="E443" s="261"/>
      <c r="F443" s="261"/>
      <c r="G443" s="403"/>
    </row>
    <row r="444" spans="2:7" s="288" customFormat="1" x14ac:dyDescent="0.2">
      <c r="B444" s="291"/>
      <c r="E444" s="261"/>
      <c r="F444" s="261"/>
      <c r="G444" s="403"/>
    </row>
    <row r="445" spans="2:7" s="288" customFormat="1" x14ac:dyDescent="0.2">
      <c r="B445" s="291"/>
      <c r="E445" s="261"/>
      <c r="F445" s="261"/>
      <c r="G445" s="403"/>
    </row>
    <row r="446" spans="2:7" s="288" customFormat="1" x14ac:dyDescent="0.2">
      <c r="B446" s="291"/>
      <c r="E446" s="261"/>
      <c r="F446" s="261"/>
      <c r="G446" s="403"/>
    </row>
    <row r="447" spans="2:7" s="288" customFormat="1" x14ac:dyDescent="0.2">
      <c r="B447" s="291"/>
      <c r="E447" s="261"/>
      <c r="F447" s="261"/>
      <c r="G447" s="403"/>
    </row>
    <row r="448" spans="2:7" s="288" customFormat="1" x14ac:dyDescent="0.2">
      <c r="B448" s="291"/>
      <c r="E448" s="261"/>
      <c r="F448" s="261"/>
      <c r="G448" s="403"/>
    </row>
    <row r="449" spans="2:7" s="288" customFormat="1" x14ac:dyDescent="0.2">
      <c r="B449" s="291"/>
      <c r="E449" s="261"/>
      <c r="F449" s="261"/>
      <c r="G449" s="403"/>
    </row>
    <row r="450" spans="2:7" s="288" customFormat="1" x14ac:dyDescent="0.2">
      <c r="B450" s="291"/>
      <c r="E450" s="261"/>
      <c r="F450" s="261"/>
      <c r="G450" s="403"/>
    </row>
    <row r="451" spans="2:7" s="288" customFormat="1" x14ac:dyDescent="0.2">
      <c r="B451" s="291"/>
      <c r="E451" s="261"/>
      <c r="F451" s="261"/>
      <c r="G451" s="403"/>
    </row>
    <row r="452" spans="2:7" s="288" customFormat="1" x14ac:dyDescent="0.2">
      <c r="B452" s="291"/>
      <c r="E452" s="261"/>
      <c r="F452" s="261"/>
      <c r="G452" s="403"/>
    </row>
    <row r="453" spans="2:7" s="288" customFormat="1" x14ac:dyDescent="0.2">
      <c r="B453" s="291"/>
      <c r="E453" s="261"/>
      <c r="F453" s="261"/>
      <c r="G453" s="403"/>
    </row>
    <row r="454" spans="2:7" s="288" customFormat="1" x14ac:dyDescent="0.2">
      <c r="B454" s="291"/>
      <c r="E454" s="261"/>
      <c r="F454" s="261"/>
      <c r="G454" s="403"/>
    </row>
    <row r="455" spans="2:7" s="288" customFormat="1" x14ac:dyDescent="0.2">
      <c r="B455" s="291"/>
      <c r="E455" s="261"/>
      <c r="F455" s="261"/>
      <c r="G455" s="403"/>
    </row>
    <row r="456" spans="2:7" s="288" customFormat="1" x14ac:dyDescent="0.2">
      <c r="B456" s="291"/>
      <c r="E456" s="261"/>
      <c r="F456" s="261"/>
      <c r="G456" s="403"/>
    </row>
    <row r="457" spans="2:7" s="288" customFormat="1" x14ac:dyDescent="0.2">
      <c r="B457" s="291"/>
      <c r="E457" s="261"/>
      <c r="F457" s="261"/>
      <c r="G457" s="403"/>
    </row>
    <row r="458" spans="2:7" s="288" customFormat="1" x14ac:dyDescent="0.2">
      <c r="B458" s="291"/>
      <c r="E458" s="261"/>
      <c r="F458" s="261"/>
      <c r="G458" s="403"/>
    </row>
    <row r="459" spans="2:7" s="288" customFormat="1" x14ac:dyDescent="0.2">
      <c r="B459" s="291"/>
      <c r="E459" s="261"/>
      <c r="F459" s="261"/>
      <c r="G459" s="403"/>
    </row>
    <row r="460" spans="2:7" s="288" customFormat="1" x14ac:dyDescent="0.2">
      <c r="B460" s="291"/>
      <c r="E460" s="261"/>
      <c r="F460" s="261"/>
      <c r="G460" s="403"/>
    </row>
    <row r="461" spans="2:7" s="288" customFormat="1" x14ac:dyDescent="0.2">
      <c r="B461" s="291"/>
      <c r="E461" s="261"/>
      <c r="F461" s="261"/>
      <c r="G461" s="403"/>
    </row>
    <row r="462" spans="2:7" s="288" customFormat="1" x14ac:dyDescent="0.2">
      <c r="B462" s="291"/>
      <c r="E462" s="261"/>
      <c r="F462" s="261"/>
      <c r="G462" s="403"/>
    </row>
    <row r="463" spans="2:7" s="288" customFormat="1" x14ac:dyDescent="0.2">
      <c r="B463" s="291"/>
      <c r="E463" s="261"/>
      <c r="F463" s="261"/>
      <c r="G463" s="403"/>
    </row>
    <row r="464" spans="2:7" s="288" customFormat="1" x14ac:dyDescent="0.2">
      <c r="B464" s="291"/>
      <c r="E464" s="261"/>
      <c r="F464" s="261"/>
      <c r="G464" s="403"/>
    </row>
    <row r="465" spans="2:7" s="288" customFormat="1" x14ac:dyDescent="0.2">
      <c r="B465" s="291"/>
      <c r="E465" s="261"/>
      <c r="F465" s="261"/>
      <c r="G465" s="403"/>
    </row>
    <row r="466" spans="2:7" s="288" customFormat="1" x14ac:dyDescent="0.2">
      <c r="B466" s="291"/>
      <c r="E466" s="261"/>
      <c r="F466" s="261"/>
      <c r="G466" s="403"/>
    </row>
    <row r="467" spans="2:7" s="288" customFormat="1" x14ac:dyDescent="0.2">
      <c r="B467" s="291"/>
      <c r="E467" s="261"/>
      <c r="F467" s="261"/>
      <c r="G467" s="403"/>
    </row>
    <row r="468" spans="2:7" s="288" customFormat="1" x14ac:dyDescent="0.2">
      <c r="B468" s="291"/>
      <c r="E468" s="261"/>
      <c r="F468" s="261"/>
      <c r="G468" s="403"/>
    </row>
    <row r="469" spans="2:7" s="288" customFormat="1" x14ac:dyDescent="0.2">
      <c r="B469" s="291"/>
      <c r="E469" s="261"/>
      <c r="F469" s="261"/>
      <c r="G469" s="403"/>
    </row>
    <row r="470" spans="2:7" s="288" customFormat="1" x14ac:dyDescent="0.2">
      <c r="B470" s="291"/>
      <c r="E470" s="261"/>
      <c r="F470" s="261"/>
      <c r="G470" s="403"/>
    </row>
    <row r="471" spans="2:7" s="288" customFormat="1" x14ac:dyDescent="0.2">
      <c r="B471" s="291"/>
      <c r="E471" s="261"/>
      <c r="F471" s="261"/>
      <c r="G471" s="403"/>
    </row>
    <row r="472" spans="2:7" s="288" customFormat="1" x14ac:dyDescent="0.2">
      <c r="B472" s="291"/>
      <c r="E472" s="261"/>
      <c r="F472" s="261"/>
      <c r="G472" s="403"/>
    </row>
    <row r="473" spans="2:7" s="288" customFormat="1" x14ac:dyDescent="0.2">
      <c r="B473" s="291"/>
      <c r="E473" s="261"/>
      <c r="F473" s="261"/>
      <c r="G473" s="403"/>
    </row>
    <row r="474" spans="2:7" s="288" customFormat="1" x14ac:dyDescent="0.2">
      <c r="B474" s="291"/>
      <c r="E474" s="261"/>
      <c r="F474" s="261"/>
      <c r="G474" s="403"/>
    </row>
    <row r="475" spans="2:7" s="288" customFormat="1" x14ac:dyDescent="0.2">
      <c r="B475" s="291"/>
      <c r="E475" s="261"/>
      <c r="F475" s="261"/>
      <c r="G475" s="403"/>
    </row>
    <row r="476" spans="2:7" s="288" customFormat="1" x14ac:dyDescent="0.2">
      <c r="B476" s="291"/>
      <c r="E476" s="261"/>
      <c r="F476" s="261"/>
      <c r="G476" s="403"/>
    </row>
    <row r="477" spans="2:7" s="288" customFormat="1" x14ac:dyDescent="0.2">
      <c r="B477" s="291"/>
      <c r="E477" s="261"/>
      <c r="F477" s="261"/>
      <c r="G477" s="403"/>
    </row>
    <row r="478" spans="2:7" s="288" customFormat="1" x14ac:dyDescent="0.2">
      <c r="B478" s="291"/>
      <c r="E478" s="261"/>
      <c r="F478" s="261"/>
      <c r="G478" s="403"/>
    </row>
    <row r="479" spans="2:7" s="288" customFormat="1" x14ac:dyDescent="0.2">
      <c r="B479" s="291"/>
      <c r="E479" s="261"/>
      <c r="F479" s="261"/>
      <c r="G479" s="403"/>
    </row>
    <row r="480" spans="2:7" s="288" customFormat="1" x14ac:dyDescent="0.2">
      <c r="B480" s="291"/>
      <c r="E480" s="261"/>
      <c r="F480" s="261"/>
      <c r="G480" s="403"/>
    </row>
    <row r="481" spans="2:7" s="288" customFormat="1" x14ac:dyDescent="0.2">
      <c r="B481" s="291"/>
      <c r="E481" s="261"/>
      <c r="F481" s="261"/>
      <c r="G481" s="403"/>
    </row>
    <row r="482" spans="2:7" s="288" customFormat="1" x14ac:dyDescent="0.2">
      <c r="B482" s="291"/>
      <c r="E482" s="261"/>
      <c r="F482" s="261"/>
      <c r="G482" s="403"/>
    </row>
    <row r="483" spans="2:7" s="288" customFormat="1" x14ac:dyDescent="0.2">
      <c r="B483" s="291"/>
      <c r="E483" s="261"/>
      <c r="F483" s="261"/>
      <c r="G483" s="403"/>
    </row>
    <row r="484" spans="2:7" s="288" customFormat="1" x14ac:dyDescent="0.2">
      <c r="B484" s="291"/>
      <c r="E484" s="261"/>
      <c r="F484" s="261"/>
      <c r="G484" s="403"/>
    </row>
    <row r="485" spans="2:7" s="288" customFormat="1" x14ac:dyDescent="0.2">
      <c r="B485" s="291"/>
      <c r="E485" s="261"/>
      <c r="F485" s="261"/>
      <c r="G485" s="403"/>
    </row>
    <row r="486" spans="2:7" s="288" customFormat="1" x14ac:dyDescent="0.2">
      <c r="B486" s="291"/>
      <c r="E486" s="261"/>
      <c r="F486" s="261"/>
      <c r="G486" s="403"/>
    </row>
    <row r="487" spans="2:7" s="288" customFormat="1" x14ac:dyDescent="0.2">
      <c r="B487" s="291"/>
      <c r="E487" s="261"/>
      <c r="F487" s="261"/>
      <c r="G487" s="403"/>
    </row>
    <row r="488" spans="2:7" s="288" customFormat="1" x14ac:dyDescent="0.2">
      <c r="B488" s="291"/>
      <c r="E488" s="261"/>
      <c r="F488" s="261"/>
      <c r="G488" s="403"/>
    </row>
    <row r="489" spans="2:7" s="288" customFormat="1" x14ac:dyDescent="0.2">
      <c r="B489" s="291"/>
      <c r="E489" s="261"/>
      <c r="F489" s="261"/>
      <c r="G489" s="403"/>
    </row>
    <row r="490" spans="2:7" s="288" customFormat="1" x14ac:dyDescent="0.2">
      <c r="B490" s="291"/>
      <c r="E490" s="261"/>
      <c r="F490" s="261"/>
      <c r="G490" s="403"/>
    </row>
    <row r="491" spans="2:7" s="288" customFormat="1" x14ac:dyDescent="0.2">
      <c r="B491" s="291"/>
      <c r="E491" s="261"/>
      <c r="F491" s="261"/>
      <c r="G491" s="403"/>
    </row>
    <row r="492" spans="2:7" s="288" customFormat="1" x14ac:dyDescent="0.2">
      <c r="B492" s="291"/>
      <c r="E492" s="261"/>
      <c r="F492" s="261"/>
      <c r="G492" s="403"/>
    </row>
    <row r="493" spans="2:7" s="288" customFormat="1" x14ac:dyDescent="0.2">
      <c r="B493" s="291"/>
      <c r="E493" s="261"/>
      <c r="F493" s="261"/>
      <c r="G493" s="403"/>
    </row>
    <row r="494" spans="2:7" s="288" customFormat="1" x14ac:dyDescent="0.2">
      <c r="B494" s="291"/>
      <c r="E494" s="261"/>
      <c r="F494" s="261"/>
      <c r="G494" s="403"/>
    </row>
    <row r="495" spans="2:7" s="288" customFormat="1" x14ac:dyDescent="0.2">
      <c r="B495" s="291"/>
      <c r="E495" s="261"/>
      <c r="F495" s="261"/>
      <c r="G495" s="403"/>
    </row>
    <row r="496" spans="2:7" s="288" customFormat="1" x14ac:dyDescent="0.2">
      <c r="B496" s="291"/>
      <c r="E496" s="261"/>
      <c r="F496" s="261"/>
      <c r="G496" s="403"/>
    </row>
    <row r="497" spans="2:7" s="288" customFormat="1" x14ac:dyDescent="0.2">
      <c r="B497" s="291"/>
      <c r="E497" s="261"/>
      <c r="F497" s="261"/>
      <c r="G497" s="403"/>
    </row>
    <row r="498" spans="2:7" s="288" customFormat="1" x14ac:dyDescent="0.2">
      <c r="B498" s="291"/>
      <c r="E498" s="261"/>
      <c r="F498" s="261"/>
      <c r="G498" s="403"/>
    </row>
    <row r="499" spans="2:7" s="288" customFormat="1" x14ac:dyDescent="0.2">
      <c r="B499" s="291"/>
      <c r="E499" s="261"/>
      <c r="F499" s="261"/>
      <c r="G499" s="403"/>
    </row>
    <row r="500" spans="2:7" s="288" customFormat="1" x14ac:dyDescent="0.2">
      <c r="B500" s="291"/>
      <c r="E500" s="261"/>
      <c r="F500" s="261"/>
      <c r="G500" s="403"/>
    </row>
    <row r="501" spans="2:7" s="288" customFormat="1" x14ac:dyDescent="0.2">
      <c r="B501" s="291"/>
      <c r="E501" s="261"/>
      <c r="F501" s="261"/>
      <c r="G501" s="403"/>
    </row>
    <row r="502" spans="2:7" s="288" customFormat="1" x14ac:dyDescent="0.2">
      <c r="B502" s="291"/>
      <c r="E502" s="261"/>
      <c r="F502" s="261"/>
      <c r="G502" s="403"/>
    </row>
    <row r="503" spans="2:7" s="288" customFormat="1" x14ac:dyDescent="0.2">
      <c r="B503" s="291"/>
      <c r="E503" s="261"/>
      <c r="F503" s="261"/>
      <c r="G503" s="403"/>
    </row>
    <row r="504" spans="2:7" s="288" customFormat="1" x14ac:dyDescent="0.2">
      <c r="B504" s="291"/>
      <c r="E504" s="261"/>
      <c r="F504" s="261"/>
      <c r="G504" s="403"/>
    </row>
    <row r="505" spans="2:7" s="288" customFormat="1" x14ac:dyDescent="0.2">
      <c r="B505" s="291"/>
      <c r="E505" s="261"/>
      <c r="F505" s="261"/>
      <c r="G505" s="403"/>
    </row>
    <row r="506" spans="2:7" s="288" customFormat="1" x14ac:dyDescent="0.2">
      <c r="B506" s="291"/>
      <c r="E506" s="261"/>
      <c r="F506" s="261"/>
      <c r="G506" s="403"/>
    </row>
    <row r="507" spans="2:7" s="288" customFormat="1" x14ac:dyDescent="0.2">
      <c r="B507" s="291"/>
      <c r="E507" s="261"/>
      <c r="F507" s="261"/>
      <c r="G507" s="403"/>
    </row>
    <row r="508" spans="2:7" s="288" customFormat="1" x14ac:dyDescent="0.2">
      <c r="B508" s="291"/>
      <c r="E508" s="261"/>
      <c r="F508" s="261"/>
      <c r="G508" s="403"/>
    </row>
    <row r="509" spans="2:7" s="288" customFormat="1" x14ac:dyDescent="0.2">
      <c r="B509" s="291"/>
      <c r="E509" s="261"/>
      <c r="F509" s="261"/>
      <c r="G509" s="403"/>
    </row>
    <row r="510" spans="2:7" s="288" customFormat="1" x14ac:dyDescent="0.2">
      <c r="B510" s="291"/>
      <c r="E510" s="261"/>
      <c r="F510" s="261"/>
      <c r="G510" s="403"/>
    </row>
    <row r="511" spans="2:7" s="288" customFormat="1" x14ac:dyDescent="0.2">
      <c r="B511" s="291"/>
      <c r="E511" s="261"/>
      <c r="F511" s="261"/>
      <c r="G511" s="403"/>
    </row>
    <row r="512" spans="2:7" s="288" customFormat="1" x14ac:dyDescent="0.2">
      <c r="B512" s="291"/>
      <c r="E512" s="261"/>
      <c r="F512" s="261"/>
      <c r="G512" s="403"/>
    </row>
    <row r="513" spans="2:7" s="288" customFormat="1" x14ac:dyDescent="0.2">
      <c r="B513" s="291"/>
      <c r="E513" s="261"/>
      <c r="F513" s="261"/>
      <c r="G513" s="403"/>
    </row>
    <row r="514" spans="2:7" s="288" customFormat="1" x14ac:dyDescent="0.2">
      <c r="B514" s="291"/>
      <c r="E514" s="261"/>
      <c r="F514" s="261"/>
      <c r="G514" s="403"/>
    </row>
    <row r="515" spans="2:7" s="288" customFormat="1" x14ac:dyDescent="0.2">
      <c r="B515" s="291"/>
      <c r="E515" s="261"/>
      <c r="F515" s="261"/>
      <c r="G515" s="403"/>
    </row>
    <row r="516" spans="2:7" s="288" customFormat="1" x14ac:dyDescent="0.2">
      <c r="B516" s="291"/>
      <c r="E516" s="261"/>
      <c r="F516" s="261"/>
      <c r="G516" s="403"/>
    </row>
    <row r="517" spans="2:7" s="288" customFormat="1" x14ac:dyDescent="0.2">
      <c r="B517" s="291"/>
      <c r="E517" s="261"/>
      <c r="F517" s="261"/>
      <c r="G517" s="403"/>
    </row>
    <row r="518" spans="2:7" s="288" customFormat="1" x14ac:dyDescent="0.2">
      <c r="B518" s="291"/>
      <c r="E518" s="261"/>
      <c r="F518" s="261"/>
      <c r="G518" s="403"/>
    </row>
    <row r="519" spans="2:7" s="288" customFormat="1" x14ac:dyDescent="0.2">
      <c r="B519" s="291"/>
      <c r="E519" s="261"/>
      <c r="F519" s="261"/>
      <c r="G519" s="403"/>
    </row>
    <row r="520" spans="2:7" s="288" customFormat="1" x14ac:dyDescent="0.2">
      <c r="B520" s="291"/>
      <c r="E520" s="261"/>
      <c r="F520" s="261"/>
      <c r="G520" s="403"/>
    </row>
    <row r="521" spans="2:7" s="288" customFormat="1" x14ac:dyDescent="0.2">
      <c r="B521" s="291"/>
      <c r="E521" s="261"/>
      <c r="F521" s="261"/>
      <c r="G521" s="403"/>
    </row>
    <row r="522" spans="2:7" s="288" customFormat="1" x14ac:dyDescent="0.2">
      <c r="B522" s="291"/>
      <c r="E522" s="261"/>
      <c r="F522" s="261"/>
      <c r="G522" s="403"/>
    </row>
    <row r="523" spans="2:7" s="288" customFormat="1" x14ac:dyDescent="0.2">
      <c r="B523" s="291"/>
      <c r="E523" s="261"/>
      <c r="F523" s="261"/>
      <c r="G523" s="403"/>
    </row>
    <row r="524" spans="2:7" s="288" customFormat="1" x14ac:dyDescent="0.2">
      <c r="B524" s="291"/>
      <c r="E524" s="261"/>
      <c r="F524" s="261"/>
      <c r="G524" s="403"/>
    </row>
    <row r="525" spans="2:7" s="288" customFormat="1" x14ac:dyDescent="0.2">
      <c r="B525" s="291"/>
      <c r="E525" s="261"/>
      <c r="F525" s="261"/>
      <c r="G525" s="403"/>
    </row>
    <row r="526" spans="2:7" s="288" customFormat="1" x14ac:dyDescent="0.2">
      <c r="B526" s="291"/>
      <c r="E526" s="261"/>
      <c r="F526" s="261"/>
      <c r="G526" s="403"/>
    </row>
    <row r="527" spans="2:7" s="288" customFormat="1" x14ac:dyDescent="0.2">
      <c r="B527" s="291"/>
      <c r="E527" s="261"/>
      <c r="F527" s="261"/>
      <c r="G527" s="403"/>
    </row>
    <row r="528" spans="2:7" s="288" customFormat="1" x14ac:dyDescent="0.2">
      <c r="B528" s="291"/>
      <c r="E528" s="261"/>
      <c r="F528" s="261"/>
      <c r="G528" s="403"/>
    </row>
    <row r="529" spans="2:7" s="288" customFormat="1" x14ac:dyDescent="0.2">
      <c r="B529" s="291"/>
      <c r="E529" s="261"/>
      <c r="F529" s="261"/>
      <c r="G529" s="403"/>
    </row>
    <row r="530" spans="2:7" s="288" customFormat="1" x14ac:dyDescent="0.2">
      <c r="B530" s="291"/>
      <c r="E530" s="261"/>
      <c r="F530" s="261"/>
      <c r="G530" s="403"/>
    </row>
    <row r="531" spans="2:7" s="288" customFormat="1" x14ac:dyDescent="0.2">
      <c r="B531" s="291"/>
      <c r="E531" s="261"/>
      <c r="F531" s="261"/>
      <c r="G531" s="403"/>
    </row>
    <row r="532" spans="2:7" s="288" customFormat="1" x14ac:dyDescent="0.2">
      <c r="B532" s="291"/>
      <c r="E532" s="261"/>
      <c r="F532" s="261"/>
      <c r="G532" s="403"/>
    </row>
    <row r="533" spans="2:7" s="288" customFormat="1" x14ac:dyDescent="0.2">
      <c r="B533" s="291"/>
      <c r="E533" s="261"/>
      <c r="F533" s="261"/>
      <c r="G533" s="403"/>
    </row>
    <row r="534" spans="2:7" s="288" customFormat="1" x14ac:dyDescent="0.2">
      <c r="B534" s="291"/>
      <c r="E534" s="261"/>
      <c r="F534" s="261"/>
      <c r="G534" s="403"/>
    </row>
    <row r="535" spans="2:7" s="288" customFormat="1" x14ac:dyDescent="0.2">
      <c r="B535" s="291"/>
      <c r="E535" s="261"/>
      <c r="F535" s="261"/>
      <c r="G535" s="403"/>
    </row>
    <row r="536" spans="2:7" s="288" customFormat="1" x14ac:dyDescent="0.2">
      <c r="B536" s="291"/>
      <c r="E536" s="261"/>
      <c r="F536" s="261"/>
      <c r="G536" s="403"/>
    </row>
    <row r="537" spans="2:7" s="288" customFormat="1" x14ac:dyDescent="0.2">
      <c r="B537" s="291"/>
      <c r="E537" s="261"/>
      <c r="F537" s="261"/>
      <c r="G537" s="403"/>
    </row>
    <row r="538" spans="2:7" s="288" customFormat="1" x14ac:dyDescent="0.2">
      <c r="B538" s="291"/>
      <c r="E538" s="261"/>
      <c r="F538" s="261"/>
      <c r="G538" s="403"/>
    </row>
    <row r="539" spans="2:7" s="288" customFormat="1" x14ac:dyDescent="0.2">
      <c r="B539" s="291"/>
      <c r="E539" s="261"/>
      <c r="F539" s="261"/>
      <c r="G539" s="403"/>
    </row>
    <row r="540" spans="2:7" s="288" customFormat="1" x14ac:dyDescent="0.2">
      <c r="B540" s="291"/>
      <c r="E540" s="261"/>
      <c r="F540" s="261"/>
      <c r="G540" s="403"/>
    </row>
    <row r="541" spans="2:7" s="288" customFormat="1" x14ac:dyDescent="0.2">
      <c r="B541" s="291"/>
      <c r="E541" s="261"/>
      <c r="F541" s="261"/>
      <c r="G541" s="403"/>
    </row>
    <row r="542" spans="2:7" s="288" customFormat="1" x14ac:dyDescent="0.2">
      <c r="B542" s="291"/>
      <c r="E542" s="261"/>
      <c r="F542" s="261"/>
      <c r="G542" s="403"/>
    </row>
    <row r="543" spans="2:7" s="288" customFormat="1" x14ac:dyDescent="0.2">
      <c r="B543" s="291"/>
      <c r="E543" s="261"/>
      <c r="F543" s="261"/>
      <c r="G543" s="403"/>
    </row>
    <row r="544" spans="2:7" s="288" customFormat="1" x14ac:dyDescent="0.2">
      <c r="B544" s="291"/>
      <c r="E544" s="261"/>
      <c r="F544" s="261"/>
      <c r="G544" s="403"/>
    </row>
    <row r="545" spans="2:7" s="288" customFormat="1" x14ac:dyDescent="0.2">
      <c r="B545" s="291"/>
      <c r="E545" s="261"/>
      <c r="F545" s="261"/>
      <c r="G545" s="403"/>
    </row>
    <row r="546" spans="2:7" s="288" customFormat="1" x14ac:dyDescent="0.2">
      <c r="B546" s="291"/>
      <c r="E546" s="261"/>
      <c r="F546" s="261"/>
      <c r="G546" s="403"/>
    </row>
    <row r="547" spans="2:7" s="288" customFormat="1" x14ac:dyDescent="0.2">
      <c r="B547" s="291"/>
      <c r="E547" s="261"/>
      <c r="F547" s="261"/>
      <c r="G547" s="403"/>
    </row>
    <row r="548" spans="2:7" s="288" customFormat="1" x14ac:dyDescent="0.2">
      <c r="B548" s="291"/>
      <c r="E548" s="261"/>
      <c r="F548" s="261"/>
      <c r="G548" s="403"/>
    </row>
    <row r="549" spans="2:7" s="288" customFormat="1" x14ac:dyDescent="0.2">
      <c r="B549" s="291"/>
      <c r="E549" s="261"/>
      <c r="F549" s="261"/>
      <c r="G549" s="403"/>
    </row>
    <row r="550" spans="2:7" s="288" customFormat="1" x14ac:dyDescent="0.2">
      <c r="B550" s="291"/>
      <c r="E550" s="261"/>
      <c r="F550" s="261"/>
      <c r="G550" s="403"/>
    </row>
    <row r="551" spans="2:7" s="288" customFormat="1" x14ac:dyDescent="0.2">
      <c r="B551" s="291"/>
      <c r="E551" s="261"/>
      <c r="F551" s="261"/>
      <c r="G551" s="403"/>
    </row>
    <row r="552" spans="2:7" s="288" customFormat="1" x14ac:dyDescent="0.2">
      <c r="B552" s="291"/>
      <c r="E552" s="261"/>
      <c r="F552" s="261"/>
      <c r="G552" s="403"/>
    </row>
    <row r="553" spans="2:7" s="288" customFormat="1" x14ac:dyDescent="0.2">
      <c r="B553" s="291"/>
      <c r="E553" s="261"/>
      <c r="F553" s="261"/>
      <c r="G553" s="403"/>
    </row>
    <row r="554" spans="2:7" s="288" customFormat="1" x14ac:dyDescent="0.2">
      <c r="B554" s="291"/>
      <c r="E554" s="261"/>
      <c r="F554" s="261"/>
      <c r="G554" s="403"/>
    </row>
    <row r="555" spans="2:7" s="288" customFormat="1" x14ac:dyDescent="0.2">
      <c r="B555" s="291"/>
      <c r="E555" s="261"/>
      <c r="F555" s="261"/>
      <c r="G555" s="403"/>
    </row>
    <row r="556" spans="2:7" s="288" customFormat="1" x14ac:dyDescent="0.2">
      <c r="B556" s="291"/>
      <c r="E556" s="261"/>
      <c r="F556" s="261"/>
      <c r="G556" s="403"/>
    </row>
    <row r="557" spans="2:7" s="288" customFormat="1" x14ac:dyDescent="0.2">
      <c r="B557" s="291"/>
      <c r="E557" s="261"/>
      <c r="F557" s="261"/>
      <c r="G557" s="403"/>
    </row>
    <row r="558" spans="2:7" s="288" customFormat="1" x14ac:dyDescent="0.2">
      <c r="B558" s="291"/>
      <c r="E558" s="261"/>
      <c r="F558" s="261"/>
      <c r="G558" s="403"/>
    </row>
    <row r="559" spans="2:7" s="288" customFormat="1" x14ac:dyDescent="0.2">
      <c r="B559" s="291"/>
      <c r="E559" s="261"/>
      <c r="F559" s="261"/>
      <c r="G559" s="403"/>
    </row>
    <row r="560" spans="2:7" s="288" customFormat="1" x14ac:dyDescent="0.2">
      <c r="B560" s="291"/>
      <c r="E560" s="261"/>
      <c r="F560" s="261"/>
      <c r="G560" s="403"/>
    </row>
    <row r="561" spans="2:7" s="288" customFormat="1" x14ac:dyDescent="0.2">
      <c r="B561" s="291"/>
      <c r="E561" s="261"/>
      <c r="F561" s="261"/>
      <c r="G561" s="403"/>
    </row>
    <row r="562" spans="2:7" s="288" customFormat="1" x14ac:dyDescent="0.2">
      <c r="B562" s="291"/>
      <c r="E562" s="261"/>
      <c r="F562" s="261"/>
      <c r="G562" s="403"/>
    </row>
    <row r="563" spans="2:7" s="288" customFormat="1" x14ac:dyDescent="0.2">
      <c r="B563" s="291"/>
      <c r="E563" s="261"/>
      <c r="F563" s="261"/>
      <c r="G563" s="403"/>
    </row>
    <row r="564" spans="2:7" s="288" customFormat="1" x14ac:dyDescent="0.2">
      <c r="B564" s="291"/>
      <c r="E564" s="261"/>
      <c r="F564" s="261"/>
      <c r="G564" s="403"/>
    </row>
    <row r="565" spans="2:7" s="288" customFormat="1" x14ac:dyDescent="0.2">
      <c r="B565" s="291"/>
      <c r="E565" s="261"/>
      <c r="F565" s="261"/>
      <c r="G565" s="403"/>
    </row>
    <row r="566" spans="2:7" s="288" customFormat="1" x14ac:dyDescent="0.2">
      <c r="B566" s="291"/>
      <c r="E566" s="261"/>
      <c r="F566" s="261"/>
      <c r="G566" s="403"/>
    </row>
    <row r="567" spans="2:7" s="288" customFormat="1" x14ac:dyDescent="0.2">
      <c r="B567" s="291"/>
      <c r="E567" s="261"/>
      <c r="F567" s="261"/>
      <c r="G567" s="403"/>
    </row>
    <row r="568" spans="2:7" s="288" customFormat="1" x14ac:dyDescent="0.2">
      <c r="B568" s="291"/>
      <c r="E568" s="261"/>
      <c r="F568" s="261"/>
      <c r="G568" s="403"/>
    </row>
    <row r="569" spans="2:7" s="288" customFormat="1" x14ac:dyDescent="0.2">
      <c r="B569" s="291"/>
      <c r="E569" s="261"/>
      <c r="F569" s="261"/>
      <c r="G569" s="403"/>
    </row>
    <row r="570" spans="2:7" s="288" customFormat="1" x14ac:dyDescent="0.2">
      <c r="B570" s="291"/>
      <c r="E570" s="261"/>
      <c r="F570" s="261"/>
      <c r="G570" s="403"/>
    </row>
    <row r="571" spans="2:7" s="288" customFormat="1" x14ac:dyDescent="0.2">
      <c r="B571" s="291"/>
      <c r="E571" s="261"/>
      <c r="F571" s="261"/>
      <c r="G571" s="403"/>
    </row>
    <row r="572" spans="2:7" s="288" customFormat="1" x14ac:dyDescent="0.2">
      <c r="B572" s="291"/>
      <c r="E572" s="261"/>
      <c r="F572" s="261"/>
      <c r="G572" s="403"/>
    </row>
    <row r="573" spans="2:7" s="288" customFormat="1" x14ac:dyDescent="0.2">
      <c r="B573" s="291"/>
      <c r="E573" s="261"/>
      <c r="F573" s="261"/>
      <c r="G573" s="403"/>
    </row>
    <row r="574" spans="2:7" s="288" customFormat="1" x14ac:dyDescent="0.2">
      <c r="B574" s="291"/>
      <c r="E574" s="261"/>
      <c r="F574" s="261"/>
      <c r="G574" s="403"/>
    </row>
    <row r="575" spans="2:7" s="288" customFormat="1" x14ac:dyDescent="0.2">
      <c r="B575" s="291"/>
      <c r="E575" s="261"/>
      <c r="F575" s="261"/>
      <c r="G575" s="403"/>
    </row>
    <row r="576" spans="2:7" s="288" customFormat="1" x14ac:dyDescent="0.2">
      <c r="B576" s="291"/>
      <c r="E576" s="261"/>
      <c r="F576" s="261"/>
      <c r="G576" s="403"/>
    </row>
    <row r="577" spans="2:7" s="288" customFormat="1" x14ac:dyDescent="0.2">
      <c r="B577" s="291"/>
      <c r="E577" s="261"/>
      <c r="F577" s="261"/>
      <c r="G577" s="403"/>
    </row>
    <row r="578" spans="2:7" s="288" customFormat="1" x14ac:dyDescent="0.2">
      <c r="B578" s="291"/>
      <c r="E578" s="261"/>
      <c r="F578" s="261"/>
      <c r="G578" s="403"/>
    </row>
    <row r="579" spans="2:7" s="288" customFormat="1" x14ac:dyDescent="0.2">
      <c r="B579" s="291"/>
      <c r="E579" s="261"/>
      <c r="F579" s="261"/>
      <c r="G579" s="403"/>
    </row>
    <row r="580" spans="2:7" s="288" customFormat="1" x14ac:dyDescent="0.2">
      <c r="B580" s="291"/>
      <c r="E580" s="261"/>
      <c r="F580" s="261"/>
      <c r="G580" s="403"/>
    </row>
    <row r="581" spans="2:7" s="288" customFormat="1" x14ac:dyDescent="0.2">
      <c r="B581" s="291"/>
      <c r="E581" s="261"/>
      <c r="F581" s="261"/>
      <c r="G581" s="403"/>
    </row>
    <row r="582" spans="2:7" s="288" customFormat="1" x14ac:dyDescent="0.2">
      <c r="B582" s="291"/>
      <c r="E582" s="261"/>
      <c r="F582" s="261"/>
      <c r="G582" s="403"/>
    </row>
    <row r="583" spans="2:7" s="288" customFormat="1" x14ac:dyDescent="0.2">
      <c r="B583" s="291"/>
      <c r="E583" s="261"/>
      <c r="F583" s="261"/>
      <c r="G583" s="403"/>
    </row>
    <row r="584" spans="2:7" s="288" customFormat="1" x14ac:dyDescent="0.2">
      <c r="B584" s="291"/>
      <c r="E584" s="261"/>
      <c r="F584" s="261"/>
      <c r="G584" s="403"/>
    </row>
    <row r="585" spans="2:7" s="288" customFormat="1" x14ac:dyDescent="0.2">
      <c r="B585" s="291"/>
      <c r="E585" s="261"/>
      <c r="F585" s="261"/>
      <c r="G585" s="403"/>
    </row>
    <row r="586" spans="2:7" s="288" customFormat="1" x14ac:dyDescent="0.2">
      <c r="B586" s="291"/>
      <c r="E586" s="261"/>
      <c r="F586" s="261"/>
      <c r="G586" s="403"/>
    </row>
    <row r="587" spans="2:7" s="288" customFormat="1" x14ac:dyDescent="0.2">
      <c r="B587" s="291"/>
      <c r="E587" s="261"/>
      <c r="F587" s="261"/>
      <c r="G587" s="403"/>
    </row>
    <row r="588" spans="2:7" s="288" customFormat="1" x14ac:dyDescent="0.2">
      <c r="B588" s="291"/>
      <c r="E588" s="261"/>
      <c r="F588" s="261"/>
      <c r="G588" s="403"/>
    </row>
    <row r="589" spans="2:7" s="288" customFormat="1" x14ac:dyDescent="0.2">
      <c r="B589" s="291"/>
      <c r="E589" s="261"/>
      <c r="F589" s="261"/>
      <c r="G589" s="403"/>
    </row>
    <row r="590" spans="2:7" s="288" customFormat="1" x14ac:dyDescent="0.2">
      <c r="B590" s="291"/>
      <c r="E590" s="261"/>
      <c r="F590" s="261"/>
      <c r="G590" s="403"/>
    </row>
    <row r="591" spans="2:7" s="288" customFormat="1" x14ac:dyDescent="0.2">
      <c r="B591" s="291"/>
      <c r="E591" s="261"/>
      <c r="F591" s="261"/>
      <c r="G591" s="403"/>
    </row>
    <row r="592" spans="2:7" s="288" customFormat="1" x14ac:dyDescent="0.2">
      <c r="B592" s="291"/>
      <c r="E592" s="261"/>
      <c r="F592" s="261"/>
      <c r="G592" s="403"/>
    </row>
    <row r="593" spans="2:7" s="288" customFormat="1" x14ac:dyDescent="0.2">
      <c r="B593" s="291"/>
      <c r="E593" s="261"/>
      <c r="F593" s="261"/>
      <c r="G593" s="403"/>
    </row>
    <row r="594" spans="2:7" s="288" customFormat="1" x14ac:dyDescent="0.2">
      <c r="B594" s="291"/>
      <c r="E594" s="261"/>
      <c r="F594" s="261"/>
      <c r="G594" s="403"/>
    </row>
    <row r="595" spans="2:7" s="288" customFormat="1" x14ac:dyDescent="0.2">
      <c r="B595" s="291"/>
      <c r="E595" s="261"/>
      <c r="F595" s="261"/>
      <c r="G595" s="403"/>
    </row>
    <row r="596" spans="2:7" s="288" customFormat="1" x14ac:dyDescent="0.2">
      <c r="B596" s="291"/>
      <c r="E596" s="261"/>
      <c r="F596" s="261"/>
      <c r="G596" s="403"/>
    </row>
    <row r="597" spans="2:7" s="288" customFormat="1" x14ac:dyDescent="0.2">
      <c r="B597" s="291"/>
      <c r="E597" s="261"/>
      <c r="F597" s="261"/>
      <c r="G597" s="403"/>
    </row>
    <row r="598" spans="2:7" s="288" customFormat="1" x14ac:dyDescent="0.2">
      <c r="B598" s="291"/>
      <c r="E598" s="261"/>
      <c r="F598" s="261"/>
      <c r="G598" s="403"/>
    </row>
    <row r="599" spans="2:7" s="288" customFormat="1" x14ac:dyDescent="0.2">
      <c r="B599" s="291"/>
      <c r="E599" s="261"/>
      <c r="F599" s="261"/>
      <c r="G599" s="403"/>
    </row>
    <row r="600" spans="2:7" s="288" customFormat="1" x14ac:dyDescent="0.2">
      <c r="B600" s="291"/>
      <c r="E600" s="261"/>
      <c r="F600" s="261"/>
      <c r="G600" s="403"/>
    </row>
    <row r="601" spans="2:7" s="288" customFormat="1" x14ac:dyDescent="0.2">
      <c r="B601" s="291"/>
      <c r="E601" s="261"/>
      <c r="F601" s="261"/>
      <c r="G601" s="403"/>
    </row>
    <row r="602" spans="2:7" s="288" customFormat="1" x14ac:dyDescent="0.2">
      <c r="B602" s="291"/>
      <c r="E602" s="261"/>
      <c r="F602" s="261"/>
      <c r="G602" s="403"/>
    </row>
    <row r="603" spans="2:7" s="288" customFormat="1" x14ac:dyDescent="0.2">
      <c r="B603" s="291"/>
      <c r="E603" s="261"/>
      <c r="F603" s="261"/>
      <c r="G603" s="403"/>
    </row>
    <row r="604" spans="2:7" s="288" customFormat="1" x14ac:dyDescent="0.2">
      <c r="B604" s="291"/>
      <c r="E604" s="261"/>
      <c r="F604" s="261"/>
      <c r="G604" s="403"/>
    </row>
    <row r="605" spans="2:7" s="288" customFormat="1" x14ac:dyDescent="0.2">
      <c r="B605" s="291"/>
      <c r="E605" s="261"/>
      <c r="F605" s="261"/>
      <c r="G605" s="403"/>
    </row>
    <row r="606" spans="2:7" s="288" customFormat="1" x14ac:dyDescent="0.2">
      <c r="B606" s="291"/>
      <c r="E606" s="261"/>
      <c r="F606" s="261"/>
      <c r="G606" s="403"/>
    </row>
    <row r="607" spans="2:7" s="288" customFormat="1" x14ac:dyDescent="0.2">
      <c r="B607" s="291"/>
      <c r="E607" s="261"/>
      <c r="F607" s="261"/>
      <c r="G607" s="403"/>
    </row>
    <row r="608" spans="2:7" s="288" customFormat="1" x14ac:dyDescent="0.2">
      <c r="B608" s="291"/>
      <c r="E608" s="261"/>
      <c r="F608" s="261"/>
      <c r="G608" s="403"/>
    </row>
    <row r="609" spans="2:7" s="288" customFormat="1" x14ac:dyDescent="0.2">
      <c r="B609" s="291"/>
      <c r="E609" s="261"/>
      <c r="F609" s="261"/>
      <c r="G609" s="403"/>
    </row>
    <row r="610" spans="2:7" s="288" customFormat="1" x14ac:dyDescent="0.2">
      <c r="B610" s="291"/>
      <c r="E610" s="261"/>
      <c r="F610" s="261"/>
      <c r="G610" s="403"/>
    </row>
    <row r="611" spans="2:7" s="288" customFormat="1" x14ac:dyDescent="0.2">
      <c r="B611" s="291"/>
      <c r="E611" s="261"/>
      <c r="F611" s="261"/>
      <c r="G611" s="403"/>
    </row>
    <row r="612" spans="2:7" s="288" customFormat="1" x14ac:dyDescent="0.2">
      <c r="B612" s="291"/>
      <c r="E612" s="261"/>
      <c r="F612" s="261"/>
      <c r="G612" s="403"/>
    </row>
    <row r="613" spans="2:7" s="288" customFormat="1" x14ac:dyDescent="0.2">
      <c r="B613" s="291"/>
      <c r="E613" s="261"/>
      <c r="F613" s="261"/>
      <c r="G613" s="403"/>
    </row>
    <row r="614" spans="2:7" s="288" customFormat="1" x14ac:dyDescent="0.2">
      <c r="B614" s="291"/>
      <c r="E614" s="261"/>
      <c r="F614" s="261"/>
      <c r="G614" s="403"/>
    </row>
    <row r="615" spans="2:7" s="288" customFormat="1" x14ac:dyDescent="0.2">
      <c r="B615" s="291"/>
      <c r="E615" s="261"/>
      <c r="F615" s="261"/>
      <c r="G615" s="403"/>
    </row>
    <row r="616" spans="2:7" s="288" customFormat="1" x14ac:dyDescent="0.2">
      <c r="B616" s="291"/>
      <c r="E616" s="261"/>
      <c r="F616" s="261"/>
      <c r="G616" s="403"/>
    </row>
    <row r="617" spans="2:7" s="288" customFormat="1" x14ac:dyDescent="0.2">
      <c r="B617" s="291"/>
      <c r="E617" s="261"/>
      <c r="F617" s="261"/>
      <c r="G617" s="403"/>
    </row>
    <row r="618" spans="2:7" s="288" customFormat="1" x14ac:dyDescent="0.2">
      <c r="B618" s="291"/>
      <c r="E618" s="261"/>
      <c r="F618" s="261"/>
      <c r="G618" s="403"/>
    </row>
    <row r="619" spans="2:7" s="288" customFormat="1" x14ac:dyDescent="0.2">
      <c r="B619" s="291"/>
      <c r="E619" s="261"/>
      <c r="F619" s="261"/>
      <c r="G619" s="403"/>
    </row>
    <row r="620" spans="2:7" s="288" customFormat="1" x14ac:dyDescent="0.2">
      <c r="B620" s="291"/>
      <c r="E620" s="261"/>
      <c r="F620" s="261"/>
      <c r="G620" s="403"/>
    </row>
    <row r="621" spans="2:7" s="288" customFormat="1" x14ac:dyDescent="0.2">
      <c r="B621" s="291"/>
      <c r="E621" s="261"/>
      <c r="F621" s="261"/>
      <c r="G621" s="403"/>
    </row>
    <row r="622" spans="2:7" s="288" customFormat="1" x14ac:dyDescent="0.2">
      <c r="B622" s="291"/>
      <c r="E622" s="261"/>
      <c r="F622" s="261"/>
      <c r="G622" s="403"/>
    </row>
    <row r="623" spans="2:7" s="288" customFormat="1" x14ac:dyDescent="0.2">
      <c r="B623" s="291"/>
      <c r="E623" s="261"/>
      <c r="F623" s="261"/>
      <c r="G623" s="403"/>
    </row>
    <row r="624" spans="2:7" s="288" customFormat="1" x14ac:dyDescent="0.2">
      <c r="B624" s="291"/>
      <c r="E624" s="261"/>
      <c r="F624" s="261"/>
      <c r="G624" s="403"/>
    </row>
    <row r="625" spans="2:7" s="288" customFormat="1" x14ac:dyDescent="0.2">
      <c r="B625" s="291"/>
      <c r="E625" s="261"/>
      <c r="F625" s="261"/>
      <c r="G625" s="403"/>
    </row>
    <row r="626" spans="2:7" s="288" customFormat="1" x14ac:dyDescent="0.2">
      <c r="B626" s="291"/>
      <c r="E626" s="261"/>
      <c r="F626" s="261"/>
      <c r="G626" s="403"/>
    </row>
    <row r="627" spans="2:7" s="288" customFormat="1" x14ac:dyDescent="0.2">
      <c r="B627" s="291"/>
      <c r="E627" s="261"/>
      <c r="F627" s="261"/>
      <c r="G627" s="403"/>
    </row>
    <row r="628" spans="2:7" s="288" customFormat="1" x14ac:dyDescent="0.2">
      <c r="B628" s="291"/>
      <c r="E628" s="261"/>
      <c r="F628" s="261"/>
      <c r="G628" s="403"/>
    </row>
    <row r="629" spans="2:7" s="288" customFormat="1" x14ac:dyDescent="0.2">
      <c r="B629" s="291"/>
      <c r="E629" s="261"/>
      <c r="F629" s="261"/>
      <c r="G629" s="403"/>
    </row>
    <row r="630" spans="2:7" s="288" customFormat="1" x14ac:dyDescent="0.2">
      <c r="B630" s="291"/>
      <c r="E630" s="261"/>
      <c r="F630" s="261"/>
      <c r="G630" s="403"/>
    </row>
    <row r="631" spans="2:7" s="288" customFormat="1" x14ac:dyDescent="0.2">
      <c r="B631" s="291"/>
      <c r="E631" s="261"/>
      <c r="F631" s="261"/>
      <c r="G631" s="403"/>
    </row>
    <row r="632" spans="2:7" s="288" customFormat="1" x14ac:dyDescent="0.2">
      <c r="B632" s="291"/>
      <c r="E632" s="261"/>
      <c r="F632" s="261"/>
      <c r="G632" s="403"/>
    </row>
    <row r="633" spans="2:7" s="288" customFormat="1" x14ac:dyDescent="0.2">
      <c r="B633" s="291"/>
      <c r="E633" s="261"/>
      <c r="F633" s="261"/>
      <c r="G633" s="403"/>
    </row>
    <row r="634" spans="2:7" s="288" customFormat="1" x14ac:dyDescent="0.2">
      <c r="B634" s="291"/>
      <c r="E634" s="261"/>
      <c r="F634" s="261"/>
      <c r="G634" s="403"/>
    </row>
    <row r="635" spans="2:7" s="288" customFormat="1" x14ac:dyDescent="0.2">
      <c r="B635" s="291"/>
      <c r="E635" s="261"/>
      <c r="F635" s="261"/>
      <c r="G635" s="403"/>
    </row>
    <row r="636" spans="2:7" s="288" customFormat="1" x14ac:dyDescent="0.2">
      <c r="B636" s="291"/>
      <c r="E636" s="261"/>
      <c r="F636" s="261"/>
      <c r="G636" s="403"/>
    </row>
    <row r="637" spans="2:7" s="288" customFormat="1" x14ac:dyDescent="0.2">
      <c r="B637" s="291"/>
      <c r="E637" s="261"/>
      <c r="F637" s="261"/>
      <c r="G637" s="403"/>
    </row>
    <row r="638" spans="2:7" s="288" customFormat="1" x14ac:dyDescent="0.2">
      <c r="B638" s="291"/>
      <c r="E638" s="261"/>
      <c r="F638" s="261"/>
      <c r="G638" s="403"/>
    </row>
    <row r="639" spans="2:7" s="288" customFormat="1" x14ac:dyDescent="0.2">
      <c r="B639" s="291"/>
      <c r="E639" s="261"/>
      <c r="F639" s="261"/>
      <c r="G639" s="403"/>
    </row>
    <row r="640" spans="2:7" s="288" customFormat="1" x14ac:dyDescent="0.2">
      <c r="B640" s="291"/>
      <c r="E640" s="261"/>
      <c r="F640" s="261"/>
      <c r="G640" s="403"/>
    </row>
    <row r="641" spans="2:7" s="288" customFormat="1" x14ac:dyDescent="0.2">
      <c r="B641" s="291"/>
      <c r="E641" s="261"/>
      <c r="F641" s="261"/>
      <c r="G641" s="403"/>
    </row>
    <row r="642" spans="2:7" s="288" customFormat="1" x14ac:dyDescent="0.2">
      <c r="B642" s="291"/>
      <c r="E642" s="261"/>
      <c r="F642" s="261"/>
      <c r="G642" s="403"/>
    </row>
    <row r="643" spans="2:7" s="288" customFormat="1" x14ac:dyDescent="0.2">
      <c r="B643" s="291"/>
      <c r="E643" s="261"/>
      <c r="F643" s="261"/>
      <c r="G643" s="403"/>
    </row>
    <row r="644" spans="2:7" s="288" customFormat="1" x14ac:dyDescent="0.2">
      <c r="B644" s="291"/>
      <c r="E644" s="261"/>
      <c r="F644" s="261"/>
      <c r="G644" s="403"/>
    </row>
    <row r="645" spans="2:7" s="288" customFormat="1" x14ac:dyDescent="0.2">
      <c r="B645" s="291"/>
      <c r="E645" s="261"/>
      <c r="F645" s="261"/>
      <c r="G645" s="403"/>
    </row>
    <row r="646" spans="2:7" s="288" customFormat="1" x14ac:dyDescent="0.2">
      <c r="B646" s="291"/>
      <c r="E646" s="261"/>
      <c r="F646" s="261"/>
      <c r="G646" s="403"/>
    </row>
    <row r="647" spans="2:7" s="288" customFormat="1" x14ac:dyDescent="0.2">
      <c r="B647" s="291"/>
      <c r="E647" s="261"/>
      <c r="F647" s="261"/>
      <c r="G647" s="403"/>
    </row>
    <row r="648" spans="2:7" s="288" customFormat="1" x14ac:dyDescent="0.2">
      <c r="B648" s="291"/>
      <c r="E648" s="261"/>
      <c r="F648" s="261"/>
      <c r="G648" s="403"/>
    </row>
    <row r="649" spans="2:7" s="288" customFormat="1" x14ac:dyDescent="0.2">
      <c r="B649" s="291"/>
      <c r="E649" s="261"/>
      <c r="F649" s="261"/>
      <c r="G649" s="403"/>
    </row>
    <row r="650" spans="2:7" s="288" customFormat="1" x14ac:dyDescent="0.2">
      <c r="B650" s="291"/>
      <c r="E650" s="261"/>
      <c r="F650" s="261"/>
      <c r="G650" s="403"/>
    </row>
    <row r="651" spans="2:7" s="288" customFormat="1" x14ac:dyDescent="0.2">
      <c r="B651" s="291"/>
      <c r="E651" s="261"/>
      <c r="F651" s="261"/>
      <c r="G651" s="403"/>
    </row>
    <row r="652" spans="2:7" s="288" customFormat="1" x14ac:dyDescent="0.2">
      <c r="B652" s="291"/>
      <c r="E652" s="261"/>
      <c r="F652" s="261"/>
      <c r="G652" s="403"/>
    </row>
    <row r="653" spans="2:7" s="288" customFormat="1" x14ac:dyDescent="0.2">
      <c r="B653" s="291"/>
      <c r="E653" s="261"/>
      <c r="F653" s="261"/>
      <c r="G653" s="403"/>
    </row>
    <row r="654" spans="2:7" s="288" customFormat="1" x14ac:dyDescent="0.2">
      <c r="B654" s="291"/>
      <c r="E654" s="261"/>
      <c r="F654" s="261"/>
      <c r="G654" s="403"/>
    </row>
    <row r="655" spans="2:7" s="288" customFormat="1" x14ac:dyDescent="0.2">
      <c r="B655" s="291"/>
      <c r="E655" s="261"/>
      <c r="F655" s="261"/>
      <c r="G655" s="403"/>
    </row>
    <row r="656" spans="2:7" s="288" customFormat="1" x14ac:dyDescent="0.2">
      <c r="B656" s="291"/>
      <c r="E656" s="261"/>
      <c r="F656" s="261"/>
      <c r="G656" s="403"/>
    </row>
    <row r="657" spans="2:7" s="288" customFormat="1" x14ac:dyDescent="0.2">
      <c r="B657" s="291"/>
      <c r="E657" s="261"/>
      <c r="F657" s="261"/>
      <c r="G657" s="403"/>
    </row>
    <row r="658" spans="2:7" s="288" customFormat="1" x14ac:dyDescent="0.2">
      <c r="B658" s="291"/>
      <c r="E658" s="261"/>
      <c r="F658" s="261"/>
      <c r="G658" s="403"/>
    </row>
    <row r="659" spans="2:7" s="288" customFormat="1" x14ac:dyDescent="0.2">
      <c r="B659" s="291"/>
      <c r="E659" s="261"/>
      <c r="F659" s="261"/>
      <c r="G659" s="403"/>
    </row>
    <row r="660" spans="2:7" s="288" customFormat="1" x14ac:dyDescent="0.2">
      <c r="B660" s="291"/>
      <c r="E660" s="261"/>
      <c r="F660" s="261"/>
      <c r="G660" s="403"/>
    </row>
    <row r="661" spans="2:7" s="288" customFormat="1" x14ac:dyDescent="0.2">
      <c r="B661" s="291"/>
      <c r="E661" s="261"/>
      <c r="F661" s="261"/>
      <c r="G661" s="403"/>
    </row>
    <row r="662" spans="2:7" s="288" customFormat="1" x14ac:dyDescent="0.2">
      <c r="B662" s="291"/>
      <c r="E662" s="261"/>
      <c r="F662" s="261"/>
      <c r="G662" s="403"/>
    </row>
    <row r="663" spans="2:7" s="288" customFormat="1" x14ac:dyDescent="0.2">
      <c r="B663" s="291"/>
      <c r="E663" s="261"/>
      <c r="F663" s="261"/>
      <c r="G663" s="403"/>
    </row>
    <row r="664" spans="2:7" s="288" customFormat="1" x14ac:dyDescent="0.2">
      <c r="B664" s="291"/>
      <c r="E664" s="261"/>
      <c r="F664" s="261"/>
      <c r="G664" s="403"/>
    </row>
    <row r="665" spans="2:7" s="288" customFormat="1" x14ac:dyDescent="0.2">
      <c r="B665" s="291"/>
      <c r="E665" s="261"/>
      <c r="F665" s="261"/>
      <c r="G665" s="403"/>
    </row>
    <row r="666" spans="2:7" s="288" customFormat="1" x14ac:dyDescent="0.2">
      <c r="B666" s="291"/>
      <c r="E666" s="261"/>
      <c r="F666" s="261"/>
      <c r="G666" s="403"/>
    </row>
    <row r="667" spans="2:7" s="288" customFormat="1" x14ac:dyDescent="0.2">
      <c r="B667" s="291"/>
      <c r="E667" s="261"/>
      <c r="F667" s="261"/>
      <c r="G667" s="403"/>
    </row>
    <row r="668" spans="2:7" s="288" customFormat="1" x14ac:dyDescent="0.2">
      <c r="B668" s="291"/>
      <c r="E668" s="261"/>
      <c r="F668" s="261"/>
      <c r="G668" s="403"/>
    </row>
    <row r="669" spans="2:7" s="288" customFormat="1" x14ac:dyDescent="0.2">
      <c r="B669" s="291"/>
      <c r="E669" s="261"/>
      <c r="F669" s="261"/>
      <c r="G669" s="403"/>
    </row>
    <row r="670" spans="2:7" s="288" customFormat="1" x14ac:dyDescent="0.2">
      <c r="B670" s="291"/>
      <c r="E670" s="261"/>
      <c r="F670" s="261"/>
      <c r="G670" s="403"/>
    </row>
    <row r="671" spans="2:7" s="288" customFormat="1" x14ac:dyDescent="0.2">
      <c r="B671" s="291"/>
      <c r="E671" s="261"/>
      <c r="F671" s="261"/>
      <c r="G671" s="403"/>
    </row>
    <row r="672" spans="2:7" s="288" customFormat="1" x14ac:dyDescent="0.2">
      <c r="B672" s="291"/>
      <c r="E672" s="261"/>
      <c r="F672" s="261"/>
      <c r="G672" s="403"/>
    </row>
    <row r="673" spans="2:7" s="288" customFormat="1" x14ac:dyDescent="0.2">
      <c r="B673" s="291"/>
      <c r="E673" s="261"/>
      <c r="F673" s="261"/>
      <c r="G673" s="403"/>
    </row>
    <row r="674" spans="2:7" s="288" customFormat="1" x14ac:dyDescent="0.2">
      <c r="B674" s="291"/>
      <c r="E674" s="261"/>
      <c r="F674" s="261"/>
      <c r="G674" s="403"/>
    </row>
    <row r="675" spans="2:7" s="288" customFormat="1" x14ac:dyDescent="0.2">
      <c r="B675" s="291"/>
      <c r="E675" s="261"/>
      <c r="F675" s="261"/>
      <c r="G675" s="403"/>
    </row>
    <row r="676" spans="2:7" s="288" customFormat="1" x14ac:dyDescent="0.2">
      <c r="B676" s="291"/>
      <c r="E676" s="261"/>
      <c r="F676" s="261"/>
      <c r="G676" s="403"/>
    </row>
    <row r="677" spans="2:7" s="288" customFormat="1" x14ac:dyDescent="0.2">
      <c r="B677" s="291"/>
      <c r="E677" s="261"/>
      <c r="F677" s="261"/>
      <c r="G677" s="403"/>
    </row>
    <row r="678" spans="2:7" s="288" customFormat="1" x14ac:dyDescent="0.2">
      <c r="B678" s="291"/>
      <c r="E678" s="261"/>
      <c r="F678" s="261"/>
      <c r="G678" s="403"/>
    </row>
    <row r="679" spans="2:7" s="288" customFormat="1" x14ac:dyDescent="0.2">
      <c r="B679" s="291"/>
      <c r="E679" s="261"/>
      <c r="F679" s="261"/>
      <c r="G679" s="403"/>
    </row>
    <row r="680" spans="2:7" s="288" customFormat="1" x14ac:dyDescent="0.2">
      <c r="B680" s="291"/>
      <c r="E680" s="261"/>
      <c r="F680" s="261"/>
      <c r="G680" s="403"/>
    </row>
    <row r="681" spans="2:7" s="288" customFormat="1" x14ac:dyDescent="0.2">
      <c r="B681" s="291"/>
      <c r="E681" s="261"/>
      <c r="F681" s="261"/>
      <c r="G681" s="403"/>
    </row>
    <row r="682" spans="2:7" s="288" customFormat="1" x14ac:dyDescent="0.2">
      <c r="B682" s="291"/>
      <c r="E682" s="261"/>
      <c r="F682" s="261"/>
      <c r="G682" s="403"/>
    </row>
    <row r="683" spans="2:7" s="288" customFormat="1" x14ac:dyDescent="0.2">
      <c r="B683" s="291"/>
      <c r="E683" s="261"/>
      <c r="F683" s="261"/>
      <c r="G683" s="403"/>
    </row>
    <row r="684" spans="2:7" s="288" customFormat="1" x14ac:dyDescent="0.2">
      <c r="B684" s="291"/>
      <c r="E684" s="261"/>
      <c r="F684" s="261"/>
      <c r="G684" s="403"/>
    </row>
    <row r="685" spans="2:7" s="288" customFormat="1" x14ac:dyDescent="0.2">
      <c r="B685" s="291"/>
      <c r="E685" s="261"/>
      <c r="F685" s="261"/>
      <c r="G685" s="403"/>
    </row>
    <row r="686" spans="2:7" s="288" customFormat="1" x14ac:dyDescent="0.2">
      <c r="B686" s="291"/>
      <c r="E686" s="261"/>
      <c r="F686" s="261"/>
      <c r="G686" s="403"/>
    </row>
    <row r="687" spans="2:7" s="288" customFormat="1" x14ac:dyDescent="0.2">
      <c r="B687" s="291"/>
      <c r="E687" s="261"/>
      <c r="F687" s="261"/>
      <c r="G687" s="403"/>
    </row>
    <row r="688" spans="2:7" s="288" customFormat="1" x14ac:dyDescent="0.2">
      <c r="B688" s="291"/>
      <c r="E688" s="261"/>
      <c r="F688" s="261"/>
      <c r="G688" s="403"/>
    </row>
    <row r="689" spans="2:7" s="288" customFormat="1" x14ac:dyDescent="0.2">
      <c r="B689" s="291"/>
      <c r="E689" s="261"/>
      <c r="F689" s="261"/>
      <c r="G689" s="403"/>
    </row>
    <row r="690" spans="2:7" s="288" customFormat="1" x14ac:dyDescent="0.2">
      <c r="B690" s="291"/>
      <c r="E690" s="261"/>
      <c r="F690" s="261"/>
      <c r="G690" s="403"/>
    </row>
    <row r="691" spans="2:7" s="288" customFormat="1" x14ac:dyDescent="0.2">
      <c r="B691" s="291"/>
      <c r="E691" s="261"/>
      <c r="F691" s="261"/>
      <c r="G691" s="403"/>
    </row>
    <row r="692" spans="2:7" s="288" customFormat="1" x14ac:dyDescent="0.2">
      <c r="B692" s="291"/>
      <c r="E692" s="261"/>
      <c r="F692" s="261"/>
      <c r="G692" s="403"/>
    </row>
    <row r="693" spans="2:7" s="288" customFormat="1" x14ac:dyDescent="0.2">
      <c r="B693" s="291"/>
      <c r="E693" s="261"/>
      <c r="F693" s="261"/>
      <c r="G693" s="403"/>
    </row>
    <row r="694" spans="2:7" s="288" customFormat="1" x14ac:dyDescent="0.2">
      <c r="B694" s="291"/>
      <c r="E694" s="261"/>
      <c r="F694" s="261"/>
      <c r="G694" s="403"/>
    </row>
    <row r="695" spans="2:7" s="288" customFormat="1" x14ac:dyDescent="0.2">
      <c r="B695" s="291"/>
      <c r="E695" s="261"/>
      <c r="F695" s="261"/>
      <c r="G695" s="403"/>
    </row>
    <row r="696" spans="2:7" s="288" customFormat="1" x14ac:dyDescent="0.2">
      <c r="B696" s="291"/>
      <c r="E696" s="261"/>
      <c r="F696" s="261"/>
      <c r="G696" s="403"/>
    </row>
    <row r="697" spans="2:7" s="288" customFormat="1" x14ac:dyDescent="0.2">
      <c r="B697" s="291"/>
      <c r="E697" s="261"/>
      <c r="F697" s="261"/>
      <c r="G697" s="403"/>
    </row>
    <row r="698" spans="2:7" s="288" customFormat="1" x14ac:dyDescent="0.2">
      <c r="B698" s="291"/>
      <c r="E698" s="261"/>
      <c r="F698" s="261"/>
      <c r="G698" s="403"/>
    </row>
    <row r="699" spans="2:7" s="288" customFormat="1" x14ac:dyDescent="0.2">
      <c r="B699" s="291"/>
      <c r="E699" s="261"/>
      <c r="F699" s="261"/>
      <c r="G699" s="403"/>
    </row>
    <row r="700" spans="2:7" s="288" customFormat="1" x14ac:dyDescent="0.2">
      <c r="B700" s="291"/>
      <c r="E700" s="261"/>
      <c r="F700" s="261"/>
      <c r="G700" s="403"/>
    </row>
    <row r="701" spans="2:7" s="288" customFormat="1" x14ac:dyDescent="0.2">
      <c r="B701" s="291"/>
      <c r="E701" s="261"/>
      <c r="F701" s="261"/>
      <c r="G701" s="403"/>
    </row>
    <row r="702" spans="2:7" s="288" customFormat="1" x14ac:dyDescent="0.2">
      <c r="B702" s="291"/>
      <c r="E702" s="261"/>
      <c r="F702" s="261"/>
      <c r="G702" s="403"/>
    </row>
    <row r="703" spans="2:7" s="288" customFormat="1" x14ac:dyDescent="0.2">
      <c r="B703" s="291"/>
      <c r="E703" s="261"/>
      <c r="F703" s="261"/>
      <c r="G703" s="403"/>
    </row>
    <row r="704" spans="2:7" s="288" customFormat="1" x14ac:dyDescent="0.2">
      <c r="B704" s="291"/>
      <c r="E704" s="261"/>
      <c r="F704" s="261"/>
      <c r="G704" s="403"/>
    </row>
    <row r="705" spans="2:7" s="288" customFormat="1" x14ac:dyDescent="0.2">
      <c r="B705" s="291"/>
      <c r="E705" s="261"/>
      <c r="F705" s="261"/>
      <c r="G705" s="403"/>
    </row>
    <row r="706" spans="2:7" s="288" customFormat="1" x14ac:dyDescent="0.2">
      <c r="B706" s="291"/>
      <c r="E706" s="261"/>
      <c r="F706" s="261"/>
      <c r="G706" s="403"/>
    </row>
    <row r="707" spans="2:7" s="288" customFormat="1" x14ac:dyDescent="0.2">
      <c r="B707" s="291"/>
      <c r="E707" s="261"/>
      <c r="F707" s="261"/>
      <c r="G707" s="403"/>
    </row>
    <row r="708" spans="2:7" s="288" customFormat="1" x14ac:dyDescent="0.2">
      <c r="B708" s="291"/>
      <c r="E708" s="261"/>
      <c r="F708" s="261"/>
      <c r="G708" s="403"/>
    </row>
    <row r="709" spans="2:7" s="288" customFormat="1" x14ac:dyDescent="0.2">
      <c r="B709" s="291"/>
      <c r="E709" s="261"/>
      <c r="F709" s="261"/>
      <c r="G709" s="403"/>
    </row>
    <row r="710" spans="2:7" s="288" customFormat="1" x14ac:dyDescent="0.2">
      <c r="B710" s="291"/>
      <c r="E710" s="261"/>
      <c r="F710" s="261"/>
      <c r="G710" s="403"/>
    </row>
    <row r="711" spans="2:7" s="288" customFormat="1" x14ac:dyDescent="0.2">
      <c r="B711" s="291"/>
      <c r="E711" s="261"/>
      <c r="F711" s="261"/>
      <c r="G711" s="403"/>
    </row>
    <row r="712" spans="2:7" s="288" customFormat="1" x14ac:dyDescent="0.2">
      <c r="B712" s="291"/>
      <c r="E712" s="261"/>
      <c r="F712" s="261"/>
      <c r="G712" s="403"/>
    </row>
    <row r="713" spans="2:7" s="288" customFormat="1" x14ac:dyDescent="0.2">
      <c r="B713" s="291"/>
      <c r="E713" s="261"/>
      <c r="F713" s="261"/>
      <c r="G713" s="403"/>
    </row>
    <row r="714" spans="2:7" s="288" customFormat="1" x14ac:dyDescent="0.2">
      <c r="B714" s="291"/>
      <c r="E714" s="261"/>
      <c r="F714" s="261"/>
      <c r="G714" s="403"/>
    </row>
    <row r="715" spans="2:7" s="288" customFormat="1" x14ac:dyDescent="0.2">
      <c r="B715" s="291"/>
      <c r="E715" s="261"/>
      <c r="F715" s="261"/>
      <c r="G715" s="403"/>
    </row>
    <row r="716" spans="2:7" s="288" customFormat="1" x14ac:dyDescent="0.2">
      <c r="B716" s="291"/>
      <c r="E716" s="261"/>
      <c r="F716" s="261"/>
      <c r="G716" s="403"/>
    </row>
    <row r="717" spans="2:7" s="288" customFormat="1" x14ac:dyDescent="0.2">
      <c r="B717" s="291"/>
      <c r="E717" s="261"/>
      <c r="F717" s="261"/>
      <c r="G717" s="403"/>
    </row>
    <row r="718" spans="2:7" s="288" customFormat="1" x14ac:dyDescent="0.2">
      <c r="B718" s="291"/>
      <c r="E718" s="261"/>
      <c r="F718" s="261"/>
      <c r="G718" s="403"/>
    </row>
    <row r="719" spans="2:7" s="288" customFormat="1" x14ac:dyDescent="0.2">
      <c r="B719" s="291"/>
      <c r="E719" s="261"/>
      <c r="F719" s="261"/>
      <c r="G719" s="403"/>
    </row>
    <row r="720" spans="2:7" s="288" customFormat="1" x14ac:dyDescent="0.2">
      <c r="B720" s="291"/>
      <c r="E720" s="261"/>
      <c r="F720" s="261"/>
      <c r="G720" s="403"/>
    </row>
    <row r="721" spans="2:7" s="288" customFormat="1" x14ac:dyDescent="0.2">
      <c r="B721" s="291"/>
      <c r="E721" s="261"/>
      <c r="F721" s="261"/>
      <c r="G721" s="403"/>
    </row>
    <row r="722" spans="2:7" s="288" customFormat="1" x14ac:dyDescent="0.2">
      <c r="B722" s="291"/>
      <c r="E722" s="261"/>
      <c r="F722" s="261"/>
      <c r="G722" s="403"/>
    </row>
    <row r="723" spans="2:7" s="288" customFormat="1" x14ac:dyDescent="0.2">
      <c r="B723" s="291"/>
      <c r="E723" s="261"/>
      <c r="F723" s="261"/>
      <c r="G723" s="403"/>
    </row>
    <row r="724" spans="2:7" s="288" customFormat="1" x14ac:dyDescent="0.2">
      <c r="B724" s="291"/>
      <c r="E724" s="261"/>
      <c r="F724" s="261"/>
      <c r="G724" s="403"/>
    </row>
    <row r="725" spans="2:7" s="288" customFormat="1" x14ac:dyDescent="0.2">
      <c r="B725" s="291"/>
      <c r="E725" s="261"/>
      <c r="F725" s="261"/>
      <c r="G725" s="403"/>
    </row>
    <row r="726" spans="2:7" s="288" customFormat="1" x14ac:dyDescent="0.2">
      <c r="B726" s="291"/>
      <c r="E726" s="261"/>
      <c r="F726" s="261"/>
      <c r="G726" s="403"/>
    </row>
    <row r="727" spans="2:7" s="288" customFormat="1" x14ac:dyDescent="0.2">
      <c r="B727" s="291"/>
      <c r="E727" s="261"/>
      <c r="F727" s="261"/>
      <c r="G727" s="403"/>
    </row>
    <row r="728" spans="2:7" s="288" customFormat="1" x14ac:dyDescent="0.2">
      <c r="B728" s="291"/>
      <c r="E728" s="261"/>
      <c r="F728" s="261"/>
      <c r="G728" s="403"/>
    </row>
    <row r="729" spans="2:7" s="288" customFormat="1" x14ac:dyDescent="0.2">
      <c r="B729" s="291"/>
      <c r="E729" s="261"/>
      <c r="F729" s="261"/>
      <c r="G729" s="403"/>
    </row>
    <row r="730" spans="2:7" s="288" customFormat="1" x14ac:dyDescent="0.2">
      <c r="B730" s="291"/>
      <c r="E730" s="261"/>
      <c r="F730" s="261"/>
      <c r="G730" s="403"/>
    </row>
    <row r="731" spans="2:7" s="288" customFormat="1" x14ac:dyDescent="0.2">
      <c r="B731" s="291"/>
      <c r="E731" s="261"/>
      <c r="F731" s="261"/>
      <c r="G731" s="403"/>
    </row>
    <row r="732" spans="2:7" s="288" customFormat="1" x14ac:dyDescent="0.2">
      <c r="B732" s="291"/>
      <c r="E732" s="261"/>
      <c r="F732" s="261"/>
      <c r="G732" s="403"/>
    </row>
    <row r="733" spans="2:7" s="288" customFormat="1" x14ac:dyDescent="0.2">
      <c r="B733" s="291"/>
      <c r="E733" s="261"/>
      <c r="F733" s="261"/>
      <c r="G733" s="403"/>
    </row>
    <row r="734" spans="2:7" s="288" customFormat="1" x14ac:dyDescent="0.2">
      <c r="B734" s="291"/>
      <c r="E734" s="261"/>
      <c r="F734" s="261"/>
      <c r="G734" s="403"/>
    </row>
    <row r="735" spans="2:7" s="288" customFormat="1" x14ac:dyDescent="0.2">
      <c r="B735" s="291"/>
      <c r="E735" s="261"/>
      <c r="F735" s="261"/>
      <c r="G735" s="403"/>
    </row>
    <row r="736" spans="2:7" s="288" customFormat="1" x14ac:dyDescent="0.2">
      <c r="B736" s="291"/>
      <c r="E736" s="261"/>
      <c r="F736" s="261"/>
      <c r="G736" s="403"/>
    </row>
    <row r="737" spans="2:7" s="288" customFormat="1" x14ac:dyDescent="0.2">
      <c r="B737" s="291"/>
      <c r="E737" s="261"/>
      <c r="F737" s="261"/>
      <c r="G737" s="403"/>
    </row>
    <row r="738" spans="2:7" s="288" customFormat="1" x14ac:dyDescent="0.2">
      <c r="B738" s="291"/>
      <c r="E738" s="261"/>
      <c r="F738" s="261"/>
      <c r="G738" s="403"/>
    </row>
    <row r="739" spans="2:7" s="288" customFormat="1" x14ac:dyDescent="0.2">
      <c r="B739" s="291"/>
      <c r="E739" s="261"/>
      <c r="F739" s="261"/>
      <c r="G739" s="403"/>
    </row>
    <row r="740" spans="2:7" s="288" customFormat="1" x14ac:dyDescent="0.2">
      <c r="B740" s="291"/>
      <c r="E740" s="261"/>
      <c r="F740" s="261"/>
      <c r="G740" s="403"/>
    </row>
    <row r="741" spans="2:7" s="288" customFormat="1" x14ac:dyDescent="0.2">
      <c r="B741" s="291"/>
      <c r="E741" s="261"/>
      <c r="F741" s="261"/>
      <c r="G741" s="403"/>
    </row>
    <row r="742" spans="2:7" s="288" customFormat="1" x14ac:dyDescent="0.2">
      <c r="B742" s="291"/>
      <c r="E742" s="261"/>
      <c r="F742" s="261"/>
      <c r="G742" s="403"/>
    </row>
    <row r="743" spans="2:7" s="288" customFormat="1" x14ac:dyDescent="0.2">
      <c r="B743" s="291"/>
      <c r="E743" s="261"/>
      <c r="F743" s="261"/>
      <c r="G743" s="403"/>
    </row>
    <row r="744" spans="2:7" s="288" customFormat="1" x14ac:dyDescent="0.2">
      <c r="B744" s="291"/>
      <c r="E744" s="261"/>
      <c r="F744" s="261"/>
      <c r="G744" s="403"/>
    </row>
    <row r="745" spans="2:7" s="288" customFormat="1" x14ac:dyDescent="0.2">
      <c r="B745" s="291"/>
      <c r="E745" s="261"/>
      <c r="F745" s="261"/>
      <c r="G745" s="403"/>
    </row>
    <row r="746" spans="2:7" s="288" customFormat="1" x14ac:dyDescent="0.2">
      <c r="B746" s="291"/>
      <c r="E746" s="261"/>
      <c r="F746" s="261"/>
      <c r="G746" s="403"/>
    </row>
    <row r="747" spans="2:7" s="288" customFormat="1" x14ac:dyDescent="0.2">
      <c r="B747" s="291"/>
      <c r="E747" s="261"/>
      <c r="F747" s="261"/>
      <c r="G747" s="403"/>
    </row>
    <row r="748" spans="2:7" s="288" customFormat="1" x14ac:dyDescent="0.2">
      <c r="B748" s="291"/>
      <c r="E748" s="261"/>
      <c r="F748" s="261"/>
      <c r="G748" s="403"/>
    </row>
    <row r="749" spans="2:7" s="288" customFormat="1" x14ac:dyDescent="0.2">
      <c r="B749" s="291"/>
      <c r="E749" s="261"/>
      <c r="F749" s="261"/>
      <c r="G749" s="403"/>
    </row>
    <row r="750" spans="2:7" s="288" customFormat="1" x14ac:dyDescent="0.2">
      <c r="B750" s="291"/>
      <c r="E750" s="261"/>
      <c r="F750" s="261"/>
      <c r="G750" s="403"/>
    </row>
    <row r="751" spans="2:7" s="288" customFormat="1" x14ac:dyDescent="0.2">
      <c r="B751" s="291"/>
      <c r="E751" s="261"/>
      <c r="F751" s="261"/>
      <c r="G751" s="403"/>
    </row>
    <row r="752" spans="2:7" s="288" customFormat="1" x14ac:dyDescent="0.2">
      <c r="B752" s="291"/>
      <c r="E752" s="261"/>
      <c r="F752" s="261"/>
      <c r="G752" s="403"/>
    </row>
    <row r="753" spans="2:7" s="288" customFormat="1" x14ac:dyDescent="0.2">
      <c r="B753" s="291"/>
      <c r="E753" s="261"/>
      <c r="F753" s="261"/>
      <c r="G753" s="403"/>
    </row>
    <row r="754" spans="2:7" s="288" customFormat="1" x14ac:dyDescent="0.2">
      <c r="B754" s="291"/>
      <c r="E754" s="261"/>
      <c r="F754" s="261"/>
      <c r="G754" s="403"/>
    </row>
    <row r="755" spans="2:7" s="288" customFormat="1" x14ac:dyDescent="0.2">
      <c r="B755" s="291"/>
      <c r="E755" s="261"/>
      <c r="F755" s="261"/>
      <c r="G755" s="403"/>
    </row>
    <row r="756" spans="2:7" s="288" customFormat="1" x14ac:dyDescent="0.2">
      <c r="B756" s="291"/>
      <c r="E756" s="261"/>
      <c r="F756" s="261"/>
      <c r="G756" s="403"/>
    </row>
    <row r="757" spans="2:7" s="288" customFormat="1" x14ac:dyDescent="0.2">
      <c r="B757" s="291"/>
      <c r="E757" s="261"/>
      <c r="F757" s="261"/>
      <c r="G757" s="403"/>
    </row>
    <row r="758" spans="2:7" s="288" customFormat="1" x14ac:dyDescent="0.2">
      <c r="B758" s="291"/>
      <c r="E758" s="261"/>
      <c r="F758" s="261"/>
      <c r="G758" s="403"/>
    </row>
    <row r="759" spans="2:7" s="288" customFormat="1" x14ac:dyDescent="0.2">
      <c r="B759" s="291"/>
      <c r="E759" s="261"/>
      <c r="F759" s="261"/>
      <c r="G759" s="403"/>
    </row>
    <row r="760" spans="2:7" s="288" customFormat="1" x14ac:dyDescent="0.2">
      <c r="B760" s="291"/>
      <c r="E760" s="261"/>
      <c r="F760" s="261"/>
      <c r="G760" s="403"/>
    </row>
    <row r="761" spans="2:7" s="288" customFormat="1" x14ac:dyDescent="0.2">
      <c r="B761" s="291"/>
      <c r="E761" s="261"/>
      <c r="F761" s="261"/>
      <c r="G761" s="403"/>
    </row>
    <row r="762" spans="2:7" s="288" customFormat="1" x14ac:dyDescent="0.2">
      <c r="B762" s="291"/>
      <c r="E762" s="261"/>
      <c r="F762" s="261"/>
      <c r="G762" s="403"/>
    </row>
    <row r="763" spans="2:7" s="288" customFormat="1" x14ac:dyDescent="0.2">
      <c r="B763" s="291"/>
      <c r="E763" s="261"/>
      <c r="F763" s="261"/>
      <c r="G763" s="403"/>
    </row>
    <row r="764" spans="2:7" s="288" customFormat="1" x14ac:dyDescent="0.2">
      <c r="B764" s="291"/>
      <c r="E764" s="261"/>
      <c r="F764" s="261"/>
      <c r="G764" s="403"/>
    </row>
    <row r="765" spans="2:7" s="288" customFormat="1" x14ac:dyDescent="0.2">
      <c r="B765" s="291"/>
      <c r="E765" s="261"/>
      <c r="F765" s="261"/>
      <c r="G765" s="403"/>
    </row>
    <row r="766" spans="2:7" s="288" customFormat="1" x14ac:dyDescent="0.2">
      <c r="B766" s="291"/>
      <c r="E766" s="261"/>
      <c r="F766" s="261"/>
      <c r="G766" s="403"/>
    </row>
    <row r="767" spans="2:7" s="288" customFormat="1" x14ac:dyDescent="0.2">
      <c r="B767" s="291"/>
      <c r="E767" s="261"/>
      <c r="F767" s="261"/>
      <c r="G767" s="403"/>
    </row>
    <row r="768" spans="2:7" s="288" customFormat="1" x14ac:dyDescent="0.2">
      <c r="B768" s="291"/>
      <c r="E768" s="261"/>
      <c r="F768" s="261"/>
      <c r="G768" s="403"/>
    </row>
    <row r="769" spans="2:7" s="288" customFormat="1" x14ac:dyDescent="0.2">
      <c r="B769" s="291"/>
      <c r="E769" s="261"/>
      <c r="F769" s="261"/>
      <c r="G769" s="403"/>
    </row>
    <row r="770" spans="2:7" s="288" customFormat="1" x14ac:dyDescent="0.2">
      <c r="B770" s="291"/>
      <c r="E770" s="261"/>
      <c r="F770" s="261"/>
      <c r="G770" s="403"/>
    </row>
    <row r="771" spans="2:7" s="288" customFormat="1" x14ac:dyDescent="0.2">
      <c r="B771" s="291"/>
      <c r="E771" s="261"/>
      <c r="F771" s="261"/>
      <c r="G771" s="403"/>
    </row>
    <row r="772" spans="2:7" s="288" customFormat="1" x14ac:dyDescent="0.2">
      <c r="B772" s="291"/>
      <c r="E772" s="261"/>
      <c r="F772" s="261"/>
      <c r="G772" s="403"/>
    </row>
    <row r="773" spans="2:7" s="288" customFormat="1" x14ac:dyDescent="0.2">
      <c r="B773" s="291"/>
      <c r="E773" s="261"/>
      <c r="F773" s="261"/>
      <c r="G773" s="403"/>
    </row>
    <row r="774" spans="2:7" s="288" customFormat="1" x14ac:dyDescent="0.2">
      <c r="B774" s="291"/>
      <c r="E774" s="261"/>
      <c r="F774" s="261"/>
      <c r="G774" s="403"/>
    </row>
    <row r="775" spans="2:7" s="288" customFormat="1" x14ac:dyDescent="0.2">
      <c r="B775" s="291"/>
      <c r="E775" s="261"/>
      <c r="F775" s="261"/>
      <c r="G775" s="403"/>
    </row>
    <row r="776" spans="2:7" s="288" customFormat="1" x14ac:dyDescent="0.2">
      <c r="B776" s="291"/>
      <c r="E776" s="261"/>
      <c r="F776" s="261"/>
      <c r="G776" s="403"/>
    </row>
    <row r="777" spans="2:7" s="288" customFormat="1" x14ac:dyDescent="0.2">
      <c r="B777" s="291"/>
      <c r="E777" s="261"/>
      <c r="F777" s="261"/>
      <c r="G777" s="403"/>
    </row>
    <row r="778" spans="2:7" s="288" customFormat="1" x14ac:dyDescent="0.2">
      <c r="B778" s="291"/>
      <c r="E778" s="261"/>
      <c r="F778" s="261"/>
      <c r="G778" s="403"/>
    </row>
    <row r="779" spans="2:7" s="288" customFormat="1" x14ac:dyDescent="0.2">
      <c r="B779" s="291"/>
      <c r="E779" s="261"/>
      <c r="F779" s="261"/>
      <c r="G779" s="403"/>
    </row>
    <row r="780" spans="2:7" s="288" customFormat="1" x14ac:dyDescent="0.2">
      <c r="B780" s="291"/>
      <c r="E780" s="261"/>
      <c r="F780" s="261"/>
      <c r="G780" s="403"/>
    </row>
    <row r="781" spans="2:7" s="288" customFormat="1" x14ac:dyDescent="0.2">
      <c r="B781" s="291"/>
      <c r="E781" s="261"/>
      <c r="F781" s="261"/>
      <c r="G781" s="403"/>
    </row>
    <row r="782" spans="2:7" s="288" customFormat="1" x14ac:dyDescent="0.2">
      <c r="B782" s="291"/>
      <c r="E782" s="261"/>
      <c r="F782" s="261"/>
      <c r="G782" s="403"/>
    </row>
    <row r="783" spans="2:7" s="288" customFormat="1" x14ac:dyDescent="0.2">
      <c r="B783" s="291"/>
      <c r="E783" s="261"/>
      <c r="F783" s="261"/>
      <c r="G783" s="403"/>
    </row>
    <row r="784" spans="2:7" s="288" customFormat="1" x14ac:dyDescent="0.2">
      <c r="B784" s="291"/>
      <c r="E784" s="261"/>
      <c r="F784" s="261"/>
      <c r="G784" s="403"/>
    </row>
    <row r="785" spans="2:7" s="288" customFormat="1" x14ac:dyDescent="0.2">
      <c r="B785" s="291"/>
      <c r="E785" s="261"/>
      <c r="F785" s="261"/>
      <c r="G785" s="403"/>
    </row>
    <row r="786" spans="2:7" s="288" customFormat="1" x14ac:dyDescent="0.2">
      <c r="B786" s="291"/>
      <c r="E786" s="261"/>
      <c r="F786" s="261"/>
      <c r="G786" s="403"/>
    </row>
    <row r="787" spans="2:7" s="288" customFormat="1" x14ac:dyDescent="0.2">
      <c r="B787" s="291"/>
      <c r="E787" s="261"/>
      <c r="F787" s="261"/>
      <c r="G787" s="403"/>
    </row>
    <row r="788" spans="2:7" s="288" customFormat="1" x14ac:dyDescent="0.2">
      <c r="B788" s="291"/>
      <c r="E788" s="261"/>
      <c r="F788" s="261"/>
      <c r="G788" s="403"/>
    </row>
    <row r="789" spans="2:7" s="288" customFormat="1" x14ac:dyDescent="0.2">
      <c r="B789" s="291"/>
      <c r="E789" s="261"/>
      <c r="F789" s="261"/>
      <c r="G789" s="403"/>
    </row>
    <row r="790" spans="2:7" s="288" customFormat="1" x14ac:dyDescent="0.2">
      <c r="B790" s="291"/>
      <c r="E790" s="261"/>
      <c r="F790" s="261"/>
      <c r="G790" s="403"/>
    </row>
    <row r="791" spans="2:7" s="288" customFormat="1" x14ac:dyDescent="0.2">
      <c r="B791" s="291"/>
      <c r="E791" s="261"/>
      <c r="F791" s="261"/>
      <c r="G791" s="403"/>
    </row>
    <row r="792" spans="2:7" s="288" customFormat="1" x14ac:dyDescent="0.2">
      <c r="B792" s="291"/>
      <c r="E792" s="261"/>
      <c r="F792" s="261"/>
      <c r="G792" s="403"/>
    </row>
    <row r="793" spans="2:7" s="288" customFormat="1" x14ac:dyDescent="0.2">
      <c r="B793" s="291"/>
      <c r="E793" s="261"/>
      <c r="F793" s="261"/>
      <c r="G793" s="403"/>
    </row>
    <row r="794" spans="2:7" s="288" customFormat="1" x14ac:dyDescent="0.2">
      <c r="B794" s="291"/>
      <c r="E794" s="261"/>
      <c r="F794" s="261"/>
      <c r="G794" s="403"/>
    </row>
    <row r="795" spans="2:7" s="288" customFormat="1" x14ac:dyDescent="0.2">
      <c r="B795" s="291"/>
      <c r="E795" s="261"/>
      <c r="F795" s="261"/>
      <c r="G795" s="403"/>
    </row>
    <row r="796" spans="2:7" s="288" customFormat="1" x14ac:dyDescent="0.2">
      <c r="B796" s="291"/>
      <c r="E796" s="261"/>
      <c r="F796" s="261"/>
      <c r="G796" s="403"/>
    </row>
    <row r="797" spans="2:7" s="288" customFormat="1" x14ac:dyDescent="0.2">
      <c r="B797" s="291"/>
      <c r="E797" s="261"/>
      <c r="F797" s="261"/>
      <c r="G797" s="403"/>
    </row>
    <row r="798" spans="2:7" s="288" customFormat="1" x14ac:dyDescent="0.2">
      <c r="B798" s="291"/>
      <c r="E798" s="261"/>
      <c r="F798" s="261"/>
      <c r="G798" s="403"/>
    </row>
    <row r="799" spans="2:7" s="288" customFormat="1" x14ac:dyDescent="0.2">
      <c r="B799" s="291"/>
      <c r="E799" s="261"/>
      <c r="F799" s="261"/>
      <c r="G799" s="403"/>
    </row>
    <row r="800" spans="2:7" s="288" customFormat="1" x14ac:dyDescent="0.2">
      <c r="B800" s="291"/>
      <c r="E800" s="261"/>
      <c r="F800" s="261"/>
      <c r="G800" s="403"/>
    </row>
    <row r="801" spans="2:7" s="288" customFormat="1" x14ac:dyDescent="0.2">
      <c r="B801" s="291"/>
      <c r="E801" s="261"/>
      <c r="F801" s="261"/>
      <c r="G801" s="403"/>
    </row>
    <row r="802" spans="2:7" s="288" customFormat="1" x14ac:dyDescent="0.2">
      <c r="B802" s="291"/>
      <c r="E802" s="261"/>
      <c r="F802" s="261"/>
      <c r="G802" s="403"/>
    </row>
    <row r="803" spans="2:7" s="288" customFormat="1" x14ac:dyDescent="0.2">
      <c r="B803" s="291"/>
      <c r="E803" s="261"/>
      <c r="F803" s="261"/>
      <c r="G803" s="403"/>
    </row>
    <row r="804" spans="2:7" s="288" customFormat="1" x14ac:dyDescent="0.2">
      <c r="B804" s="291"/>
      <c r="E804" s="261"/>
      <c r="F804" s="261"/>
      <c r="G804" s="403"/>
    </row>
    <row r="805" spans="2:7" s="288" customFormat="1" x14ac:dyDescent="0.2">
      <c r="B805" s="291"/>
      <c r="E805" s="261"/>
      <c r="F805" s="261"/>
      <c r="G805" s="403"/>
    </row>
    <row r="806" spans="2:7" s="288" customFormat="1" x14ac:dyDescent="0.2">
      <c r="B806" s="291"/>
      <c r="E806" s="261"/>
      <c r="F806" s="261"/>
      <c r="G806" s="403"/>
    </row>
    <row r="807" spans="2:7" s="288" customFormat="1" x14ac:dyDescent="0.2">
      <c r="B807" s="291"/>
      <c r="E807" s="261"/>
      <c r="F807" s="261"/>
      <c r="G807" s="403"/>
    </row>
    <row r="808" spans="2:7" s="288" customFormat="1" x14ac:dyDescent="0.2">
      <c r="B808" s="291"/>
      <c r="E808" s="261"/>
      <c r="F808" s="261"/>
      <c r="G808" s="403"/>
    </row>
    <row r="809" spans="2:7" s="288" customFormat="1" x14ac:dyDescent="0.2">
      <c r="B809" s="291"/>
      <c r="E809" s="261"/>
      <c r="F809" s="261"/>
      <c r="G809" s="403"/>
    </row>
    <row r="810" spans="2:7" s="288" customFormat="1" x14ac:dyDescent="0.2">
      <c r="B810" s="291"/>
      <c r="E810" s="261"/>
      <c r="F810" s="261"/>
      <c r="G810" s="403"/>
    </row>
    <row r="811" spans="2:7" s="288" customFormat="1" x14ac:dyDescent="0.2">
      <c r="B811" s="291"/>
      <c r="E811" s="261"/>
      <c r="F811" s="261"/>
      <c r="G811" s="403"/>
    </row>
    <row r="812" spans="2:7" s="288" customFormat="1" x14ac:dyDescent="0.2">
      <c r="B812" s="291"/>
      <c r="E812" s="261"/>
      <c r="F812" s="261"/>
      <c r="G812" s="403"/>
    </row>
    <row r="813" spans="2:7" s="288" customFormat="1" x14ac:dyDescent="0.2">
      <c r="B813" s="291"/>
      <c r="E813" s="261"/>
      <c r="F813" s="261"/>
      <c r="G813" s="403"/>
    </row>
    <row r="814" spans="2:7" s="288" customFormat="1" x14ac:dyDescent="0.2">
      <c r="B814" s="291"/>
      <c r="E814" s="261"/>
      <c r="F814" s="261"/>
      <c r="G814" s="403"/>
    </row>
    <row r="815" spans="2:7" s="288" customFormat="1" x14ac:dyDescent="0.2">
      <c r="B815" s="291"/>
      <c r="E815" s="261"/>
      <c r="F815" s="261"/>
      <c r="G815" s="403"/>
    </row>
    <row r="816" spans="2:7" s="288" customFormat="1" x14ac:dyDescent="0.2">
      <c r="B816" s="291"/>
      <c r="E816" s="261"/>
      <c r="F816" s="261"/>
      <c r="G816" s="403"/>
    </row>
    <row r="817" spans="2:7" s="288" customFormat="1" x14ac:dyDescent="0.2">
      <c r="B817" s="291"/>
      <c r="E817" s="261"/>
      <c r="F817" s="261"/>
      <c r="G817" s="403"/>
    </row>
    <row r="818" spans="2:7" s="288" customFormat="1" x14ac:dyDescent="0.2">
      <c r="B818" s="291"/>
      <c r="E818" s="261"/>
      <c r="F818" s="261"/>
      <c r="G818" s="403"/>
    </row>
    <row r="819" spans="2:7" s="288" customFormat="1" x14ac:dyDescent="0.2">
      <c r="B819" s="291"/>
      <c r="E819" s="261"/>
      <c r="F819" s="261"/>
      <c r="G819" s="403"/>
    </row>
    <row r="820" spans="2:7" s="288" customFormat="1" x14ac:dyDescent="0.2">
      <c r="B820" s="291"/>
      <c r="E820" s="261"/>
      <c r="F820" s="261"/>
      <c r="G820" s="403"/>
    </row>
    <row r="821" spans="2:7" s="288" customFormat="1" x14ac:dyDescent="0.2">
      <c r="B821" s="291"/>
      <c r="E821" s="261"/>
      <c r="F821" s="261"/>
      <c r="G821" s="403"/>
    </row>
    <row r="822" spans="2:7" s="288" customFormat="1" x14ac:dyDescent="0.2">
      <c r="B822" s="291"/>
      <c r="E822" s="261"/>
      <c r="F822" s="261"/>
      <c r="G822" s="403"/>
    </row>
    <row r="823" spans="2:7" s="288" customFormat="1" x14ac:dyDescent="0.2">
      <c r="B823" s="291"/>
      <c r="E823" s="261"/>
      <c r="F823" s="261"/>
      <c r="G823" s="403"/>
    </row>
    <row r="824" spans="2:7" s="288" customFormat="1" x14ac:dyDescent="0.2">
      <c r="B824" s="291"/>
      <c r="E824" s="261"/>
      <c r="F824" s="261"/>
      <c r="G824" s="403"/>
    </row>
    <row r="825" spans="2:7" s="288" customFormat="1" x14ac:dyDescent="0.2">
      <c r="B825" s="291"/>
      <c r="E825" s="261"/>
      <c r="F825" s="261"/>
      <c r="G825" s="403"/>
    </row>
    <row r="826" spans="2:7" s="288" customFormat="1" x14ac:dyDescent="0.2">
      <c r="B826" s="291"/>
      <c r="E826" s="261"/>
      <c r="F826" s="261"/>
      <c r="G826" s="403"/>
    </row>
    <row r="827" spans="2:7" s="288" customFormat="1" x14ac:dyDescent="0.2">
      <c r="B827" s="291"/>
      <c r="E827" s="261"/>
      <c r="F827" s="261"/>
      <c r="G827" s="403"/>
    </row>
    <row r="828" spans="2:7" s="288" customFormat="1" x14ac:dyDescent="0.2">
      <c r="B828" s="291"/>
      <c r="E828" s="261"/>
      <c r="F828" s="261"/>
      <c r="G828" s="403"/>
    </row>
    <row r="829" spans="2:7" s="288" customFormat="1" x14ac:dyDescent="0.2">
      <c r="B829" s="291"/>
      <c r="E829" s="261"/>
      <c r="F829" s="261"/>
      <c r="G829" s="403"/>
    </row>
    <row r="830" spans="2:7" s="288" customFormat="1" x14ac:dyDescent="0.2">
      <c r="B830" s="291"/>
      <c r="E830" s="261"/>
      <c r="F830" s="261"/>
      <c r="G830" s="403"/>
    </row>
    <row r="831" spans="2:7" s="288" customFormat="1" x14ac:dyDescent="0.2">
      <c r="B831" s="291"/>
      <c r="E831" s="261"/>
      <c r="F831" s="261"/>
      <c r="G831" s="403"/>
    </row>
    <row r="832" spans="2:7" s="288" customFormat="1" x14ac:dyDescent="0.2">
      <c r="B832" s="291"/>
      <c r="E832" s="261"/>
      <c r="F832" s="261"/>
      <c r="G832" s="403"/>
    </row>
    <row r="833" spans="2:7" s="288" customFormat="1" x14ac:dyDescent="0.2">
      <c r="B833" s="291"/>
      <c r="E833" s="261"/>
      <c r="F833" s="261"/>
      <c r="G833" s="403"/>
    </row>
    <row r="834" spans="2:7" s="288" customFormat="1" x14ac:dyDescent="0.2">
      <c r="B834" s="291"/>
      <c r="E834" s="261"/>
      <c r="F834" s="261"/>
      <c r="G834" s="403"/>
    </row>
    <row r="835" spans="2:7" s="288" customFormat="1" x14ac:dyDescent="0.2">
      <c r="B835" s="291"/>
      <c r="E835" s="261"/>
      <c r="F835" s="261"/>
      <c r="G835" s="403"/>
    </row>
    <row r="836" spans="2:7" s="288" customFormat="1" x14ac:dyDescent="0.2">
      <c r="B836" s="291"/>
      <c r="E836" s="261"/>
      <c r="F836" s="261"/>
      <c r="G836" s="403"/>
    </row>
    <row r="837" spans="2:7" s="288" customFormat="1" x14ac:dyDescent="0.2">
      <c r="B837" s="291"/>
      <c r="E837" s="261"/>
      <c r="F837" s="261"/>
      <c r="G837" s="403"/>
    </row>
    <row r="838" spans="2:7" s="288" customFormat="1" x14ac:dyDescent="0.2">
      <c r="B838" s="291"/>
      <c r="E838" s="261"/>
      <c r="F838" s="261"/>
      <c r="G838" s="403"/>
    </row>
    <row r="839" spans="2:7" s="288" customFormat="1" x14ac:dyDescent="0.2">
      <c r="B839" s="291"/>
      <c r="E839" s="261"/>
      <c r="F839" s="261"/>
      <c r="G839" s="403"/>
    </row>
    <row r="840" spans="2:7" s="288" customFormat="1" x14ac:dyDescent="0.2">
      <c r="B840" s="291"/>
      <c r="E840" s="261"/>
      <c r="F840" s="261"/>
      <c r="G840" s="403"/>
    </row>
    <row r="841" spans="2:7" s="288" customFormat="1" x14ac:dyDescent="0.2">
      <c r="B841" s="291"/>
      <c r="E841" s="261"/>
      <c r="F841" s="261"/>
      <c r="G841" s="403"/>
    </row>
    <row r="842" spans="2:7" s="288" customFormat="1" x14ac:dyDescent="0.2">
      <c r="B842" s="291"/>
      <c r="E842" s="261"/>
      <c r="F842" s="261"/>
      <c r="G842" s="403"/>
    </row>
    <row r="843" spans="2:7" s="288" customFormat="1" x14ac:dyDescent="0.2">
      <c r="B843" s="291"/>
      <c r="E843" s="261"/>
      <c r="F843" s="261"/>
      <c r="G843" s="403"/>
    </row>
    <row r="844" spans="2:7" s="288" customFormat="1" x14ac:dyDescent="0.2">
      <c r="B844" s="291"/>
      <c r="E844" s="261"/>
      <c r="F844" s="261"/>
      <c r="G844" s="403"/>
    </row>
    <row r="845" spans="2:7" s="288" customFormat="1" x14ac:dyDescent="0.2">
      <c r="B845" s="291"/>
      <c r="E845" s="261"/>
      <c r="F845" s="261"/>
      <c r="G845" s="403"/>
    </row>
    <row r="846" spans="2:7" s="288" customFormat="1" x14ac:dyDescent="0.2">
      <c r="B846" s="291"/>
      <c r="E846" s="261"/>
      <c r="F846" s="261"/>
      <c r="G846" s="403"/>
    </row>
    <row r="847" spans="2:7" s="288" customFormat="1" x14ac:dyDescent="0.2">
      <c r="B847" s="291"/>
      <c r="E847" s="261"/>
      <c r="F847" s="261"/>
      <c r="G847" s="403"/>
    </row>
    <row r="848" spans="2:7" s="288" customFormat="1" x14ac:dyDescent="0.2">
      <c r="B848" s="291"/>
      <c r="E848" s="261"/>
      <c r="F848" s="261"/>
      <c r="G848" s="403"/>
    </row>
    <row r="849" spans="2:7" s="288" customFormat="1" x14ac:dyDescent="0.2">
      <c r="B849" s="291"/>
      <c r="E849" s="261"/>
      <c r="F849" s="261"/>
      <c r="G849" s="403"/>
    </row>
    <row r="850" spans="2:7" s="288" customFormat="1" x14ac:dyDescent="0.2">
      <c r="B850" s="291"/>
      <c r="E850" s="261"/>
      <c r="F850" s="261"/>
      <c r="G850" s="403"/>
    </row>
    <row r="851" spans="2:7" s="288" customFormat="1" x14ac:dyDescent="0.2">
      <c r="B851" s="291"/>
      <c r="E851" s="261"/>
      <c r="F851" s="261"/>
      <c r="G851" s="403"/>
    </row>
    <row r="852" spans="2:7" s="288" customFormat="1" x14ac:dyDescent="0.2">
      <c r="B852" s="291"/>
      <c r="E852" s="261"/>
      <c r="F852" s="261"/>
      <c r="G852" s="403"/>
    </row>
    <row r="853" spans="2:7" s="288" customFormat="1" x14ac:dyDescent="0.2">
      <c r="B853" s="291"/>
      <c r="E853" s="261"/>
      <c r="F853" s="261"/>
      <c r="G853" s="403"/>
    </row>
    <row r="854" spans="2:7" s="288" customFormat="1" x14ac:dyDescent="0.2">
      <c r="B854" s="291"/>
      <c r="E854" s="261"/>
      <c r="F854" s="261"/>
      <c r="G854" s="403"/>
    </row>
    <row r="855" spans="2:7" s="288" customFormat="1" x14ac:dyDescent="0.2">
      <c r="B855" s="291"/>
      <c r="E855" s="261"/>
      <c r="F855" s="261"/>
      <c r="G855" s="403"/>
    </row>
    <row r="856" spans="2:7" s="288" customFormat="1" x14ac:dyDescent="0.2">
      <c r="B856" s="291"/>
      <c r="E856" s="261"/>
      <c r="F856" s="261"/>
      <c r="G856" s="403"/>
    </row>
    <row r="857" spans="2:7" s="288" customFormat="1" x14ac:dyDescent="0.2">
      <c r="B857" s="291"/>
      <c r="E857" s="261"/>
      <c r="F857" s="261"/>
      <c r="G857" s="403"/>
    </row>
    <row r="858" spans="2:7" s="288" customFormat="1" x14ac:dyDescent="0.2">
      <c r="B858" s="291"/>
      <c r="E858" s="261"/>
      <c r="F858" s="261"/>
      <c r="G858" s="403"/>
    </row>
    <row r="859" spans="2:7" s="288" customFormat="1" x14ac:dyDescent="0.2">
      <c r="B859" s="291"/>
      <c r="E859" s="261"/>
      <c r="F859" s="261"/>
      <c r="G859" s="403"/>
    </row>
    <row r="860" spans="2:7" s="288" customFormat="1" x14ac:dyDescent="0.2">
      <c r="B860" s="291"/>
      <c r="E860" s="261"/>
      <c r="F860" s="261"/>
      <c r="G860" s="403"/>
    </row>
    <row r="861" spans="2:7" s="288" customFormat="1" x14ac:dyDescent="0.2">
      <c r="B861" s="291"/>
      <c r="E861" s="261"/>
      <c r="F861" s="261"/>
      <c r="G861" s="403"/>
    </row>
    <row r="862" spans="2:7" s="288" customFormat="1" x14ac:dyDescent="0.2">
      <c r="B862" s="291"/>
      <c r="E862" s="261"/>
      <c r="F862" s="261"/>
      <c r="G862" s="403"/>
    </row>
    <row r="863" spans="2:7" s="288" customFormat="1" x14ac:dyDescent="0.2">
      <c r="B863" s="291"/>
      <c r="E863" s="261"/>
      <c r="F863" s="261"/>
      <c r="G863" s="403"/>
    </row>
    <row r="864" spans="2:7" s="288" customFormat="1" x14ac:dyDescent="0.2">
      <c r="B864" s="291"/>
      <c r="E864" s="261"/>
      <c r="F864" s="261"/>
      <c r="G864" s="403"/>
    </row>
    <row r="865" spans="2:7" s="288" customFormat="1" x14ac:dyDescent="0.2">
      <c r="B865" s="291"/>
      <c r="E865" s="261"/>
      <c r="F865" s="261"/>
      <c r="G865" s="403"/>
    </row>
    <row r="866" spans="2:7" s="288" customFormat="1" x14ac:dyDescent="0.2">
      <c r="B866" s="291"/>
      <c r="E866" s="261"/>
      <c r="F866" s="261"/>
      <c r="G866" s="403"/>
    </row>
    <row r="867" spans="2:7" s="288" customFormat="1" x14ac:dyDescent="0.2">
      <c r="B867" s="291"/>
      <c r="E867" s="261"/>
      <c r="F867" s="261"/>
      <c r="G867" s="403"/>
    </row>
    <row r="868" spans="2:7" s="288" customFormat="1" x14ac:dyDescent="0.2">
      <c r="B868" s="291"/>
      <c r="E868" s="261"/>
      <c r="F868" s="261"/>
      <c r="G868" s="403"/>
    </row>
    <row r="869" spans="2:7" s="288" customFormat="1" x14ac:dyDescent="0.2">
      <c r="B869" s="291"/>
      <c r="E869" s="261"/>
      <c r="F869" s="261"/>
      <c r="G869" s="403"/>
    </row>
    <row r="870" spans="2:7" s="288" customFormat="1" x14ac:dyDescent="0.2">
      <c r="B870" s="291"/>
      <c r="E870" s="261"/>
      <c r="F870" s="261"/>
      <c r="G870" s="403"/>
    </row>
    <row r="871" spans="2:7" s="288" customFormat="1" x14ac:dyDescent="0.2">
      <c r="B871" s="291"/>
      <c r="E871" s="261"/>
      <c r="F871" s="261"/>
      <c r="G871" s="403"/>
    </row>
    <row r="872" spans="2:7" s="288" customFormat="1" x14ac:dyDescent="0.2">
      <c r="B872" s="291"/>
      <c r="E872" s="261"/>
      <c r="F872" s="261"/>
      <c r="G872" s="403"/>
    </row>
    <row r="873" spans="2:7" s="288" customFormat="1" x14ac:dyDescent="0.2">
      <c r="B873" s="291"/>
      <c r="E873" s="261"/>
      <c r="F873" s="261"/>
      <c r="G873" s="403"/>
    </row>
    <row r="874" spans="2:7" s="288" customFormat="1" x14ac:dyDescent="0.2">
      <c r="B874" s="291"/>
      <c r="E874" s="261"/>
      <c r="F874" s="261"/>
      <c r="G874" s="403"/>
    </row>
    <row r="875" spans="2:7" s="288" customFormat="1" x14ac:dyDescent="0.2">
      <c r="B875" s="291"/>
      <c r="E875" s="261"/>
      <c r="F875" s="261"/>
      <c r="G875" s="403"/>
    </row>
    <row r="876" spans="2:7" s="288" customFormat="1" x14ac:dyDescent="0.2">
      <c r="B876" s="291"/>
      <c r="E876" s="261"/>
      <c r="F876" s="261"/>
      <c r="G876" s="403"/>
    </row>
    <row r="877" spans="2:7" s="288" customFormat="1" x14ac:dyDescent="0.2">
      <c r="B877" s="291"/>
      <c r="E877" s="261"/>
      <c r="F877" s="261"/>
      <c r="G877" s="403"/>
    </row>
    <row r="878" spans="2:7" s="288" customFormat="1" x14ac:dyDescent="0.2">
      <c r="B878" s="291"/>
      <c r="E878" s="261"/>
      <c r="F878" s="261"/>
      <c r="G878" s="403"/>
    </row>
    <row r="879" spans="2:7" s="288" customFormat="1" x14ac:dyDescent="0.2">
      <c r="B879" s="291"/>
      <c r="E879" s="261"/>
      <c r="F879" s="261"/>
      <c r="G879" s="403"/>
    </row>
    <row r="880" spans="2:7" s="288" customFormat="1" x14ac:dyDescent="0.2">
      <c r="B880" s="291"/>
      <c r="E880" s="261"/>
      <c r="F880" s="261"/>
      <c r="G880" s="403"/>
    </row>
    <row r="881" spans="2:7" s="288" customFormat="1" x14ac:dyDescent="0.2">
      <c r="B881" s="291"/>
      <c r="E881" s="261"/>
      <c r="F881" s="261"/>
      <c r="G881" s="403"/>
    </row>
    <row r="882" spans="2:7" s="288" customFormat="1" x14ac:dyDescent="0.2">
      <c r="B882" s="291"/>
      <c r="E882" s="261"/>
      <c r="F882" s="261"/>
      <c r="G882" s="403"/>
    </row>
    <row r="883" spans="2:7" s="288" customFormat="1" x14ac:dyDescent="0.2">
      <c r="B883" s="291"/>
      <c r="E883" s="261"/>
      <c r="F883" s="261"/>
      <c r="G883" s="403"/>
    </row>
    <row r="884" spans="2:7" s="288" customFormat="1" x14ac:dyDescent="0.2">
      <c r="B884" s="291"/>
      <c r="E884" s="261"/>
      <c r="F884" s="261"/>
      <c r="G884" s="403"/>
    </row>
    <row r="885" spans="2:7" s="288" customFormat="1" x14ac:dyDescent="0.2">
      <c r="B885" s="291"/>
      <c r="E885" s="261"/>
      <c r="F885" s="261"/>
      <c r="G885" s="403"/>
    </row>
    <row r="886" spans="2:7" s="288" customFormat="1" x14ac:dyDescent="0.2">
      <c r="B886" s="291"/>
      <c r="E886" s="261"/>
      <c r="F886" s="261"/>
      <c r="G886" s="403"/>
    </row>
    <row r="887" spans="2:7" s="288" customFormat="1" x14ac:dyDescent="0.2">
      <c r="B887" s="291"/>
      <c r="E887" s="261"/>
      <c r="F887" s="261"/>
      <c r="G887" s="403"/>
    </row>
    <row r="888" spans="2:7" s="288" customFormat="1" x14ac:dyDescent="0.2">
      <c r="B888" s="291"/>
      <c r="E888" s="261"/>
      <c r="F888" s="261"/>
      <c r="G888" s="403"/>
    </row>
    <row r="889" spans="2:7" s="288" customFormat="1" x14ac:dyDescent="0.2">
      <c r="B889" s="291"/>
      <c r="E889" s="261"/>
      <c r="F889" s="261"/>
      <c r="G889" s="403"/>
    </row>
    <row r="890" spans="2:7" s="288" customFormat="1" x14ac:dyDescent="0.2">
      <c r="B890" s="291"/>
      <c r="E890" s="261"/>
      <c r="F890" s="261"/>
      <c r="G890" s="403"/>
    </row>
    <row r="891" spans="2:7" s="288" customFormat="1" x14ac:dyDescent="0.2">
      <c r="B891" s="291"/>
      <c r="E891" s="261"/>
      <c r="F891" s="261"/>
      <c r="G891" s="403"/>
    </row>
    <row r="892" spans="2:7" s="288" customFormat="1" x14ac:dyDescent="0.2">
      <c r="B892" s="291"/>
      <c r="E892" s="261"/>
      <c r="F892" s="261"/>
      <c r="G892" s="403"/>
    </row>
    <row r="893" spans="2:7" s="288" customFormat="1" x14ac:dyDescent="0.2">
      <c r="B893" s="291"/>
      <c r="E893" s="261"/>
      <c r="F893" s="261"/>
      <c r="G893" s="403"/>
    </row>
    <row r="894" spans="2:7" s="288" customFormat="1" x14ac:dyDescent="0.2">
      <c r="B894" s="291"/>
      <c r="E894" s="261"/>
      <c r="F894" s="261"/>
      <c r="G894" s="403"/>
    </row>
    <row r="895" spans="2:7" s="288" customFormat="1" x14ac:dyDescent="0.2">
      <c r="B895" s="291"/>
      <c r="E895" s="261"/>
      <c r="F895" s="261"/>
      <c r="G895" s="403"/>
    </row>
    <row r="896" spans="2:7" s="288" customFormat="1" x14ac:dyDescent="0.2">
      <c r="B896" s="291"/>
      <c r="E896" s="261"/>
      <c r="F896" s="261"/>
      <c r="G896" s="403"/>
    </row>
    <row r="897" spans="2:7" s="288" customFormat="1" x14ac:dyDescent="0.2">
      <c r="B897" s="291"/>
      <c r="E897" s="261"/>
      <c r="F897" s="261"/>
      <c r="G897" s="403"/>
    </row>
    <row r="898" spans="2:7" s="288" customFormat="1" x14ac:dyDescent="0.2">
      <c r="B898" s="291"/>
      <c r="E898" s="261"/>
      <c r="F898" s="261"/>
      <c r="G898" s="403"/>
    </row>
    <row r="899" spans="2:7" s="288" customFormat="1" x14ac:dyDescent="0.2">
      <c r="B899" s="291"/>
      <c r="E899" s="261"/>
      <c r="F899" s="261"/>
      <c r="G899" s="403"/>
    </row>
    <row r="900" spans="2:7" s="288" customFormat="1" x14ac:dyDescent="0.2">
      <c r="B900" s="291"/>
      <c r="E900" s="261"/>
      <c r="F900" s="261"/>
      <c r="G900" s="403"/>
    </row>
    <row r="901" spans="2:7" s="288" customFormat="1" x14ac:dyDescent="0.2">
      <c r="B901" s="291"/>
      <c r="E901" s="261"/>
      <c r="F901" s="261"/>
      <c r="G901" s="403"/>
    </row>
    <row r="902" spans="2:7" s="288" customFormat="1" x14ac:dyDescent="0.2">
      <c r="B902" s="291"/>
      <c r="E902" s="261"/>
      <c r="F902" s="261"/>
      <c r="G902" s="403"/>
    </row>
    <row r="903" spans="2:7" s="288" customFormat="1" x14ac:dyDescent="0.2">
      <c r="B903" s="291"/>
      <c r="E903" s="261"/>
      <c r="F903" s="261"/>
      <c r="G903" s="403"/>
    </row>
    <row r="904" spans="2:7" s="288" customFormat="1" x14ac:dyDescent="0.2">
      <c r="B904" s="291"/>
      <c r="E904" s="261"/>
      <c r="F904" s="261"/>
      <c r="G904" s="403"/>
    </row>
    <row r="905" spans="2:7" s="288" customFormat="1" x14ac:dyDescent="0.2">
      <c r="B905" s="291"/>
      <c r="E905" s="261"/>
      <c r="F905" s="261"/>
      <c r="G905" s="403"/>
    </row>
    <row r="906" spans="2:7" s="288" customFormat="1" x14ac:dyDescent="0.2">
      <c r="B906" s="291"/>
      <c r="E906" s="261"/>
      <c r="F906" s="261"/>
      <c r="G906" s="403"/>
    </row>
    <row r="907" spans="2:7" s="288" customFormat="1" x14ac:dyDescent="0.2">
      <c r="B907" s="291"/>
      <c r="E907" s="261"/>
      <c r="F907" s="261"/>
      <c r="G907" s="403"/>
    </row>
    <row r="908" spans="2:7" s="288" customFormat="1" x14ac:dyDescent="0.2">
      <c r="B908" s="291"/>
      <c r="E908" s="261"/>
      <c r="F908" s="261"/>
      <c r="G908" s="403"/>
    </row>
    <row r="909" spans="2:7" s="288" customFormat="1" x14ac:dyDescent="0.2">
      <c r="B909" s="291"/>
      <c r="E909" s="261"/>
      <c r="F909" s="261"/>
      <c r="G909" s="403"/>
    </row>
    <row r="910" spans="2:7" s="288" customFormat="1" x14ac:dyDescent="0.2">
      <c r="B910" s="291"/>
      <c r="E910" s="261"/>
      <c r="F910" s="261"/>
      <c r="G910" s="403"/>
    </row>
    <row r="911" spans="2:7" s="288" customFormat="1" x14ac:dyDescent="0.2">
      <c r="B911" s="291"/>
      <c r="E911" s="261"/>
      <c r="F911" s="261"/>
      <c r="G911" s="403"/>
    </row>
    <row r="912" spans="2:7" s="288" customFormat="1" x14ac:dyDescent="0.2">
      <c r="B912" s="291"/>
      <c r="E912" s="261"/>
      <c r="F912" s="261"/>
      <c r="G912" s="403"/>
    </row>
    <row r="913" spans="2:7" s="288" customFormat="1" x14ac:dyDescent="0.2">
      <c r="B913" s="291"/>
      <c r="E913" s="261"/>
      <c r="F913" s="261"/>
      <c r="G913" s="403"/>
    </row>
    <row r="914" spans="2:7" s="288" customFormat="1" x14ac:dyDescent="0.2">
      <c r="B914" s="291"/>
      <c r="E914" s="261"/>
      <c r="F914" s="261"/>
      <c r="G914" s="403"/>
    </row>
    <row r="915" spans="2:7" s="288" customFormat="1" x14ac:dyDescent="0.2">
      <c r="B915" s="291"/>
      <c r="E915" s="261"/>
      <c r="F915" s="261"/>
      <c r="G915" s="403"/>
    </row>
    <row r="916" spans="2:7" s="288" customFormat="1" x14ac:dyDescent="0.2">
      <c r="B916" s="291"/>
      <c r="E916" s="261"/>
      <c r="F916" s="261"/>
      <c r="G916" s="403"/>
    </row>
    <row r="917" spans="2:7" s="288" customFormat="1" x14ac:dyDescent="0.2">
      <c r="B917" s="291"/>
      <c r="E917" s="261"/>
      <c r="F917" s="261"/>
      <c r="G917" s="403"/>
    </row>
    <row r="918" spans="2:7" s="288" customFormat="1" x14ac:dyDescent="0.2">
      <c r="B918" s="291"/>
      <c r="E918" s="261"/>
      <c r="F918" s="261"/>
      <c r="G918" s="403"/>
    </row>
    <row r="919" spans="2:7" s="288" customFormat="1" x14ac:dyDescent="0.2">
      <c r="B919" s="291"/>
      <c r="E919" s="261"/>
      <c r="F919" s="261"/>
      <c r="G919" s="403"/>
    </row>
    <row r="920" spans="2:7" s="288" customFormat="1" x14ac:dyDescent="0.2">
      <c r="B920" s="291"/>
      <c r="E920" s="261"/>
      <c r="F920" s="261"/>
      <c r="G920" s="403"/>
    </row>
    <row r="921" spans="2:7" s="288" customFormat="1" x14ac:dyDescent="0.2">
      <c r="B921" s="291"/>
      <c r="E921" s="261"/>
      <c r="F921" s="261"/>
      <c r="G921" s="403"/>
    </row>
    <row r="922" spans="2:7" s="288" customFormat="1" x14ac:dyDescent="0.2">
      <c r="B922" s="291"/>
      <c r="E922" s="261"/>
      <c r="F922" s="261"/>
      <c r="G922" s="403"/>
    </row>
    <row r="923" spans="2:7" s="288" customFormat="1" x14ac:dyDescent="0.2">
      <c r="B923" s="291"/>
      <c r="E923" s="261"/>
      <c r="F923" s="261"/>
      <c r="G923" s="403"/>
    </row>
    <row r="924" spans="2:7" s="288" customFormat="1" x14ac:dyDescent="0.2">
      <c r="B924" s="291"/>
      <c r="E924" s="261"/>
      <c r="F924" s="261"/>
      <c r="G924" s="403"/>
    </row>
    <row r="925" spans="2:7" s="288" customFormat="1" x14ac:dyDescent="0.2">
      <c r="B925" s="291"/>
      <c r="E925" s="261"/>
      <c r="F925" s="261"/>
      <c r="G925" s="403"/>
    </row>
    <row r="926" spans="2:7" s="288" customFormat="1" x14ac:dyDescent="0.2">
      <c r="B926" s="291"/>
      <c r="E926" s="261"/>
      <c r="F926" s="261"/>
      <c r="G926" s="403"/>
    </row>
    <row r="927" spans="2:7" s="288" customFormat="1" x14ac:dyDescent="0.2">
      <c r="B927" s="291"/>
      <c r="E927" s="261"/>
      <c r="F927" s="261"/>
      <c r="G927" s="403"/>
    </row>
    <row r="928" spans="2:7" s="288" customFormat="1" x14ac:dyDescent="0.2">
      <c r="B928" s="291"/>
      <c r="E928" s="261"/>
      <c r="F928" s="261"/>
      <c r="G928" s="403"/>
    </row>
    <row r="929" spans="2:7" s="288" customFormat="1" x14ac:dyDescent="0.2">
      <c r="B929" s="291"/>
      <c r="E929" s="261"/>
      <c r="F929" s="261"/>
      <c r="G929" s="403"/>
    </row>
    <row r="930" spans="2:7" s="288" customFormat="1" x14ac:dyDescent="0.2">
      <c r="B930" s="291"/>
      <c r="E930" s="261"/>
      <c r="F930" s="261"/>
      <c r="G930" s="403"/>
    </row>
    <row r="931" spans="2:7" s="288" customFormat="1" x14ac:dyDescent="0.2">
      <c r="B931" s="291"/>
      <c r="E931" s="261"/>
      <c r="F931" s="261"/>
      <c r="G931" s="403"/>
    </row>
    <row r="932" spans="2:7" s="288" customFormat="1" x14ac:dyDescent="0.2">
      <c r="B932" s="291"/>
      <c r="E932" s="261"/>
      <c r="F932" s="261"/>
      <c r="G932" s="403"/>
    </row>
    <row r="933" spans="2:7" s="288" customFormat="1" x14ac:dyDescent="0.2">
      <c r="B933" s="291"/>
      <c r="E933" s="261"/>
      <c r="F933" s="261"/>
      <c r="G933" s="403"/>
    </row>
    <row r="934" spans="2:7" s="288" customFormat="1" x14ac:dyDescent="0.2">
      <c r="B934" s="291"/>
      <c r="E934" s="261"/>
      <c r="F934" s="261"/>
      <c r="G934" s="403"/>
    </row>
    <row r="935" spans="2:7" s="288" customFormat="1" x14ac:dyDescent="0.2">
      <c r="B935" s="291"/>
      <c r="E935" s="261"/>
      <c r="F935" s="261"/>
      <c r="G935" s="403"/>
    </row>
    <row r="936" spans="2:7" s="288" customFormat="1" x14ac:dyDescent="0.2">
      <c r="B936" s="291"/>
      <c r="E936" s="261"/>
      <c r="F936" s="261"/>
      <c r="G936" s="403"/>
    </row>
    <row r="937" spans="2:7" s="288" customFormat="1" x14ac:dyDescent="0.2">
      <c r="B937" s="291"/>
      <c r="E937" s="261"/>
      <c r="F937" s="261"/>
      <c r="G937" s="403"/>
    </row>
    <row r="938" spans="2:7" s="288" customFormat="1" x14ac:dyDescent="0.2">
      <c r="B938" s="291"/>
      <c r="E938" s="261"/>
      <c r="F938" s="261"/>
      <c r="G938" s="403"/>
    </row>
    <row r="939" spans="2:7" s="288" customFormat="1" x14ac:dyDescent="0.2">
      <c r="B939" s="291"/>
      <c r="E939" s="261"/>
      <c r="F939" s="261"/>
      <c r="G939" s="403"/>
    </row>
    <row r="940" spans="2:7" s="288" customFormat="1" x14ac:dyDescent="0.2">
      <c r="B940" s="291"/>
      <c r="E940" s="261"/>
      <c r="F940" s="261"/>
      <c r="G940" s="403"/>
    </row>
    <row r="941" spans="2:7" s="288" customFormat="1" x14ac:dyDescent="0.2">
      <c r="B941" s="291"/>
      <c r="E941" s="261"/>
      <c r="F941" s="261"/>
      <c r="G941" s="403"/>
    </row>
    <row r="942" spans="2:7" s="288" customFormat="1" x14ac:dyDescent="0.2">
      <c r="B942" s="291"/>
      <c r="E942" s="261"/>
      <c r="F942" s="261"/>
      <c r="G942" s="403"/>
    </row>
    <row r="943" spans="2:7" s="288" customFormat="1" x14ac:dyDescent="0.2">
      <c r="B943" s="291"/>
      <c r="E943" s="261"/>
      <c r="F943" s="261"/>
      <c r="G943" s="403"/>
    </row>
    <row r="944" spans="2:7" s="288" customFormat="1" x14ac:dyDescent="0.2">
      <c r="B944" s="291"/>
      <c r="E944" s="261"/>
      <c r="F944" s="261"/>
      <c r="G944" s="403"/>
    </row>
    <row r="945" spans="2:7" s="288" customFormat="1" x14ac:dyDescent="0.2">
      <c r="B945" s="291"/>
      <c r="E945" s="261"/>
      <c r="F945" s="261"/>
      <c r="G945" s="403"/>
    </row>
    <row r="946" spans="2:7" s="288" customFormat="1" x14ac:dyDescent="0.2">
      <c r="B946" s="291"/>
      <c r="E946" s="261"/>
      <c r="F946" s="261"/>
      <c r="G946" s="403"/>
    </row>
    <row r="947" spans="2:7" s="288" customFormat="1" x14ac:dyDescent="0.2">
      <c r="B947" s="291"/>
      <c r="E947" s="261"/>
      <c r="F947" s="261"/>
      <c r="G947" s="403"/>
    </row>
    <row r="948" spans="2:7" s="288" customFormat="1" x14ac:dyDescent="0.2">
      <c r="B948" s="291"/>
      <c r="E948" s="261"/>
      <c r="F948" s="261"/>
      <c r="G948" s="403"/>
    </row>
    <row r="949" spans="2:7" s="288" customFormat="1" x14ac:dyDescent="0.2">
      <c r="B949" s="291"/>
      <c r="E949" s="261"/>
      <c r="F949" s="261"/>
      <c r="G949" s="403"/>
    </row>
    <row r="950" spans="2:7" s="288" customFormat="1" x14ac:dyDescent="0.2">
      <c r="B950" s="291"/>
      <c r="E950" s="261"/>
      <c r="F950" s="261"/>
      <c r="G950" s="403"/>
    </row>
    <row r="951" spans="2:7" s="288" customFormat="1" x14ac:dyDescent="0.2">
      <c r="B951" s="291"/>
      <c r="E951" s="261"/>
      <c r="F951" s="261"/>
      <c r="G951" s="403"/>
    </row>
    <row r="952" spans="2:7" s="288" customFormat="1" x14ac:dyDescent="0.2">
      <c r="B952" s="291"/>
      <c r="E952" s="261"/>
      <c r="F952" s="261"/>
      <c r="G952" s="403"/>
    </row>
    <row r="953" spans="2:7" s="288" customFormat="1" x14ac:dyDescent="0.2">
      <c r="B953" s="291"/>
      <c r="E953" s="261"/>
      <c r="F953" s="261"/>
      <c r="G953" s="403"/>
    </row>
    <row r="954" spans="2:7" s="288" customFormat="1" x14ac:dyDescent="0.2">
      <c r="B954" s="291"/>
      <c r="E954" s="261"/>
      <c r="F954" s="261"/>
      <c r="G954" s="403"/>
    </row>
    <row r="955" spans="2:7" s="288" customFormat="1" x14ac:dyDescent="0.2">
      <c r="B955" s="291"/>
      <c r="E955" s="261"/>
      <c r="F955" s="261"/>
      <c r="G955" s="403"/>
    </row>
    <row r="956" spans="2:7" s="288" customFormat="1" x14ac:dyDescent="0.2">
      <c r="B956" s="291"/>
      <c r="E956" s="261"/>
      <c r="F956" s="261"/>
      <c r="G956" s="403"/>
    </row>
    <row r="957" spans="2:7" s="288" customFormat="1" x14ac:dyDescent="0.2">
      <c r="B957" s="291"/>
      <c r="E957" s="261"/>
      <c r="F957" s="261"/>
      <c r="G957" s="403"/>
    </row>
    <row r="958" spans="2:7" s="288" customFormat="1" x14ac:dyDescent="0.2">
      <c r="B958" s="291"/>
      <c r="E958" s="261"/>
      <c r="F958" s="261"/>
      <c r="G958" s="403"/>
    </row>
    <row r="959" spans="2:7" s="288" customFormat="1" x14ac:dyDescent="0.2">
      <c r="B959" s="291"/>
      <c r="E959" s="261"/>
      <c r="F959" s="261"/>
      <c r="G959" s="403"/>
    </row>
    <row r="960" spans="2:7" s="288" customFormat="1" x14ac:dyDescent="0.2">
      <c r="B960" s="291"/>
      <c r="E960" s="261"/>
      <c r="F960" s="261"/>
      <c r="G960" s="403"/>
    </row>
    <row r="961" spans="2:7" s="288" customFormat="1" x14ac:dyDescent="0.2">
      <c r="B961" s="291"/>
      <c r="E961" s="261"/>
      <c r="F961" s="261"/>
      <c r="G961" s="403"/>
    </row>
    <row r="962" spans="2:7" s="288" customFormat="1" x14ac:dyDescent="0.2">
      <c r="B962" s="291"/>
      <c r="E962" s="261"/>
      <c r="F962" s="261"/>
      <c r="G962" s="403"/>
    </row>
    <row r="963" spans="2:7" s="288" customFormat="1" x14ac:dyDescent="0.2">
      <c r="B963" s="291"/>
      <c r="E963" s="261"/>
      <c r="F963" s="261"/>
      <c r="G963" s="403"/>
    </row>
    <row r="964" spans="2:7" s="288" customFormat="1" x14ac:dyDescent="0.2">
      <c r="B964" s="291"/>
      <c r="E964" s="261"/>
      <c r="F964" s="261"/>
      <c r="G964" s="403"/>
    </row>
    <row r="965" spans="2:7" s="288" customFormat="1" x14ac:dyDescent="0.2">
      <c r="B965" s="291"/>
      <c r="E965" s="261"/>
      <c r="F965" s="261"/>
      <c r="G965" s="403"/>
    </row>
    <row r="966" spans="2:7" s="288" customFormat="1" x14ac:dyDescent="0.2">
      <c r="B966" s="291"/>
      <c r="E966" s="261"/>
      <c r="F966" s="261"/>
      <c r="G966" s="403"/>
    </row>
    <row r="967" spans="2:7" s="288" customFormat="1" x14ac:dyDescent="0.2">
      <c r="B967" s="291"/>
      <c r="E967" s="261"/>
      <c r="F967" s="261"/>
      <c r="G967" s="403"/>
    </row>
    <row r="968" spans="2:7" s="288" customFormat="1" x14ac:dyDescent="0.2">
      <c r="B968" s="291"/>
      <c r="E968" s="261"/>
      <c r="F968" s="261"/>
      <c r="G968" s="403"/>
    </row>
    <row r="969" spans="2:7" s="288" customFormat="1" x14ac:dyDescent="0.2">
      <c r="B969" s="291"/>
      <c r="E969" s="261"/>
      <c r="F969" s="261"/>
      <c r="G969" s="403"/>
    </row>
    <row r="970" spans="2:7" s="288" customFormat="1" x14ac:dyDescent="0.2">
      <c r="B970" s="291"/>
      <c r="E970" s="261"/>
      <c r="F970" s="261"/>
      <c r="G970" s="403"/>
    </row>
    <row r="971" spans="2:7" s="288" customFormat="1" x14ac:dyDescent="0.2">
      <c r="B971" s="291"/>
      <c r="E971" s="261"/>
      <c r="F971" s="261"/>
      <c r="G971" s="403"/>
    </row>
    <row r="972" spans="2:7" s="288" customFormat="1" x14ac:dyDescent="0.2">
      <c r="B972" s="291"/>
      <c r="E972" s="261"/>
      <c r="F972" s="261"/>
      <c r="G972" s="403"/>
    </row>
    <row r="973" spans="2:7" s="288" customFormat="1" x14ac:dyDescent="0.2">
      <c r="B973" s="291"/>
      <c r="E973" s="261"/>
      <c r="F973" s="261"/>
      <c r="G973" s="403"/>
    </row>
    <row r="974" spans="2:7" s="288" customFormat="1" x14ac:dyDescent="0.2">
      <c r="B974" s="291"/>
      <c r="E974" s="261"/>
      <c r="F974" s="261"/>
      <c r="G974" s="403"/>
    </row>
    <row r="975" spans="2:7" s="288" customFormat="1" x14ac:dyDescent="0.2">
      <c r="B975" s="291"/>
      <c r="E975" s="261"/>
      <c r="F975" s="261"/>
      <c r="G975" s="403"/>
    </row>
    <row r="976" spans="2:7" s="288" customFormat="1" x14ac:dyDescent="0.2">
      <c r="B976" s="291"/>
      <c r="E976" s="261"/>
      <c r="F976" s="261"/>
      <c r="G976" s="403"/>
    </row>
    <row r="977" spans="2:7" s="288" customFormat="1" x14ac:dyDescent="0.2">
      <c r="B977" s="291"/>
      <c r="E977" s="261"/>
      <c r="F977" s="261"/>
      <c r="G977" s="403"/>
    </row>
    <row r="978" spans="2:7" s="288" customFormat="1" x14ac:dyDescent="0.2">
      <c r="B978" s="291"/>
      <c r="E978" s="261"/>
      <c r="F978" s="261"/>
      <c r="G978" s="403"/>
    </row>
    <row r="979" spans="2:7" s="288" customFormat="1" x14ac:dyDescent="0.2">
      <c r="B979" s="291"/>
      <c r="E979" s="261"/>
      <c r="F979" s="261"/>
      <c r="G979" s="403"/>
    </row>
    <row r="980" spans="2:7" s="288" customFormat="1" x14ac:dyDescent="0.2">
      <c r="B980" s="291"/>
      <c r="E980" s="261"/>
      <c r="F980" s="261"/>
      <c r="G980" s="403"/>
    </row>
    <row r="981" spans="2:7" s="288" customFormat="1" x14ac:dyDescent="0.2">
      <c r="B981" s="291"/>
      <c r="E981" s="261"/>
      <c r="F981" s="261"/>
      <c r="G981" s="403"/>
    </row>
    <row r="982" spans="2:7" s="288" customFormat="1" x14ac:dyDescent="0.2">
      <c r="B982" s="291"/>
      <c r="E982" s="261"/>
      <c r="F982" s="261"/>
      <c r="G982" s="403"/>
    </row>
    <row r="983" spans="2:7" s="288" customFormat="1" x14ac:dyDescent="0.2">
      <c r="B983" s="291"/>
      <c r="E983" s="261"/>
      <c r="F983" s="261"/>
      <c r="G983" s="403"/>
    </row>
    <row r="984" spans="2:7" s="288" customFormat="1" x14ac:dyDescent="0.2">
      <c r="B984" s="291"/>
      <c r="E984" s="261"/>
      <c r="F984" s="261"/>
      <c r="G984" s="403"/>
    </row>
    <row r="985" spans="2:7" s="288" customFormat="1" x14ac:dyDescent="0.2">
      <c r="B985" s="291"/>
      <c r="E985" s="261"/>
      <c r="F985" s="261"/>
      <c r="G985" s="403"/>
    </row>
    <row r="986" spans="2:7" s="288" customFormat="1" x14ac:dyDescent="0.2">
      <c r="B986" s="291"/>
      <c r="E986" s="261"/>
      <c r="F986" s="261"/>
      <c r="G986" s="403"/>
    </row>
    <row r="987" spans="2:7" s="288" customFormat="1" x14ac:dyDescent="0.2">
      <c r="B987" s="291"/>
      <c r="E987" s="261"/>
      <c r="F987" s="261"/>
      <c r="G987" s="403"/>
    </row>
    <row r="988" spans="2:7" s="288" customFormat="1" x14ac:dyDescent="0.2">
      <c r="B988" s="291"/>
      <c r="E988" s="261"/>
      <c r="F988" s="261"/>
      <c r="G988" s="403"/>
    </row>
    <row r="989" spans="2:7" s="288" customFormat="1" x14ac:dyDescent="0.2">
      <c r="B989" s="291"/>
      <c r="E989" s="261"/>
      <c r="F989" s="261"/>
      <c r="G989" s="403"/>
    </row>
    <row r="990" spans="2:7" s="288" customFormat="1" x14ac:dyDescent="0.2">
      <c r="B990" s="291"/>
      <c r="E990" s="261"/>
      <c r="F990" s="261"/>
      <c r="G990" s="403"/>
    </row>
    <row r="991" spans="2:7" s="288" customFormat="1" x14ac:dyDescent="0.2">
      <c r="B991" s="291"/>
      <c r="E991" s="261"/>
      <c r="F991" s="261"/>
      <c r="G991" s="403"/>
    </row>
    <row r="992" spans="2:7" s="288" customFormat="1" x14ac:dyDescent="0.2">
      <c r="B992" s="291"/>
      <c r="E992" s="261"/>
      <c r="F992" s="261"/>
      <c r="G992" s="403"/>
    </row>
    <row r="993" spans="2:7" s="288" customFormat="1" x14ac:dyDescent="0.2">
      <c r="B993" s="291"/>
      <c r="E993" s="261"/>
      <c r="F993" s="261"/>
      <c r="G993" s="403"/>
    </row>
    <row r="994" spans="2:7" s="288" customFormat="1" x14ac:dyDescent="0.2">
      <c r="B994" s="291"/>
      <c r="E994" s="261"/>
      <c r="F994" s="261"/>
      <c r="G994" s="403"/>
    </row>
    <row r="995" spans="2:7" s="288" customFormat="1" x14ac:dyDescent="0.2">
      <c r="B995" s="291"/>
      <c r="E995" s="261"/>
      <c r="F995" s="261"/>
      <c r="G995" s="403"/>
    </row>
    <row r="996" spans="2:7" s="288" customFormat="1" x14ac:dyDescent="0.2">
      <c r="B996" s="291"/>
      <c r="E996" s="261"/>
      <c r="F996" s="261"/>
      <c r="G996" s="403"/>
    </row>
    <row r="997" spans="2:7" s="288" customFormat="1" x14ac:dyDescent="0.2">
      <c r="B997" s="291"/>
      <c r="E997" s="261"/>
      <c r="F997" s="261"/>
      <c r="G997" s="403"/>
    </row>
    <row r="998" spans="2:7" s="288" customFormat="1" x14ac:dyDescent="0.2">
      <c r="B998" s="291"/>
      <c r="E998" s="261"/>
      <c r="F998" s="261"/>
      <c r="G998" s="403"/>
    </row>
    <row r="999" spans="2:7" s="288" customFormat="1" x14ac:dyDescent="0.2">
      <c r="B999" s="291"/>
      <c r="E999" s="261"/>
      <c r="F999" s="261"/>
      <c r="G999" s="403"/>
    </row>
    <row r="1000" spans="2:7" s="288" customFormat="1" x14ac:dyDescent="0.2">
      <c r="B1000" s="291"/>
      <c r="E1000" s="261"/>
      <c r="F1000" s="261"/>
      <c r="G1000" s="403"/>
    </row>
    <row r="1001" spans="2:7" s="288" customFormat="1" x14ac:dyDescent="0.2">
      <c r="B1001" s="291"/>
      <c r="E1001" s="261"/>
      <c r="F1001" s="261"/>
      <c r="G1001" s="403"/>
    </row>
    <row r="1002" spans="2:7" s="288" customFormat="1" x14ac:dyDescent="0.2">
      <c r="B1002" s="291"/>
      <c r="E1002" s="261"/>
      <c r="F1002" s="261"/>
      <c r="G1002" s="403"/>
    </row>
    <row r="1003" spans="2:7" s="288" customFormat="1" x14ac:dyDescent="0.2">
      <c r="B1003" s="291"/>
      <c r="E1003" s="261"/>
      <c r="F1003" s="261"/>
      <c r="G1003" s="403"/>
    </row>
    <row r="1004" spans="2:7" s="288" customFormat="1" x14ac:dyDescent="0.2">
      <c r="B1004" s="291"/>
      <c r="E1004" s="261"/>
      <c r="F1004" s="261"/>
      <c r="G1004" s="403"/>
    </row>
    <row r="1005" spans="2:7" s="288" customFormat="1" x14ac:dyDescent="0.2">
      <c r="B1005" s="291"/>
      <c r="E1005" s="261"/>
      <c r="F1005" s="261"/>
      <c r="G1005" s="403"/>
    </row>
    <row r="1006" spans="2:7" s="288" customFormat="1" x14ac:dyDescent="0.2">
      <c r="B1006" s="291"/>
      <c r="E1006" s="261"/>
      <c r="F1006" s="261"/>
      <c r="G1006" s="403"/>
    </row>
    <row r="1007" spans="2:7" s="288" customFormat="1" x14ac:dyDescent="0.2">
      <c r="B1007" s="291"/>
      <c r="E1007" s="261"/>
      <c r="F1007" s="261"/>
      <c r="G1007" s="403"/>
    </row>
    <row r="1008" spans="2:7" s="288" customFormat="1" x14ac:dyDescent="0.2">
      <c r="B1008" s="291"/>
      <c r="E1008" s="261"/>
      <c r="F1008" s="261"/>
      <c r="G1008" s="403"/>
    </row>
    <row r="1009" spans="2:7" s="288" customFormat="1" x14ac:dyDescent="0.2">
      <c r="B1009" s="291"/>
      <c r="E1009" s="261"/>
      <c r="F1009" s="261"/>
      <c r="G1009" s="403"/>
    </row>
    <row r="1010" spans="2:7" s="288" customFormat="1" x14ac:dyDescent="0.2">
      <c r="B1010" s="291"/>
      <c r="E1010" s="261"/>
      <c r="F1010" s="261"/>
      <c r="G1010" s="403"/>
    </row>
    <row r="1011" spans="2:7" s="288" customFormat="1" x14ac:dyDescent="0.2">
      <c r="B1011" s="291"/>
      <c r="E1011" s="261"/>
      <c r="F1011" s="261"/>
      <c r="G1011" s="403"/>
    </row>
    <row r="1012" spans="2:7" s="288" customFormat="1" x14ac:dyDescent="0.2">
      <c r="B1012" s="291"/>
      <c r="E1012" s="261"/>
      <c r="F1012" s="261"/>
      <c r="G1012" s="403"/>
    </row>
    <row r="1013" spans="2:7" s="288" customFormat="1" x14ac:dyDescent="0.2">
      <c r="B1013" s="291"/>
      <c r="E1013" s="261"/>
      <c r="F1013" s="261"/>
      <c r="G1013" s="403"/>
    </row>
    <row r="1014" spans="2:7" s="288" customFormat="1" x14ac:dyDescent="0.2">
      <c r="B1014" s="291"/>
      <c r="E1014" s="261"/>
      <c r="F1014" s="261"/>
      <c r="G1014" s="403"/>
    </row>
    <row r="1015" spans="2:7" s="288" customFormat="1" x14ac:dyDescent="0.2">
      <c r="B1015" s="291"/>
      <c r="E1015" s="261"/>
      <c r="F1015" s="261"/>
      <c r="G1015" s="403"/>
    </row>
    <row r="1016" spans="2:7" s="288" customFormat="1" x14ac:dyDescent="0.2">
      <c r="B1016" s="291"/>
      <c r="E1016" s="261"/>
      <c r="F1016" s="261"/>
      <c r="G1016" s="403"/>
    </row>
    <row r="1017" spans="2:7" s="288" customFormat="1" x14ac:dyDescent="0.2">
      <c r="B1017" s="291"/>
      <c r="E1017" s="261"/>
      <c r="F1017" s="261"/>
      <c r="G1017" s="403"/>
    </row>
    <row r="1018" spans="2:7" s="288" customFormat="1" x14ac:dyDescent="0.2">
      <c r="B1018" s="291"/>
      <c r="E1018" s="261"/>
      <c r="F1018" s="261"/>
      <c r="G1018" s="403"/>
    </row>
    <row r="1019" spans="2:7" s="288" customFormat="1" x14ac:dyDescent="0.2">
      <c r="B1019" s="291"/>
      <c r="E1019" s="261"/>
      <c r="F1019" s="261"/>
      <c r="G1019" s="403"/>
    </row>
    <row r="1020" spans="2:7" s="288" customFormat="1" x14ac:dyDescent="0.2">
      <c r="B1020" s="291"/>
      <c r="E1020" s="261"/>
      <c r="F1020" s="261"/>
      <c r="G1020" s="403"/>
    </row>
    <row r="1021" spans="2:7" s="288" customFormat="1" x14ac:dyDescent="0.2">
      <c r="B1021" s="291"/>
      <c r="E1021" s="261"/>
      <c r="F1021" s="261"/>
      <c r="G1021" s="403"/>
    </row>
    <row r="1022" spans="2:7" s="288" customFormat="1" x14ac:dyDescent="0.2">
      <c r="B1022" s="291"/>
      <c r="E1022" s="261"/>
      <c r="F1022" s="261"/>
      <c r="G1022" s="403"/>
    </row>
    <row r="1023" spans="2:7" s="288" customFormat="1" x14ac:dyDescent="0.2">
      <c r="B1023" s="291"/>
      <c r="E1023" s="261"/>
      <c r="F1023" s="261"/>
      <c r="G1023" s="403"/>
    </row>
    <row r="1024" spans="2:7" s="288" customFormat="1" x14ac:dyDescent="0.2">
      <c r="B1024" s="291"/>
      <c r="E1024" s="261"/>
      <c r="F1024" s="261"/>
      <c r="G1024" s="403"/>
    </row>
    <row r="1025" spans="2:7" s="288" customFormat="1" x14ac:dyDescent="0.2">
      <c r="B1025" s="291"/>
      <c r="E1025" s="261"/>
      <c r="F1025" s="261"/>
      <c r="G1025" s="403"/>
    </row>
    <row r="1026" spans="2:7" s="288" customFormat="1" x14ac:dyDescent="0.2">
      <c r="B1026" s="291"/>
      <c r="E1026" s="261"/>
      <c r="F1026" s="261"/>
      <c r="G1026" s="403"/>
    </row>
    <row r="1027" spans="2:7" s="288" customFormat="1" x14ac:dyDescent="0.2">
      <c r="B1027" s="291"/>
      <c r="E1027" s="261"/>
      <c r="F1027" s="261"/>
      <c r="G1027" s="403"/>
    </row>
    <row r="1028" spans="2:7" s="288" customFormat="1" x14ac:dyDescent="0.2">
      <c r="B1028" s="291"/>
      <c r="E1028" s="261"/>
      <c r="F1028" s="261"/>
      <c r="G1028" s="403"/>
    </row>
    <row r="1029" spans="2:7" s="288" customFormat="1" x14ac:dyDescent="0.2">
      <c r="B1029" s="291"/>
      <c r="E1029" s="261"/>
      <c r="F1029" s="261"/>
      <c r="G1029" s="403"/>
    </row>
    <row r="1030" spans="2:7" s="288" customFormat="1" x14ac:dyDescent="0.2">
      <c r="B1030" s="291"/>
      <c r="E1030" s="261"/>
      <c r="F1030" s="261"/>
      <c r="G1030" s="403"/>
    </row>
    <row r="1031" spans="2:7" s="288" customFormat="1" x14ac:dyDescent="0.2">
      <c r="B1031" s="291"/>
      <c r="E1031" s="261"/>
      <c r="F1031" s="261"/>
      <c r="G1031" s="403"/>
    </row>
    <row r="1032" spans="2:7" s="288" customFormat="1" x14ac:dyDescent="0.2">
      <c r="B1032" s="291"/>
      <c r="E1032" s="261"/>
      <c r="F1032" s="261"/>
      <c r="G1032" s="403"/>
    </row>
    <row r="1033" spans="2:7" s="288" customFormat="1" x14ac:dyDescent="0.2">
      <c r="B1033" s="291"/>
      <c r="E1033" s="261"/>
      <c r="F1033" s="261"/>
      <c r="G1033" s="403"/>
    </row>
    <row r="1034" spans="2:7" s="288" customFormat="1" x14ac:dyDescent="0.2">
      <c r="B1034" s="291"/>
      <c r="E1034" s="261"/>
      <c r="F1034" s="261"/>
      <c r="G1034" s="403"/>
    </row>
    <row r="1035" spans="2:7" s="288" customFormat="1" x14ac:dyDescent="0.2">
      <c r="B1035" s="291"/>
      <c r="E1035" s="261"/>
      <c r="F1035" s="261"/>
      <c r="G1035" s="403"/>
    </row>
    <row r="1036" spans="2:7" s="288" customFormat="1" x14ac:dyDescent="0.2">
      <c r="B1036" s="291"/>
      <c r="E1036" s="261"/>
      <c r="F1036" s="261"/>
      <c r="G1036" s="403"/>
    </row>
    <row r="1037" spans="2:7" s="288" customFormat="1" x14ac:dyDescent="0.2">
      <c r="B1037" s="291"/>
      <c r="E1037" s="261"/>
      <c r="F1037" s="261"/>
      <c r="G1037" s="403"/>
    </row>
    <row r="1038" spans="2:7" s="288" customFormat="1" x14ac:dyDescent="0.2">
      <c r="B1038" s="291"/>
      <c r="E1038" s="261"/>
      <c r="F1038" s="261"/>
      <c r="G1038" s="403"/>
    </row>
    <row r="1039" spans="2:7" s="288" customFormat="1" x14ac:dyDescent="0.2">
      <c r="B1039" s="291"/>
      <c r="E1039" s="261"/>
      <c r="F1039" s="261"/>
      <c r="G1039" s="403"/>
    </row>
    <row r="1040" spans="2:7" s="288" customFormat="1" x14ac:dyDescent="0.2">
      <c r="B1040" s="291"/>
      <c r="E1040" s="261"/>
      <c r="F1040" s="261"/>
      <c r="G1040" s="403"/>
    </row>
    <row r="1041" spans="2:7" s="288" customFormat="1" x14ac:dyDescent="0.2">
      <c r="B1041" s="291"/>
      <c r="E1041" s="261"/>
      <c r="F1041" s="261"/>
      <c r="G1041" s="403"/>
    </row>
    <row r="1042" spans="2:7" s="288" customFormat="1" x14ac:dyDescent="0.2">
      <c r="B1042" s="291"/>
      <c r="E1042" s="261"/>
      <c r="F1042" s="261"/>
      <c r="G1042" s="403"/>
    </row>
    <row r="1043" spans="2:7" s="288" customFormat="1" x14ac:dyDescent="0.2">
      <c r="B1043" s="291"/>
      <c r="E1043" s="261"/>
      <c r="F1043" s="261"/>
      <c r="G1043" s="403"/>
    </row>
    <row r="1044" spans="2:7" s="288" customFormat="1" x14ac:dyDescent="0.2">
      <c r="B1044" s="291"/>
      <c r="E1044" s="261"/>
      <c r="F1044" s="261"/>
      <c r="G1044" s="403"/>
    </row>
    <row r="1045" spans="2:7" s="288" customFormat="1" x14ac:dyDescent="0.2">
      <c r="B1045" s="291"/>
      <c r="E1045" s="261"/>
      <c r="F1045" s="261"/>
      <c r="G1045" s="403"/>
    </row>
    <row r="1046" spans="2:7" s="288" customFormat="1" x14ac:dyDescent="0.2">
      <c r="B1046" s="291"/>
      <c r="E1046" s="261"/>
      <c r="F1046" s="261"/>
      <c r="G1046" s="403"/>
    </row>
    <row r="1047" spans="2:7" s="288" customFormat="1" x14ac:dyDescent="0.2">
      <c r="B1047" s="291"/>
      <c r="E1047" s="261"/>
      <c r="F1047" s="261"/>
      <c r="G1047" s="403"/>
    </row>
    <row r="1048" spans="2:7" s="288" customFormat="1" x14ac:dyDescent="0.2">
      <c r="B1048" s="291"/>
      <c r="E1048" s="261"/>
      <c r="F1048" s="261"/>
      <c r="G1048" s="403"/>
    </row>
    <row r="1049" spans="2:7" s="288" customFormat="1" x14ac:dyDescent="0.2">
      <c r="B1049" s="291"/>
      <c r="E1049" s="261"/>
      <c r="F1049" s="261"/>
      <c r="G1049" s="403"/>
    </row>
    <row r="1050" spans="2:7" s="288" customFormat="1" x14ac:dyDescent="0.2">
      <c r="B1050" s="291"/>
      <c r="E1050" s="261"/>
      <c r="F1050" s="261"/>
      <c r="G1050" s="403"/>
    </row>
    <row r="1051" spans="2:7" s="288" customFormat="1" x14ac:dyDescent="0.2">
      <c r="B1051" s="291"/>
      <c r="E1051" s="261"/>
      <c r="F1051" s="261"/>
      <c r="G1051" s="403"/>
    </row>
    <row r="1052" spans="2:7" s="288" customFormat="1" x14ac:dyDescent="0.2">
      <c r="B1052" s="291"/>
      <c r="E1052" s="261"/>
      <c r="F1052" s="261"/>
      <c r="G1052" s="403"/>
    </row>
    <row r="1053" spans="2:7" s="288" customFormat="1" x14ac:dyDescent="0.2">
      <c r="B1053" s="291"/>
      <c r="E1053" s="261"/>
      <c r="F1053" s="261"/>
      <c r="G1053" s="403"/>
    </row>
    <row r="1054" spans="2:7" s="288" customFormat="1" x14ac:dyDescent="0.2">
      <c r="B1054" s="291"/>
      <c r="E1054" s="261"/>
      <c r="F1054" s="261"/>
      <c r="G1054" s="403"/>
    </row>
    <row r="1055" spans="2:7" s="288" customFormat="1" x14ac:dyDescent="0.2">
      <c r="B1055" s="291"/>
      <c r="E1055" s="261"/>
      <c r="F1055" s="261"/>
      <c r="G1055" s="403"/>
    </row>
    <row r="1056" spans="2:7" s="288" customFormat="1" x14ac:dyDescent="0.2">
      <c r="B1056" s="291"/>
      <c r="E1056" s="261"/>
      <c r="F1056" s="261"/>
      <c r="G1056" s="403"/>
    </row>
    <row r="1057" spans="2:7" s="288" customFormat="1" x14ac:dyDescent="0.2">
      <c r="B1057" s="291"/>
      <c r="E1057" s="261"/>
      <c r="F1057" s="261"/>
      <c r="G1057" s="403"/>
    </row>
    <row r="1058" spans="2:7" s="288" customFormat="1" x14ac:dyDescent="0.2">
      <c r="B1058" s="291"/>
      <c r="E1058" s="261"/>
      <c r="F1058" s="261"/>
      <c r="G1058" s="403"/>
    </row>
    <row r="1059" spans="2:7" s="288" customFormat="1" x14ac:dyDescent="0.2">
      <c r="B1059" s="291"/>
      <c r="E1059" s="261"/>
      <c r="F1059" s="261"/>
      <c r="G1059" s="403"/>
    </row>
    <row r="1060" spans="2:7" s="288" customFormat="1" x14ac:dyDescent="0.2">
      <c r="B1060" s="291"/>
      <c r="E1060" s="261"/>
      <c r="F1060" s="261"/>
      <c r="G1060" s="403"/>
    </row>
    <row r="1061" spans="2:7" s="288" customFormat="1" x14ac:dyDescent="0.2">
      <c r="B1061" s="291"/>
      <c r="E1061" s="261"/>
      <c r="F1061" s="261"/>
      <c r="G1061" s="403"/>
    </row>
    <row r="1062" spans="2:7" s="288" customFormat="1" x14ac:dyDescent="0.2">
      <c r="B1062" s="291"/>
      <c r="E1062" s="261"/>
      <c r="F1062" s="261"/>
      <c r="G1062" s="403"/>
    </row>
    <row r="1063" spans="2:7" s="288" customFormat="1" x14ac:dyDescent="0.2">
      <c r="B1063" s="291"/>
      <c r="E1063" s="261"/>
      <c r="F1063" s="261"/>
      <c r="G1063" s="403"/>
    </row>
    <row r="1064" spans="2:7" s="288" customFormat="1" x14ac:dyDescent="0.2">
      <c r="B1064" s="291"/>
      <c r="E1064" s="261"/>
      <c r="F1064" s="261"/>
      <c r="G1064" s="403"/>
    </row>
    <row r="1065" spans="2:7" s="288" customFormat="1" x14ac:dyDescent="0.2">
      <c r="B1065" s="291"/>
      <c r="E1065" s="261"/>
      <c r="F1065" s="261"/>
      <c r="G1065" s="403"/>
    </row>
    <row r="1066" spans="2:7" s="288" customFormat="1" x14ac:dyDescent="0.2">
      <c r="B1066" s="291"/>
      <c r="E1066" s="261"/>
      <c r="F1066" s="261"/>
      <c r="G1066" s="403"/>
    </row>
    <row r="1067" spans="2:7" s="288" customFormat="1" x14ac:dyDescent="0.2">
      <c r="B1067" s="291"/>
      <c r="E1067" s="261"/>
      <c r="F1067" s="261"/>
      <c r="G1067" s="403"/>
    </row>
    <row r="1068" spans="2:7" s="288" customFormat="1" x14ac:dyDescent="0.2">
      <c r="B1068" s="291"/>
      <c r="E1068" s="261"/>
      <c r="F1068" s="261"/>
      <c r="G1068" s="403"/>
    </row>
    <row r="1069" spans="2:7" s="288" customFormat="1" x14ac:dyDescent="0.2">
      <c r="B1069" s="291"/>
      <c r="E1069" s="261"/>
      <c r="F1069" s="261"/>
      <c r="G1069" s="403"/>
    </row>
    <row r="1070" spans="2:7" s="288" customFormat="1" x14ac:dyDescent="0.2">
      <c r="B1070" s="291"/>
      <c r="E1070" s="261"/>
      <c r="F1070" s="261"/>
      <c r="G1070" s="403"/>
    </row>
    <row r="1071" spans="2:7" s="288" customFormat="1" x14ac:dyDescent="0.2">
      <c r="B1071" s="291"/>
      <c r="E1071" s="261"/>
      <c r="F1071" s="261"/>
      <c r="G1071" s="403"/>
    </row>
    <row r="1072" spans="2:7" s="288" customFormat="1" x14ac:dyDescent="0.2">
      <c r="B1072" s="291"/>
      <c r="E1072" s="261"/>
      <c r="F1072" s="261"/>
      <c r="G1072" s="403"/>
    </row>
    <row r="1073" spans="2:7" s="288" customFormat="1" x14ac:dyDescent="0.2">
      <c r="B1073" s="291"/>
      <c r="E1073" s="261"/>
      <c r="F1073" s="261"/>
      <c r="G1073" s="403"/>
    </row>
    <row r="1074" spans="2:7" s="288" customFormat="1" x14ac:dyDescent="0.2">
      <c r="B1074" s="291"/>
      <c r="E1074" s="261"/>
      <c r="F1074" s="261"/>
      <c r="G1074" s="403"/>
    </row>
    <row r="1075" spans="2:7" s="288" customFormat="1" x14ac:dyDescent="0.2">
      <c r="B1075" s="291"/>
      <c r="E1075" s="261"/>
      <c r="F1075" s="261"/>
      <c r="G1075" s="403"/>
    </row>
    <row r="1076" spans="2:7" s="288" customFormat="1" x14ac:dyDescent="0.2">
      <c r="B1076" s="291"/>
      <c r="E1076" s="261"/>
      <c r="F1076" s="261"/>
      <c r="G1076" s="403"/>
    </row>
    <row r="1077" spans="2:7" s="288" customFormat="1" x14ac:dyDescent="0.2">
      <c r="B1077" s="291"/>
      <c r="E1077" s="261"/>
      <c r="F1077" s="261"/>
      <c r="G1077" s="403"/>
    </row>
    <row r="1078" spans="2:7" s="288" customFormat="1" x14ac:dyDescent="0.2">
      <c r="B1078" s="291"/>
      <c r="E1078" s="261"/>
      <c r="F1078" s="261"/>
      <c r="G1078" s="403"/>
    </row>
    <row r="1079" spans="2:7" s="288" customFormat="1" x14ac:dyDescent="0.2">
      <c r="B1079" s="291"/>
      <c r="E1079" s="261"/>
      <c r="F1079" s="261"/>
      <c r="G1079" s="403"/>
    </row>
    <row r="1080" spans="2:7" s="288" customFormat="1" x14ac:dyDescent="0.2">
      <c r="B1080" s="291"/>
      <c r="E1080" s="261"/>
      <c r="F1080" s="261"/>
      <c r="G1080" s="403"/>
    </row>
    <row r="1081" spans="2:7" s="288" customFormat="1" x14ac:dyDescent="0.2">
      <c r="B1081" s="291"/>
      <c r="E1081" s="261"/>
      <c r="F1081" s="261"/>
      <c r="G1081" s="403"/>
    </row>
    <row r="1082" spans="2:7" s="288" customFormat="1" x14ac:dyDescent="0.2">
      <c r="B1082" s="291"/>
      <c r="E1082" s="261"/>
      <c r="F1082" s="261"/>
      <c r="G1082" s="403"/>
    </row>
    <row r="1083" spans="2:7" s="288" customFormat="1" x14ac:dyDescent="0.2">
      <c r="B1083" s="291"/>
      <c r="E1083" s="261"/>
      <c r="F1083" s="261"/>
      <c r="G1083" s="403"/>
    </row>
    <row r="1084" spans="2:7" s="288" customFormat="1" x14ac:dyDescent="0.2">
      <c r="B1084" s="291"/>
      <c r="E1084" s="261"/>
      <c r="F1084" s="261"/>
      <c r="G1084" s="403"/>
    </row>
    <row r="1085" spans="2:7" s="288" customFormat="1" x14ac:dyDescent="0.2">
      <c r="B1085" s="291"/>
      <c r="E1085" s="261"/>
      <c r="F1085" s="261"/>
      <c r="G1085" s="403"/>
    </row>
    <row r="1086" spans="2:7" s="288" customFormat="1" x14ac:dyDescent="0.2">
      <c r="B1086" s="291"/>
      <c r="E1086" s="261"/>
      <c r="F1086" s="261"/>
      <c r="G1086" s="403"/>
    </row>
    <row r="1087" spans="2:7" s="288" customFormat="1" x14ac:dyDescent="0.2">
      <c r="B1087" s="291"/>
      <c r="E1087" s="261"/>
      <c r="F1087" s="261"/>
      <c r="G1087" s="403"/>
    </row>
    <row r="1088" spans="2:7" s="288" customFormat="1" x14ac:dyDescent="0.2">
      <c r="B1088" s="291"/>
      <c r="E1088" s="261"/>
      <c r="F1088" s="261"/>
      <c r="G1088" s="403"/>
    </row>
    <row r="1089" spans="2:7" s="288" customFormat="1" x14ac:dyDescent="0.2">
      <c r="B1089" s="291"/>
      <c r="E1089" s="261"/>
      <c r="F1089" s="261"/>
      <c r="G1089" s="403"/>
    </row>
    <row r="1090" spans="2:7" s="288" customFormat="1" x14ac:dyDescent="0.2">
      <c r="B1090" s="291"/>
      <c r="E1090" s="261"/>
      <c r="F1090" s="261"/>
      <c r="G1090" s="403"/>
    </row>
    <row r="1091" spans="2:7" s="288" customFormat="1" x14ac:dyDescent="0.2">
      <c r="B1091" s="291"/>
      <c r="E1091" s="261"/>
      <c r="F1091" s="261"/>
      <c r="G1091" s="403"/>
    </row>
    <row r="1092" spans="2:7" s="288" customFormat="1" x14ac:dyDescent="0.2">
      <c r="B1092" s="291"/>
      <c r="E1092" s="261"/>
      <c r="F1092" s="261"/>
      <c r="G1092" s="403"/>
    </row>
    <row r="1093" spans="2:7" s="288" customFormat="1" x14ac:dyDescent="0.2">
      <c r="B1093" s="291"/>
      <c r="E1093" s="261"/>
      <c r="F1093" s="261"/>
      <c r="G1093" s="403"/>
    </row>
    <row r="1094" spans="2:7" s="288" customFormat="1" x14ac:dyDescent="0.2">
      <c r="B1094" s="291"/>
      <c r="E1094" s="261"/>
      <c r="F1094" s="261"/>
      <c r="G1094" s="403"/>
    </row>
    <row r="1095" spans="2:7" s="288" customFormat="1" x14ac:dyDescent="0.2">
      <c r="B1095" s="291"/>
      <c r="E1095" s="261"/>
      <c r="F1095" s="261"/>
      <c r="G1095" s="403"/>
    </row>
    <row r="1096" spans="2:7" s="288" customFormat="1" x14ac:dyDescent="0.2">
      <c r="B1096" s="291"/>
      <c r="E1096" s="261"/>
      <c r="F1096" s="261"/>
      <c r="G1096" s="403"/>
    </row>
    <row r="1097" spans="2:7" s="288" customFormat="1" x14ac:dyDescent="0.2">
      <c r="B1097" s="291"/>
      <c r="E1097" s="261"/>
      <c r="F1097" s="261"/>
      <c r="G1097" s="403"/>
    </row>
    <row r="1098" spans="2:7" s="288" customFormat="1" x14ac:dyDescent="0.2">
      <c r="B1098" s="291"/>
      <c r="E1098" s="261"/>
      <c r="F1098" s="261"/>
      <c r="G1098" s="403"/>
    </row>
    <row r="1099" spans="2:7" s="288" customFormat="1" x14ac:dyDescent="0.2">
      <c r="B1099" s="291"/>
      <c r="E1099" s="261"/>
      <c r="F1099" s="261"/>
      <c r="G1099" s="403"/>
    </row>
    <row r="1100" spans="2:7" s="288" customFormat="1" x14ac:dyDescent="0.2">
      <c r="B1100" s="291"/>
      <c r="E1100" s="261"/>
      <c r="F1100" s="261"/>
      <c r="G1100" s="403"/>
    </row>
    <row r="1101" spans="2:7" s="288" customFormat="1" x14ac:dyDescent="0.2">
      <c r="B1101" s="291"/>
      <c r="E1101" s="261"/>
      <c r="F1101" s="261"/>
      <c r="G1101" s="403"/>
    </row>
    <row r="1102" spans="2:7" s="288" customFormat="1" x14ac:dyDescent="0.2">
      <c r="B1102" s="291"/>
      <c r="E1102" s="261"/>
      <c r="F1102" s="261"/>
      <c r="G1102" s="403"/>
    </row>
    <row r="1103" spans="2:7" s="288" customFormat="1" x14ac:dyDescent="0.2">
      <c r="B1103" s="291"/>
      <c r="E1103" s="261"/>
      <c r="F1103" s="261"/>
      <c r="G1103" s="403"/>
    </row>
    <row r="1104" spans="2:7" s="288" customFormat="1" x14ac:dyDescent="0.2">
      <c r="B1104" s="291"/>
      <c r="E1104" s="261"/>
      <c r="F1104" s="261"/>
      <c r="G1104" s="403"/>
    </row>
    <row r="1105" spans="2:7" s="288" customFormat="1" x14ac:dyDescent="0.2">
      <c r="B1105" s="291"/>
      <c r="E1105" s="261"/>
      <c r="F1105" s="261"/>
      <c r="G1105" s="403"/>
    </row>
    <row r="1106" spans="2:7" s="288" customFormat="1" x14ac:dyDescent="0.2">
      <c r="B1106" s="291"/>
      <c r="E1106" s="261"/>
      <c r="F1106" s="261"/>
      <c r="G1106" s="403"/>
    </row>
    <row r="1107" spans="2:7" s="288" customFormat="1" x14ac:dyDescent="0.2">
      <c r="B1107" s="291"/>
      <c r="E1107" s="261"/>
      <c r="F1107" s="261"/>
      <c r="G1107" s="403"/>
    </row>
    <row r="1108" spans="2:7" s="288" customFormat="1" x14ac:dyDescent="0.2">
      <c r="B1108" s="291"/>
      <c r="E1108" s="261"/>
      <c r="F1108" s="261"/>
      <c r="G1108" s="403"/>
    </row>
    <row r="1109" spans="2:7" s="288" customFormat="1" x14ac:dyDescent="0.2">
      <c r="B1109" s="291"/>
      <c r="E1109" s="261"/>
      <c r="F1109" s="261"/>
      <c r="G1109" s="403"/>
    </row>
    <row r="1110" spans="2:7" s="288" customFormat="1" x14ac:dyDescent="0.2">
      <c r="B1110" s="291"/>
      <c r="E1110" s="261"/>
      <c r="F1110" s="261"/>
      <c r="G1110" s="403"/>
    </row>
    <row r="1111" spans="2:7" s="288" customFormat="1" x14ac:dyDescent="0.2">
      <c r="B1111" s="291"/>
      <c r="E1111" s="261"/>
      <c r="F1111" s="261"/>
      <c r="G1111" s="403"/>
    </row>
    <row r="1112" spans="2:7" s="288" customFormat="1" x14ac:dyDescent="0.2">
      <c r="B1112" s="291"/>
      <c r="E1112" s="261"/>
      <c r="F1112" s="261"/>
      <c r="G1112" s="403"/>
    </row>
    <row r="1113" spans="2:7" s="288" customFormat="1" x14ac:dyDescent="0.2">
      <c r="B1113" s="291"/>
      <c r="E1113" s="261"/>
      <c r="F1113" s="261"/>
      <c r="G1113" s="403"/>
    </row>
    <row r="1114" spans="2:7" s="288" customFormat="1" x14ac:dyDescent="0.2">
      <c r="B1114" s="291"/>
      <c r="E1114" s="261"/>
      <c r="F1114" s="261"/>
      <c r="G1114" s="403"/>
    </row>
    <row r="1115" spans="2:7" s="288" customFormat="1" x14ac:dyDescent="0.2">
      <c r="B1115" s="291"/>
      <c r="E1115" s="261"/>
      <c r="F1115" s="261"/>
      <c r="G1115" s="403"/>
    </row>
    <row r="1116" spans="2:7" s="288" customFormat="1" x14ac:dyDescent="0.2">
      <c r="B1116" s="291"/>
      <c r="E1116" s="261"/>
      <c r="F1116" s="261"/>
      <c r="G1116" s="403"/>
    </row>
    <row r="1117" spans="2:7" s="288" customFormat="1" x14ac:dyDescent="0.2">
      <c r="B1117" s="291"/>
      <c r="E1117" s="261"/>
      <c r="F1117" s="261"/>
      <c r="G1117" s="403"/>
    </row>
    <row r="1118" spans="2:7" s="288" customFormat="1" x14ac:dyDescent="0.2">
      <c r="B1118" s="291"/>
      <c r="E1118" s="261"/>
      <c r="F1118" s="261"/>
      <c r="G1118" s="403"/>
    </row>
    <row r="1119" spans="2:7" s="288" customFormat="1" x14ac:dyDescent="0.2">
      <c r="B1119" s="291"/>
      <c r="E1119" s="261"/>
      <c r="F1119" s="261"/>
      <c r="G1119" s="403"/>
    </row>
    <row r="1120" spans="2:7" s="288" customFormat="1" x14ac:dyDescent="0.2">
      <c r="B1120" s="291"/>
      <c r="E1120" s="261"/>
      <c r="F1120" s="261"/>
      <c r="G1120" s="403"/>
    </row>
    <row r="1121" spans="2:7" s="288" customFormat="1" x14ac:dyDescent="0.2">
      <c r="B1121" s="291"/>
      <c r="E1121" s="261"/>
      <c r="F1121" s="261"/>
      <c r="G1121" s="403"/>
    </row>
    <row r="1122" spans="2:7" s="288" customFormat="1" x14ac:dyDescent="0.2">
      <c r="B1122" s="291"/>
      <c r="E1122" s="261"/>
      <c r="F1122" s="261"/>
      <c r="G1122" s="403"/>
    </row>
    <row r="1123" spans="2:7" s="288" customFormat="1" x14ac:dyDescent="0.2">
      <c r="B1123" s="291"/>
      <c r="E1123" s="261"/>
      <c r="F1123" s="261"/>
      <c r="G1123" s="403"/>
    </row>
    <row r="1124" spans="2:7" s="288" customFormat="1" x14ac:dyDescent="0.2">
      <c r="B1124" s="291"/>
      <c r="E1124" s="261"/>
      <c r="F1124" s="261"/>
      <c r="G1124" s="403"/>
    </row>
    <row r="1125" spans="2:7" s="288" customFormat="1" x14ac:dyDescent="0.2">
      <c r="B1125" s="291"/>
      <c r="E1125" s="261"/>
      <c r="F1125" s="261"/>
      <c r="G1125" s="403"/>
    </row>
    <row r="1126" spans="2:7" s="288" customFormat="1" x14ac:dyDescent="0.2">
      <c r="B1126" s="291"/>
      <c r="E1126" s="261"/>
      <c r="F1126" s="261"/>
      <c r="G1126" s="403"/>
    </row>
    <row r="1127" spans="2:7" s="288" customFormat="1" x14ac:dyDescent="0.2">
      <c r="B1127" s="291"/>
      <c r="E1127" s="261"/>
      <c r="F1127" s="261"/>
      <c r="G1127" s="403"/>
    </row>
    <row r="1128" spans="2:7" s="288" customFormat="1" x14ac:dyDescent="0.2">
      <c r="B1128" s="291"/>
      <c r="E1128" s="261"/>
      <c r="F1128" s="261"/>
      <c r="G1128" s="403"/>
    </row>
    <row r="1129" spans="2:7" s="288" customFormat="1" x14ac:dyDescent="0.2">
      <c r="B1129" s="291"/>
      <c r="E1129" s="261"/>
      <c r="F1129" s="261"/>
      <c r="G1129" s="403"/>
    </row>
    <row r="1130" spans="2:7" s="288" customFormat="1" x14ac:dyDescent="0.2">
      <c r="B1130" s="291"/>
      <c r="E1130" s="261"/>
      <c r="F1130" s="261"/>
      <c r="G1130" s="403"/>
    </row>
    <row r="1131" spans="2:7" s="288" customFormat="1" x14ac:dyDescent="0.2">
      <c r="B1131" s="291"/>
      <c r="E1131" s="261"/>
      <c r="F1131" s="261"/>
      <c r="G1131" s="403"/>
    </row>
    <row r="1132" spans="2:7" s="288" customFormat="1" x14ac:dyDescent="0.2">
      <c r="B1132" s="291"/>
      <c r="E1132" s="261"/>
      <c r="F1132" s="261"/>
      <c r="G1132" s="403"/>
    </row>
    <row r="1133" spans="2:7" s="288" customFormat="1" x14ac:dyDescent="0.2">
      <c r="B1133" s="291"/>
      <c r="E1133" s="261"/>
      <c r="F1133" s="261"/>
      <c r="G1133" s="403"/>
    </row>
    <row r="1134" spans="2:7" s="288" customFormat="1" x14ac:dyDescent="0.2">
      <c r="B1134" s="291"/>
      <c r="E1134" s="261"/>
      <c r="F1134" s="261"/>
      <c r="G1134" s="403"/>
    </row>
    <row r="1135" spans="2:7" s="288" customFormat="1" x14ac:dyDescent="0.2">
      <c r="B1135" s="291"/>
      <c r="E1135" s="261"/>
      <c r="F1135" s="261"/>
      <c r="G1135" s="403"/>
    </row>
    <row r="1136" spans="2:7" s="288" customFormat="1" x14ac:dyDescent="0.2">
      <c r="B1136" s="291"/>
      <c r="E1136" s="261"/>
      <c r="F1136" s="261"/>
      <c r="G1136" s="403"/>
    </row>
    <row r="1137" spans="2:7" s="288" customFormat="1" x14ac:dyDescent="0.2">
      <c r="B1137" s="291"/>
      <c r="E1137" s="261"/>
      <c r="F1137" s="261"/>
      <c r="G1137" s="403"/>
    </row>
    <row r="1138" spans="2:7" s="288" customFormat="1" x14ac:dyDescent="0.2">
      <c r="B1138" s="291"/>
      <c r="E1138" s="261"/>
      <c r="F1138" s="261"/>
      <c r="G1138" s="403"/>
    </row>
    <row r="1139" spans="2:7" s="288" customFormat="1" x14ac:dyDescent="0.2">
      <c r="B1139" s="291"/>
      <c r="E1139" s="261"/>
      <c r="F1139" s="261"/>
      <c r="G1139" s="403"/>
    </row>
    <row r="1140" spans="2:7" s="288" customFormat="1" x14ac:dyDescent="0.2">
      <c r="B1140" s="291"/>
      <c r="E1140" s="261"/>
      <c r="F1140" s="261"/>
      <c r="G1140" s="403"/>
    </row>
    <row r="1141" spans="2:7" s="288" customFormat="1" x14ac:dyDescent="0.2">
      <c r="B1141" s="291"/>
      <c r="E1141" s="261"/>
      <c r="F1141" s="261"/>
      <c r="G1141" s="403"/>
    </row>
    <row r="1142" spans="2:7" s="288" customFormat="1" x14ac:dyDescent="0.2">
      <c r="B1142" s="291"/>
      <c r="E1142" s="261"/>
      <c r="F1142" s="261"/>
      <c r="G1142" s="403"/>
    </row>
    <row r="1143" spans="2:7" s="288" customFormat="1" x14ac:dyDescent="0.2">
      <c r="B1143" s="291"/>
      <c r="E1143" s="261"/>
      <c r="F1143" s="261"/>
      <c r="G1143" s="403"/>
    </row>
    <row r="1144" spans="2:7" s="288" customFormat="1" x14ac:dyDescent="0.2">
      <c r="B1144" s="291"/>
      <c r="E1144" s="261"/>
      <c r="F1144" s="261"/>
      <c r="G1144" s="403"/>
    </row>
    <row r="1145" spans="2:7" s="288" customFormat="1" x14ac:dyDescent="0.2">
      <c r="B1145" s="291"/>
      <c r="E1145" s="261"/>
      <c r="F1145" s="261"/>
      <c r="G1145" s="403"/>
    </row>
    <row r="1146" spans="2:7" s="288" customFormat="1" x14ac:dyDescent="0.2">
      <c r="B1146" s="291"/>
      <c r="E1146" s="261"/>
      <c r="F1146" s="261"/>
      <c r="G1146" s="403"/>
    </row>
    <row r="1147" spans="2:7" s="288" customFormat="1" x14ac:dyDescent="0.2">
      <c r="B1147" s="291"/>
      <c r="E1147" s="261"/>
      <c r="F1147" s="261"/>
      <c r="G1147" s="403"/>
    </row>
    <row r="1148" spans="2:7" s="288" customFormat="1" x14ac:dyDescent="0.2">
      <c r="B1148" s="291"/>
      <c r="E1148" s="261"/>
      <c r="F1148" s="261"/>
      <c r="G1148" s="403"/>
    </row>
    <row r="1149" spans="2:7" s="288" customFormat="1" x14ac:dyDescent="0.2">
      <c r="B1149" s="291"/>
      <c r="E1149" s="261"/>
      <c r="F1149" s="261"/>
      <c r="G1149" s="403"/>
    </row>
    <row r="1150" spans="2:7" s="288" customFormat="1" x14ac:dyDescent="0.2">
      <c r="B1150" s="291"/>
      <c r="E1150" s="261"/>
      <c r="F1150" s="261"/>
      <c r="G1150" s="403"/>
    </row>
    <row r="1151" spans="2:7" s="288" customFormat="1" x14ac:dyDescent="0.2">
      <c r="B1151" s="291"/>
      <c r="E1151" s="261"/>
      <c r="F1151" s="261"/>
      <c r="G1151" s="403"/>
    </row>
    <row r="1152" spans="2:7" s="288" customFormat="1" x14ac:dyDescent="0.2">
      <c r="B1152" s="291"/>
      <c r="E1152" s="261"/>
      <c r="F1152" s="261"/>
      <c r="G1152" s="403"/>
    </row>
    <row r="1153" spans="2:7" s="288" customFormat="1" x14ac:dyDescent="0.2">
      <c r="B1153" s="291"/>
      <c r="E1153" s="261"/>
      <c r="F1153" s="261"/>
      <c r="G1153" s="403"/>
    </row>
    <row r="1154" spans="2:7" s="288" customFormat="1" x14ac:dyDescent="0.2">
      <c r="B1154" s="291"/>
      <c r="E1154" s="261"/>
      <c r="F1154" s="261"/>
      <c r="G1154" s="403"/>
    </row>
    <row r="1155" spans="2:7" s="288" customFormat="1" x14ac:dyDescent="0.2">
      <c r="B1155" s="291"/>
      <c r="E1155" s="261"/>
      <c r="F1155" s="261"/>
      <c r="G1155" s="403"/>
    </row>
    <row r="1156" spans="2:7" s="288" customFormat="1" x14ac:dyDescent="0.2">
      <c r="B1156" s="291"/>
      <c r="E1156" s="261"/>
      <c r="F1156" s="261"/>
      <c r="G1156" s="403"/>
    </row>
    <row r="1157" spans="2:7" s="288" customFormat="1" x14ac:dyDescent="0.2">
      <c r="B1157" s="291"/>
      <c r="E1157" s="261"/>
      <c r="F1157" s="261"/>
      <c r="G1157" s="403"/>
    </row>
    <row r="1158" spans="2:7" s="288" customFormat="1" x14ac:dyDescent="0.2">
      <c r="B1158" s="291"/>
      <c r="E1158" s="261"/>
      <c r="F1158" s="261"/>
      <c r="G1158" s="403"/>
    </row>
    <row r="1159" spans="2:7" s="288" customFormat="1" x14ac:dyDescent="0.2">
      <c r="B1159" s="291"/>
      <c r="E1159" s="261"/>
      <c r="F1159" s="261"/>
      <c r="G1159" s="403"/>
    </row>
    <row r="1160" spans="2:7" s="288" customFormat="1" x14ac:dyDescent="0.2">
      <c r="B1160" s="291"/>
      <c r="E1160" s="261"/>
      <c r="F1160" s="261"/>
      <c r="G1160" s="403"/>
    </row>
    <row r="1161" spans="2:7" s="288" customFormat="1" x14ac:dyDescent="0.2">
      <c r="B1161" s="291"/>
      <c r="E1161" s="261"/>
      <c r="F1161" s="261"/>
      <c r="G1161" s="403"/>
    </row>
    <row r="1162" spans="2:7" s="288" customFormat="1" x14ac:dyDescent="0.2">
      <c r="B1162" s="291"/>
      <c r="E1162" s="261"/>
      <c r="F1162" s="261"/>
      <c r="G1162" s="403"/>
    </row>
    <row r="1163" spans="2:7" s="288" customFormat="1" x14ac:dyDescent="0.2">
      <c r="B1163" s="291"/>
      <c r="E1163" s="261"/>
      <c r="F1163" s="261"/>
      <c r="G1163" s="403"/>
    </row>
    <row r="1164" spans="2:7" s="288" customFormat="1" x14ac:dyDescent="0.2">
      <c r="B1164" s="291"/>
      <c r="E1164" s="261"/>
      <c r="F1164" s="261"/>
      <c r="G1164" s="403"/>
    </row>
    <row r="1165" spans="2:7" s="288" customFormat="1" x14ac:dyDescent="0.2">
      <c r="B1165" s="291"/>
      <c r="E1165" s="261"/>
      <c r="F1165" s="261"/>
      <c r="G1165" s="403"/>
    </row>
    <row r="1166" spans="2:7" s="288" customFormat="1" x14ac:dyDescent="0.2">
      <c r="B1166" s="291"/>
      <c r="E1166" s="261"/>
      <c r="F1166" s="261"/>
      <c r="G1166" s="403"/>
    </row>
    <row r="1167" spans="2:7" s="288" customFormat="1" x14ac:dyDescent="0.2">
      <c r="B1167" s="291"/>
      <c r="E1167" s="261"/>
      <c r="F1167" s="261"/>
      <c r="G1167" s="403"/>
    </row>
    <row r="1168" spans="2:7" s="288" customFormat="1" x14ac:dyDescent="0.2">
      <c r="B1168" s="291"/>
      <c r="E1168" s="261"/>
      <c r="F1168" s="261"/>
      <c r="G1168" s="403"/>
    </row>
    <row r="1169" spans="2:7" s="288" customFormat="1" x14ac:dyDescent="0.2">
      <c r="B1169" s="291"/>
      <c r="E1169" s="261"/>
      <c r="F1169" s="261"/>
      <c r="G1169" s="403"/>
    </row>
    <row r="1170" spans="2:7" s="288" customFormat="1" x14ac:dyDescent="0.2">
      <c r="B1170" s="291"/>
      <c r="E1170" s="261"/>
      <c r="F1170" s="261"/>
      <c r="G1170" s="403"/>
    </row>
    <row r="1171" spans="2:7" s="288" customFormat="1" x14ac:dyDescent="0.2">
      <c r="B1171" s="291"/>
      <c r="E1171" s="261"/>
      <c r="F1171" s="261"/>
      <c r="G1171" s="403"/>
    </row>
    <row r="1172" spans="2:7" s="288" customFormat="1" x14ac:dyDescent="0.2">
      <c r="B1172" s="291"/>
      <c r="E1172" s="261"/>
      <c r="F1172" s="261"/>
      <c r="G1172" s="403"/>
    </row>
    <row r="1173" spans="2:7" s="288" customFormat="1" x14ac:dyDescent="0.2">
      <c r="B1173" s="291"/>
      <c r="E1173" s="261"/>
      <c r="F1173" s="261"/>
      <c r="G1173" s="403"/>
    </row>
    <row r="1174" spans="2:7" s="288" customFormat="1" x14ac:dyDescent="0.2">
      <c r="B1174" s="291"/>
      <c r="E1174" s="261"/>
      <c r="F1174" s="261"/>
      <c r="G1174" s="403"/>
    </row>
    <row r="1175" spans="2:7" s="288" customFormat="1" x14ac:dyDescent="0.2">
      <c r="B1175" s="291"/>
      <c r="E1175" s="261"/>
      <c r="F1175" s="261"/>
      <c r="G1175" s="403"/>
    </row>
    <row r="1176" spans="2:7" s="288" customFormat="1" x14ac:dyDescent="0.2">
      <c r="B1176" s="291"/>
      <c r="E1176" s="261"/>
      <c r="F1176" s="261"/>
      <c r="G1176" s="403"/>
    </row>
    <row r="1177" spans="2:7" s="288" customFormat="1" x14ac:dyDescent="0.2">
      <c r="B1177" s="291"/>
      <c r="E1177" s="261"/>
      <c r="F1177" s="261"/>
      <c r="G1177" s="403"/>
    </row>
    <row r="1178" spans="2:7" s="288" customFormat="1" x14ac:dyDescent="0.2">
      <c r="B1178" s="291"/>
      <c r="E1178" s="261"/>
      <c r="F1178" s="261"/>
      <c r="G1178" s="403"/>
    </row>
    <row r="1179" spans="2:7" s="288" customFormat="1" x14ac:dyDescent="0.2">
      <c r="B1179" s="291"/>
      <c r="E1179" s="261"/>
      <c r="F1179" s="261"/>
      <c r="G1179" s="403"/>
    </row>
    <row r="1180" spans="2:7" s="288" customFormat="1" x14ac:dyDescent="0.2">
      <c r="B1180" s="291"/>
      <c r="E1180" s="261"/>
      <c r="F1180" s="261"/>
      <c r="G1180" s="403"/>
    </row>
    <row r="1181" spans="2:7" s="288" customFormat="1" x14ac:dyDescent="0.2">
      <c r="B1181" s="291"/>
      <c r="E1181" s="261"/>
      <c r="F1181" s="261"/>
      <c r="G1181" s="403"/>
    </row>
    <row r="1182" spans="2:7" s="288" customFormat="1" x14ac:dyDescent="0.2">
      <c r="B1182" s="291"/>
      <c r="E1182" s="261"/>
      <c r="F1182" s="261"/>
      <c r="G1182" s="403"/>
    </row>
    <row r="1183" spans="2:7" s="288" customFormat="1" x14ac:dyDescent="0.2">
      <c r="B1183" s="291"/>
      <c r="E1183" s="261"/>
      <c r="F1183" s="261"/>
      <c r="G1183" s="403"/>
    </row>
    <row r="1184" spans="2:7" s="288" customFormat="1" x14ac:dyDescent="0.2">
      <c r="B1184" s="291"/>
      <c r="E1184" s="261"/>
      <c r="F1184" s="261"/>
      <c r="G1184" s="403"/>
    </row>
    <row r="1185" spans="2:7" s="288" customFormat="1" x14ac:dyDescent="0.2">
      <c r="B1185" s="291"/>
      <c r="E1185" s="261"/>
      <c r="F1185" s="261"/>
      <c r="G1185" s="403"/>
    </row>
    <row r="1186" spans="2:7" s="288" customFormat="1" x14ac:dyDescent="0.2">
      <c r="B1186" s="291"/>
      <c r="E1186" s="261"/>
      <c r="F1186" s="261"/>
      <c r="G1186" s="403"/>
    </row>
    <row r="1187" spans="2:7" s="288" customFormat="1" x14ac:dyDescent="0.2">
      <c r="B1187" s="291"/>
      <c r="E1187" s="261"/>
      <c r="F1187" s="261"/>
      <c r="G1187" s="403"/>
    </row>
    <row r="1188" spans="2:7" s="288" customFormat="1" x14ac:dyDescent="0.2">
      <c r="B1188" s="291"/>
      <c r="E1188" s="261"/>
      <c r="F1188" s="261"/>
      <c r="G1188" s="403"/>
    </row>
    <row r="1189" spans="2:7" s="288" customFormat="1" x14ac:dyDescent="0.2">
      <c r="B1189" s="291"/>
      <c r="E1189" s="261"/>
      <c r="F1189" s="261"/>
      <c r="G1189" s="403"/>
    </row>
    <row r="1190" spans="2:7" s="288" customFormat="1" x14ac:dyDescent="0.2">
      <c r="B1190" s="291"/>
      <c r="E1190" s="261"/>
      <c r="F1190" s="261"/>
      <c r="G1190" s="403"/>
    </row>
    <row r="1191" spans="2:7" s="288" customFormat="1" x14ac:dyDescent="0.2">
      <c r="B1191" s="291"/>
      <c r="E1191" s="261"/>
      <c r="F1191" s="261"/>
      <c r="G1191" s="403"/>
    </row>
    <row r="1192" spans="2:7" s="288" customFormat="1" x14ac:dyDescent="0.2">
      <c r="B1192" s="291"/>
      <c r="E1192" s="261"/>
      <c r="F1192" s="261"/>
      <c r="G1192" s="403"/>
    </row>
    <row r="1193" spans="2:7" s="288" customFormat="1" x14ac:dyDescent="0.2">
      <c r="B1193" s="291"/>
      <c r="E1193" s="261"/>
      <c r="F1193" s="261"/>
      <c r="G1193" s="403"/>
    </row>
    <row r="1194" spans="2:7" s="288" customFormat="1" x14ac:dyDescent="0.2">
      <c r="B1194" s="291"/>
      <c r="E1194" s="261"/>
      <c r="F1194" s="261"/>
      <c r="G1194" s="403"/>
    </row>
    <row r="1195" spans="2:7" s="288" customFormat="1" x14ac:dyDescent="0.2">
      <c r="B1195" s="291"/>
      <c r="E1195" s="261"/>
      <c r="F1195" s="261"/>
      <c r="G1195" s="403"/>
    </row>
    <row r="1196" spans="2:7" s="288" customFormat="1" x14ac:dyDescent="0.2">
      <c r="B1196" s="291"/>
      <c r="E1196" s="261"/>
      <c r="F1196" s="261"/>
      <c r="G1196" s="403"/>
    </row>
    <row r="1197" spans="2:7" s="288" customFormat="1" x14ac:dyDescent="0.2">
      <c r="B1197" s="291"/>
      <c r="E1197" s="261"/>
      <c r="F1197" s="261"/>
      <c r="G1197" s="403"/>
    </row>
    <row r="1198" spans="2:7" s="288" customFormat="1" x14ac:dyDescent="0.2">
      <c r="B1198" s="291"/>
      <c r="E1198" s="261"/>
      <c r="F1198" s="261"/>
      <c r="G1198" s="403"/>
    </row>
    <row r="1199" spans="2:7" s="288" customFormat="1" x14ac:dyDescent="0.2">
      <c r="B1199" s="291"/>
      <c r="E1199" s="261"/>
      <c r="F1199" s="261"/>
      <c r="G1199" s="403"/>
    </row>
    <row r="1200" spans="2:7" s="288" customFormat="1" x14ac:dyDescent="0.2">
      <c r="B1200" s="291"/>
      <c r="E1200" s="261"/>
      <c r="F1200" s="261"/>
      <c r="G1200" s="403"/>
    </row>
    <row r="1201" spans="2:7" s="288" customFormat="1" x14ac:dyDescent="0.2">
      <c r="B1201" s="291"/>
      <c r="E1201" s="261"/>
      <c r="F1201" s="261"/>
      <c r="G1201" s="403"/>
    </row>
    <row r="1202" spans="2:7" s="288" customFormat="1" x14ac:dyDescent="0.2">
      <c r="B1202" s="291"/>
      <c r="E1202" s="261"/>
      <c r="F1202" s="261"/>
      <c r="G1202" s="403"/>
    </row>
    <row r="1203" spans="2:7" s="288" customFormat="1" x14ac:dyDescent="0.2">
      <c r="B1203" s="291"/>
      <c r="E1203" s="261"/>
      <c r="F1203" s="261"/>
      <c r="G1203" s="403"/>
    </row>
    <row r="1204" spans="2:7" s="288" customFormat="1" x14ac:dyDescent="0.2">
      <c r="B1204" s="291"/>
      <c r="E1204" s="261"/>
      <c r="F1204" s="261"/>
      <c r="G1204" s="403"/>
    </row>
    <row r="1205" spans="2:7" s="288" customFormat="1" x14ac:dyDescent="0.2">
      <c r="B1205" s="291"/>
      <c r="E1205" s="261"/>
      <c r="F1205" s="261"/>
      <c r="G1205" s="403"/>
    </row>
    <row r="1206" spans="2:7" s="288" customFormat="1" x14ac:dyDescent="0.2">
      <c r="B1206" s="291"/>
      <c r="E1206" s="261"/>
      <c r="F1206" s="261"/>
      <c r="G1206" s="403"/>
    </row>
    <row r="1207" spans="2:7" s="288" customFormat="1" x14ac:dyDescent="0.2">
      <c r="B1207" s="291"/>
      <c r="E1207" s="261"/>
      <c r="F1207" s="261"/>
      <c r="G1207" s="403"/>
    </row>
    <row r="1208" spans="2:7" s="288" customFormat="1" x14ac:dyDescent="0.2">
      <c r="B1208" s="291"/>
      <c r="E1208" s="261"/>
      <c r="F1208" s="261"/>
      <c r="G1208" s="403"/>
    </row>
    <row r="1209" spans="2:7" s="288" customFormat="1" x14ac:dyDescent="0.2">
      <c r="B1209" s="291"/>
      <c r="E1209" s="261"/>
      <c r="F1209" s="261"/>
      <c r="G1209" s="403"/>
    </row>
    <row r="1210" spans="2:7" s="288" customFormat="1" x14ac:dyDescent="0.2">
      <c r="B1210" s="291"/>
      <c r="E1210" s="261"/>
      <c r="F1210" s="261"/>
      <c r="G1210" s="403"/>
    </row>
    <row r="1211" spans="2:7" s="288" customFormat="1" x14ac:dyDescent="0.2">
      <c r="B1211" s="291"/>
      <c r="E1211" s="261"/>
      <c r="F1211" s="261"/>
      <c r="G1211" s="403"/>
    </row>
    <row r="1212" spans="2:7" s="288" customFormat="1" x14ac:dyDescent="0.2">
      <c r="B1212" s="291"/>
      <c r="E1212" s="261"/>
      <c r="F1212" s="261"/>
      <c r="G1212" s="403"/>
    </row>
    <row r="1213" spans="2:7" s="288" customFormat="1" x14ac:dyDescent="0.2">
      <c r="B1213" s="291"/>
      <c r="E1213" s="261"/>
      <c r="F1213" s="261"/>
      <c r="G1213" s="403"/>
    </row>
    <row r="1214" spans="2:7" s="288" customFormat="1" x14ac:dyDescent="0.2">
      <c r="B1214" s="291"/>
      <c r="E1214" s="261"/>
      <c r="F1214" s="261"/>
      <c r="G1214" s="403"/>
    </row>
    <row r="1215" spans="2:7" s="288" customFormat="1" x14ac:dyDescent="0.2">
      <c r="B1215" s="291"/>
      <c r="E1215" s="261"/>
      <c r="F1215" s="261"/>
      <c r="G1215" s="403"/>
    </row>
    <row r="1216" spans="2:7" s="288" customFormat="1" x14ac:dyDescent="0.2">
      <c r="B1216" s="291"/>
      <c r="E1216" s="261"/>
      <c r="F1216" s="261"/>
      <c r="G1216" s="403"/>
    </row>
    <row r="1217" spans="2:7" s="288" customFormat="1" x14ac:dyDescent="0.2">
      <c r="B1217" s="291"/>
      <c r="E1217" s="261"/>
      <c r="F1217" s="261"/>
      <c r="G1217" s="403"/>
    </row>
    <row r="1218" spans="2:7" s="288" customFormat="1" x14ac:dyDescent="0.2">
      <c r="B1218" s="291"/>
      <c r="E1218" s="261"/>
      <c r="F1218" s="261"/>
      <c r="G1218" s="403"/>
    </row>
    <row r="1219" spans="2:7" s="288" customFormat="1" x14ac:dyDescent="0.2">
      <c r="B1219" s="291"/>
      <c r="E1219" s="261"/>
      <c r="F1219" s="261"/>
      <c r="G1219" s="403"/>
    </row>
    <row r="1220" spans="2:7" s="288" customFormat="1" x14ac:dyDescent="0.2">
      <c r="B1220" s="291"/>
      <c r="E1220" s="261"/>
      <c r="F1220" s="261"/>
      <c r="G1220" s="403"/>
    </row>
    <row r="1221" spans="2:7" s="288" customFormat="1" x14ac:dyDescent="0.2">
      <c r="B1221" s="291"/>
      <c r="E1221" s="261"/>
      <c r="F1221" s="261"/>
      <c r="G1221" s="403"/>
    </row>
    <row r="1222" spans="2:7" s="288" customFormat="1" x14ac:dyDescent="0.2">
      <c r="B1222" s="291"/>
      <c r="E1222" s="261"/>
      <c r="F1222" s="261"/>
      <c r="G1222" s="403"/>
    </row>
    <row r="1223" spans="2:7" s="288" customFormat="1" x14ac:dyDescent="0.2">
      <c r="B1223" s="291"/>
      <c r="E1223" s="261"/>
      <c r="F1223" s="261"/>
      <c r="G1223" s="403"/>
    </row>
    <row r="1224" spans="2:7" s="288" customFormat="1" x14ac:dyDescent="0.2">
      <c r="B1224" s="291"/>
      <c r="E1224" s="261"/>
      <c r="F1224" s="261"/>
      <c r="G1224" s="403"/>
    </row>
    <row r="1225" spans="2:7" s="288" customFormat="1" x14ac:dyDescent="0.2">
      <c r="B1225" s="291"/>
      <c r="E1225" s="261"/>
      <c r="F1225" s="261"/>
      <c r="G1225" s="403"/>
    </row>
    <row r="1226" spans="2:7" s="288" customFormat="1" x14ac:dyDescent="0.2">
      <c r="B1226" s="291"/>
      <c r="E1226" s="261"/>
      <c r="F1226" s="261"/>
      <c r="G1226" s="403"/>
    </row>
    <row r="1227" spans="2:7" s="288" customFormat="1" x14ac:dyDescent="0.2">
      <c r="B1227" s="291"/>
      <c r="E1227" s="261"/>
      <c r="F1227" s="261"/>
      <c r="G1227" s="403"/>
    </row>
    <row r="1228" spans="2:7" s="288" customFormat="1" x14ac:dyDescent="0.2">
      <c r="B1228" s="291"/>
      <c r="E1228" s="261"/>
      <c r="F1228" s="261"/>
      <c r="G1228" s="403"/>
    </row>
    <row r="1229" spans="2:7" s="288" customFormat="1" x14ac:dyDescent="0.2">
      <c r="B1229" s="291"/>
      <c r="E1229" s="261"/>
      <c r="F1229" s="261"/>
      <c r="G1229" s="403"/>
    </row>
    <row r="1230" spans="2:7" s="288" customFormat="1" x14ac:dyDescent="0.2">
      <c r="B1230" s="291"/>
      <c r="E1230" s="261"/>
      <c r="F1230" s="261"/>
      <c r="G1230" s="403"/>
    </row>
    <row r="1231" spans="2:7" s="288" customFormat="1" x14ac:dyDescent="0.2">
      <c r="B1231" s="291"/>
      <c r="E1231" s="261"/>
      <c r="F1231" s="261"/>
      <c r="G1231" s="403"/>
    </row>
    <row r="1232" spans="2:7" s="288" customFormat="1" x14ac:dyDescent="0.2">
      <c r="B1232" s="291"/>
      <c r="E1232" s="261"/>
      <c r="F1232" s="261"/>
      <c r="G1232" s="403"/>
    </row>
    <row r="1233" spans="2:7" s="288" customFormat="1" x14ac:dyDescent="0.2">
      <c r="B1233" s="291"/>
      <c r="E1233" s="261"/>
      <c r="F1233" s="261"/>
      <c r="G1233" s="403"/>
    </row>
    <row r="1234" spans="2:7" s="288" customFormat="1" x14ac:dyDescent="0.2">
      <c r="B1234" s="291"/>
      <c r="E1234" s="261"/>
      <c r="F1234" s="261"/>
      <c r="G1234" s="403"/>
    </row>
    <row r="1235" spans="2:7" s="288" customFormat="1" x14ac:dyDescent="0.2">
      <c r="B1235" s="291"/>
      <c r="E1235" s="261"/>
      <c r="F1235" s="261"/>
      <c r="G1235" s="403"/>
    </row>
    <row r="1236" spans="2:7" s="288" customFormat="1" x14ac:dyDescent="0.2">
      <c r="B1236" s="291"/>
      <c r="E1236" s="261"/>
      <c r="F1236" s="261"/>
      <c r="G1236" s="403"/>
    </row>
    <row r="1237" spans="2:7" s="288" customFormat="1" x14ac:dyDescent="0.2">
      <c r="B1237" s="291"/>
      <c r="E1237" s="261"/>
      <c r="F1237" s="261"/>
      <c r="G1237" s="403"/>
    </row>
    <row r="1238" spans="2:7" s="288" customFormat="1" x14ac:dyDescent="0.2">
      <c r="B1238" s="291"/>
      <c r="E1238" s="261"/>
      <c r="F1238" s="261"/>
      <c r="G1238" s="403"/>
    </row>
    <row r="1239" spans="2:7" s="288" customFormat="1" x14ac:dyDescent="0.2">
      <c r="B1239" s="291"/>
      <c r="E1239" s="261"/>
      <c r="F1239" s="261"/>
      <c r="G1239" s="403"/>
    </row>
    <row r="1240" spans="2:7" s="288" customFormat="1" x14ac:dyDescent="0.2">
      <c r="B1240" s="291"/>
      <c r="E1240" s="261"/>
      <c r="F1240" s="261"/>
      <c r="G1240" s="403"/>
    </row>
    <row r="1241" spans="2:7" s="288" customFormat="1" x14ac:dyDescent="0.2">
      <c r="B1241" s="291"/>
      <c r="E1241" s="261"/>
      <c r="F1241" s="261"/>
      <c r="G1241" s="403"/>
    </row>
    <row r="1242" spans="2:7" s="288" customFormat="1" x14ac:dyDescent="0.2">
      <c r="B1242" s="291"/>
      <c r="E1242" s="261"/>
      <c r="F1242" s="261"/>
      <c r="G1242" s="403"/>
    </row>
    <row r="1243" spans="2:7" s="288" customFormat="1" x14ac:dyDescent="0.2">
      <c r="B1243" s="291"/>
      <c r="E1243" s="261"/>
      <c r="F1243" s="261"/>
      <c r="G1243" s="403"/>
    </row>
    <row r="1244" spans="2:7" s="288" customFormat="1" x14ac:dyDescent="0.2">
      <c r="B1244" s="291"/>
      <c r="E1244" s="261"/>
      <c r="F1244" s="261"/>
      <c r="G1244" s="403"/>
    </row>
    <row r="1245" spans="2:7" s="288" customFormat="1" x14ac:dyDescent="0.2">
      <c r="B1245" s="291"/>
      <c r="E1245" s="261"/>
      <c r="F1245" s="261"/>
      <c r="G1245" s="403"/>
    </row>
    <row r="1246" spans="2:7" s="288" customFormat="1" x14ac:dyDescent="0.2">
      <c r="B1246" s="291"/>
      <c r="E1246" s="261"/>
      <c r="F1246" s="261"/>
      <c r="G1246" s="403"/>
    </row>
    <row r="1247" spans="2:7" s="288" customFormat="1" x14ac:dyDescent="0.2">
      <c r="B1247" s="291"/>
      <c r="E1247" s="261"/>
      <c r="F1247" s="261"/>
      <c r="G1247" s="403"/>
    </row>
    <row r="1248" spans="2:7" s="288" customFormat="1" x14ac:dyDescent="0.2">
      <c r="B1248" s="291"/>
      <c r="E1248" s="261"/>
      <c r="F1248" s="261"/>
      <c r="G1248" s="403"/>
    </row>
    <row r="1249" spans="2:7" s="288" customFormat="1" x14ac:dyDescent="0.2">
      <c r="B1249" s="291"/>
      <c r="E1249" s="261"/>
      <c r="F1249" s="261"/>
      <c r="G1249" s="403"/>
    </row>
    <row r="1250" spans="2:7" s="288" customFormat="1" x14ac:dyDescent="0.2">
      <c r="B1250" s="291"/>
      <c r="E1250" s="261"/>
      <c r="F1250" s="261"/>
      <c r="G1250" s="403"/>
    </row>
    <row r="1251" spans="2:7" s="288" customFormat="1" x14ac:dyDescent="0.2">
      <c r="B1251" s="291"/>
      <c r="E1251" s="261"/>
      <c r="F1251" s="261"/>
      <c r="G1251" s="403"/>
    </row>
    <row r="1252" spans="2:7" s="288" customFormat="1" x14ac:dyDescent="0.2">
      <c r="B1252" s="291"/>
      <c r="E1252" s="261"/>
      <c r="F1252" s="261"/>
      <c r="G1252" s="403"/>
    </row>
    <row r="1253" spans="2:7" s="288" customFormat="1" x14ac:dyDescent="0.2">
      <c r="B1253" s="291"/>
      <c r="E1253" s="261"/>
      <c r="F1253" s="261"/>
      <c r="G1253" s="403"/>
    </row>
    <row r="1254" spans="2:7" s="288" customFormat="1" x14ac:dyDescent="0.2">
      <c r="B1254" s="291"/>
      <c r="E1254" s="261"/>
      <c r="F1254" s="261"/>
      <c r="G1254" s="403"/>
    </row>
    <row r="1255" spans="2:7" s="288" customFormat="1" x14ac:dyDescent="0.2">
      <c r="B1255" s="291"/>
      <c r="E1255" s="261"/>
      <c r="F1255" s="261"/>
      <c r="G1255" s="403"/>
    </row>
    <row r="1256" spans="2:7" s="288" customFormat="1" x14ac:dyDescent="0.2">
      <c r="B1256" s="291"/>
      <c r="E1256" s="261"/>
      <c r="F1256" s="261"/>
      <c r="G1256" s="403"/>
    </row>
    <row r="1257" spans="2:7" s="288" customFormat="1" x14ac:dyDescent="0.2">
      <c r="B1257" s="291"/>
      <c r="E1257" s="261"/>
      <c r="F1257" s="261"/>
      <c r="G1257" s="403"/>
    </row>
    <row r="1258" spans="2:7" s="288" customFormat="1" x14ac:dyDescent="0.2">
      <c r="B1258" s="291"/>
      <c r="E1258" s="261"/>
      <c r="F1258" s="261"/>
      <c r="G1258" s="403"/>
    </row>
    <row r="1259" spans="2:7" s="288" customFormat="1" x14ac:dyDescent="0.2">
      <c r="B1259" s="291"/>
      <c r="E1259" s="261"/>
      <c r="F1259" s="261"/>
      <c r="G1259" s="403"/>
    </row>
    <row r="1260" spans="2:7" s="288" customFormat="1" x14ac:dyDescent="0.2">
      <c r="B1260" s="291"/>
      <c r="E1260" s="261"/>
      <c r="F1260" s="261"/>
      <c r="G1260" s="403"/>
    </row>
    <row r="1261" spans="2:7" s="288" customFormat="1" x14ac:dyDescent="0.2">
      <c r="B1261" s="291"/>
      <c r="E1261" s="261"/>
      <c r="F1261" s="261"/>
      <c r="G1261" s="403"/>
    </row>
    <row r="1262" spans="2:7" s="288" customFormat="1" x14ac:dyDescent="0.2">
      <c r="B1262" s="291"/>
      <c r="E1262" s="261"/>
      <c r="F1262" s="261"/>
      <c r="G1262" s="403"/>
    </row>
    <row r="1263" spans="2:7" s="288" customFormat="1" x14ac:dyDescent="0.2">
      <c r="B1263" s="291"/>
      <c r="E1263" s="261"/>
      <c r="F1263" s="261"/>
      <c r="G1263" s="403"/>
    </row>
    <row r="1264" spans="2:7" s="288" customFormat="1" x14ac:dyDescent="0.2">
      <c r="B1264" s="291"/>
      <c r="E1264" s="261"/>
      <c r="F1264" s="261"/>
      <c r="G1264" s="403"/>
    </row>
    <row r="1265" spans="2:7" s="288" customFormat="1" x14ac:dyDescent="0.2">
      <c r="B1265" s="291"/>
      <c r="E1265" s="261"/>
      <c r="F1265" s="261"/>
      <c r="G1265" s="403"/>
    </row>
    <row r="1266" spans="2:7" s="288" customFormat="1" x14ac:dyDescent="0.2">
      <c r="B1266" s="291"/>
      <c r="E1266" s="261"/>
      <c r="F1266" s="261"/>
      <c r="G1266" s="403"/>
    </row>
    <row r="1267" spans="2:7" s="288" customFormat="1" x14ac:dyDescent="0.2">
      <c r="B1267" s="291"/>
      <c r="E1267" s="261"/>
      <c r="F1267" s="261"/>
      <c r="G1267" s="403"/>
    </row>
    <row r="1268" spans="2:7" s="288" customFormat="1" x14ac:dyDescent="0.2">
      <c r="B1268" s="291"/>
      <c r="E1268" s="261"/>
      <c r="F1268" s="261"/>
      <c r="G1268" s="403"/>
    </row>
    <row r="1269" spans="2:7" s="288" customFormat="1" x14ac:dyDescent="0.2">
      <c r="B1269" s="291"/>
      <c r="E1269" s="261"/>
      <c r="F1269" s="261"/>
      <c r="G1269" s="403"/>
    </row>
    <row r="1270" spans="2:7" s="288" customFormat="1" x14ac:dyDescent="0.2">
      <c r="B1270" s="291"/>
      <c r="E1270" s="261"/>
      <c r="F1270" s="261"/>
      <c r="G1270" s="403"/>
    </row>
    <row r="1271" spans="2:7" s="288" customFormat="1" x14ac:dyDescent="0.2">
      <c r="B1271" s="291"/>
      <c r="E1271" s="261"/>
      <c r="F1271" s="261"/>
      <c r="G1271" s="403"/>
    </row>
    <row r="1272" spans="2:7" s="288" customFormat="1" x14ac:dyDescent="0.2">
      <c r="B1272" s="291"/>
      <c r="E1272" s="261"/>
      <c r="F1272" s="261"/>
      <c r="G1272" s="403"/>
    </row>
    <row r="1273" spans="2:7" s="288" customFormat="1" x14ac:dyDescent="0.2">
      <c r="B1273" s="291"/>
      <c r="E1273" s="261"/>
      <c r="F1273" s="261"/>
      <c r="G1273" s="403"/>
    </row>
    <row r="1274" spans="2:7" s="288" customFormat="1" x14ac:dyDescent="0.2">
      <c r="B1274" s="291"/>
      <c r="E1274" s="261"/>
      <c r="F1274" s="261"/>
      <c r="G1274" s="403"/>
    </row>
    <row r="1275" spans="2:7" s="288" customFormat="1" x14ac:dyDescent="0.2">
      <c r="B1275" s="291"/>
      <c r="E1275" s="261"/>
      <c r="F1275" s="261"/>
      <c r="G1275" s="403"/>
    </row>
    <row r="1276" spans="2:7" s="288" customFormat="1" x14ac:dyDescent="0.2">
      <c r="B1276" s="291"/>
      <c r="E1276" s="261"/>
      <c r="F1276" s="261"/>
      <c r="G1276" s="403"/>
    </row>
    <row r="1277" spans="2:7" s="288" customFormat="1" x14ac:dyDescent="0.2">
      <c r="B1277" s="291"/>
      <c r="E1277" s="261"/>
      <c r="F1277" s="261"/>
      <c r="G1277" s="403"/>
    </row>
    <row r="1278" spans="2:7" s="288" customFormat="1" x14ac:dyDescent="0.2">
      <c r="B1278" s="291"/>
      <c r="E1278" s="261"/>
      <c r="F1278" s="261"/>
      <c r="G1278" s="403"/>
    </row>
    <row r="1279" spans="2:7" s="288" customFormat="1" x14ac:dyDescent="0.2">
      <c r="B1279" s="291"/>
      <c r="E1279" s="261"/>
      <c r="F1279" s="261"/>
      <c r="G1279" s="403"/>
    </row>
    <row r="1280" spans="2:7" s="288" customFormat="1" x14ac:dyDescent="0.2">
      <c r="B1280" s="291"/>
      <c r="E1280" s="261"/>
      <c r="F1280" s="261"/>
      <c r="G1280" s="403"/>
    </row>
    <row r="1281" spans="2:7" s="288" customFormat="1" x14ac:dyDescent="0.2">
      <c r="B1281" s="291"/>
      <c r="E1281" s="261"/>
      <c r="F1281" s="261"/>
      <c r="G1281" s="403"/>
    </row>
    <row r="1282" spans="2:7" s="288" customFormat="1" x14ac:dyDescent="0.2">
      <c r="B1282" s="291"/>
      <c r="E1282" s="261"/>
      <c r="F1282" s="261"/>
      <c r="G1282" s="403"/>
    </row>
    <row r="1283" spans="2:7" x14ac:dyDescent="0.2">
      <c r="B1283" s="291"/>
      <c r="C1283" s="288"/>
      <c r="D1283" s="288"/>
      <c r="E1283" s="261"/>
      <c r="F1283" s="261"/>
      <c r="G1283" s="403"/>
    </row>
  </sheetData>
  <mergeCells count="22">
    <mergeCell ref="G344:G347"/>
    <mergeCell ref="B2:D3"/>
    <mergeCell ref="B4:B5"/>
    <mergeCell ref="D346:D347"/>
    <mergeCell ref="C4:C5"/>
    <mergeCell ref="D4:D5"/>
    <mergeCell ref="G396:G399"/>
    <mergeCell ref="E2:E5"/>
    <mergeCell ref="B344:D345"/>
    <mergeCell ref="B1:G1"/>
    <mergeCell ref="E396:E399"/>
    <mergeCell ref="B398:B399"/>
    <mergeCell ref="C398:C399"/>
    <mergeCell ref="C346:C347"/>
    <mergeCell ref="D398:D399"/>
    <mergeCell ref="B396:D397"/>
    <mergeCell ref="B346:B347"/>
    <mergeCell ref="E344:E347"/>
    <mergeCell ref="F2:F5"/>
    <mergeCell ref="F344:F347"/>
    <mergeCell ref="F396:F399"/>
    <mergeCell ref="G2:G5"/>
  </mergeCells>
  <phoneticPr fontId="2" type="noConversion"/>
  <pageMargins left="0.44" right="0.11811023622047245" top="0.39370078740157483" bottom="0.3149606299212598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E164-AA45-4856-97B0-3C167FEC0842}">
  <sheetPr codeName="Sheet13"/>
  <dimension ref="A1:U1956"/>
  <sheetViews>
    <sheetView showWhiteSpace="0" zoomScale="80" zoomScaleNormal="80" zoomScaleSheetLayoutView="90" workbookViewId="0"/>
  </sheetViews>
  <sheetFormatPr defaultRowHeight="12.75" x14ac:dyDescent="0.2"/>
  <cols>
    <col min="1" max="1" width="1.140625" style="3" customWidth="1"/>
    <col min="2" max="2" width="5.28515625" style="2" customWidth="1"/>
    <col min="3" max="3" width="4.140625" style="3" customWidth="1"/>
    <col min="4" max="4" width="3.42578125" style="3" customWidth="1"/>
    <col min="5" max="5" width="3" style="3" customWidth="1"/>
    <col min="6" max="6" width="5.5703125" style="4" customWidth="1"/>
    <col min="7" max="7" width="5" style="4" customWidth="1"/>
    <col min="8" max="8" width="37" style="3" customWidth="1"/>
    <col min="9" max="9" width="13.28515625" style="5" customWidth="1"/>
    <col min="10" max="10" width="13.85546875" style="5" customWidth="1"/>
    <col min="11" max="11" width="6.85546875" style="402" customWidth="1"/>
    <col min="12" max="12" width="2.7109375" style="5" customWidth="1"/>
    <col min="13" max="14" width="13.28515625" style="5" customWidth="1"/>
    <col min="15" max="15" width="7.5703125" style="402" customWidth="1"/>
    <col min="16" max="16" width="3.140625" style="5" customWidth="1"/>
    <col min="17" max="18" width="14.28515625" style="5" customWidth="1"/>
    <col min="19" max="19" width="7.42578125" style="5" customWidth="1"/>
    <col min="20" max="20" width="12.140625" style="3" customWidth="1"/>
    <col min="21" max="21" width="12.7109375" style="3" customWidth="1"/>
    <col min="22" max="22" width="13.140625" style="3" customWidth="1"/>
    <col min="23" max="23" width="11.7109375" style="3" customWidth="1"/>
    <col min="24" max="24" width="9.140625" style="3" customWidth="1"/>
    <col min="25" max="16384" width="9.140625" style="3"/>
  </cols>
  <sheetData>
    <row r="1" spans="1:19" ht="44.25" customHeight="1" x14ac:dyDescent="0.4">
      <c r="B1" s="693" t="s">
        <v>37</v>
      </c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694"/>
      <c r="R1" s="3"/>
      <c r="S1" s="3"/>
    </row>
    <row r="2" spans="1:19" ht="13.5" customHeight="1" x14ac:dyDescent="0.2">
      <c r="B2" s="631" t="s">
        <v>432</v>
      </c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  <c r="O2" s="632"/>
      <c r="P2" s="632"/>
      <c r="Q2" s="624" t="s">
        <v>761</v>
      </c>
      <c r="R2" s="624" t="s">
        <v>757</v>
      </c>
      <c r="S2" s="624" t="s">
        <v>758</v>
      </c>
    </row>
    <row r="3" spans="1:19" ht="19.5" customHeight="1" x14ac:dyDescent="0.2">
      <c r="B3" s="633"/>
      <c r="C3" s="634" t="s">
        <v>111</v>
      </c>
      <c r="D3" s="634" t="s">
        <v>112</v>
      </c>
      <c r="E3" s="634"/>
      <c r="F3" s="634" t="s">
        <v>113</v>
      </c>
      <c r="G3" s="627" t="s">
        <v>114</v>
      </c>
      <c r="H3" s="628" t="s">
        <v>115</v>
      </c>
      <c r="I3" s="626" t="s">
        <v>759</v>
      </c>
      <c r="J3" s="626" t="s">
        <v>757</v>
      </c>
      <c r="K3" s="643" t="s">
        <v>758</v>
      </c>
      <c r="L3" s="310"/>
      <c r="M3" s="626" t="s">
        <v>760</v>
      </c>
      <c r="N3" s="626" t="s">
        <v>757</v>
      </c>
      <c r="O3" s="643" t="s">
        <v>758</v>
      </c>
      <c r="P3" s="310"/>
      <c r="Q3" s="625"/>
      <c r="R3" s="625"/>
      <c r="S3" s="625"/>
    </row>
    <row r="4" spans="1:19" ht="15.75" customHeight="1" x14ac:dyDescent="0.2">
      <c r="B4" s="633"/>
      <c r="C4" s="634"/>
      <c r="D4" s="634"/>
      <c r="E4" s="634"/>
      <c r="F4" s="634"/>
      <c r="G4" s="627"/>
      <c r="H4" s="628"/>
      <c r="I4" s="626"/>
      <c r="J4" s="626"/>
      <c r="K4" s="643"/>
      <c r="L4" s="310"/>
      <c r="M4" s="626"/>
      <c r="N4" s="626"/>
      <c r="O4" s="643"/>
      <c r="P4" s="310"/>
      <c r="Q4" s="625"/>
      <c r="R4" s="625"/>
      <c r="S4" s="625"/>
    </row>
    <row r="5" spans="1:19" ht="11.25" customHeight="1" x14ac:dyDescent="0.2">
      <c r="B5" s="633"/>
      <c r="C5" s="634"/>
      <c r="D5" s="634"/>
      <c r="E5" s="634"/>
      <c r="F5" s="634"/>
      <c r="G5" s="627"/>
      <c r="H5" s="628"/>
      <c r="I5" s="626"/>
      <c r="J5" s="626"/>
      <c r="K5" s="643"/>
      <c r="L5" s="310"/>
      <c r="M5" s="626"/>
      <c r="N5" s="626"/>
      <c r="O5" s="643"/>
      <c r="P5" s="310"/>
      <c r="Q5" s="625"/>
      <c r="R5" s="625"/>
      <c r="S5" s="625"/>
    </row>
    <row r="6" spans="1:19" ht="9.75" customHeight="1" x14ac:dyDescent="0.2">
      <c r="B6" s="633"/>
      <c r="C6" s="634"/>
      <c r="D6" s="634"/>
      <c r="E6" s="634"/>
      <c r="F6" s="634"/>
      <c r="G6" s="627"/>
      <c r="H6" s="628"/>
      <c r="I6" s="626"/>
      <c r="J6" s="626"/>
      <c r="K6" s="643"/>
      <c r="L6" s="310"/>
      <c r="M6" s="626"/>
      <c r="N6" s="626"/>
      <c r="O6" s="643"/>
      <c r="P6" s="310"/>
      <c r="Q6" s="625"/>
      <c r="R6" s="625"/>
      <c r="S6" s="625"/>
    </row>
    <row r="7" spans="1:19" ht="21.75" customHeight="1" x14ac:dyDescent="0.2">
      <c r="A7" s="3" t="s">
        <v>498</v>
      </c>
      <c r="B7" s="6">
        <v>1</v>
      </c>
      <c r="C7" s="635" t="s">
        <v>37</v>
      </c>
      <c r="D7" s="636"/>
      <c r="E7" s="636"/>
      <c r="F7" s="636"/>
      <c r="G7" s="636"/>
      <c r="H7" s="636"/>
      <c r="I7" s="7">
        <f>I8+I29+I48+I64+I65+I66+I67+I76+I79</f>
        <v>1469860</v>
      </c>
      <c r="J7" s="7">
        <f>J8+J29+J48+J64+J65+J66+J67+J76+J79</f>
        <v>654924</v>
      </c>
      <c r="K7" s="399">
        <f>J7/I7*100</f>
        <v>44.556896575184027</v>
      </c>
      <c r="L7" s="311"/>
      <c r="M7" s="7">
        <f>M79+M76+M67+M48+M29+M8</f>
        <v>3230464</v>
      </c>
      <c r="N7" s="7">
        <f>N79+N76+N67+N48+N29+N8</f>
        <v>186599</v>
      </c>
      <c r="O7" s="399">
        <f>N7/M7*100</f>
        <v>5.7762290494492436</v>
      </c>
      <c r="P7" s="311"/>
      <c r="Q7" s="8">
        <f t="shared" ref="Q7:R38" si="0">I7+M7</f>
        <v>4700324</v>
      </c>
      <c r="R7" s="8">
        <f t="shared" si="0"/>
        <v>841523</v>
      </c>
      <c r="S7" s="445">
        <f>R7/Q7*100</f>
        <v>17.90351048140511</v>
      </c>
    </row>
    <row r="8" spans="1:19" ht="15" x14ac:dyDescent="0.2">
      <c r="B8" s="6">
        <f>B7+1</f>
        <v>2</v>
      </c>
      <c r="C8" s="9">
        <v>1</v>
      </c>
      <c r="D8" s="637" t="s">
        <v>187</v>
      </c>
      <c r="E8" s="638"/>
      <c r="F8" s="638"/>
      <c r="G8" s="638"/>
      <c r="H8" s="638"/>
      <c r="I8" s="10">
        <f>I9+I16+I19+I22</f>
        <v>254850</v>
      </c>
      <c r="J8" s="10">
        <f>J9+J16+J19+J22</f>
        <v>237228</v>
      </c>
      <c r="K8" s="395">
        <f t="shared" ref="K8:K71" si="1">J8/I8*100</f>
        <v>93.085344320188341</v>
      </c>
      <c r="L8" s="312"/>
      <c r="M8" s="10"/>
      <c r="N8" s="10"/>
      <c r="O8" s="393"/>
      <c r="P8" s="312"/>
      <c r="Q8" s="11">
        <f t="shared" si="0"/>
        <v>254850</v>
      </c>
      <c r="R8" s="11">
        <f t="shared" si="0"/>
        <v>237228</v>
      </c>
      <c r="S8" s="446">
        <f t="shared" ref="S8:S71" si="2">R8/Q8*100</f>
        <v>93.085344320188341</v>
      </c>
    </row>
    <row r="9" spans="1:19" ht="15" x14ac:dyDescent="0.25">
      <c r="B9" s="6">
        <f>B8+1</f>
        <v>3</v>
      </c>
      <c r="C9" s="27"/>
      <c r="D9" s="27">
        <v>1</v>
      </c>
      <c r="E9" s="639" t="s">
        <v>201</v>
      </c>
      <c r="F9" s="640"/>
      <c r="G9" s="640"/>
      <c r="H9" s="640"/>
      <c r="I9" s="28">
        <f>I10</f>
        <v>50650</v>
      </c>
      <c r="J9" s="28">
        <f>J10</f>
        <v>46190</v>
      </c>
      <c r="K9" s="404">
        <f t="shared" si="1"/>
        <v>91.194471865745314</v>
      </c>
      <c r="L9" s="313"/>
      <c r="M9" s="28"/>
      <c r="N9" s="28"/>
      <c r="O9" s="400"/>
      <c r="P9" s="313"/>
      <c r="Q9" s="29">
        <f t="shared" si="0"/>
        <v>50650</v>
      </c>
      <c r="R9" s="29">
        <f t="shared" si="0"/>
        <v>46190</v>
      </c>
      <c r="S9" s="447">
        <f t="shared" si="2"/>
        <v>91.194471865745314</v>
      </c>
    </row>
    <row r="10" spans="1:19" x14ac:dyDescent="0.2">
      <c r="B10" s="6">
        <f t="shared" ref="B10:B79" si="3">B9+1</f>
        <v>4</v>
      </c>
      <c r="C10" s="12"/>
      <c r="D10" s="12"/>
      <c r="E10" s="12"/>
      <c r="F10" s="13" t="s">
        <v>73</v>
      </c>
      <c r="G10" s="14">
        <v>630</v>
      </c>
      <c r="H10" s="12" t="s">
        <v>118</v>
      </c>
      <c r="I10" s="15">
        <f>SUM(I11:I15)</f>
        <v>50650</v>
      </c>
      <c r="J10" s="15">
        <f>SUM(J11:J15)</f>
        <v>46190</v>
      </c>
      <c r="K10" s="397">
        <f t="shared" si="1"/>
        <v>91.194471865745314</v>
      </c>
      <c r="L10" s="15"/>
      <c r="M10" s="15"/>
      <c r="N10" s="15"/>
      <c r="O10" s="25"/>
      <c r="P10" s="15"/>
      <c r="Q10" s="16">
        <f t="shared" si="0"/>
        <v>50650</v>
      </c>
      <c r="R10" s="16">
        <f t="shared" si="0"/>
        <v>46190</v>
      </c>
      <c r="S10" s="448">
        <f t="shared" si="2"/>
        <v>91.194471865745314</v>
      </c>
    </row>
    <row r="11" spans="1:19" x14ac:dyDescent="0.2">
      <c r="B11" s="6">
        <f t="shared" si="3"/>
        <v>5</v>
      </c>
      <c r="C11" s="17"/>
      <c r="D11" s="17"/>
      <c r="E11" s="17"/>
      <c r="F11" s="18"/>
      <c r="G11" s="19">
        <v>631</v>
      </c>
      <c r="H11" s="17" t="s">
        <v>124</v>
      </c>
      <c r="I11" s="20">
        <f>8000+10000+3000+4000</f>
        <v>25000</v>
      </c>
      <c r="J11" s="20">
        <f>25322-386</f>
        <v>24936</v>
      </c>
      <c r="K11" s="397">
        <f t="shared" si="1"/>
        <v>99.744</v>
      </c>
      <c r="L11" s="20"/>
      <c r="M11" s="20"/>
      <c r="N11" s="20"/>
      <c r="O11" s="25"/>
      <c r="P11" s="20"/>
      <c r="Q11" s="21">
        <f t="shared" si="0"/>
        <v>25000</v>
      </c>
      <c r="R11" s="21">
        <f t="shared" si="0"/>
        <v>24936</v>
      </c>
      <c r="S11" s="448">
        <f t="shared" si="2"/>
        <v>99.744</v>
      </c>
    </row>
    <row r="12" spans="1:19" x14ac:dyDescent="0.2">
      <c r="B12" s="6">
        <f t="shared" si="3"/>
        <v>6</v>
      </c>
      <c r="C12" s="17"/>
      <c r="D12" s="17"/>
      <c r="E12" s="17"/>
      <c r="F12" s="18"/>
      <c r="G12" s="19">
        <v>633</v>
      </c>
      <c r="H12" s="17" t="s">
        <v>122</v>
      </c>
      <c r="I12" s="20">
        <f>15000-350</f>
        <v>14650</v>
      </c>
      <c r="J12" s="20">
        <v>11304</v>
      </c>
      <c r="K12" s="397">
        <f t="shared" si="1"/>
        <v>77.160409556313994</v>
      </c>
      <c r="L12" s="20"/>
      <c r="M12" s="20"/>
      <c r="N12" s="20"/>
      <c r="O12" s="25"/>
      <c r="P12" s="20"/>
      <c r="Q12" s="21">
        <f t="shared" si="0"/>
        <v>14650</v>
      </c>
      <c r="R12" s="21">
        <f t="shared" si="0"/>
        <v>11304</v>
      </c>
      <c r="S12" s="448">
        <f t="shared" si="2"/>
        <v>77.160409556313994</v>
      </c>
    </row>
    <row r="13" spans="1:19" x14ac:dyDescent="0.2">
      <c r="B13" s="6">
        <f t="shared" si="3"/>
        <v>7</v>
      </c>
      <c r="C13" s="17"/>
      <c r="D13" s="17"/>
      <c r="E13" s="17"/>
      <c r="F13" s="18"/>
      <c r="G13" s="19">
        <v>634</v>
      </c>
      <c r="H13" s="17" t="s">
        <v>129</v>
      </c>
      <c r="I13" s="20">
        <v>500</v>
      </c>
      <c r="J13" s="20">
        <v>360</v>
      </c>
      <c r="K13" s="397">
        <f t="shared" si="1"/>
        <v>72</v>
      </c>
      <c r="L13" s="20"/>
      <c r="M13" s="20"/>
      <c r="N13" s="20"/>
      <c r="O13" s="25"/>
      <c r="P13" s="20"/>
      <c r="Q13" s="21">
        <f t="shared" si="0"/>
        <v>500</v>
      </c>
      <c r="R13" s="21">
        <f t="shared" si="0"/>
        <v>360</v>
      </c>
      <c r="S13" s="448">
        <f t="shared" si="2"/>
        <v>72</v>
      </c>
    </row>
    <row r="14" spans="1:19" x14ac:dyDescent="0.2">
      <c r="B14" s="6">
        <f t="shared" si="3"/>
        <v>8</v>
      </c>
      <c r="C14" s="17"/>
      <c r="D14" s="17"/>
      <c r="E14" s="17"/>
      <c r="F14" s="18"/>
      <c r="G14" s="19">
        <v>636</v>
      </c>
      <c r="H14" s="17" t="s">
        <v>123</v>
      </c>
      <c r="I14" s="20">
        <v>500</v>
      </c>
      <c r="J14" s="20">
        <v>0</v>
      </c>
      <c r="K14" s="397">
        <f t="shared" si="1"/>
        <v>0</v>
      </c>
      <c r="L14" s="20"/>
      <c r="M14" s="20"/>
      <c r="N14" s="20"/>
      <c r="O14" s="25"/>
      <c r="P14" s="20"/>
      <c r="Q14" s="21">
        <f t="shared" si="0"/>
        <v>500</v>
      </c>
      <c r="R14" s="21">
        <f t="shared" si="0"/>
        <v>0</v>
      </c>
      <c r="S14" s="448">
        <f t="shared" si="2"/>
        <v>0</v>
      </c>
    </row>
    <row r="15" spans="1:19" x14ac:dyDescent="0.2">
      <c r="B15" s="6">
        <f t="shared" si="3"/>
        <v>9</v>
      </c>
      <c r="C15" s="17"/>
      <c r="D15" s="17"/>
      <c r="E15" s="17"/>
      <c r="F15" s="18"/>
      <c r="G15" s="19">
        <v>637</v>
      </c>
      <c r="H15" s="17" t="s">
        <v>119</v>
      </c>
      <c r="I15" s="20">
        <v>10000</v>
      </c>
      <c r="J15" s="20">
        <v>9590</v>
      </c>
      <c r="K15" s="397">
        <f t="shared" si="1"/>
        <v>95.899999999999991</v>
      </c>
      <c r="L15" s="20"/>
      <c r="M15" s="20"/>
      <c r="N15" s="20"/>
      <c r="O15" s="25"/>
      <c r="P15" s="20"/>
      <c r="Q15" s="21">
        <f t="shared" si="0"/>
        <v>10000</v>
      </c>
      <c r="R15" s="21">
        <f t="shared" si="0"/>
        <v>9590</v>
      </c>
      <c r="S15" s="448">
        <f t="shared" si="2"/>
        <v>95.899999999999991</v>
      </c>
    </row>
    <row r="16" spans="1:19" ht="15" x14ac:dyDescent="0.25">
      <c r="B16" s="6">
        <f t="shared" si="3"/>
        <v>10</v>
      </c>
      <c r="C16" s="27"/>
      <c r="D16" s="27">
        <v>2</v>
      </c>
      <c r="E16" s="639" t="s">
        <v>230</v>
      </c>
      <c r="F16" s="640"/>
      <c r="G16" s="640"/>
      <c r="H16" s="640"/>
      <c r="I16" s="28">
        <f>I17</f>
        <v>3000</v>
      </c>
      <c r="J16" s="28">
        <f>J17</f>
        <v>2980</v>
      </c>
      <c r="K16" s="404">
        <f t="shared" si="1"/>
        <v>99.333333333333329</v>
      </c>
      <c r="L16" s="313"/>
      <c r="M16" s="28"/>
      <c r="N16" s="28"/>
      <c r="O16" s="400"/>
      <c r="P16" s="313"/>
      <c r="Q16" s="29">
        <f t="shared" si="0"/>
        <v>3000</v>
      </c>
      <c r="R16" s="29">
        <f t="shared" si="0"/>
        <v>2980</v>
      </c>
      <c r="S16" s="447">
        <f t="shared" si="2"/>
        <v>99.333333333333329</v>
      </c>
    </row>
    <row r="17" spans="2:19" x14ac:dyDescent="0.2">
      <c r="B17" s="6">
        <f t="shared" si="3"/>
        <v>11</v>
      </c>
      <c r="C17" s="12"/>
      <c r="D17" s="12"/>
      <c r="E17" s="12"/>
      <c r="F17" s="13" t="s">
        <v>73</v>
      </c>
      <c r="G17" s="14">
        <v>630</v>
      </c>
      <c r="H17" s="12" t="s">
        <v>118</v>
      </c>
      <c r="I17" s="15">
        <f>I18</f>
        <v>3000</v>
      </c>
      <c r="J17" s="15">
        <f>J18</f>
        <v>2980</v>
      </c>
      <c r="K17" s="397">
        <f t="shared" si="1"/>
        <v>99.333333333333329</v>
      </c>
      <c r="L17" s="15"/>
      <c r="M17" s="15"/>
      <c r="N17" s="15"/>
      <c r="O17" s="25"/>
      <c r="P17" s="15"/>
      <c r="Q17" s="16">
        <f t="shared" si="0"/>
        <v>3000</v>
      </c>
      <c r="R17" s="16">
        <f t="shared" si="0"/>
        <v>2980</v>
      </c>
      <c r="S17" s="448">
        <f t="shared" si="2"/>
        <v>99.333333333333329</v>
      </c>
    </row>
    <row r="18" spans="2:19" x14ac:dyDescent="0.2">
      <c r="B18" s="6">
        <f t="shared" si="3"/>
        <v>12</v>
      </c>
      <c r="C18" s="17"/>
      <c r="D18" s="17"/>
      <c r="E18" s="17"/>
      <c r="F18" s="18"/>
      <c r="G18" s="19">
        <v>633</v>
      </c>
      <c r="H18" s="17" t="s">
        <v>122</v>
      </c>
      <c r="I18" s="20">
        <v>3000</v>
      </c>
      <c r="J18" s="20">
        <v>2980</v>
      </c>
      <c r="K18" s="397">
        <f t="shared" si="1"/>
        <v>99.333333333333329</v>
      </c>
      <c r="L18" s="20"/>
      <c r="M18" s="20"/>
      <c r="N18" s="20"/>
      <c r="O18" s="25"/>
      <c r="P18" s="20"/>
      <c r="Q18" s="21">
        <f t="shared" si="0"/>
        <v>3000</v>
      </c>
      <c r="R18" s="21">
        <f t="shared" si="0"/>
        <v>2980</v>
      </c>
      <c r="S18" s="448">
        <f t="shared" si="2"/>
        <v>99.333333333333329</v>
      </c>
    </row>
    <row r="19" spans="2:19" ht="15" x14ac:dyDescent="0.25">
      <c r="B19" s="6">
        <f t="shared" si="3"/>
        <v>13</v>
      </c>
      <c r="C19" s="27"/>
      <c r="D19" s="27">
        <v>3</v>
      </c>
      <c r="E19" s="639" t="s">
        <v>231</v>
      </c>
      <c r="F19" s="640"/>
      <c r="G19" s="640"/>
      <c r="H19" s="640"/>
      <c r="I19" s="28">
        <f>I20</f>
        <v>3000</v>
      </c>
      <c r="J19" s="28">
        <f>J20</f>
        <v>2671</v>
      </c>
      <c r="K19" s="404">
        <f t="shared" si="1"/>
        <v>89.033333333333331</v>
      </c>
      <c r="L19" s="313"/>
      <c r="M19" s="28"/>
      <c r="N19" s="28"/>
      <c r="O19" s="400"/>
      <c r="P19" s="313"/>
      <c r="Q19" s="29">
        <f t="shared" si="0"/>
        <v>3000</v>
      </c>
      <c r="R19" s="29">
        <f t="shared" si="0"/>
        <v>2671</v>
      </c>
      <c r="S19" s="447">
        <f t="shared" si="2"/>
        <v>89.033333333333331</v>
      </c>
    </row>
    <row r="20" spans="2:19" x14ac:dyDescent="0.2">
      <c r="B20" s="6">
        <f t="shared" si="3"/>
        <v>14</v>
      </c>
      <c r="C20" s="12"/>
      <c r="D20" s="12"/>
      <c r="E20" s="12"/>
      <c r="F20" s="13" t="s">
        <v>73</v>
      </c>
      <c r="G20" s="14">
        <v>630</v>
      </c>
      <c r="H20" s="12" t="s">
        <v>118</v>
      </c>
      <c r="I20" s="15">
        <f>I21</f>
        <v>3000</v>
      </c>
      <c r="J20" s="15">
        <f>J21</f>
        <v>2671</v>
      </c>
      <c r="K20" s="397">
        <f t="shared" si="1"/>
        <v>89.033333333333331</v>
      </c>
      <c r="L20" s="15"/>
      <c r="M20" s="15"/>
      <c r="N20" s="15"/>
      <c r="O20" s="25"/>
      <c r="P20" s="15"/>
      <c r="Q20" s="16">
        <f t="shared" si="0"/>
        <v>3000</v>
      </c>
      <c r="R20" s="16">
        <f t="shared" si="0"/>
        <v>2671</v>
      </c>
      <c r="S20" s="448">
        <f t="shared" si="2"/>
        <v>89.033333333333331</v>
      </c>
    </row>
    <row r="21" spans="2:19" x14ac:dyDescent="0.2">
      <c r="B21" s="6">
        <f t="shared" si="3"/>
        <v>15</v>
      </c>
      <c r="C21" s="17"/>
      <c r="D21" s="17"/>
      <c r="E21" s="17"/>
      <c r="F21" s="18"/>
      <c r="G21" s="19">
        <v>633</v>
      </c>
      <c r="H21" s="17" t="s">
        <v>122</v>
      </c>
      <c r="I21" s="20">
        <v>3000</v>
      </c>
      <c r="J21" s="20">
        <v>2671</v>
      </c>
      <c r="K21" s="397">
        <f t="shared" si="1"/>
        <v>89.033333333333331</v>
      </c>
      <c r="L21" s="20"/>
      <c r="M21" s="20"/>
      <c r="N21" s="20"/>
      <c r="O21" s="25"/>
      <c r="P21" s="20"/>
      <c r="Q21" s="21">
        <f t="shared" si="0"/>
        <v>3000</v>
      </c>
      <c r="R21" s="21">
        <f t="shared" si="0"/>
        <v>2671</v>
      </c>
      <c r="S21" s="448">
        <f t="shared" si="2"/>
        <v>89.033333333333331</v>
      </c>
    </row>
    <row r="22" spans="2:19" ht="15" x14ac:dyDescent="0.25">
      <c r="B22" s="6">
        <f t="shared" si="3"/>
        <v>16</v>
      </c>
      <c r="C22" s="27"/>
      <c r="D22" s="27">
        <v>4</v>
      </c>
      <c r="E22" s="639" t="s">
        <v>186</v>
      </c>
      <c r="F22" s="640"/>
      <c r="G22" s="640"/>
      <c r="H22" s="640"/>
      <c r="I22" s="28">
        <f>I23+I24+I28</f>
        <v>198200</v>
      </c>
      <c r="J22" s="28">
        <f>J23+J24+J28</f>
        <v>185387</v>
      </c>
      <c r="K22" s="404">
        <f t="shared" si="1"/>
        <v>93.53531786074673</v>
      </c>
      <c r="L22" s="313"/>
      <c r="M22" s="28"/>
      <c r="N22" s="28"/>
      <c r="O22" s="400"/>
      <c r="P22" s="313"/>
      <c r="Q22" s="29">
        <f t="shared" si="0"/>
        <v>198200</v>
      </c>
      <c r="R22" s="29">
        <f t="shared" si="0"/>
        <v>185387</v>
      </c>
      <c r="S22" s="447">
        <f t="shared" si="2"/>
        <v>93.53531786074673</v>
      </c>
    </row>
    <row r="23" spans="2:19" x14ac:dyDescent="0.2">
      <c r="B23" s="6">
        <f t="shared" si="3"/>
        <v>17</v>
      </c>
      <c r="C23" s="12"/>
      <c r="D23" s="12"/>
      <c r="E23" s="12"/>
      <c r="F23" s="13" t="s">
        <v>73</v>
      </c>
      <c r="G23" s="14">
        <v>620</v>
      </c>
      <c r="H23" s="12" t="s">
        <v>121</v>
      </c>
      <c r="I23" s="15">
        <f>42200+2500</f>
        <v>44700</v>
      </c>
      <c r="J23" s="15">
        <v>44433</v>
      </c>
      <c r="K23" s="397">
        <f t="shared" si="1"/>
        <v>99.402684563758399</v>
      </c>
      <c r="L23" s="15"/>
      <c r="M23" s="15"/>
      <c r="N23" s="15"/>
      <c r="O23" s="25"/>
      <c r="P23" s="15"/>
      <c r="Q23" s="16">
        <f t="shared" si="0"/>
        <v>44700</v>
      </c>
      <c r="R23" s="16">
        <f t="shared" si="0"/>
        <v>44433</v>
      </c>
      <c r="S23" s="448">
        <f t="shared" si="2"/>
        <v>99.402684563758399</v>
      </c>
    </row>
    <row r="24" spans="2:19" x14ac:dyDescent="0.2">
      <c r="B24" s="6">
        <f t="shared" si="3"/>
        <v>18</v>
      </c>
      <c r="C24" s="12"/>
      <c r="D24" s="12"/>
      <c r="E24" s="12"/>
      <c r="F24" s="13" t="s">
        <v>73</v>
      </c>
      <c r="G24" s="14">
        <v>630</v>
      </c>
      <c r="H24" s="12" t="s">
        <v>118</v>
      </c>
      <c r="I24" s="15">
        <f>SUM(I25:I27)</f>
        <v>153000</v>
      </c>
      <c r="J24" s="15">
        <f>SUM(J25:J27)</f>
        <v>140765</v>
      </c>
      <c r="K24" s="397">
        <f t="shared" si="1"/>
        <v>92.003267973856211</v>
      </c>
      <c r="L24" s="15"/>
      <c r="M24" s="15"/>
      <c r="N24" s="15"/>
      <c r="O24" s="25"/>
      <c r="P24" s="15"/>
      <c r="Q24" s="16">
        <f t="shared" si="0"/>
        <v>153000</v>
      </c>
      <c r="R24" s="16">
        <f t="shared" si="0"/>
        <v>140765</v>
      </c>
      <c r="S24" s="448">
        <f t="shared" si="2"/>
        <v>92.003267973856211</v>
      </c>
    </row>
    <row r="25" spans="2:19" x14ac:dyDescent="0.2">
      <c r="B25" s="6">
        <f t="shared" si="3"/>
        <v>19</v>
      </c>
      <c r="C25" s="17"/>
      <c r="D25" s="17"/>
      <c r="E25" s="17"/>
      <c r="F25" s="18"/>
      <c r="G25" s="19">
        <v>632</v>
      </c>
      <c r="H25" s="17" t="s">
        <v>131</v>
      </c>
      <c r="I25" s="20">
        <v>15000</v>
      </c>
      <c r="J25" s="20">
        <v>7886</v>
      </c>
      <c r="K25" s="397">
        <f t="shared" si="1"/>
        <v>52.573333333333338</v>
      </c>
      <c r="L25" s="20"/>
      <c r="M25" s="20"/>
      <c r="N25" s="20"/>
      <c r="O25" s="25"/>
      <c r="P25" s="20"/>
      <c r="Q25" s="21">
        <f t="shared" si="0"/>
        <v>15000</v>
      </c>
      <c r="R25" s="21">
        <f t="shared" si="0"/>
        <v>7886</v>
      </c>
      <c r="S25" s="448">
        <f t="shared" si="2"/>
        <v>52.573333333333338</v>
      </c>
    </row>
    <row r="26" spans="2:19" x14ac:dyDescent="0.2">
      <c r="B26" s="6">
        <f t="shared" si="3"/>
        <v>20</v>
      </c>
      <c r="C26" s="17"/>
      <c r="D26" s="17"/>
      <c r="E26" s="17"/>
      <c r="F26" s="18"/>
      <c r="G26" s="19">
        <v>633</v>
      </c>
      <c r="H26" s="17" t="s">
        <v>122</v>
      </c>
      <c r="I26" s="20">
        <v>3000</v>
      </c>
      <c r="J26" s="20">
        <v>500</v>
      </c>
      <c r="K26" s="397">
        <f t="shared" si="1"/>
        <v>16.666666666666664</v>
      </c>
      <c r="L26" s="20"/>
      <c r="M26" s="20"/>
      <c r="N26" s="20"/>
      <c r="O26" s="25"/>
      <c r="P26" s="20"/>
      <c r="Q26" s="21">
        <f t="shared" si="0"/>
        <v>3000</v>
      </c>
      <c r="R26" s="21">
        <f t="shared" si="0"/>
        <v>500</v>
      </c>
      <c r="S26" s="448">
        <f t="shared" si="2"/>
        <v>16.666666666666664</v>
      </c>
    </row>
    <row r="27" spans="2:19" x14ac:dyDescent="0.2">
      <c r="B27" s="6">
        <f t="shared" si="3"/>
        <v>21</v>
      </c>
      <c r="C27" s="17"/>
      <c r="D27" s="17"/>
      <c r="E27" s="17"/>
      <c r="F27" s="18"/>
      <c r="G27" s="19">
        <v>637</v>
      </c>
      <c r="H27" s="17" t="s">
        <v>119</v>
      </c>
      <c r="I27" s="20">
        <f>128000+7000</f>
        <v>135000</v>
      </c>
      <c r="J27" s="20">
        <v>132379</v>
      </c>
      <c r="K27" s="397">
        <f t="shared" si="1"/>
        <v>98.058518518518525</v>
      </c>
      <c r="L27" s="20"/>
      <c r="M27" s="20"/>
      <c r="N27" s="20"/>
      <c r="O27" s="25"/>
      <c r="P27" s="20"/>
      <c r="Q27" s="21">
        <f t="shared" si="0"/>
        <v>135000</v>
      </c>
      <c r="R27" s="21">
        <f t="shared" si="0"/>
        <v>132379</v>
      </c>
      <c r="S27" s="448">
        <f t="shared" si="2"/>
        <v>98.058518518518525</v>
      </c>
    </row>
    <row r="28" spans="2:19" x14ac:dyDescent="0.2">
      <c r="B28" s="6">
        <f t="shared" si="3"/>
        <v>22</v>
      </c>
      <c r="C28" s="12"/>
      <c r="D28" s="12"/>
      <c r="E28" s="12"/>
      <c r="F28" s="13" t="s">
        <v>73</v>
      </c>
      <c r="G28" s="14">
        <v>640</v>
      </c>
      <c r="H28" s="12" t="s">
        <v>126</v>
      </c>
      <c r="I28" s="15">
        <v>500</v>
      </c>
      <c r="J28" s="15">
        <v>189</v>
      </c>
      <c r="K28" s="397">
        <f t="shared" si="1"/>
        <v>37.799999999999997</v>
      </c>
      <c r="L28" s="15"/>
      <c r="M28" s="15"/>
      <c r="N28" s="15"/>
      <c r="O28" s="25"/>
      <c r="P28" s="15"/>
      <c r="Q28" s="16">
        <f t="shared" si="0"/>
        <v>500</v>
      </c>
      <c r="R28" s="16">
        <f t="shared" si="0"/>
        <v>189</v>
      </c>
      <c r="S28" s="448">
        <f t="shared" si="2"/>
        <v>37.799999999999997</v>
      </c>
    </row>
    <row r="29" spans="2:19" ht="15" x14ac:dyDescent="0.2">
      <c r="B29" s="6">
        <f t="shared" si="3"/>
        <v>23</v>
      </c>
      <c r="C29" s="9">
        <v>2</v>
      </c>
      <c r="D29" s="637" t="s">
        <v>200</v>
      </c>
      <c r="E29" s="638"/>
      <c r="F29" s="638"/>
      <c r="G29" s="638"/>
      <c r="H29" s="638"/>
      <c r="I29" s="10">
        <f>I30+I31</f>
        <v>168640</v>
      </c>
      <c r="J29" s="10">
        <f>J30+J31</f>
        <v>138816</v>
      </c>
      <c r="K29" s="395">
        <f t="shared" si="1"/>
        <v>82.314990512333964</v>
      </c>
      <c r="L29" s="312"/>
      <c r="M29" s="10">
        <f>M36</f>
        <v>208320</v>
      </c>
      <c r="N29" s="10">
        <f>N36</f>
        <v>151952</v>
      </c>
      <c r="O29" s="395">
        <f t="shared" ref="O29:O63" si="4">N29/M29*100</f>
        <v>72.941628264208916</v>
      </c>
      <c r="P29" s="312"/>
      <c r="Q29" s="31">
        <f t="shared" si="0"/>
        <v>376960</v>
      </c>
      <c r="R29" s="31">
        <f t="shared" si="0"/>
        <v>290768</v>
      </c>
      <c r="S29" s="449">
        <f t="shared" si="2"/>
        <v>77.134974533106956</v>
      </c>
    </row>
    <row r="30" spans="2:19" x14ac:dyDescent="0.2">
      <c r="B30" s="6">
        <f t="shared" si="3"/>
        <v>24</v>
      </c>
      <c r="C30" s="12"/>
      <c r="D30" s="12"/>
      <c r="E30" s="12"/>
      <c r="F30" s="13" t="s">
        <v>199</v>
      </c>
      <c r="G30" s="14">
        <v>620</v>
      </c>
      <c r="H30" s="12" t="s">
        <v>121</v>
      </c>
      <c r="I30" s="15">
        <v>1000</v>
      </c>
      <c r="J30" s="15">
        <v>0</v>
      </c>
      <c r="K30" s="397">
        <f t="shared" si="1"/>
        <v>0</v>
      </c>
      <c r="L30" s="15"/>
      <c r="M30" s="15"/>
      <c r="N30" s="15"/>
      <c r="O30" s="397"/>
      <c r="P30" s="15"/>
      <c r="Q30" s="16">
        <f t="shared" si="0"/>
        <v>1000</v>
      </c>
      <c r="R30" s="16">
        <f t="shared" si="0"/>
        <v>0</v>
      </c>
      <c r="S30" s="448">
        <f t="shared" si="2"/>
        <v>0</v>
      </c>
    </row>
    <row r="31" spans="2:19" x14ac:dyDescent="0.2">
      <c r="B31" s="6">
        <f t="shared" si="3"/>
        <v>25</v>
      </c>
      <c r="C31" s="12"/>
      <c r="D31" s="12"/>
      <c r="E31" s="12"/>
      <c r="F31" s="13" t="s">
        <v>199</v>
      </c>
      <c r="G31" s="14">
        <v>630</v>
      </c>
      <c r="H31" s="12" t="s">
        <v>118</v>
      </c>
      <c r="I31" s="15">
        <f>SUM(I32:I35)</f>
        <v>167640</v>
      </c>
      <c r="J31" s="15">
        <f>SUM(J32:J35)</f>
        <v>138816</v>
      </c>
      <c r="K31" s="397">
        <f t="shared" si="1"/>
        <v>82.806012884753045</v>
      </c>
      <c r="L31" s="15"/>
      <c r="M31" s="15"/>
      <c r="N31" s="15"/>
      <c r="O31" s="397"/>
      <c r="P31" s="15"/>
      <c r="Q31" s="16">
        <f t="shared" si="0"/>
        <v>167640</v>
      </c>
      <c r="R31" s="16">
        <f t="shared" si="0"/>
        <v>138816</v>
      </c>
      <c r="S31" s="448">
        <f t="shared" si="2"/>
        <v>82.806012884753045</v>
      </c>
    </row>
    <row r="32" spans="2:19" x14ac:dyDescent="0.2">
      <c r="B32" s="6">
        <f t="shared" si="3"/>
        <v>26</v>
      </c>
      <c r="C32" s="17"/>
      <c r="D32" s="17"/>
      <c r="E32" s="17"/>
      <c r="F32" s="18"/>
      <c r="G32" s="19">
        <v>631</v>
      </c>
      <c r="H32" s="17" t="s">
        <v>124</v>
      </c>
      <c r="I32" s="20">
        <v>1000</v>
      </c>
      <c r="J32" s="20">
        <v>63</v>
      </c>
      <c r="K32" s="397">
        <f t="shared" si="1"/>
        <v>6.3</v>
      </c>
      <c r="L32" s="20"/>
      <c r="M32" s="20"/>
      <c r="N32" s="20"/>
      <c r="O32" s="397"/>
      <c r="P32" s="20"/>
      <c r="Q32" s="21">
        <f t="shared" si="0"/>
        <v>1000</v>
      </c>
      <c r="R32" s="21">
        <f t="shared" si="0"/>
        <v>63</v>
      </c>
      <c r="S32" s="448">
        <f t="shared" si="2"/>
        <v>6.3</v>
      </c>
    </row>
    <row r="33" spans="2:21" x14ac:dyDescent="0.2">
      <c r="B33" s="6">
        <f t="shared" si="3"/>
        <v>27</v>
      </c>
      <c r="C33" s="17"/>
      <c r="D33" s="17"/>
      <c r="E33" s="17"/>
      <c r="F33" s="18"/>
      <c r="G33" s="19">
        <v>633</v>
      </c>
      <c r="H33" s="17" t="s">
        <v>122</v>
      </c>
      <c r="I33" s="20">
        <v>11000</v>
      </c>
      <c r="J33" s="20">
        <v>5410</v>
      </c>
      <c r="K33" s="397">
        <f t="shared" si="1"/>
        <v>49.18181818181818</v>
      </c>
      <c r="L33" s="20"/>
      <c r="M33" s="20"/>
      <c r="N33" s="20"/>
      <c r="O33" s="397"/>
      <c r="P33" s="20"/>
      <c r="Q33" s="21">
        <f t="shared" si="0"/>
        <v>11000</v>
      </c>
      <c r="R33" s="21">
        <f t="shared" si="0"/>
        <v>5410</v>
      </c>
      <c r="S33" s="448">
        <f t="shared" si="2"/>
        <v>49.18181818181818</v>
      </c>
    </row>
    <row r="34" spans="2:21" x14ac:dyDescent="0.2">
      <c r="B34" s="6">
        <f t="shared" si="3"/>
        <v>28</v>
      </c>
      <c r="C34" s="17"/>
      <c r="D34" s="17"/>
      <c r="E34" s="17"/>
      <c r="F34" s="18"/>
      <c r="G34" s="19">
        <v>635</v>
      </c>
      <c r="H34" s="17" t="s">
        <v>130</v>
      </c>
      <c r="I34" s="20">
        <v>17000</v>
      </c>
      <c r="J34" s="20">
        <v>13958</v>
      </c>
      <c r="K34" s="397">
        <f t="shared" si="1"/>
        <v>82.10588235294118</v>
      </c>
      <c r="L34" s="20"/>
      <c r="M34" s="20"/>
      <c r="N34" s="20"/>
      <c r="O34" s="397"/>
      <c r="P34" s="20"/>
      <c r="Q34" s="21">
        <f t="shared" si="0"/>
        <v>17000</v>
      </c>
      <c r="R34" s="21">
        <f t="shared" si="0"/>
        <v>13958</v>
      </c>
      <c r="S34" s="448">
        <f t="shared" si="2"/>
        <v>82.10588235294118</v>
      </c>
    </row>
    <row r="35" spans="2:21" x14ac:dyDescent="0.2">
      <c r="B35" s="6">
        <f t="shared" si="3"/>
        <v>29</v>
      </c>
      <c r="C35" s="17"/>
      <c r="D35" s="17"/>
      <c r="E35" s="17"/>
      <c r="F35" s="18"/>
      <c r="G35" s="19">
        <v>637</v>
      </c>
      <c r="H35" s="17" t="s">
        <v>119</v>
      </c>
      <c r="I35" s="20">
        <f>184700-30000-10000-3000-3060</f>
        <v>138640</v>
      </c>
      <c r="J35" s="20">
        <v>119385</v>
      </c>
      <c r="K35" s="397">
        <f t="shared" si="1"/>
        <v>86.111511829197923</v>
      </c>
      <c r="L35" s="20"/>
      <c r="M35" s="20"/>
      <c r="N35" s="20"/>
      <c r="O35" s="397"/>
      <c r="P35" s="20"/>
      <c r="Q35" s="21">
        <f t="shared" si="0"/>
        <v>138640</v>
      </c>
      <c r="R35" s="21">
        <f t="shared" si="0"/>
        <v>119385</v>
      </c>
      <c r="S35" s="448">
        <f t="shared" si="2"/>
        <v>86.111511829197923</v>
      </c>
    </row>
    <row r="36" spans="2:21" x14ac:dyDescent="0.2">
      <c r="B36" s="6">
        <f t="shared" si="3"/>
        <v>30</v>
      </c>
      <c r="C36" s="12"/>
      <c r="D36" s="12"/>
      <c r="E36" s="12"/>
      <c r="F36" s="13" t="s">
        <v>199</v>
      </c>
      <c r="G36" s="14">
        <v>710</v>
      </c>
      <c r="H36" s="12" t="s">
        <v>172</v>
      </c>
      <c r="I36" s="15"/>
      <c r="J36" s="15"/>
      <c r="K36" s="397"/>
      <c r="L36" s="15"/>
      <c r="M36" s="15">
        <f>M37+M42+M39+M46</f>
        <v>208320</v>
      </c>
      <c r="N36" s="15">
        <f>N37+N42+N39+N46</f>
        <v>151952</v>
      </c>
      <c r="O36" s="397">
        <f t="shared" si="4"/>
        <v>72.941628264208916</v>
      </c>
      <c r="P36" s="15"/>
      <c r="Q36" s="16">
        <f t="shared" si="0"/>
        <v>208320</v>
      </c>
      <c r="R36" s="16">
        <f>J36+N36</f>
        <v>151952</v>
      </c>
      <c r="S36" s="448">
        <f t="shared" si="2"/>
        <v>72.941628264208916</v>
      </c>
    </row>
    <row r="37" spans="2:21" x14ac:dyDescent="0.2">
      <c r="B37" s="6">
        <f t="shared" si="3"/>
        <v>31</v>
      </c>
      <c r="C37" s="17"/>
      <c r="D37" s="17"/>
      <c r="E37" s="17"/>
      <c r="F37" s="18"/>
      <c r="G37" s="19">
        <v>711</v>
      </c>
      <c r="H37" s="17" t="s">
        <v>206</v>
      </c>
      <c r="I37" s="20"/>
      <c r="J37" s="20"/>
      <c r="K37" s="397"/>
      <c r="L37" s="20"/>
      <c r="M37" s="20">
        <f>M38</f>
        <v>39500</v>
      </c>
      <c r="N37" s="20">
        <f>N38</f>
        <v>21650</v>
      </c>
      <c r="O37" s="397">
        <f t="shared" si="4"/>
        <v>54.810126582278485</v>
      </c>
      <c r="P37" s="20"/>
      <c r="Q37" s="21">
        <f t="shared" si="0"/>
        <v>39500</v>
      </c>
      <c r="R37" s="21">
        <f t="shared" si="0"/>
        <v>21650</v>
      </c>
      <c r="S37" s="448">
        <f t="shared" si="2"/>
        <v>54.810126582278485</v>
      </c>
      <c r="U37" s="5"/>
    </row>
    <row r="38" spans="2:21" s="38" customFormat="1" ht="24" x14ac:dyDescent="0.2">
      <c r="B38" s="6">
        <f t="shared" si="3"/>
        <v>32</v>
      </c>
      <c r="C38" s="32"/>
      <c r="D38" s="32"/>
      <c r="E38" s="32"/>
      <c r="F38" s="33"/>
      <c r="G38" s="33"/>
      <c r="H38" s="34" t="s">
        <v>324</v>
      </c>
      <c r="I38" s="35"/>
      <c r="J38" s="35"/>
      <c r="K38" s="396"/>
      <c r="L38" s="35"/>
      <c r="M38" s="35">
        <f>50000-8000-2500</f>
        <v>39500</v>
      </c>
      <c r="N38" s="35">
        <v>21650</v>
      </c>
      <c r="O38" s="396">
        <f t="shared" si="4"/>
        <v>54.810126582278485</v>
      </c>
      <c r="P38" s="35"/>
      <c r="Q38" s="37">
        <f t="shared" si="0"/>
        <v>39500</v>
      </c>
      <c r="R38" s="37">
        <f t="shared" si="0"/>
        <v>21650</v>
      </c>
      <c r="S38" s="450">
        <f t="shared" si="2"/>
        <v>54.810126582278485</v>
      </c>
    </row>
    <row r="39" spans="2:21" x14ac:dyDescent="0.2">
      <c r="B39" s="6">
        <f t="shared" si="3"/>
        <v>33</v>
      </c>
      <c r="C39" s="17"/>
      <c r="D39" s="17"/>
      <c r="E39" s="17"/>
      <c r="F39" s="18"/>
      <c r="G39" s="19">
        <v>713</v>
      </c>
      <c r="H39" s="138" t="s">
        <v>216</v>
      </c>
      <c r="I39" s="20"/>
      <c r="J39" s="20"/>
      <c r="K39" s="397"/>
      <c r="L39" s="20"/>
      <c r="M39" s="20">
        <f>M40+M41</f>
        <v>8000</v>
      </c>
      <c r="N39" s="20">
        <f>N40+N41</f>
        <v>7975</v>
      </c>
      <c r="O39" s="397">
        <f t="shared" si="4"/>
        <v>99.6875</v>
      </c>
      <c r="P39" s="20"/>
      <c r="Q39" s="21">
        <f t="shared" ref="Q39:R79" si="5">I39+M39</f>
        <v>8000</v>
      </c>
      <c r="R39" s="21">
        <f t="shared" si="5"/>
        <v>7975</v>
      </c>
      <c r="S39" s="448">
        <f t="shared" si="2"/>
        <v>99.6875</v>
      </c>
    </row>
    <row r="40" spans="2:21" x14ac:dyDescent="0.2">
      <c r="B40" s="6">
        <f t="shared" si="3"/>
        <v>34</v>
      </c>
      <c r="C40" s="22"/>
      <c r="D40" s="22"/>
      <c r="E40" s="22"/>
      <c r="F40" s="23"/>
      <c r="G40" s="23"/>
      <c r="H40" s="1" t="s">
        <v>513</v>
      </c>
      <c r="I40" s="24"/>
      <c r="J40" s="24"/>
      <c r="K40" s="397"/>
      <c r="L40" s="24"/>
      <c r="M40" s="24">
        <v>3500</v>
      </c>
      <c r="N40" s="24">
        <v>3497</v>
      </c>
      <c r="O40" s="397">
        <f t="shared" si="4"/>
        <v>99.914285714285711</v>
      </c>
      <c r="P40" s="24"/>
      <c r="Q40" s="26">
        <f t="shared" si="5"/>
        <v>3500</v>
      </c>
      <c r="R40" s="26">
        <f t="shared" si="5"/>
        <v>3497</v>
      </c>
      <c r="S40" s="448">
        <f t="shared" si="2"/>
        <v>99.914285714285711</v>
      </c>
      <c r="U40" s="5"/>
    </row>
    <row r="41" spans="2:21" x14ac:dyDescent="0.2">
      <c r="B41" s="6">
        <f t="shared" si="3"/>
        <v>35</v>
      </c>
      <c r="C41" s="22"/>
      <c r="D41" s="22"/>
      <c r="E41" s="22"/>
      <c r="F41" s="23"/>
      <c r="G41" s="23"/>
      <c r="H41" s="1" t="s">
        <v>674</v>
      </c>
      <c r="I41" s="24"/>
      <c r="J41" s="24"/>
      <c r="K41" s="397"/>
      <c r="L41" s="24"/>
      <c r="M41" s="24">
        <v>4500</v>
      </c>
      <c r="N41" s="24">
        <v>4478</v>
      </c>
      <c r="O41" s="397">
        <f t="shared" si="4"/>
        <v>99.511111111111106</v>
      </c>
      <c r="P41" s="24"/>
      <c r="Q41" s="26">
        <f t="shared" si="5"/>
        <v>4500</v>
      </c>
      <c r="R41" s="26">
        <f t="shared" si="5"/>
        <v>4478</v>
      </c>
      <c r="S41" s="448">
        <f t="shared" si="2"/>
        <v>99.511111111111106</v>
      </c>
    </row>
    <row r="42" spans="2:21" x14ac:dyDescent="0.2">
      <c r="B42" s="6">
        <f t="shared" si="3"/>
        <v>36</v>
      </c>
      <c r="C42" s="17"/>
      <c r="D42" s="17"/>
      <c r="E42" s="17"/>
      <c r="F42" s="18"/>
      <c r="G42" s="19">
        <v>716</v>
      </c>
      <c r="H42" s="17" t="s">
        <v>213</v>
      </c>
      <c r="I42" s="20"/>
      <c r="J42" s="20"/>
      <c r="K42" s="397"/>
      <c r="L42" s="20"/>
      <c r="M42" s="20">
        <f>SUM(M43:M45)</f>
        <v>150820</v>
      </c>
      <c r="N42" s="20">
        <f>SUM(N43:N45)</f>
        <v>115641</v>
      </c>
      <c r="O42" s="397">
        <f t="shared" si="4"/>
        <v>76.674844185121344</v>
      </c>
      <c r="P42" s="20"/>
      <c r="Q42" s="21">
        <f t="shared" si="5"/>
        <v>150820</v>
      </c>
      <c r="R42" s="21">
        <f t="shared" si="5"/>
        <v>115641</v>
      </c>
      <c r="S42" s="448">
        <f t="shared" si="2"/>
        <v>76.674844185121344</v>
      </c>
    </row>
    <row r="43" spans="2:21" ht="12" customHeight="1" x14ac:dyDescent="0.2">
      <c r="B43" s="6">
        <f t="shared" si="3"/>
        <v>37</v>
      </c>
      <c r="C43" s="22"/>
      <c r="D43" s="22"/>
      <c r="E43" s="22"/>
      <c r="F43" s="23"/>
      <c r="G43" s="23"/>
      <c r="H43" s="1" t="s">
        <v>294</v>
      </c>
      <c r="I43" s="24"/>
      <c r="J43" s="24"/>
      <c r="K43" s="397"/>
      <c r="L43" s="24"/>
      <c r="M43" s="24">
        <f>70920+100000-4500-13600-27000</f>
        <v>125820</v>
      </c>
      <c r="N43" s="24">
        <v>98974</v>
      </c>
      <c r="O43" s="397">
        <f t="shared" si="4"/>
        <v>78.663169607375622</v>
      </c>
      <c r="P43" s="24"/>
      <c r="Q43" s="26">
        <f t="shared" si="5"/>
        <v>125820</v>
      </c>
      <c r="R43" s="26">
        <f t="shared" si="5"/>
        <v>98974</v>
      </c>
      <c r="S43" s="448">
        <f t="shared" si="2"/>
        <v>78.663169607375622</v>
      </c>
    </row>
    <row r="44" spans="2:21" ht="12" customHeight="1" x14ac:dyDescent="0.2">
      <c r="B44" s="6">
        <f t="shared" si="3"/>
        <v>38</v>
      </c>
      <c r="C44" s="22"/>
      <c r="D44" s="22"/>
      <c r="E44" s="22"/>
      <c r="F44" s="23"/>
      <c r="G44" s="23"/>
      <c r="H44" s="1" t="s">
        <v>711</v>
      </c>
      <c r="I44" s="24"/>
      <c r="J44" s="24"/>
      <c r="K44" s="397"/>
      <c r="L44" s="24"/>
      <c r="M44" s="24">
        <v>5000</v>
      </c>
      <c r="N44" s="24">
        <v>4859</v>
      </c>
      <c r="O44" s="397">
        <f t="shared" si="4"/>
        <v>97.18</v>
      </c>
      <c r="P44" s="24"/>
      <c r="Q44" s="26">
        <f t="shared" si="5"/>
        <v>5000</v>
      </c>
      <c r="R44" s="26">
        <f t="shared" si="5"/>
        <v>4859</v>
      </c>
      <c r="S44" s="448">
        <f t="shared" si="2"/>
        <v>97.18</v>
      </c>
      <c r="U44" s="5"/>
    </row>
    <row r="45" spans="2:21" ht="12" customHeight="1" x14ac:dyDescent="0.2">
      <c r="B45" s="6">
        <f t="shared" si="3"/>
        <v>39</v>
      </c>
      <c r="C45" s="22"/>
      <c r="D45" s="22"/>
      <c r="E45" s="22"/>
      <c r="F45" s="23"/>
      <c r="G45" s="23"/>
      <c r="H45" s="1" t="s">
        <v>712</v>
      </c>
      <c r="I45" s="24"/>
      <c r="J45" s="24"/>
      <c r="K45" s="397"/>
      <c r="L45" s="24"/>
      <c r="M45" s="24">
        <v>20000</v>
      </c>
      <c r="N45" s="24">
        <v>11808</v>
      </c>
      <c r="O45" s="397">
        <f t="shared" si="4"/>
        <v>59.040000000000006</v>
      </c>
      <c r="P45" s="24"/>
      <c r="Q45" s="26">
        <f t="shared" si="5"/>
        <v>20000</v>
      </c>
      <c r="R45" s="26">
        <f t="shared" si="5"/>
        <v>11808</v>
      </c>
      <c r="S45" s="448">
        <f t="shared" si="2"/>
        <v>59.040000000000006</v>
      </c>
    </row>
    <row r="46" spans="2:21" ht="12" customHeight="1" x14ac:dyDescent="0.2">
      <c r="B46" s="6">
        <f t="shared" si="3"/>
        <v>40</v>
      </c>
      <c r="C46" s="22"/>
      <c r="D46" s="22"/>
      <c r="E46" s="22"/>
      <c r="F46" s="23"/>
      <c r="G46" s="140">
        <v>717</v>
      </c>
      <c r="H46" s="138" t="s">
        <v>179</v>
      </c>
      <c r="I46" s="284"/>
      <c r="J46" s="368"/>
      <c r="K46" s="442"/>
      <c r="L46" s="20"/>
      <c r="M46" s="20">
        <f>M47</f>
        <v>10000</v>
      </c>
      <c r="N46" s="20">
        <f>N47</f>
        <v>6686</v>
      </c>
      <c r="O46" s="397">
        <f t="shared" si="4"/>
        <v>66.86</v>
      </c>
      <c r="P46" s="20"/>
      <c r="Q46" s="21">
        <f t="shared" ref="Q46:R47" si="6">I46+M46</f>
        <v>10000</v>
      </c>
      <c r="R46" s="21">
        <f t="shared" si="6"/>
        <v>6686</v>
      </c>
      <c r="S46" s="448">
        <f t="shared" si="2"/>
        <v>66.86</v>
      </c>
    </row>
    <row r="47" spans="2:21" ht="12" customHeight="1" x14ac:dyDescent="0.2">
      <c r="B47" s="6">
        <f t="shared" si="3"/>
        <v>41</v>
      </c>
      <c r="C47" s="22"/>
      <c r="D47" s="22"/>
      <c r="E47" s="22"/>
      <c r="F47" s="23"/>
      <c r="G47" s="286"/>
      <c r="H47" s="143" t="s">
        <v>713</v>
      </c>
      <c r="I47" s="287"/>
      <c r="J47" s="369"/>
      <c r="K47" s="442"/>
      <c r="L47" s="24"/>
      <c r="M47" s="24">
        <v>10000</v>
      </c>
      <c r="N47" s="24">
        <v>6686</v>
      </c>
      <c r="O47" s="397">
        <f t="shared" si="4"/>
        <v>66.86</v>
      </c>
      <c r="P47" s="24"/>
      <c r="Q47" s="26">
        <f t="shared" si="6"/>
        <v>10000</v>
      </c>
      <c r="R47" s="26">
        <f t="shared" si="6"/>
        <v>6686</v>
      </c>
      <c r="S47" s="448">
        <f t="shared" si="2"/>
        <v>66.86</v>
      </c>
    </row>
    <row r="48" spans="2:21" ht="15" x14ac:dyDescent="0.2">
      <c r="B48" s="6">
        <f t="shared" si="3"/>
        <v>42</v>
      </c>
      <c r="C48" s="9">
        <v>3</v>
      </c>
      <c r="D48" s="637" t="s">
        <v>133</v>
      </c>
      <c r="E48" s="638"/>
      <c r="F48" s="638"/>
      <c r="G48" s="638"/>
      <c r="H48" s="638"/>
      <c r="I48" s="10">
        <f>I50+I49</f>
        <v>836570</v>
      </c>
      <c r="J48" s="10">
        <f>J50+J49</f>
        <v>74137</v>
      </c>
      <c r="K48" s="395">
        <f t="shared" si="1"/>
        <v>8.8620199146514942</v>
      </c>
      <c r="L48" s="312"/>
      <c r="M48" s="10">
        <f>M55</f>
        <v>3022144</v>
      </c>
      <c r="N48" s="10">
        <f>N55</f>
        <v>34647</v>
      </c>
      <c r="O48" s="395">
        <f t="shared" si="4"/>
        <v>1.1464377607420428</v>
      </c>
      <c r="P48" s="312"/>
      <c r="Q48" s="31">
        <f t="shared" si="5"/>
        <v>3858714</v>
      </c>
      <c r="R48" s="31">
        <f t="shared" si="5"/>
        <v>108784</v>
      </c>
      <c r="S48" s="449">
        <f t="shared" si="2"/>
        <v>2.8191775809246296</v>
      </c>
    </row>
    <row r="49" spans="2:19" x14ac:dyDescent="0.2">
      <c r="B49" s="6">
        <f t="shared" si="3"/>
        <v>43</v>
      </c>
      <c r="C49" s="12"/>
      <c r="D49" s="12"/>
      <c r="E49" s="12"/>
      <c r="F49" s="13" t="s">
        <v>73</v>
      </c>
      <c r="G49" s="14">
        <v>620</v>
      </c>
      <c r="H49" s="12" t="s">
        <v>121</v>
      </c>
      <c r="I49" s="15">
        <v>4900</v>
      </c>
      <c r="J49" s="15">
        <v>3258</v>
      </c>
      <c r="K49" s="397">
        <f t="shared" si="1"/>
        <v>66.489795918367349</v>
      </c>
      <c r="L49" s="15"/>
      <c r="M49" s="15"/>
      <c r="N49" s="15"/>
      <c r="O49" s="397"/>
      <c r="P49" s="15"/>
      <c r="Q49" s="16">
        <f t="shared" si="5"/>
        <v>4900</v>
      </c>
      <c r="R49" s="16">
        <f t="shared" si="5"/>
        <v>3258</v>
      </c>
      <c r="S49" s="448">
        <f t="shared" si="2"/>
        <v>66.489795918367349</v>
      </c>
    </row>
    <row r="50" spans="2:19" x14ac:dyDescent="0.2">
      <c r="B50" s="6">
        <f t="shared" si="3"/>
        <v>44</v>
      </c>
      <c r="C50" s="12"/>
      <c r="D50" s="12"/>
      <c r="E50" s="12"/>
      <c r="F50" s="13" t="s">
        <v>73</v>
      </c>
      <c r="G50" s="14">
        <v>630</v>
      </c>
      <c r="H50" s="12" t="s">
        <v>118</v>
      </c>
      <c r="I50" s="15">
        <f>I51+I52+I53+I54</f>
        <v>831670</v>
      </c>
      <c r="J50" s="15">
        <f>J51+J52+J53+J54</f>
        <v>70879</v>
      </c>
      <c r="K50" s="397">
        <f t="shared" si="1"/>
        <v>8.5224908918200732</v>
      </c>
      <c r="L50" s="15"/>
      <c r="M50" s="15"/>
      <c r="N50" s="15"/>
      <c r="O50" s="397"/>
      <c r="P50" s="15"/>
      <c r="Q50" s="16">
        <f t="shared" si="5"/>
        <v>831670</v>
      </c>
      <c r="R50" s="16">
        <f t="shared" si="5"/>
        <v>70879</v>
      </c>
      <c r="S50" s="448">
        <f t="shared" si="2"/>
        <v>8.5224908918200732</v>
      </c>
    </row>
    <row r="51" spans="2:19" x14ac:dyDescent="0.2">
      <c r="B51" s="6">
        <f t="shared" si="3"/>
        <v>45</v>
      </c>
      <c r="C51" s="17"/>
      <c r="D51" s="17"/>
      <c r="E51" s="17"/>
      <c r="F51" s="18"/>
      <c r="G51" s="19">
        <v>637</v>
      </c>
      <c r="H51" s="17" t="s">
        <v>119</v>
      </c>
      <c r="I51" s="20">
        <f>75000+22000-5000+22500</f>
        <v>114500</v>
      </c>
      <c r="J51" s="20">
        <v>52910</v>
      </c>
      <c r="K51" s="397">
        <f t="shared" si="1"/>
        <v>46.209606986899566</v>
      </c>
      <c r="L51" s="20"/>
      <c r="M51" s="20"/>
      <c r="N51" s="20"/>
      <c r="O51" s="397"/>
      <c r="P51" s="20"/>
      <c r="Q51" s="21">
        <f t="shared" si="5"/>
        <v>114500</v>
      </c>
      <c r="R51" s="21">
        <f t="shared" si="5"/>
        <v>52910</v>
      </c>
      <c r="S51" s="448">
        <f t="shared" si="2"/>
        <v>46.209606986899566</v>
      </c>
    </row>
    <row r="52" spans="2:19" x14ac:dyDescent="0.2">
      <c r="B52" s="6">
        <f t="shared" si="3"/>
        <v>46</v>
      </c>
      <c r="C52" s="17"/>
      <c r="D52" s="17"/>
      <c r="E52" s="17"/>
      <c r="F52" s="18"/>
      <c r="G52" s="19">
        <v>600</v>
      </c>
      <c r="H52" s="17" t="s">
        <v>641</v>
      </c>
      <c r="I52" s="20">
        <v>52500</v>
      </c>
      <c r="J52" s="20">
        <v>17969</v>
      </c>
      <c r="K52" s="397">
        <f t="shared" si="1"/>
        <v>34.226666666666667</v>
      </c>
      <c r="L52" s="20"/>
      <c r="M52" s="20"/>
      <c r="N52" s="20"/>
      <c r="O52" s="397"/>
      <c r="P52" s="20"/>
      <c r="Q52" s="21">
        <f t="shared" si="5"/>
        <v>52500</v>
      </c>
      <c r="R52" s="21">
        <f t="shared" si="5"/>
        <v>17969</v>
      </c>
      <c r="S52" s="448">
        <f t="shared" si="2"/>
        <v>34.226666666666667</v>
      </c>
    </row>
    <row r="53" spans="2:19" x14ac:dyDescent="0.2">
      <c r="B53" s="6">
        <f t="shared" si="3"/>
        <v>47</v>
      </c>
      <c r="C53" s="17"/>
      <c r="D53" s="17"/>
      <c r="E53" s="17"/>
      <c r="F53" s="18"/>
      <c r="G53" s="19">
        <v>600</v>
      </c>
      <c r="H53" s="17" t="s">
        <v>642</v>
      </c>
      <c r="I53" s="20">
        <v>4192</v>
      </c>
      <c r="J53" s="20">
        <v>0</v>
      </c>
      <c r="K53" s="397">
        <f t="shared" si="1"/>
        <v>0</v>
      </c>
      <c r="L53" s="20"/>
      <c r="M53" s="20"/>
      <c r="N53" s="20"/>
      <c r="O53" s="397"/>
      <c r="P53" s="20"/>
      <c r="Q53" s="21">
        <f t="shared" si="5"/>
        <v>4192</v>
      </c>
      <c r="R53" s="21">
        <f t="shared" si="5"/>
        <v>0</v>
      </c>
      <c r="S53" s="448">
        <f t="shared" si="2"/>
        <v>0</v>
      </c>
    </row>
    <row r="54" spans="2:19" s="38" customFormat="1" ht="36" x14ac:dyDescent="0.2">
      <c r="B54" s="6">
        <f t="shared" si="3"/>
        <v>48</v>
      </c>
      <c r="C54" s="52"/>
      <c r="D54" s="52"/>
      <c r="E54" s="52"/>
      <c r="F54" s="53"/>
      <c r="G54" s="54">
        <v>600</v>
      </c>
      <c r="H54" s="55" t="s">
        <v>677</v>
      </c>
      <c r="I54" s="56">
        <v>660478</v>
      </c>
      <c r="J54" s="56">
        <v>0</v>
      </c>
      <c r="K54" s="396">
        <f t="shared" si="1"/>
        <v>0</v>
      </c>
      <c r="L54" s="56"/>
      <c r="M54" s="56"/>
      <c r="N54" s="56"/>
      <c r="O54" s="396"/>
      <c r="P54" s="56"/>
      <c r="Q54" s="57">
        <f t="shared" si="5"/>
        <v>660478</v>
      </c>
      <c r="R54" s="57">
        <f t="shared" si="5"/>
        <v>0</v>
      </c>
      <c r="S54" s="450">
        <f t="shared" si="2"/>
        <v>0</v>
      </c>
    </row>
    <row r="55" spans="2:19" x14ac:dyDescent="0.2">
      <c r="B55" s="6">
        <f t="shared" si="3"/>
        <v>49</v>
      </c>
      <c r="C55" s="12"/>
      <c r="D55" s="12"/>
      <c r="E55" s="12"/>
      <c r="F55" s="13" t="s">
        <v>73</v>
      </c>
      <c r="G55" s="14">
        <v>710</v>
      </c>
      <c r="H55" s="12" t="s">
        <v>172</v>
      </c>
      <c r="I55" s="15"/>
      <c r="J55" s="15"/>
      <c r="K55" s="397"/>
      <c r="L55" s="15"/>
      <c r="M55" s="15">
        <f>M58+M61+M56</f>
        <v>3022144</v>
      </c>
      <c r="N55" s="15">
        <f>N58+N61+N56</f>
        <v>34647</v>
      </c>
      <c r="O55" s="397">
        <f t="shared" si="4"/>
        <v>1.1464377607420428</v>
      </c>
      <c r="P55" s="15"/>
      <c r="Q55" s="16">
        <f t="shared" si="5"/>
        <v>3022144</v>
      </c>
      <c r="R55" s="16">
        <f t="shared" si="5"/>
        <v>34647</v>
      </c>
      <c r="S55" s="448">
        <f t="shared" si="2"/>
        <v>1.1464377607420428</v>
      </c>
    </row>
    <row r="56" spans="2:19" x14ac:dyDescent="0.2">
      <c r="B56" s="6">
        <f t="shared" si="3"/>
        <v>50</v>
      </c>
      <c r="C56" s="12"/>
      <c r="D56" s="12"/>
      <c r="E56" s="12"/>
      <c r="F56" s="13"/>
      <c r="G56" s="19">
        <v>711</v>
      </c>
      <c r="H56" s="138" t="s">
        <v>206</v>
      </c>
      <c r="I56" s="20"/>
      <c r="J56" s="20"/>
      <c r="K56" s="397"/>
      <c r="L56" s="20"/>
      <c r="M56" s="20">
        <f>M57</f>
        <v>2584050</v>
      </c>
      <c r="N56" s="20">
        <f>N57</f>
        <v>0</v>
      </c>
      <c r="O56" s="397">
        <f t="shared" si="4"/>
        <v>0</v>
      </c>
      <c r="P56" s="20"/>
      <c r="Q56" s="21">
        <f t="shared" si="5"/>
        <v>2584050</v>
      </c>
      <c r="R56" s="21">
        <f t="shared" si="5"/>
        <v>0</v>
      </c>
      <c r="S56" s="448">
        <f t="shared" si="2"/>
        <v>0</v>
      </c>
    </row>
    <row r="57" spans="2:19" x14ac:dyDescent="0.2">
      <c r="B57" s="6">
        <f t="shared" si="3"/>
        <v>51</v>
      </c>
      <c r="C57" s="12"/>
      <c r="D57" s="12"/>
      <c r="E57" s="12"/>
      <c r="F57" s="13"/>
      <c r="G57" s="23"/>
      <c r="H57" s="1" t="s">
        <v>689</v>
      </c>
      <c r="I57" s="24"/>
      <c r="J57" s="24"/>
      <c r="K57" s="397"/>
      <c r="L57" s="24"/>
      <c r="M57" s="24">
        <v>2584050</v>
      </c>
      <c r="N57" s="24">
        <v>0</v>
      </c>
      <c r="O57" s="397">
        <f t="shared" si="4"/>
        <v>0</v>
      </c>
      <c r="P57" s="24"/>
      <c r="Q57" s="26">
        <f t="shared" si="5"/>
        <v>2584050</v>
      </c>
      <c r="R57" s="26">
        <f t="shared" si="5"/>
        <v>0</v>
      </c>
      <c r="S57" s="448">
        <f t="shared" si="2"/>
        <v>0</v>
      </c>
    </row>
    <row r="58" spans="2:19" x14ac:dyDescent="0.2">
      <c r="B58" s="6">
        <f t="shared" si="3"/>
        <v>52</v>
      </c>
      <c r="C58" s="17"/>
      <c r="D58" s="510"/>
      <c r="E58" s="510"/>
      <c r="F58" s="511"/>
      <c r="G58" s="512">
        <v>716</v>
      </c>
      <c r="H58" s="510" t="s">
        <v>213</v>
      </c>
      <c r="I58" s="513"/>
      <c r="J58" s="513"/>
      <c r="K58" s="514"/>
      <c r="L58" s="20"/>
      <c r="M58" s="20">
        <f>SUM(M59:M60)</f>
        <v>40500</v>
      </c>
      <c r="N58" s="20">
        <f>SUM(N59:N60)</f>
        <v>34425</v>
      </c>
      <c r="O58" s="397">
        <f t="shared" si="4"/>
        <v>85</v>
      </c>
      <c r="P58" s="20"/>
      <c r="Q58" s="21">
        <f t="shared" si="5"/>
        <v>40500</v>
      </c>
      <c r="R58" s="21">
        <f t="shared" si="5"/>
        <v>34425</v>
      </c>
      <c r="S58" s="448">
        <f t="shared" si="2"/>
        <v>85</v>
      </c>
    </row>
    <row r="59" spans="2:19" x14ac:dyDescent="0.2">
      <c r="B59" s="6">
        <f t="shared" si="3"/>
        <v>53</v>
      </c>
      <c r="C59" s="306"/>
      <c r="D59" s="200"/>
      <c r="E59" s="200"/>
      <c r="F59" s="286"/>
      <c r="G59" s="286"/>
      <c r="H59" s="143" t="s">
        <v>374</v>
      </c>
      <c r="I59" s="287"/>
      <c r="J59" s="508"/>
      <c r="K59" s="515"/>
      <c r="L59" s="24"/>
      <c r="M59" s="24">
        <f>5000+1000+2000+1000+8000</f>
        <v>17000</v>
      </c>
      <c r="N59" s="24">
        <f>12760+471</f>
        <v>13231</v>
      </c>
      <c r="O59" s="397">
        <f t="shared" si="4"/>
        <v>77.829411764705881</v>
      </c>
      <c r="P59" s="24"/>
      <c r="Q59" s="26">
        <f t="shared" si="5"/>
        <v>17000</v>
      </c>
      <c r="R59" s="26">
        <f t="shared" si="5"/>
        <v>13231</v>
      </c>
      <c r="S59" s="448">
        <f t="shared" si="2"/>
        <v>77.829411764705881</v>
      </c>
    </row>
    <row r="60" spans="2:19" x14ac:dyDescent="0.2">
      <c r="B60" s="6">
        <f t="shared" si="3"/>
        <v>54</v>
      </c>
      <c r="C60" s="306"/>
      <c r="D60" s="200"/>
      <c r="E60" s="200"/>
      <c r="F60" s="286"/>
      <c r="G60" s="286"/>
      <c r="H60" s="143" t="s">
        <v>559</v>
      </c>
      <c r="I60" s="287"/>
      <c r="J60" s="508"/>
      <c r="K60" s="515"/>
      <c r="L60" s="24"/>
      <c r="M60" s="24">
        <f>26000-2500</f>
        <v>23500</v>
      </c>
      <c r="N60" s="24">
        <v>21194</v>
      </c>
      <c r="O60" s="397">
        <f t="shared" si="4"/>
        <v>90.187234042553186</v>
      </c>
      <c r="P60" s="24"/>
      <c r="Q60" s="26">
        <f t="shared" si="5"/>
        <v>23500</v>
      </c>
      <c r="R60" s="26">
        <f t="shared" si="5"/>
        <v>21194</v>
      </c>
      <c r="S60" s="448">
        <f t="shared" si="2"/>
        <v>90.187234042553186</v>
      </c>
    </row>
    <row r="61" spans="2:19" x14ac:dyDescent="0.2">
      <c r="B61" s="6">
        <f t="shared" si="3"/>
        <v>55</v>
      </c>
      <c r="C61" s="137"/>
      <c r="D61" s="138"/>
      <c r="E61" s="138"/>
      <c r="F61" s="139"/>
      <c r="G61" s="140">
        <v>717</v>
      </c>
      <c r="H61" s="138" t="s">
        <v>179</v>
      </c>
      <c r="I61" s="284"/>
      <c r="J61" s="505"/>
      <c r="K61" s="515"/>
      <c r="L61" s="20"/>
      <c r="M61" s="20">
        <f>SUM(M62:M63)</f>
        <v>397594</v>
      </c>
      <c r="N61" s="20">
        <f>SUM(N62:N63)</f>
        <v>222</v>
      </c>
      <c r="O61" s="397">
        <f t="shared" si="4"/>
        <v>5.5835852653712076E-2</v>
      </c>
      <c r="P61" s="20"/>
      <c r="Q61" s="21">
        <f t="shared" si="5"/>
        <v>397594</v>
      </c>
      <c r="R61" s="21">
        <f t="shared" si="5"/>
        <v>222</v>
      </c>
      <c r="S61" s="448">
        <f t="shared" si="2"/>
        <v>5.5835852653712076E-2</v>
      </c>
    </row>
    <row r="62" spans="2:19" x14ac:dyDescent="0.2">
      <c r="B62" s="6">
        <f t="shared" si="3"/>
        <v>56</v>
      </c>
      <c r="C62" s="305"/>
      <c r="D62" s="200"/>
      <c r="E62" s="200"/>
      <c r="F62" s="286"/>
      <c r="G62" s="286"/>
      <c r="H62" s="143" t="s">
        <v>78</v>
      </c>
      <c r="I62" s="287"/>
      <c r="J62" s="508"/>
      <c r="K62" s="515"/>
      <c r="L62" s="24"/>
      <c r="M62" s="24">
        <f>1410000-78200-75200+21188-6000-43500-15000-147400+14000+24189-23010-1950-28000-29803-3841-11000-399720-5000-59800-10000-35000-84259-17100</f>
        <v>395594</v>
      </c>
      <c r="N62" s="24">
        <v>0</v>
      </c>
      <c r="O62" s="397">
        <f t="shared" si="4"/>
        <v>0</v>
      </c>
      <c r="P62" s="24"/>
      <c r="Q62" s="26">
        <f t="shared" si="5"/>
        <v>395594</v>
      </c>
      <c r="R62" s="26">
        <f t="shared" si="5"/>
        <v>0</v>
      </c>
      <c r="S62" s="448">
        <f t="shared" si="2"/>
        <v>0</v>
      </c>
    </row>
    <row r="63" spans="2:19" x14ac:dyDescent="0.2">
      <c r="B63" s="6">
        <f t="shared" si="3"/>
        <v>57</v>
      </c>
      <c r="C63" s="305"/>
      <c r="D63" s="200"/>
      <c r="E63" s="200"/>
      <c r="F63" s="286"/>
      <c r="G63" s="286"/>
      <c r="H63" s="143" t="s">
        <v>698</v>
      </c>
      <c r="I63" s="287"/>
      <c r="J63" s="508"/>
      <c r="K63" s="515"/>
      <c r="L63" s="20"/>
      <c r="M63" s="294">
        <f>5000-2000-1000</f>
        <v>2000</v>
      </c>
      <c r="N63" s="294">
        <v>222</v>
      </c>
      <c r="O63" s="398">
        <f t="shared" si="4"/>
        <v>11.1</v>
      </c>
      <c r="P63" s="24"/>
      <c r="Q63" s="26">
        <f t="shared" si="5"/>
        <v>2000</v>
      </c>
      <c r="R63" s="26">
        <f t="shared" si="5"/>
        <v>222</v>
      </c>
      <c r="S63" s="448">
        <f t="shared" si="2"/>
        <v>11.1</v>
      </c>
    </row>
    <row r="64" spans="2:19" ht="15" x14ac:dyDescent="0.2">
      <c r="B64" s="6">
        <f t="shared" si="3"/>
        <v>58</v>
      </c>
      <c r="C64" s="303">
        <v>4</v>
      </c>
      <c r="D64" s="682" t="s">
        <v>381</v>
      </c>
      <c r="E64" s="683"/>
      <c r="F64" s="683"/>
      <c r="G64" s="683"/>
      <c r="H64" s="684"/>
      <c r="I64" s="129">
        <v>0</v>
      </c>
      <c r="J64" s="129"/>
      <c r="K64" s="428"/>
      <c r="L64" s="312"/>
      <c r="M64" s="10"/>
      <c r="N64" s="10"/>
      <c r="O64" s="393"/>
      <c r="P64" s="312"/>
      <c r="Q64" s="31">
        <f t="shared" si="5"/>
        <v>0</v>
      </c>
      <c r="R64" s="31">
        <f t="shared" si="5"/>
        <v>0</v>
      </c>
      <c r="S64" s="449">
        <v>0</v>
      </c>
    </row>
    <row r="65" spans="2:19" ht="15" x14ac:dyDescent="0.2">
      <c r="B65" s="6">
        <f t="shared" si="3"/>
        <v>59</v>
      </c>
      <c r="C65" s="40">
        <v>5</v>
      </c>
      <c r="D65" s="690" t="s">
        <v>382</v>
      </c>
      <c r="E65" s="691"/>
      <c r="F65" s="691"/>
      <c r="G65" s="691"/>
      <c r="H65" s="692"/>
      <c r="I65" s="304">
        <v>0</v>
      </c>
      <c r="J65" s="304"/>
      <c r="K65" s="443"/>
      <c r="L65" s="312"/>
      <c r="M65" s="10"/>
      <c r="N65" s="10"/>
      <c r="O65" s="393"/>
      <c r="P65" s="312"/>
      <c r="Q65" s="31">
        <f t="shared" si="5"/>
        <v>0</v>
      </c>
      <c r="R65" s="31">
        <f t="shared" si="5"/>
        <v>0</v>
      </c>
      <c r="S65" s="449">
        <v>0</v>
      </c>
    </row>
    <row r="66" spans="2:19" ht="15" x14ac:dyDescent="0.2">
      <c r="B66" s="6">
        <f t="shared" si="3"/>
        <v>60</v>
      </c>
      <c r="C66" s="40">
        <v>6</v>
      </c>
      <c r="D66" s="687" t="s">
        <v>383</v>
      </c>
      <c r="E66" s="688"/>
      <c r="F66" s="688"/>
      <c r="G66" s="688"/>
      <c r="H66" s="689"/>
      <c r="I66" s="10">
        <v>0</v>
      </c>
      <c r="J66" s="10"/>
      <c r="K66" s="395"/>
      <c r="L66" s="312"/>
      <c r="M66" s="10"/>
      <c r="N66" s="10"/>
      <c r="O66" s="393"/>
      <c r="P66" s="312"/>
      <c r="Q66" s="31">
        <f t="shared" si="5"/>
        <v>0</v>
      </c>
      <c r="R66" s="31">
        <f t="shared" si="5"/>
        <v>0</v>
      </c>
      <c r="S66" s="449">
        <v>0</v>
      </c>
    </row>
    <row r="67" spans="2:19" ht="15" x14ac:dyDescent="0.2">
      <c r="B67" s="6">
        <f t="shared" si="3"/>
        <v>61</v>
      </c>
      <c r="C67" s="9">
        <v>7</v>
      </c>
      <c r="D67" s="685" t="s">
        <v>243</v>
      </c>
      <c r="E67" s="686"/>
      <c r="F67" s="686"/>
      <c r="G67" s="686"/>
      <c r="H67" s="686"/>
      <c r="I67" s="10">
        <f>I68+I69+I74+I73</f>
        <v>193300</v>
      </c>
      <c r="J67" s="10">
        <f>J68+J69+J74+J73</f>
        <v>188162</v>
      </c>
      <c r="K67" s="395">
        <f t="shared" si="1"/>
        <v>97.34195550957061</v>
      </c>
      <c r="L67" s="312"/>
      <c r="M67" s="10"/>
      <c r="N67" s="10"/>
      <c r="O67" s="393"/>
      <c r="P67" s="312"/>
      <c r="Q67" s="31">
        <f t="shared" si="5"/>
        <v>193300</v>
      </c>
      <c r="R67" s="31">
        <f t="shared" si="5"/>
        <v>188162</v>
      </c>
      <c r="S67" s="449">
        <f t="shared" si="2"/>
        <v>97.34195550957061</v>
      </c>
    </row>
    <row r="68" spans="2:19" x14ac:dyDescent="0.2">
      <c r="B68" s="6">
        <f t="shared" si="3"/>
        <v>62</v>
      </c>
      <c r="C68" s="12"/>
      <c r="D68" s="12"/>
      <c r="E68" s="12"/>
      <c r="F68" s="13" t="s">
        <v>73</v>
      </c>
      <c r="G68" s="14">
        <v>620</v>
      </c>
      <c r="H68" s="12" t="s">
        <v>121</v>
      </c>
      <c r="I68" s="15">
        <f>2000-100</f>
        <v>1900</v>
      </c>
      <c r="J68" s="15">
        <v>1594</v>
      </c>
      <c r="K68" s="397">
        <f t="shared" si="1"/>
        <v>83.89473684210526</v>
      </c>
      <c r="L68" s="15"/>
      <c r="M68" s="15"/>
      <c r="N68" s="15"/>
      <c r="O68" s="25"/>
      <c r="P68" s="15"/>
      <c r="Q68" s="16">
        <f t="shared" si="5"/>
        <v>1900</v>
      </c>
      <c r="R68" s="16">
        <f t="shared" si="5"/>
        <v>1594</v>
      </c>
      <c r="S68" s="448">
        <f t="shared" si="2"/>
        <v>83.89473684210526</v>
      </c>
    </row>
    <row r="69" spans="2:19" x14ac:dyDescent="0.2">
      <c r="B69" s="6">
        <f t="shared" si="3"/>
        <v>63</v>
      </c>
      <c r="C69" s="12"/>
      <c r="D69" s="12"/>
      <c r="E69" s="12"/>
      <c r="F69" s="13" t="s">
        <v>73</v>
      </c>
      <c r="G69" s="14">
        <v>630</v>
      </c>
      <c r="H69" s="12" t="s">
        <v>118</v>
      </c>
      <c r="I69" s="15">
        <f>SUM(I70:I72)</f>
        <v>174300</v>
      </c>
      <c r="J69" s="15">
        <f>SUM(J70:J72)</f>
        <v>170549</v>
      </c>
      <c r="K69" s="397">
        <f t="shared" si="1"/>
        <v>97.847963281698227</v>
      </c>
      <c r="L69" s="15"/>
      <c r="M69" s="15"/>
      <c r="N69" s="15"/>
      <c r="O69" s="25"/>
      <c r="P69" s="15"/>
      <c r="Q69" s="16">
        <f t="shared" si="5"/>
        <v>174300</v>
      </c>
      <c r="R69" s="16">
        <f t="shared" si="5"/>
        <v>170549</v>
      </c>
      <c r="S69" s="448">
        <f t="shared" si="2"/>
        <v>97.847963281698227</v>
      </c>
    </row>
    <row r="70" spans="2:19" x14ac:dyDescent="0.2">
      <c r="B70" s="6">
        <f t="shared" si="3"/>
        <v>64</v>
      </c>
      <c r="C70" s="17"/>
      <c r="D70" s="17"/>
      <c r="E70" s="17"/>
      <c r="F70" s="18"/>
      <c r="G70" s="19">
        <v>632</v>
      </c>
      <c r="H70" s="17" t="s">
        <v>131</v>
      </c>
      <c r="I70" s="20">
        <v>155000</v>
      </c>
      <c r="J70" s="20">
        <v>154999</v>
      </c>
      <c r="K70" s="397">
        <f t="shared" si="1"/>
        <v>99.999354838709678</v>
      </c>
      <c r="L70" s="20"/>
      <c r="M70" s="20"/>
      <c r="N70" s="20"/>
      <c r="O70" s="25"/>
      <c r="P70" s="20"/>
      <c r="Q70" s="21">
        <f t="shared" si="5"/>
        <v>155000</v>
      </c>
      <c r="R70" s="21">
        <f t="shared" si="5"/>
        <v>154999</v>
      </c>
      <c r="S70" s="448">
        <f t="shared" si="2"/>
        <v>99.999354838709678</v>
      </c>
    </row>
    <row r="71" spans="2:19" x14ac:dyDescent="0.2">
      <c r="B71" s="6">
        <f t="shared" si="3"/>
        <v>65</v>
      </c>
      <c r="C71" s="17"/>
      <c r="D71" s="17"/>
      <c r="E71" s="17"/>
      <c r="F71" s="18"/>
      <c r="G71" s="19">
        <v>633</v>
      </c>
      <c r="H71" s="17" t="s">
        <v>122</v>
      </c>
      <c r="I71" s="20">
        <v>5000</v>
      </c>
      <c r="J71" s="20">
        <v>1610</v>
      </c>
      <c r="K71" s="397">
        <f t="shared" si="1"/>
        <v>32.200000000000003</v>
      </c>
      <c r="L71" s="20"/>
      <c r="M71" s="20"/>
      <c r="N71" s="20"/>
      <c r="O71" s="25"/>
      <c r="P71" s="20"/>
      <c r="Q71" s="21">
        <f t="shared" si="5"/>
        <v>5000</v>
      </c>
      <c r="R71" s="21">
        <f t="shared" si="5"/>
        <v>1610</v>
      </c>
      <c r="S71" s="448">
        <f t="shared" si="2"/>
        <v>32.200000000000003</v>
      </c>
    </row>
    <row r="72" spans="2:19" x14ac:dyDescent="0.2">
      <c r="B72" s="6">
        <f t="shared" si="3"/>
        <v>66</v>
      </c>
      <c r="C72" s="17"/>
      <c r="D72" s="17"/>
      <c r="E72" s="17"/>
      <c r="F72" s="18"/>
      <c r="G72" s="19">
        <v>637</v>
      </c>
      <c r="H72" s="17" t="s">
        <v>119</v>
      </c>
      <c r="I72" s="20">
        <f>13400+900</f>
        <v>14300</v>
      </c>
      <c r="J72" s="20">
        <v>13940</v>
      </c>
      <c r="K72" s="397">
        <f t="shared" ref="K72:K78" si="7">J72/I72*100</f>
        <v>97.48251748251748</v>
      </c>
      <c r="L72" s="20"/>
      <c r="M72" s="20"/>
      <c r="N72" s="20"/>
      <c r="O72" s="25"/>
      <c r="P72" s="20"/>
      <c r="Q72" s="21">
        <f t="shared" si="5"/>
        <v>14300</v>
      </c>
      <c r="R72" s="21">
        <f t="shared" si="5"/>
        <v>13940</v>
      </c>
      <c r="S72" s="448">
        <f t="shared" ref="S72:S78" si="8">R72/Q72*100</f>
        <v>97.48251748251748</v>
      </c>
    </row>
    <row r="73" spans="2:19" x14ac:dyDescent="0.2">
      <c r="B73" s="6">
        <f t="shared" si="3"/>
        <v>67</v>
      </c>
      <c r="C73" s="17"/>
      <c r="D73" s="17"/>
      <c r="E73" s="17"/>
      <c r="F73" s="13" t="s">
        <v>73</v>
      </c>
      <c r="G73" s="14">
        <v>640</v>
      </c>
      <c r="H73" s="12" t="s">
        <v>126</v>
      </c>
      <c r="I73" s="15">
        <v>100</v>
      </c>
      <c r="J73" s="15">
        <v>42</v>
      </c>
      <c r="K73" s="397">
        <f t="shared" si="7"/>
        <v>42</v>
      </c>
      <c r="L73" s="15"/>
      <c r="M73" s="15"/>
      <c r="N73" s="15"/>
      <c r="O73" s="25"/>
      <c r="P73" s="15"/>
      <c r="Q73" s="16">
        <f t="shared" ref="Q73:R73" si="9">I73+M73</f>
        <v>100</v>
      </c>
      <c r="R73" s="16">
        <f t="shared" si="9"/>
        <v>42</v>
      </c>
      <c r="S73" s="448">
        <f t="shared" si="8"/>
        <v>42</v>
      </c>
    </row>
    <row r="74" spans="2:19" x14ac:dyDescent="0.2">
      <c r="B74" s="6">
        <f t="shared" si="3"/>
        <v>68</v>
      </c>
      <c r="C74" s="12"/>
      <c r="D74" s="12"/>
      <c r="E74" s="12"/>
      <c r="F74" s="13" t="s">
        <v>242</v>
      </c>
      <c r="G74" s="14">
        <v>630</v>
      </c>
      <c r="H74" s="12" t="s">
        <v>118</v>
      </c>
      <c r="I74" s="15">
        <f>I75</f>
        <v>17000</v>
      </c>
      <c r="J74" s="15">
        <f>J75</f>
        <v>15977</v>
      </c>
      <c r="K74" s="397">
        <f t="shared" si="7"/>
        <v>93.982352941176472</v>
      </c>
      <c r="L74" s="15"/>
      <c r="M74" s="15"/>
      <c r="N74" s="15"/>
      <c r="O74" s="25"/>
      <c r="P74" s="15"/>
      <c r="Q74" s="16">
        <f t="shared" si="5"/>
        <v>17000</v>
      </c>
      <c r="R74" s="16">
        <f t="shared" si="5"/>
        <v>15977</v>
      </c>
      <c r="S74" s="448">
        <f t="shared" si="8"/>
        <v>93.982352941176472</v>
      </c>
    </row>
    <row r="75" spans="2:19" x14ac:dyDescent="0.2">
      <c r="B75" s="6">
        <f t="shared" si="3"/>
        <v>69</v>
      </c>
      <c r="C75" s="17"/>
      <c r="D75" s="17"/>
      <c r="E75" s="17"/>
      <c r="F75" s="18"/>
      <c r="G75" s="19">
        <v>637</v>
      </c>
      <c r="H75" s="17" t="s">
        <v>119</v>
      </c>
      <c r="I75" s="20">
        <v>17000</v>
      </c>
      <c r="J75" s="20">
        <v>15977</v>
      </c>
      <c r="K75" s="397">
        <f t="shared" si="7"/>
        <v>93.982352941176472</v>
      </c>
      <c r="L75" s="20"/>
      <c r="M75" s="20"/>
      <c r="N75" s="20"/>
      <c r="O75" s="25"/>
      <c r="P75" s="20"/>
      <c r="Q75" s="21">
        <f t="shared" si="5"/>
        <v>17000</v>
      </c>
      <c r="R75" s="21">
        <f t="shared" si="5"/>
        <v>15977</v>
      </c>
      <c r="S75" s="448">
        <f t="shared" si="8"/>
        <v>93.982352941176472</v>
      </c>
    </row>
    <row r="76" spans="2:19" ht="15" x14ac:dyDescent="0.2">
      <c r="B76" s="6">
        <f t="shared" si="3"/>
        <v>70</v>
      </c>
      <c r="C76" s="9">
        <v>8</v>
      </c>
      <c r="D76" s="637" t="s">
        <v>260</v>
      </c>
      <c r="E76" s="638"/>
      <c r="F76" s="638"/>
      <c r="G76" s="638"/>
      <c r="H76" s="638"/>
      <c r="I76" s="10">
        <f>I77</f>
        <v>16500</v>
      </c>
      <c r="J76" s="10">
        <f>J77</f>
        <v>16442</v>
      </c>
      <c r="K76" s="395">
        <f t="shared" si="7"/>
        <v>99.648484848484856</v>
      </c>
      <c r="L76" s="312"/>
      <c r="M76" s="10"/>
      <c r="N76" s="10"/>
      <c r="O76" s="393"/>
      <c r="P76" s="312"/>
      <c r="Q76" s="31">
        <f t="shared" si="5"/>
        <v>16500</v>
      </c>
      <c r="R76" s="31">
        <f t="shared" si="5"/>
        <v>16442</v>
      </c>
      <c r="S76" s="449">
        <f t="shared" si="8"/>
        <v>99.648484848484856</v>
      </c>
    </row>
    <row r="77" spans="2:19" x14ac:dyDescent="0.2">
      <c r="B77" s="6">
        <f t="shared" si="3"/>
        <v>71</v>
      </c>
      <c r="C77" s="12"/>
      <c r="D77" s="12"/>
      <c r="E77" s="12"/>
      <c r="F77" s="13" t="s">
        <v>73</v>
      </c>
      <c r="G77" s="14">
        <v>640</v>
      </c>
      <c r="H77" s="12" t="s">
        <v>126</v>
      </c>
      <c r="I77" s="15">
        <f>I78</f>
        <v>16500</v>
      </c>
      <c r="J77" s="15">
        <f>J78</f>
        <v>16442</v>
      </c>
      <c r="K77" s="397">
        <f t="shared" si="7"/>
        <v>99.648484848484856</v>
      </c>
      <c r="L77" s="15"/>
      <c r="M77" s="15"/>
      <c r="N77" s="15"/>
      <c r="O77" s="25"/>
      <c r="P77" s="15"/>
      <c r="Q77" s="16">
        <f t="shared" si="5"/>
        <v>16500</v>
      </c>
      <c r="R77" s="16">
        <f t="shared" si="5"/>
        <v>16442</v>
      </c>
      <c r="S77" s="448">
        <f t="shared" si="8"/>
        <v>99.648484848484856</v>
      </c>
    </row>
    <row r="78" spans="2:19" x14ac:dyDescent="0.2">
      <c r="B78" s="6">
        <f t="shared" si="3"/>
        <v>72</v>
      </c>
      <c r="C78" s="17"/>
      <c r="D78" s="17"/>
      <c r="E78" s="17"/>
      <c r="F78" s="18"/>
      <c r="G78" s="19">
        <v>642</v>
      </c>
      <c r="H78" s="17" t="s">
        <v>127</v>
      </c>
      <c r="I78" s="20">
        <v>16500</v>
      </c>
      <c r="J78" s="20">
        <v>16442</v>
      </c>
      <c r="K78" s="397">
        <f t="shared" si="7"/>
        <v>99.648484848484856</v>
      </c>
      <c r="L78" s="20"/>
      <c r="M78" s="20"/>
      <c r="N78" s="20"/>
      <c r="O78" s="25"/>
      <c r="P78" s="20"/>
      <c r="Q78" s="21">
        <f t="shared" si="5"/>
        <v>16500</v>
      </c>
      <c r="R78" s="21">
        <f t="shared" si="5"/>
        <v>16442</v>
      </c>
      <c r="S78" s="448">
        <f t="shared" si="8"/>
        <v>99.648484848484856</v>
      </c>
    </row>
    <row r="79" spans="2:19" ht="15" x14ac:dyDescent="0.2">
      <c r="B79" s="41">
        <f t="shared" si="3"/>
        <v>73</v>
      </c>
      <c r="C79" s="42">
        <v>9</v>
      </c>
      <c r="D79" s="680" t="s">
        <v>175</v>
      </c>
      <c r="E79" s="681"/>
      <c r="F79" s="681"/>
      <c r="G79" s="681"/>
      <c r="H79" s="681"/>
      <c r="I79" s="43">
        <v>0</v>
      </c>
      <c r="J79" s="43">
        <v>139</v>
      </c>
      <c r="K79" s="444">
        <v>0</v>
      </c>
      <c r="L79" s="314"/>
      <c r="M79" s="43"/>
      <c r="N79" s="43"/>
      <c r="O79" s="394"/>
      <c r="P79" s="314"/>
      <c r="Q79" s="44">
        <f t="shared" si="5"/>
        <v>0</v>
      </c>
      <c r="R79" s="44">
        <f t="shared" si="5"/>
        <v>139</v>
      </c>
      <c r="S79" s="451">
        <v>0</v>
      </c>
    </row>
    <row r="80" spans="2:19" s="288" customFormat="1" x14ac:dyDescent="0.2">
      <c r="B80" s="289"/>
      <c r="F80" s="290"/>
      <c r="G80" s="290"/>
      <c r="I80" s="261"/>
      <c r="J80" s="261"/>
      <c r="K80" s="401"/>
      <c r="L80" s="5"/>
      <c r="M80" s="261"/>
      <c r="N80" s="261"/>
      <c r="O80" s="401"/>
      <c r="P80" s="5"/>
      <c r="Q80" s="261"/>
      <c r="R80" s="261"/>
      <c r="S80" s="261"/>
    </row>
    <row r="81" spans="2:19" s="288" customFormat="1" x14ac:dyDescent="0.2">
      <c r="B81" s="289"/>
      <c r="F81" s="290"/>
      <c r="G81" s="290"/>
      <c r="I81" s="261"/>
      <c r="J81" s="261"/>
      <c r="K81" s="401"/>
      <c r="L81" s="5"/>
      <c r="M81" s="261"/>
      <c r="N81" s="261"/>
      <c r="O81" s="401"/>
      <c r="P81" s="5"/>
      <c r="Q81" s="261"/>
      <c r="R81" s="261"/>
      <c r="S81" s="261"/>
    </row>
    <row r="82" spans="2:19" s="288" customFormat="1" ht="27.75" x14ac:dyDescent="0.4">
      <c r="B82" s="676" t="s">
        <v>15</v>
      </c>
      <c r="C82" s="677"/>
      <c r="D82" s="677"/>
      <c r="E82" s="677"/>
      <c r="F82" s="677"/>
      <c r="G82" s="677"/>
      <c r="H82" s="677"/>
      <c r="I82" s="677"/>
      <c r="J82" s="677"/>
      <c r="K82" s="677"/>
      <c r="L82" s="677"/>
      <c r="M82" s="677"/>
      <c r="N82" s="677"/>
      <c r="O82" s="677"/>
      <c r="P82" s="677"/>
      <c r="Q82" s="677"/>
      <c r="R82" s="3"/>
      <c r="S82" s="3"/>
    </row>
    <row r="83" spans="2:19" s="288" customFormat="1" x14ac:dyDescent="0.2">
      <c r="B83" s="631" t="s">
        <v>432</v>
      </c>
      <c r="C83" s="632"/>
      <c r="D83" s="632"/>
      <c r="E83" s="632"/>
      <c r="F83" s="632"/>
      <c r="G83" s="632"/>
      <c r="H83" s="632"/>
      <c r="I83" s="632"/>
      <c r="J83" s="632"/>
      <c r="K83" s="632"/>
      <c r="L83" s="632"/>
      <c r="M83" s="632"/>
      <c r="N83" s="632"/>
      <c r="O83" s="632"/>
      <c r="P83" s="632"/>
      <c r="Q83" s="624" t="s">
        <v>761</v>
      </c>
      <c r="R83" s="624" t="s">
        <v>757</v>
      </c>
      <c r="S83" s="624" t="s">
        <v>758</v>
      </c>
    </row>
    <row r="84" spans="2:19" s="288" customFormat="1" x14ac:dyDescent="0.2">
      <c r="B84" s="633"/>
      <c r="C84" s="634" t="s">
        <v>111</v>
      </c>
      <c r="D84" s="634" t="s">
        <v>112</v>
      </c>
      <c r="E84" s="634"/>
      <c r="F84" s="634" t="s">
        <v>113</v>
      </c>
      <c r="G84" s="627" t="s">
        <v>114</v>
      </c>
      <c r="H84" s="628" t="s">
        <v>115</v>
      </c>
      <c r="I84" s="626" t="s">
        <v>759</v>
      </c>
      <c r="J84" s="626" t="s">
        <v>757</v>
      </c>
      <c r="K84" s="626" t="s">
        <v>758</v>
      </c>
      <c r="L84" s="310"/>
      <c r="M84" s="626" t="s">
        <v>760</v>
      </c>
      <c r="N84" s="626" t="s">
        <v>757</v>
      </c>
      <c r="O84" s="626" t="s">
        <v>758</v>
      </c>
      <c r="P84" s="310"/>
      <c r="Q84" s="625"/>
      <c r="R84" s="625"/>
      <c r="S84" s="625"/>
    </row>
    <row r="85" spans="2:19" s="288" customFormat="1" x14ac:dyDescent="0.2">
      <c r="B85" s="633"/>
      <c r="C85" s="634"/>
      <c r="D85" s="634"/>
      <c r="E85" s="634"/>
      <c r="F85" s="634"/>
      <c r="G85" s="627"/>
      <c r="H85" s="628"/>
      <c r="I85" s="626"/>
      <c r="J85" s="626"/>
      <c r="K85" s="626"/>
      <c r="L85" s="310"/>
      <c r="M85" s="626"/>
      <c r="N85" s="626"/>
      <c r="O85" s="626"/>
      <c r="P85" s="310"/>
      <c r="Q85" s="625"/>
      <c r="R85" s="625"/>
      <c r="S85" s="625"/>
    </row>
    <row r="86" spans="2:19" s="288" customFormat="1" x14ac:dyDescent="0.2">
      <c r="B86" s="633"/>
      <c r="C86" s="634"/>
      <c r="D86" s="634"/>
      <c r="E86" s="634"/>
      <c r="F86" s="634"/>
      <c r="G86" s="627"/>
      <c r="H86" s="628"/>
      <c r="I86" s="626"/>
      <c r="J86" s="626"/>
      <c r="K86" s="626"/>
      <c r="L86" s="310"/>
      <c r="M86" s="626"/>
      <c r="N86" s="626"/>
      <c r="O86" s="626"/>
      <c r="P86" s="310"/>
      <c r="Q86" s="625"/>
      <c r="R86" s="625"/>
      <c r="S86" s="625"/>
    </row>
    <row r="87" spans="2:19" s="288" customFormat="1" x14ac:dyDescent="0.2">
      <c r="B87" s="633"/>
      <c r="C87" s="634"/>
      <c r="D87" s="634"/>
      <c r="E87" s="634"/>
      <c r="F87" s="634"/>
      <c r="G87" s="627"/>
      <c r="H87" s="628"/>
      <c r="I87" s="626"/>
      <c r="J87" s="626"/>
      <c r="K87" s="626"/>
      <c r="L87" s="310"/>
      <c r="M87" s="626"/>
      <c r="N87" s="626"/>
      <c r="O87" s="626"/>
      <c r="P87" s="310"/>
      <c r="Q87" s="625"/>
      <c r="R87" s="625"/>
      <c r="S87" s="625"/>
    </row>
    <row r="88" spans="2:19" s="288" customFormat="1" ht="15.75" x14ac:dyDescent="0.2">
      <c r="B88" s="6">
        <v>1</v>
      </c>
      <c r="C88" s="635" t="s">
        <v>15</v>
      </c>
      <c r="D88" s="679"/>
      <c r="E88" s="679"/>
      <c r="F88" s="679"/>
      <c r="G88" s="679"/>
      <c r="H88" s="679"/>
      <c r="I88" s="7">
        <f>I89+I98</f>
        <v>178360</v>
      </c>
      <c r="J88" s="7">
        <f>J89+J98</f>
        <v>147448</v>
      </c>
      <c r="K88" s="399">
        <f t="shared" ref="K88:K102" si="10">J88/I88*100</f>
        <v>82.668759811616951</v>
      </c>
      <c r="L88" s="311"/>
      <c r="M88" s="7"/>
      <c r="N88" s="7"/>
      <c r="O88" s="7"/>
      <c r="P88" s="311"/>
      <c r="Q88" s="8">
        <f t="shared" ref="Q88:Q102" si="11">I88+M88</f>
        <v>178360</v>
      </c>
      <c r="R88" s="8">
        <f t="shared" ref="R88:R102" si="12">J88+N88</f>
        <v>147448</v>
      </c>
      <c r="S88" s="445">
        <f>R88/Q88*100</f>
        <v>82.668759811616951</v>
      </c>
    </row>
    <row r="89" spans="2:19" s="288" customFormat="1" ht="15" x14ac:dyDescent="0.2">
      <c r="B89" s="6">
        <f t="shared" ref="B89:B102" si="13">B88+1</f>
        <v>2</v>
      </c>
      <c r="C89" s="9">
        <v>1</v>
      </c>
      <c r="D89" s="637" t="s">
        <v>192</v>
      </c>
      <c r="E89" s="678"/>
      <c r="F89" s="678"/>
      <c r="G89" s="678"/>
      <c r="H89" s="678"/>
      <c r="I89" s="10">
        <f>I90+I92+I95+I96</f>
        <v>133360</v>
      </c>
      <c r="J89" s="10">
        <f>J90+J92+J95+J96</f>
        <v>102757</v>
      </c>
      <c r="K89" s="395">
        <f t="shared" si="10"/>
        <v>77.052339532093583</v>
      </c>
      <c r="L89" s="312"/>
      <c r="M89" s="10"/>
      <c r="N89" s="10"/>
      <c r="O89" s="10"/>
      <c r="P89" s="312"/>
      <c r="Q89" s="31">
        <f t="shared" si="11"/>
        <v>133360</v>
      </c>
      <c r="R89" s="31">
        <f t="shared" si="12"/>
        <v>102757</v>
      </c>
      <c r="S89" s="449">
        <f t="shared" ref="S89:S102" si="14">K89+O89</f>
        <v>77.052339532093583</v>
      </c>
    </row>
    <row r="90" spans="2:19" s="288" customFormat="1" x14ac:dyDescent="0.2">
      <c r="B90" s="6">
        <f t="shared" si="13"/>
        <v>3</v>
      </c>
      <c r="C90" s="12"/>
      <c r="D90" s="12"/>
      <c r="E90" s="12"/>
      <c r="F90" s="13" t="s">
        <v>73</v>
      </c>
      <c r="G90" s="14">
        <v>630</v>
      </c>
      <c r="H90" s="12" t="s">
        <v>346</v>
      </c>
      <c r="I90" s="15">
        <f>I91</f>
        <v>20000</v>
      </c>
      <c r="J90" s="15">
        <f>J91</f>
        <v>19899</v>
      </c>
      <c r="K90" s="397">
        <f t="shared" si="10"/>
        <v>99.495000000000005</v>
      </c>
      <c r="L90" s="15"/>
      <c r="M90" s="15"/>
      <c r="N90" s="15"/>
      <c r="O90" s="15"/>
      <c r="P90" s="15"/>
      <c r="Q90" s="16">
        <f t="shared" si="11"/>
        <v>20000</v>
      </c>
      <c r="R90" s="16">
        <f t="shared" si="12"/>
        <v>19899</v>
      </c>
      <c r="S90" s="448">
        <f t="shared" si="14"/>
        <v>99.495000000000005</v>
      </c>
    </row>
    <row r="91" spans="2:19" s="288" customFormat="1" x14ac:dyDescent="0.2">
      <c r="B91" s="6">
        <f t="shared" si="13"/>
        <v>4</v>
      </c>
      <c r="C91" s="17"/>
      <c r="D91" s="17"/>
      <c r="E91" s="17"/>
      <c r="F91" s="18"/>
      <c r="G91" s="19">
        <v>637</v>
      </c>
      <c r="H91" s="17" t="s">
        <v>119</v>
      </c>
      <c r="I91" s="20">
        <v>20000</v>
      </c>
      <c r="J91" s="20">
        <v>19899</v>
      </c>
      <c r="K91" s="397">
        <f t="shared" si="10"/>
        <v>99.495000000000005</v>
      </c>
      <c r="L91" s="20"/>
      <c r="M91" s="20"/>
      <c r="N91" s="20"/>
      <c r="O91" s="20"/>
      <c r="P91" s="20"/>
      <c r="Q91" s="21">
        <f t="shared" si="11"/>
        <v>20000</v>
      </c>
      <c r="R91" s="21">
        <f t="shared" si="12"/>
        <v>19899</v>
      </c>
      <c r="S91" s="448">
        <f t="shared" si="14"/>
        <v>99.495000000000005</v>
      </c>
    </row>
    <row r="92" spans="2:19" s="288" customFormat="1" x14ac:dyDescent="0.2">
      <c r="B92" s="6">
        <f t="shared" si="13"/>
        <v>5</v>
      </c>
      <c r="C92" s="17"/>
      <c r="D92" s="17"/>
      <c r="E92" s="17"/>
      <c r="F92" s="13" t="s">
        <v>240</v>
      </c>
      <c r="G92" s="14">
        <v>630</v>
      </c>
      <c r="H92" s="12" t="s">
        <v>118</v>
      </c>
      <c r="I92" s="15">
        <f>I94+I93</f>
        <v>31560</v>
      </c>
      <c r="J92" s="15">
        <f>J94+J93</f>
        <v>24739</v>
      </c>
      <c r="K92" s="397">
        <f t="shared" si="10"/>
        <v>78.387198986058308</v>
      </c>
      <c r="L92" s="15"/>
      <c r="M92" s="15"/>
      <c r="N92" s="15"/>
      <c r="O92" s="15"/>
      <c r="P92" s="15"/>
      <c r="Q92" s="16">
        <f t="shared" si="11"/>
        <v>31560</v>
      </c>
      <c r="R92" s="16">
        <f t="shared" si="12"/>
        <v>24739</v>
      </c>
      <c r="S92" s="448">
        <f t="shared" si="14"/>
        <v>78.387198986058308</v>
      </c>
    </row>
    <row r="93" spans="2:19" s="288" customFormat="1" x14ac:dyDescent="0.2">
      <c r="B93" s="6">
        <f t="shared" si="13"/>
        <v>6</v>
      </c>
      <c r="C93" s="17"/>
      <c r="D93" s="17"/>
      <c r="E93" s="17"/>
      <c r="F93" s="13"/>
      <c r="G93" s="19">
        <v>633</v>
      </c>
      <c r="H93" s="17" t="s">
        <v>662</v>
      </c>
      <c r="I93" s="20">
        <f>5500+3060</f>
        <v>8560</v>
      </c>
      <c r="J93" s="20">
        <v>7489</v>
      </c>
      <c r="K93" s="397">
        <f t="shared" si="10"/>
        <v>87.488317757009355</v>
      </c>
      <c r="L93" s="20"/>
      <c r="M93" s="20"/>
      <c r="N93" s="20"/>
      <c r="O93" s="20"/>
      <c r="P93" s="20"/>
      <c r="Q93" s="21">
        <f t="shared" si="11"/>
        <v>8560</v>
      </c>
      <c r="R93" s="21">
        <f t="shared" si="12"/>
        <v>7489</v>
      </c>
      <c r="S93" s="448">
        <f t="shared" si="14"/>
        <v>87.488317757009355</v>
      </c>
    </row>
    <row r="94" spans="2:19" s="288" customFormat="1" x14ac:dyDescent="0.2">
      <c r="B94" s="6">
        <f t="shared" si="13"/>
        <v>7</v>
      </c>
      <c r="C94" s="17"/>
      <c r="D94" s="17"/>
      <c r="E94" s="17"/>
      <c r="F94" s="18"/>
      <c r="G94" s="19">
        <v>637</v>
      </c>
      <c r="H94" s="17" t="s">
        <v>337</v>
      </c>
      <c r="I94" s="20">
        <v>23000</v>
      </c>
      <c r="J94" s="20">
        <v>17250</v>
      </c>
      <c r="K94" s="397">
        <f t="shared" si="10"/>
        <v>75</v>
      </c>
      <c r="L94" s="20"/>
      <c r="M94" s="20"/>
      <c r="N94" s="20"/>
      <c r="O94" s="20"/>
      <c r="P94" s="20"/>
      <c r="Q94" s="21">
        <f t="shared" si="11"/>
        <v>23000</v>
      </c>
      <c r="R94" s="21">
        <f t="shared" si="12"/>
        <v>17250</v>
      </c>
      <c r="S94" s="448">
        <f t="shared" si="14"/>
        <v>75</v>
      </c>
    </row>
    <row r="95" spans="2:19" s="288" customFormat="1" x14ac:dyDescent="0.2">
      <c r="B95" s="6">
        <f t="shared" si="13"/>
        <v>8</v>
      </c>
      <c r="C95" s="12"/>
      <c r="D95" s="12"/>
      <c r="E95" s="12"/>
      <c r="F95" s="13" t="s">
        <v>74</v>
      </c>
      <c r="G95" s="14">
        <v>600</v>
      </c>
      <c r="H95" s="12" t="s">
        <v>338</v>
      </c>
      <c r="I95" s="15">
        <v>28000</v>
      </c>
      <c r="J95" s="15">
        <v>22552</v>
      </c>
      <c r="K95" s="397">
        <f t="shared" si="10"/>
        <v>80.542857142857144</v>
      </c>
      <c r="L95" s="15"/>
      <c r="M95" s="15"/>
      <c r="N95" s="15"/>
      <c r="O95" s="15"/>
      <c r="P95" s="15"/>
      <c r="Q95" s="16">
        <f t="shared" si="11"/>
        <v>28000</v>
      </c>
      <c r="R95" s="16">
        <f t="shared" si="12"/>
        <v>22552</v>
      </c>
      <c r="S95" s="448">
        <f t="shared" si="14"/>
        <v>80.542857142857144</v>
      </c>
    </row>
    <row r="96" spans="2:19" s="288" customFormat="1" x14ac:dyDescent="0.2">
      <c r="B96" s="6">
        <f t="shared" si="13"/>
        <v>9</v>
      </c>
      <c r="C96" s="12"/>
      <c r="D96" s="12"/>
      <c r="E96" s="12"/>
      <c r="F96" s="13" t="s">
        <v>215</v>
      </c>
      <c r="G96" s="14">
        <v>630</v>
      </c>
      <c r="H96" s="12" t="s">
        <v>118</v>
      </c>
      <c r="I96" s="15">
        <f>I97</f>
        <v>53800</v>
      </c>
      <c r="J96" s="15">
        <f>J97</f>
        <v>35567</v>
      </c>
      <c r="K96" s="397">
        <f t="shared" si="10"/>
        <v>66.109665427509285</v>
      </c>
      <c r="L96" s="15"/>
      <c r="M96" s="15"/>
      <c r="N96" s="15"/>
      <c r="O96" s="15"/>
      <c r="P96" s="15"/>
      <c r="Q96" s="16">
        <f t="shared" si="11"/>
        <v>53800</v>
      </c>
      <c r="R96" s="16">
        <f t="shared" si="12"/>
        <v>35567</v>
      </c>
      <c r="S96" s="448">
        <f t="shared" si="14"/>
        <v>66.109665427509285</v>
      </c>
    </row>
    <row r="97" spans="2:19" s="288" customFormat="1" x14ac:dyDescent="0.2">
      <c r="B97" s="6">
        <f t="shared" si="13"/>
        <v>10</v>
      </c>
      <c r="C97" s="12"/>
      <c r="D97" s="12"/>
      <c r="E97" s="12"/>
      <c r="F97" s="18"/>
      <c r="G97" s="19">
        <v>637</v>
      </c>
      <c r="H97" s="17" t="s">
        <v>119</v>
      </c>
      <c r="I97" s="20">
        <f>55000-1200</f>
        <v>53800</v>
      </c>
      <c r="J97" s="20">
        <v>35567</v>
      </c>
      <c r="K97" s="397">
        <f t="shared" si="10"/>
        <v>66.109665427509285</v>
      </c>
      <c r="L97" s="20"/>
      <c r="M97" s="15"/>
      <c r="N97" s="15"/>
      <c r="O97" s="15"/>
      <c r="P97" s="15"/>
      <c r="Q97" s="16">
        <f t="shared" si="11"/>
        <v>53800</v>
      </c>
      <c r="R97" s="16">
        <f t="shared" si="12"/>
        <v>35567</v>
      </c>
      <c r="S97" s="448">
        <f t="shared" si="14"/>
        <v>66.109665427509285</v>
      </c>
    </row>
    <row r="98" spans="2:19" s="288" customFormat="1" ht="15" x14ac:dyDescent="0.2">
      <c r="B98" s="6">
        <f t="shared" si="13"/>
        <v>11</v>
      </c>
      <c r="C98" s="9">
        <v>2</v>
      </c>
      <c r="D98" s="637" t="s">
        <v>241</v>
      </c>
      <c r="E98" s="678"/>
      <c r="F98" s="678"/>
      <c r="G98" s="678"/>
      <c r="H98" s="678"/>
      <c r="I98" s="10">
        <f>I99+I101</f>
        <v>45000</v>
      </c>
      <c r="J98" s="10">
        <f>J99+J101</f>
        <v>44691</v>
      </c>
      <c r="K98" s="395">
        <f t="shared" si="10"/>
        <v>99.313333333333333</v>
      </c>
      <c r="L98" s="312"/>
      <c r="M98" s="10"/>
      <c r="N98" s="10"/>
      <c r="O98" s="10"/>
      <c r="P98" s="312"/>
      <c r="Q98" s="31">
        <f t="shared" si="11"/>
        <v>45000</v>
      </c>
      <c r="R98" s="31">
        <f t="shared" si="12"/>
        <v>44691</v>
      </c>
      <c r="S98" s="449">
        <f t="shared" si="14"/>
        <v>99.313333333333333</v>
      </c>
    </row>
    <row r="99" spans="2:19" s="288" customFormat="1" x14ac:dyDescent="0.2">
      <c r="B99" s="6">
        <f t="shared" si="13"/>
        <v>12</v>
      </c>
      <c r="C99" s="12"/>
      <c r="D99" s="12"/>
      <c r="E99" s="12"/>
      <c r="F99" s="13" t="s">
        <v>240</v>
      </c>
      <c r="G99" s="14">
        <v>630</v>
      </c>
      <c r="H99" s="12" t="s">
        <v>118</v>
      </c>
      <c r="I99" s="15">
        <f>I100</f>
        <v>5000</v>
      </c>
      <c r="J99" s="15">
        <f>J100</f>
        <v>4691</v>
      </c>
      <c r="K99" s="397">
        <f t="shared" si="10"/>
        <v>93.820000000000007</v>
      </c>
      <c r="L99" s="15"/>
      <c r="M99" s="15"/>
      <c r="N99" s="15"/>
      <c r="O99" s="15"/>
      <c r="P99" s="15"/>
      <c r="Q99" s="16">
        <f t="shared" si="11"/>
        <v>5000</v>
      </c>
      <c r="R99" s="16">
        <f t="shared" si="12"/>
        <v>4691</v>
      </c>
      <c r="S99" s="448">
        <f t="shared" si="14"/>
        <v>93.820000000000007</v>
      </c>
    </row>
    <row r="100" spans="2:19" s="288" customFormat="1" x14ac:dyDescent="0.2">
      <c r="B100" s="6">
        <f t="shared" si="13"/>
        <v>13</v>
      </c>
      <c r="C100" s="17"/>
      <c r="D100" s="17"/>
      <c r="E100" s="17"/>
      <c r="F100" s="18"/>
      <c r="G100" s="19">
        <v>637</v>
      </c>
      <c r="H100" s="17" t="s">
        <v>119</v>
      </c>
      <c r="I100" s="20">
        <v>5000</v>
      </c>
      <c r="J100" s="20">
        <v>4691</v>
      </c>
      <c r="K100" s="397">
        <f t="shared" si="10"/>
        <v>93.820000000000007</v>
      </c>
      <c r="L100" s="20"/>
      <c r="M100" s="20"/>
      <c r="N100" s="20"/>
      <c r="O100" s="20"/>
      <c r="P100" s="20"/>
      <c r="Q100" s="21">
        <f t="shared" si="11"/>
        <v>5000</v>
      </c>
      <c r="R100" s="21">
        <f t="shared" si="12"/>
        <v>4691</v>
      </c>
      <c r="S100" s="448">
        <f t="shared" si="14"/>
        <v>93.820000000000007</v>
      </c>
    </row>
    <row r="101" spans="2:19" s="288" customFormat="1" x14ac:dyDescent="0.2">
      <c r="B101" s="6">
        <f t="shared" si="13"/>
        <v>14</v>
      </c>
      <c r="C101" s="12"/>
      <c r="D101" s="12"/>
      <c r="E101" s="12"/>
      <c r="F101" s="13" t="s">
        <v>240</v>
      </c>
      <c r="G101" s="14">
        <v>640</v>
      </c>
      <c r="H101" s="12" t="s">
        <v>126</v>
      </c>
      <c r="I101" s="15">
        <f>I102</f>
        <v>40000</v>
      </c>
      <c r="J101" s="15">
        <f>J102</f>
        <v>40000</v>
      </c>
      <c r="K101" s="397">
        <f t="shared" si="10"/>
        <v>100</v>
      </c>
      <c r="L101" s="15"/>
      <c r="M101" s="15"/>
      <c r="N101" s="15"/>
      <c r="O101" s="15"/>
      <c r="P101" s="15"/>
      <c r="Q101" s="16">
        <f t="shared" si="11"/>
        <v>40000</v>
      </c>
      <c r="R101" s="16">
        <f t="shared" si="12"/>
        <v>40000</v>
      </c>
      <c r="S101" s="448">
        <f t="shared" si="14"/>
        <v>100</v>
      </c>
    </row>
    <row r="102" spans="2:19" s="288" customFormat="1" x14ac:dyDescent="0.2">
      <c r="B102" s="6">
        <f t="shared" si="13"/>
        <v>15</v>
      </c>
      <c r="C102" s="46"/>
      <c r="D102" s="46"/>
      <c r="E102" s="46"/>
      <c r="F102" s="47"/>
      <c r="G102" s="47"/>
      <c r="H102" s="48" t="s">
        <v>325</v>
      </c>
      <c r="I102" s="49">
        <v>40000</v>
      </c>
      <c r="J102" s="49">
        <v>40000</v>
      </c>
      <c r="K102" s="452">
        <f t="shared" si="10"/>
        <v>100</v>
      </c>
      <c r="L102" s="49"/>
      <c r="M102" s="50"/>
      <c r="N102" s="50"/>
      <c r="O102" s="50"/>
      <c r="P102" s="50"/>
      <c r="Q102" s="51">
        <f t="shared" si="11"/>
        <v>40000</v>
      </c>
      <c r="R102" s="51">
        <f t="shared" si="12"/>
        <v>40000</v>
      </c>
      <c r="S102" s="453">
        <f t="shared" si="14"/>
        <v>100</v>
      </c>
    </row>
    <row r="103" spans="2:19" s="288" customFormat="1" x14ac:dyDescent="0.2">
      <c r="B103" s="289"/>
      <c r="F103" s="290"/>
      <c r="G103" s="290"/>
      <c r="I103" s="261"/>
      <c r="J103" s="261"/>
      <c r="K103" s="401"/>
      <c r="L103" s="5"/>
      <c r="M103" s="261"/>
      <c r="N103" s="261"/>
      <c r="O103" s="401"/>
      <c r="P103" s="5"/>
      <c r="Q103" s="261"/>
      <c r="R103" s="261"/>
      <c r="S103" s="261"/>
    </row>
    <row r="104" spans="2:19" s="288" customFormat="1" x14ac:dyDescent="0.2">
      <c r="B104" s="289"/>
      <c r="F104" s="290"/>
      <c r="G104" s="290"/>
      <c r="I104" s="261"/>
      <c r="J104" s="261"/>
      <c r="K104" s="401"/>
      <c r="L104" s="5"/>
      <c r="M104" s="261"/>
      <c r="N104" s="261"/>
      <c r="O104" s="401"/>
      <c r="P104" s="5"/>
      <c r="Q104" s="261"/>
      <c r="R104" s="261"/>
      <c r="S104" s="261"/>
    </row>
    <row r="105" spans="2:19" s="288" customFormat="1" ht="27.75" x14ac:dyDescent="0.4">
      <c r="B105" s="648" t="s">
        <v>16</v>
      </c>
      <c r="C105" s="649"/>
      <c r="D105" s="649"/>
      <c r="E105" s="649"/>
      <c r="F105" s="649"/>
      <c r="G105" s="649"/>
      <c r="H105" s="649"/>
      <c r="I105" s="649"/>
      <c r="J105" s="649"/>
      <c r="K105" s="649"/>
      <c r="L105" s="649"/>
      <c r="M105" s="649"/>
      <c r="N105" s="649"/>
      <c r="O105" s="649"/>
      <c r="P105" s="649"/>
      <c r="Q105" s="649"/>
      <c r="R105" s="3"/>
      <c r="S105" s="154"/>
    </row>
    <row r="106" spans="2:19" s="288" customFormat="1" x14ac:dyDescent="0.2">
      <c r="B106" s="631" t="s">
        <v>432</v>
      </c>
      <c r="C106" s="632"/>
      <c r="D106" s="632"/>
      <c r="E106" s="632"/>
      <c r="F106" s="632"/>
      <c r="G106" s="632"/>
      <c r="H106" s="632"/>
      <c r="I106" s="632"/>
      <c r="J106" s="632"/>
      <c r="K106" s="632"/>
      <c r="L106" s="632"/>
      <c r="M106" s="632"/>
      <c r="N106" s="632"/>
      <c r="O106" s="632"/>
      <c r="P106" s="632"/>
      <c r="Q106" s="624" t="s">
        <v>761</v>
      </c>
      <c r="R106" s="624" t="s">
        <v>757</v>
      </c>
      <c r="S106" s="641" t="s">
        <v>758</v>
      </c>
    </row>
    <row r="107" spans="2:19" s="288" customFormat="1" x14ac:dyDescent="0.2">
      <c r="B107" s="633"/>
      <c r="C107" s="634" t="s">
        <v>111</v>
      </c>
      <c r="D107" s="634" t="s">
        <v>112</v>
      </c>
      <c r="E107" s="634"/>
      <c r="F107" s="634" t="s">
        <v>113</v>
      </c>
      <c r="G107" s="627" t="s">
        <v>114</v>
      </c>
      <c r="H107" s="628" t="s">
        <v>115</v>
      </c>
      <c r="I107" s="626" t="s">
        <v>759</v>
      </c>
      <c r="J107" s="626" t="s">
        <v>757</v>
      </c>
      <c r="K107" s="626" t="s">
        <v>758</v>
      </c>
      <c r="L107" s="310"/>
      <c r="M107" s="626" t="s">
        <v>760</v>
      </c>
      <c r="N107" s="626" t="s">
        <v>757</v>
      </c>
      <c r="O107" s="652" t="s">
        <v>758</v>
      </c>
      <c r="P107" s="310"/>
      <c r="Q107" s="625"/>
      <c r="R107" s="625"/>
      <c r="S107" s="642"/>
    </row>
    <row r="108" spans="2:19" s="288" customFormat="1" x14ac:dyDescent="0.2">
      <c r="B108" s="633"/>
      <c r="C108" s="634"/>
      <c r="D108" s="634"/>
      <c r="E108" s="634"/>
      <c r="F108" s="634"/>
      <c r="G108" s="627"/>
      <c r="H108" s="628"/>
      <c r="I108" s="626"/>
      <c r="J108" s="626"/>
      <c r="K108" s="626"/>
      <c r="L108" s="310"/>
      <c r="M108" s="626"/>
      <c r="N108" s="626"/>
      <c r="O108" s="652"/>
      <c r="P108" s="310"/>
      <c r="Q108" s="625"/>
      <c r="R108" s="625"/>
      <c r="S108" s="642"/>
    </row>
    <row r="109" spans="2:19" s="288" customFormat="1" x14ac:dyDescent="0.2">
      <c r="B109" s="633"/>
      <c r="C109" s="634"/>
      <c r="D109" s="634"/>
      <c r="E109" s="634"/>
      <c r="F109" s="634"/>
      <c r="G109" s="627"/>
      <c r="H109" s="628"/>
      <c r="I109" s="626"/>
      <c r="J109" s="626"/>
      <c r="K109" s="626"/>
      <c r="L109" s="310"/>
      <c r="M109" s="626"/>
      <c r="N109" s="626"/>
      <c r="O109" s="652"/>
      <c r="P109" s="310"/>
      <c r="Q109" s="625"/>
      <c r="R109" s="625"/>
      <c r="S109" s="642"/>
    </row>
    <row r="110" spans="2:19" s="288" customFormat="1" x14ac:dyDescent="0.2">
      <c r="B110" s="633"/>
      <c r="C110" s="634"/>
      <c r="D110" s="634"/>
      <c r="E110" s="634"/>
      <c r="F110" s="634"/>
      <c r="G110" s="627"/>
      <c r="H110" s="628"/>
      <c r="I110" s="626"/>
      <c r="J110" s="626"/>
      <c r="K110" s="626"/>
      <c r="L110" s="310"/>
      <c r="M110" s="626"/>
      <c r="N110" s="626"/>
      <c r="O110" s="652"/>
      <c r="P110" s="310"/>
      <c r="Q110" s="625"/>
      <c r="R110" s="625"/>
      <c r="S110" s="642"/>
    </row>
    <row r="111" spans="2:19" s="288" customFormat="1" ht="15.75" x14ac:dyDescent="0.2">
      <c r="B111" s="6">
        <v>1</v>
      </c>
      <c r="C111" s="635" t="s">
        <v>16</v>
      </c>
      <c r="D111" s="636"/>
      <c r="E111" s="636"/>
      <c r="F111" s="636"/>
      <c r="G111" s="636"/>
      <c r="H111" s="636"/>
      <c r="I111" s="7">
        <f>I112+I115+I134+I138+I167+I187+I192+I202</f>
        <v>9579924</v>
      </c>
      <c r="J111" s="7">
        <f>J112+J115+J134+J138+J167+J187+J192+J202</f>
        <v>9108977</v>
      </c>
      <c r="K111" s="399">
        <f t="shared" ref="K111:K122" si="15">J111/I111*100</f>
        <v>95.084021543385944</v>
      </c>
      <c r="L111" s="311"/>
      <c r="M111" s="7">
        <f>M202+M192+M187+M167+M138+M134+M115+M112</f>
        <v>6698938</v>
      </c>
      <c r="N111" s="7">
        <f>N202+N192+N187+N167+N138+N134+N115+N112</f>
        <v>2051918</v>
      </c>
      <c r="O111" s="399">
        <f>N111/M111*100</f>
        <v>30.630496953397689</v>
      </c>
      <c r="P111" s="311"/>
      <c r="Q111" s="8">
        <f t="shared" ref="Q111:Q142" si="16">I111+M111</f>
        <v>16278862</v>
      </c>
      <c r="R111" s="8">
        <f t="shared" ref="R111:R142" si="17">J111+N111</f>
        <v>11160895</v>
      </c>
      <c r="S111" s="445">
        <f t="shared" ref="S111:S142" si="18">R111/Q111*100</f>
        <v>68.560658601319929</v>
      </c>
    </row>
    <row r="112" spans="2:19" s="288" customFormat="1" ht="15" x14ac:dyDescent="0.2">
      <c r="B112" s="6">
        <f t="shared" ref="B112:B143" si="19">B111+1</f>
        <v>2</v>
      </c>
      <c r="C112" s="9">
        <v>1</v>
      </c>
      <c r="D112" s="637" t="s">
        <v>140</v>
      </c>
      <c r="E112" s="638"/>
      <c r="F112" s="638"/>
      <c r="G112" s="638"/>
      <c r="H112" s="638"/>
      <c r="I112" s="10">
        <f>I113</f>
        <v>1962000</v>
      </c>
      <c r="J112" s="10">
        <f>J113</f>
        <v>1850596</v>
      </c>
      <c r="K112" s="395">
        <f t="shared" si="15"/>
        <v>94.321916411824674</v>
      </c>
      <c r="L112" s="312"/>
      <c r="M112" s="10"/>
      <c r="N112" s="10"/>
      <c r="O112" s="395"/>
      <c r="P112" s="312"/>
      <c r="Q112" s="31">
        <f t="shared" si="16"/>
        <v>1962000</v>
      </c>
      <c r="R112" s="31">
        <f t="shared" si="17"/>
        <v>1850596</v>
      </c>
      <c r="S112" s="449">
        <f t="shared" si="18"/>
        <v>94.321916411824674</v>
      </c>
    </row>
    <row r="113" spans="2:19" s="288" customFormat="1" x14ac:dyDescent="0.2">
      <c r="B113" s="6">
        <f t="shared" si="19"/>
        <v>3</v>
      </c>
      <c r="C113" s="12"/>
      <c r="D113" s="12"/>
      <c r="E113" s="12"/>
      <c r="F113" s="13" t="s">
        <v>73</v>
      </c>
      <c r="G113" s="14">
        <v>630</v>
      </c>
      <c r="H113" s="12" t="s">
        <v>118</v>
      </c>
      <c r="I113" s="15">
        <f>I114</f>
        <v>1962000</v>
      </c>
      <c r="J113" s="15">
        <f>J114</f>
        <v>1850596</v>
      </c>
      <c r="K113" s="397">
        <f t="shared" si="15"/>
        <v>94.321916411824674</v>
      </c>
      <c r="L113" s="15"/>
      <c r="M113" s="15"/>
      <c r="N113" s="15"/>
      <c r="O113" s="397"/>
      <c r="P113" s="15"/>
      <c r="Q113" s="16">
        <f t="shared" si="16"/>
        <v>1962000</v>
      </c>
      <c r="R113" s="16">
        <f t="shared" si="17"/>
        <v>1850596</v>
      </c>
      <c r="S113" s="448">
        <f t="shared" si="18"/>
        <v>94.321916411824674</v>
      </c>
    </row>
    <row r="114" spans="2:19" s="288" customFormat="1" x14ac:dyDescent="0.2">
      <c r="B114" s="6">
        <f t="shared" si="19"/>
        <v>4</v>
      </c>
      <c r="C114" s="17"/>
      <c r="D114" s="17"/>
      <c r="E114" s="17"/>
      <c r="F114" s="18"/>
      <c r="G114" s="19">
        <v>637</v>
      </c>
      <c r="H114" s="17" t="s">
        <v>119</v>
      </c>
      <c r="I114" s="20">
        <f>150000+1734800+77200</f>
        <v>1962000</v>
      </c>
      <c r="J114" s="20">
        <v>1850596</v>
      </c>
      <c r="K114" s="397">
        <f t="shared" si="15"/>
        <v>94.321916411824674</v>
      </c>
      <c r="L114" s="20"/>
      <c r="M114" s="20"/>
      <c r="N114" s="20"/>
      <c r="O114" s="397"/>
      <c r="P114" s="20"/>
      <c r="Q114" s="21">
        <f t="shared" si="16"/>
        <v>1962000</v>
      </c>
      <c r="R114" s="21">
        <f t="shared" si="17"/>
        <v>1850596</v>
      </c>
      <c r="S114" s="448">
        <f t="shared" si="18"/>
        <v>94.321916411824674</v>
      </c>
    </row>
    <row r="115" spans="2:19" s="288" customFormat="1" ht="15" x14ac:dyDescent="0.2">
      <c r="B115" s="6">
        <f t="shared" si="19"/>
        <v>5</v>
      </c>
      <c r="C115" s="9">
        <v>2</v>
      </c>
      <c r="D115" s="637" t="s">
        <v>139</v>
      </c>
      <c r="E115" s="638"/>
      <c r="F115" s="638"/>
      <c r="G115" s="638"/>
      <c r="H115" s="638"/>
      <c r="I115" s="10">
        <f>I116+I119+I126</f>
        <v>123810</v>
      </c>
      <c r="J115" s="10">
        <f>J116+J119+J126</f>
        <v>97487</v>
      </c>
      <c r="K115" s="395">
        <f t="shared" si="15"/>
        <v>78.739197156934011</v>
      </c>
      <c r="L115" s="312"/>
      <c r="M115" s="10">
        <f>M116+M119+M126</f>
        <v>670500</v>
      </c>
      <c r="N115" s="10">
        <f>N116+N119+N126</f>
        <v>587827</v>
      </c>
      <c r="O115" s="395">
        <f>N115/M115*100</f>
        <v>87.669947800149146</v>
      </c>
      <c r="P115" s="312"/>
      <c r="Q115" s="31">
        <f t="shared" si="16"/>
        <v>794310</v>
      </c>
      <c r="R115" s="31">
        <f t="shared" si="17"/>
        <v>685314</v>
      </c>
      <c r="S115" s="449">
        <f t="shared" si="18"/>
        <v>86.277901574951841</v>
      </c>
    </row>
    <row r="116" spans="2:19" s="288" customFormat="1" ht="15" x14ac:dyDescent="0.25">
      <c r="B116" s="6">
        <f t="shared" si="19"/>
        <v>6</v>
      </c>
      <c r="C116" s="27"/>
      <c r="D116" s="27">
        <v>1</v>
      </c>
      <c r="E116" s="639" t="s">
        <v>145</v>
      </c>
      <c r="F116" s="640"/>
      <c r="G116" s="640"/>
      <c r="H116" s="640"/>
      <c r="I116" s="28">
        <f>I117</f>
        <v>14850</v>
      </c>
      <c r="J116" s="28">
        <f>J117</f>
        <v>11711</v>
      </c>
      <c r="K116" s="404">
        <f t="shared" si="15"/>
        <v>78.861952861952872</v>
      </c>
      <c r="L116" s="313"/>
      <c r="M116" s="28"/>
      <c r="N116" s="28"/>
      <c r="O116" s="404"/>
      <c r="P116" s="313"/>
      <c r="Q116" s="29">
        <f t="shared" si="16"/>
        <v>14850</v>
      </c>
      <c r="R116" s="29">
        <f t="shared" si="17"/>
        <v>11711</v>
      </c>
      <c r="S116" s="447">
        <f t="shared" si="18"/>
        <v>78.861952861952872</v>
      </c>
    </row>
    <row r="117" spans="2:19" s="288" customFormat="1" x14ac:dyDescent="0.2">
      <c r="B117" s="6">
        <f t="shared" si="19"/>
        <v>7</v>
      </c>
      <c r="C117" s="12"/>
      <c r="D117" s="12"/>
      <c r="E117" s="12"/>
      <c r="F117" s="13" t="s">
        <v>73</v>
      </c>
      <c r="G117" s="14">
        <v>630</v>
      </c>
      <c r="H117" s="12" t="s">
        <v>118</v>
      </c>
      <c r="I117" s="15">
        <f>I118</f>
        <v>14850</v>
      </c>
      <c r="J117" s="15">
        <f>J118</f>
        <v>11711</v>
      </c>
      <c r="K117" s="397">
        <f t="shared" si="15"/>
        <v>78.861952861952872</v>
      </c>
      <c r="L117" s="15"/>
      <c r="M117" s="15"/>
      <c r="N117" s="15"/>
      <c r="O117" s="397"/>
      <c r="P117" s="15"/>
      <c r="Q117" s="16">
        <f t="shared" si="16"/>
        <v>14850</v>
      </c>
      <c r="R117" s="16">
        <f t="shared" si="17"/>
        <v>11711</v>
      </c>
      <c r="S117" s="448">
        <f t="shared" si="18"/>
        <v>78.861952861952872</v>
      </c>
    </row>
    <row r="118" spans="2:19" s="288" customFormat="1" x14ac:dyDescent="0.2">
      <c r="B118" s="6">
        <f t="shared" si="19"/>
        <v>8</v>
      </c>
      <c r="C118" s="17"/>
      <c r="D118" s="17"/>
      <c r="E118" s="17"/>
      <c r="F118" s="18"/>
      <c r="G118" s="19">
        <v>637</v>
      </c>
      <c r="H118" s="17" t="s">
        <v>119</v>
      </c>
      <c r="I118" s="20">
        <v>14850</v>
      </c>
      <c r="J118" s="20">
        <v>11711</v>
      </c>
      <c r="K118" s="397">
        <f t="shared" si="15"/>
        <v>78.861952861952872</v>
      </c>
      <c r="L118" s="20"/>
      <c r="M118" s="20"/>
      <c r="N118" s="20"/>
      <c r="O118" s="397"/>
      <c r="P118" s="20"/>
      <c r="Q118" s="21">
        <f t="shared" si="16"/>
        <v>14850</v>
      </c>
      <c r="R118" s="21">
        <f t="shared" si="17"/>
        <v>11711</v>
      </c>
      <c r="S118" s="448">
        <f t="shared" si="18"/>
        <v>78.861952861952872</v>
      </c>
    </row>
    <row r="119" spans="2:19" s="288" customFormat="1" ht="15" x14ac:dyDescent="0.25">
      <c r="B119" s="6">
        <f t="shared" si="19"/>
        <v>9</v>
      </c>
      <c r="C119" s="27"/>
      <c r="D119" s="27">
        <v>2</v>
      </c>
      <c r="E119" s="639" t="s">
        <v>138</v>
      </c>
      <c r="F119" s="640"/>
      <c r="G119" s="640"/>
      <c r="H119" s="640"/>
      <c r="I119" s="28">
        <f>I120</f>
        <v>32760</v>
      </c>
      <c r="J119" s="28">
        <f>J120</f>
        <v>25456</v>
      </c>
      <c r="K119" s="404">
        <f t="shared" si="15"/>
        <v>77.704517704517713</v>
      </c>
      <c r="L119" s="313"/>
      <c r="M119" s="28">
        <f>M123</f>
        <v>100</v>
      </c>
      <c r="N119" s="28">
        <f>N123</f>
        <v>29</v>
      </c>
      <c r="O119" s="404">
        <f>N119/M119*100</f>
        <v>28.999999999999996</v>
      </c>
      <c r="P119" s="313"/>
      <c r="Q119" s="29">
        <f t="shared" si="16"/>
        <v>32860</v>
      </c>
      <c r="R119" s="29">
        <f t="shared" si="17"/>
        <v>25485</v>
      </c>
      <c r="S119" s="447">
        <f t="shared" si="18"/>
        <v>77.556299452221538</v>
      </c>
    </row>
    <row r="120" spans="2:19" s="288" customFormat="1" x14ac:dyDescent="0.2">
      <c r="B120" s="6">
        <f t="shared" si="19"/>
        <v>10</v>
      </c>
      <c r="C120" s="12"/>
      <c r="D120" s="12"/>
      <c r="E120" s="12"/>
      <c r="F120" s="13" t="s">
        <v>73</v>
      </c>
      <c r="G120" s="14">
        <v>630</v>
      </c>
      <c r="H120" s="12" t="s">
        <v>118</v>
      </c>
      <c r="I120" s="15">
        <f>I121+I122</f>
        <v>32760</v>
      </c>
      <c r="J120" s="15">
        <f>J121+J122</f>
        <v>25456</v>
      </c>
      <c r="K120" s="397">
        <f t="shared" si="15"/>
        <v>77.704517704517713</v>
      </c>
      <c r="L120" s="15"/>
      <c r="M120" s="15"/>
      <c r="N120" s="15"/>
      <c r="O120" s="397"/>
      <c r="P120" s="15"/>
      <c r="Q120" s="16">
        <f t="shared" si="16"/>
        <v>32760</v>
      </c>
      <c r="R120" s="16">
        <f t="shared" si="17"/>
        <v>25456</v>
      </c>
      <c r="S120" s="448">
        <f t="shared" si="18"/>
        <v>77.704517704517713</v>
      </c>
    </row>
    <row r="121" spans="2:19" s="288" customFormat="1" x14ac:dyDescent="0.2">
      <c r="B121" s="6">
        <f t="shared" si="19"/>
        <v>11</v>
      </c>
      <c r="C121" s="17"/>
      <c r="D121" s="17"/>
      <c r="E121" s="17"/>
      <c r="F121" s="18"/>
      <c r="G121" s="19">
        <v>636</v>
      </c>
      <c r="H121" s="17" t="s">
        <v>123</v>
      </c>
      <c r="I121" s="20">
        <v>9410</v>
      </c>
      <c r="J121" s="20">
        <v>9408</v>
      </c>
      <c r="K121" s="397">
        <f t="shared" si="15"/>
        <v>99.9787460148778</v>
      </c>
      <c r="L121" s="20"/>
      <c r="M121" s="20"/>
      <c r="N121" s="20"/>
      <c r="O121" s="397"/>
      <c r="P121" s="20"/>
      <c r="Q121" s="21">
        <f t="shared" si="16"/>
        <v>9410</v>
      </c>
      <c r="R121" s="21">
        <f t="shared" si="17"/>
        <v>9408</v>
      </c>
      <c r="S121" s="448">
        <f t="shared" si="18"/>
        <v>99.9787460148778</v>
      </c>
    </row>
    <row r="122" spans="2:19" s="288" customFormat="1" x14ac:dyDescent="0.2">
      <c r="B122" s="6">
        <f t="shared" si="19"/>
        <v>12</v>
      </c>
      <c r="C122" s="17"/>
      <c r="D122" s="17"/>
      <c r="E122" s="17"/>
      <c r="F122" s="18"/>
      <c r="G122" s="19">
        <v>637</v>
      </c>
      <c r="H122" s="17" t="s">
        <v>119</v>
      </c>
      <c r="I122" s="20">
        <f>18850+4500</f>
        <v>23350</v>
      </c>
      <c r="J122" s="20">
        <v>16048</v>
      </c>
      <c r="K122" s="397">
        <f t="shared" si="15"/>
        <v>68.728051391862948</v>
      </c>
      <c r="L122" s="20"/>
      <c r="M122" s="20"/>
      <c r="N122" s="20"/>
      <c r="O122" s="397"/>
      <c r="P122" s="20"/>
      <c r="Q122" s="21">
        <f t="shared" si="16"/>
        <v>23350</v>
      </c>
      <c r="R122" s="21">
        <f t="shared" si="17"/>
        <v>16048</v>
      </c>
      <c r="S122" s="448">
        <f t="shared" si="18"/>
        <v>68.728051391862948</v>
      </c>
    </row>
    <row r="123" spans="2:19" s="288" customFormat="1" x14ac:dyDescent="0.2">
      <c r="B123" s="6">
        <f t="shared" si="19"/>
        <v>13</v>
      </c>
      <c r="C123" s="12"/>
      <c r="D123" s="12"/>
      <c r="E123" s="12"/>
      <c r="F123" s="13" t="s">
        <v>73</v>
      </c>
      <c r="G123" s="14">
        <v>710</v>
      </c>
      <c r="H123" s="12" t="s">
        <v>172</v>
      </c>
      <c r="I123" s="15"/>
      <c r="J123" s="15"/>
      <c r="K123" s="397"/>
      <c r="L123" s="15"/>
      <c r="M123" s="15">
        <f>M124</f>
        <v>100</v>
      </c>
      <c r="N123" s="15">
        <f>N124</f>
        <v>29</v>
      </c>
      <c r="O123" s="397">
        <f>N123/M123*100</f>
        <v>28.999999999999996</v>
      </c>
      <c r="P123" s="15"/>
      <c r="Q123" s="16">
        <f t="shared" si="16"/>
        <v>100</v>
      </c>
      <c r="R123" s="16">
        <f t="shared" si="17"/>
        <v>29</v>
      </c>
      <c r="S123" s="448">
        <f t="shared" si="18"/>
        <v>28.999999999999996</v>
      </c>
    </row>
    <row r="124" spans="2:19" s="288" customFormat="1" x14ac:dyDescent="0.2">
      <c r="B124" s="6">
        <f t="shared" si="19"/>
        <v>14</v>
      </c>
      <c r="C124" s="17"/>
      <c r="D124" s="17"/>
      <c r="E124" s="17"/>
      <c r="F124" s="18"/>
      <c r="G124" s="19">
        <v>712</v>
      </c>
      <c r="H124" s="17" t="s">
        <v>57</v>
      </c>
      <c r="I124" s="20"/>
      <c r="J124" s="20"/>
      <c r="K124" s="397"/>
      <c r="L124" s="20"/>
      <c r="M124" s="20">
        <f>M125</f>
        <v>100</v>
      </c>
      <c r="N124" s="20">
        <f>N125</f>
        <v>29</v>
      </c>
      <c r="O124" s="397">
        <f>N124/M124*100</f>
        <v>28.999999999999996</v>
      </c>
      <c r="P124" s="20"/>
      <c r="Q124" s="21">
        <f t="shared" si="16"/>
        <v>100</v>
      </c>
      <c r="R124" s="21">
        <f t="shared" si="17"/>
        <v>29</v>
      </c>
      <c r="S124" s="448">
        <f t="shared" si="18"/>
        <v>28.999999999999996</v>
      </c>
    </row>
    <row r="125" spans="2:19" s="288" customFormat="1" x14ac:dyDescent="0.2">
      <c r="B125" s="6">
        <f t="shared" si="19"/>
        <v>15</v>
      </c>
      <c r="C125" s="22"/>
      <c r="D125" s="22"/>
      <c r="E125" s="1"/>
      <c r="F125" s="23"/>
      <c r="G125" s="23"/>
      <c r="H125" s="1" t="s">
        <v>326</v>
      </c>
      <c r="I125" s="24"/>
      <c r="J125" s="24"/>
      <c r="K125" s="397"/>
      <c r="L125" s="24"/>
      <c r="M125" s="24">
        <v>100</v>
      </c>
      <c r="N125" s="24">
        <v>29</v>
      </c>
      <c r="O125" s="397">
        <f>N125/M125*100</f>
        <v>28.999999999999996</v>
      </c>
      <c r="P125" s="24"/>
      <c r="Q125" s="26">
        <f t="shared" si="16"/>
        <v>100</v>
      </c>
      <c r="R125" s="26">
        <f t="shared" si="17"/>
        <v>29</v>
      </c>
      <c r="S125" s="448">
        <f t="shared" si="18"/>
        <v>28.999999999999996</v>
      </c>
    </row>
    <row r="126" spans="2:19" s="288" customFormat="1" ht="15" x14ac:dyDescent="0.25">
      <c r="B126" s="6">
        <f t="shared" si="19"/>
        <v>16</v>
      </c>
      <c r="C126" s="27"/>
      <c r="D126" s="27">
        <v>3</v>
      </c>
      <c r="E126" s="639" t="s">
        <v>204</v>
      </c>
      <c r="F126" s="675"/>
      <c r="G126" s="675"/>
      <c r="H126" s="675"/>
      <c r="I126" s="28">
        <f>I127</f>
        <v>76200</v>
      </c>
      <c r="J126" s="28">
        <f>J127</f>
        <v>60320</v>
      </c>
      <c r="K126" s="404">
        <f>J126/I126*100</f>
        <v>79.160104986876647</v>
      </c>
      <c r="L126" s="313"/>
      <c r="M126" s="28">
        <f>M130</f>
        <v>670400</v>
      </c>
      <c r="N126" s="28">
        <f>N130</f>
        <v>587798</v>
      </c>
      <c r="O126" s="404">
        <f>N126/M126*100</f>
        <v>87.678699284009539</v>
      </c>
      <c r="P126" s="313"/>
      <c r="Q126" s="29">
        <f t="shared" si="16"/>
        <v>746600</v>
      </c>
      <c r="R126" s="29">
        <f t="shared" si="17"/>
        <v>648118</v>
      </c>
      <c r="S126" s="447">
        <f t="shared" si="18"/>
        <v>86.809268684703994</v>
      </c>
    </row>
    <row r="127" spans="2:19" s="288" customFormat="1" x14ac:dyDescent="0.2">
      <c r="B127" s="6">
        <f t="shared" si="19"/>
        <v>17</v>
      </c>
      <c r="C127" s="12"/>
      <c r="D127" s="12"/>
      <c r="E127" s="12"/>
      <c r="F127" s="13" t="s">
        <v>73</v>
      </c>
      <c r="G127" s="14">
        <v>630</v>
      </c>
      <c r="H127" s="12" t="s">
        <v>118</v>
      </c>
      <c r="I127" s="15">
        <f>I128+I129</f>
        <v>76200</v>
      </c>
      <c r="J127" s="15">
        <f>J128+J129</f>
        <v>60320</v>
      </c>
      <c r="K127" s="397">
        <f>J127/I127*100</f>
        <v>79.160104986876647</v>
      </c>
      <c r="L127" s="15"/>
      <c r="M127" s="15"/>
      <c r="N127" s="15"/>
      <c r="O127" s="397"/>
      <c r="P127" s="15"/>
      <c r="Q127" s="16">
        <f t="shared" si="16"/>
        <v>76200</v>
      </c>
      <c r="R127" s="16">
        <f t="shared" si="17"/>
        <v>60320</v>
      </c>
      <c r="S127" s="448">
        <f t="shared" si="18"/>
        <v>79.160104986876647</v>
      </c>
    </row>
    <row r="128" spans="2:19" s="288" customFormat="1" x14ac:dyDescent="0.2">
      <c r="B128" s="6">
        <f t="shared" si="19"/>
        <v>18</v>
      </c>
      <c r="C128" s="17"/>
      <c r="D128" s="17"/>
      <c r="E128" s="17"/>
      <c r="F128" s="18"/>
      <c r="G128" s="19">
        <v>636</v>
      </c>
      <c r="H128" s="17" t="s">
        <v>123</v>
      </c>
      <c r="I128" s="20">
        <v>55100</v>
      </c>
      <c r="J128" s="20">
        <v>51299</v>
      </c>
      <c r="K128" s="397">
        <f>J128/I128*100</f>
        <v>93.101633393829403</v>
      </c>
      <c r="L128" s="20"/>
      <c r="M128" s="20"/>
      <c r="N128" s="20"/>
      <c r="O128" s="397"/>
      <c r="P128" s="20"/>
      <c r="Q128" s="21">
        <f t="shared" si="16"/>
        <v>55100</v>
      </c>
      <c r="R128" s="21">
        <f t="shared" si="17"/>
        <v>51299</v>
      </c>
      <c r="S128" s="448">
        <f t="shared" si="18"/>
        <v>93.101633393829403</v>
      </c>
    </row>
    <row r="129" spans="2:19" s="288" customFormat="1" x14ac:dyDescent="0.2">
      <c r="B129" s="6">
        <f t="shared" si="19"/>
        <v>19</v>
      </c>
      <c r="C129" s="17"/>
      <c r="D129" s="17"/>
      <c r="E129" s="17"/>
      <c r="F129" s="18"/>
      <c r="G129" s="19">
        <v>637</v>
      </c>
      <c r="H129" s="17" t="s">
        <v>119</v>
      </c>
      <c r="I129" s="20">
        <f>19900+1200</f>
        <v>21100</v>
      </c>
      <c r="J129" s="20">
        <v>9021</v>
      </c>
      <c r="K129" s="397">
        <f>J129/I129*100</f>
        <v>42.753554502369667</v>
      </c>
      <c r="L129" s="20"/>
      <c r="M129" s="20"/>
      <c r="N129" s="20"/>
      <c r="O129" s="397"/>
      <c r="P129" s="20"/>
      <c r="Q129" s="21">
        <f t="shared" si="16"/>
        <v>21100</v>
      </c>
      <c r="R129" s="21">
        <f t="shared" si="17"/>
        <v>9021</v>
      </c>
      <c r="S129" s="448">
        <f t="shared" si="18"/>
        <v>42.753554502369667</v>
      </c>
    </row>
    <row r="130" spans="2:19" s="288" customFormat="1" x14ac:dyDescent="0.2">
      <c r="B130" s="6">
        <f t="shared" si="19"/>
        <v>20</v>
      </c>
      <c r="C130" s="12"/>
      <c r="D130" s="12"/>
      <c r="E130" s="12"/>
      <c r="F130" s="13" t="s">
        <v>73</v>
      </c>
      <c r="G130" s="14">
        <v>710</v>
      </c>
      <c r="H130" s="12" t="s">
        <v>172</v>
      </c>
      <c r="I130" s="15"/>
      <c r="J130" s="15"/>
      <c r="K130" s="397"/>
      <c r="L130" s="15"/>
      <c r="M130" s="15">
        <f>M131</f>
        <v>670400</v>
      </c>
      <c r="N130" s="15">
        <f>N131</f>
        <v>587798</v>
      </c>
      <c r="O130" s="397">
        <f>N130/M130*100</f>
        <v>87.678699284009539</v>
      </c>
      <c r="P130" s="15"/>
      <c r="Q130" s="16">
        <f t="shared" si="16"/>
        <v>670400</v>
      </c>
      <c r="R130" s="16">
        <f t="shared" si="17"/>
        <v>587798</v>
      </c>
      <c r="S130" s="448">
        <f t="shared" si="18"/>
        <v>87.678699284009539</v>
      </c>
    </row>
    <row r="131" spans="2:19" s="288" customFormat="1" x14ac:dyDescent="0.2">
      <c r="B131" s="6">
        <f t="shared" si="19"/>
        <v>21</v>
      </c>
      <c r="C131" s="17"/>
      <c r="D131" s="17"/>
      <c r="E131" s="17"/>
      <c r="F131" s="18"/>
      <c r="G131" s="19">
        <v>711</v>
      </c>
      <c r="H131" s="17" t="s">
        <v>206</v>
      </c>
      <c r="I131" s="20"/>
      <c r="J131" s="20"/>
      <c r="K131" s="397"/>
      <c r="L131" s="20"/>
      <c r="M131" s="20">
        <f>M132+M133</f>
        <v>670400</v>
      </c>
      <c r="N131" s="20">
        <f>N132+N133</f>
        <v>587798</v>
      </c>
      <c r="O131" s="397">
        <f>N131/M131*100</f>
        <v>87.678699284009539</v>
      </c>
      <c r="P131" s="20"/>
      <c r="Q131" s="21">
        <f t="shared" si="16"/>
        <v>670400</v>
      </c>
      <c r="R131" s="21">
        <f t="shared" si="17"/>
        <v>587798</v>
      </c>
      <c r="S131" s="448">
        <f t="shared" si="18"/>
        <v>87.678699284009539</v>
      </c>
    </row>
    <row r="132" spans="2:19" s="288" customFormat="1" x14ac:dyDescent="0.2">
      <c r="B132" s="6">
        <f t="shared" si="19"/>
        <v>22</v>
      </c>
      <c r="C132" s="22"/>
      <c r="D132" s="22"/>
      <c r="E132" s="1"/>
      <c r="F132" s="23"/>
      <c r="G132" s="23"/>
      <c r="H132" s="1" t="s">
        <v>327</v>
      </c>
      <c r="I132" s="24"/>
      <c r="J132" s="24"/>
      <c r="K132" s="397"/>
      <c r="L132" s="24"/>
      <c r="M132" s="24">
        <f>681400-6000-30000</f>
        <v>645400</v>
      </c>
      <c r="N132" s="24">
        <v>587798</v>
      </c>
      <c r="O132" s="397">
        <f>N132/M132*100</f>
        <v>91.074992252866437</v>
      </c>
      <c r="P132" s="24"/>
      <c r="Q132" s="26">
        <f t="shared" si="16"/>
        <v>645400</v>
      </c>
      <c r="R132" s="26">
        <f t="shared" si="17"/>
        <v>587798</v>
      </c>
      <c r="S132" s="448">
        <f t="shared" si="18"/>
        <v>91.074992252866437</v>
      </c>
    </row>
    <row r="133" spans="2:19" s="288" customFormat="1" x14ac:dyDescent="0.2">
      <c r="B133" s="6">
        <f t="shared" si="19"/>
        <v>23</v>
      </c>
      <c r="C133" s="22"/>
      <c r="D133" s="22"/>
      <c r="E133" s="1"/>
      <c r="F133" s="23"/>
      <c r="G133" s="23"/>
      <c r="H133" s="1" t="s">
        <v>446</v>
      </c>
      <c r="I133" s="24"/>
      <c r="J133" s="24"/>
      <c r="K133" s="397"/>
      <c r="L133" s="24"/>
      <c r="M133" s="24">
        <v>25000</v>
      </c>
      <c r="N133" s="24"/>
      <c r="O133" s="397">
        <f>N133/M133*100</f>
        <v>0</v>
      </c>
      <c r="P133" s="24"/>
      <c r="Q133" s="26">
        <f t="shared" si="16"/>
        <v>25000</v>
      </c>
      <c r="R133" s="26">
        <f t="shared" si="17"/>
        <v>0</v>
      </c>
      <c r="S133" s="448">
        <f t="shared" si="18"/>
        <v>0</v>
      </c>
    </row>
    <row r="134" spans="2:19" s="288" customFormat="1" ht="15" x14ac:dyDescent="0.2">
      <c r="B134" s="6">
        <f t="shared" si="19"/>
        <v>24</v>
      </c>
      <c r="C134" s="9">
        <v>3</v>
      </c>
      <c r="D134" s="637" t="s">
        <v>146</v>
      </c>
      <c r="E134" s="638"/>
      <c r="F134" s="638"/>
      <c r="G134" s="638"/>
      <c r="H134" s="638"/>
      <c r="I134" s="10">
        <f>I135</f>
        <v>10000</v>
      </c>
      <c r="J134" s="10">
        <f>J135</f>
        <v>6993</v>
      </c>
      <c r="K134" s="395">
        <f t="shared" ref="K134:K143" si="20">J134/I134*100</f>
        <v>69.930000000000007</v>
      </c>
      <c r="L134" s="312"/>
      <c r="M134" s="10"/>
      <c r="N134" s="10"/>
      <c r="O134" s="395"/>
      <c r="P134" s="312"/>
      <c r="Q134" s="31">
        <f t="shared" si="16"/>
        <v>10000</v>
      </c>
      <c r="R134" s="31">
        <f t="shared" si="17"/>
        <v>6993</v>
      </c>
      <c r="S134" s="449">
        <f t="shared" si="18"/>
        <v>69.930000000000007</v>
      </c>
    </row>
    <row r="135" spans="2:19" s="288" customFormat="1" x14ac:dyDescent="0.2">
      <c r="B135" s="6">
        <f t="shared" si="19"/>
        <v>25</v>
      </c>
      <c r="C135" s="12"/>
      <c r="D135" s="12"/>
      <c r="E135" s="12"/>
      <c r="F135" s="13"/>
      <c r="G135" s="14">
        <v>630</v>
      </c>
      <c r="H135" s="12" t="s">
        <v>118</v>
      </c>
      <c r="I135" s="15">
        <f>I136+I137</f>
        <v>10000</v>
      </c>
      <c r="J135" s="15">
        <f>J136+J137</f>
        <v>6993</v>
      </c>
      <c r="K135" s="397">
        <f t="shared" si="20"/>
        <v>69.930000000000007</v>
      </c>
      <c r="L135" s="15"/>
      <c r="M135" s="15"/>
      <c r="N135" s="15"/>
      <c r="O135" s="397"/>
      <c r="P135" s="15"/>
      <c r="Q135" s="16">
        <f t="shared" si="16"/>
        <v>10000</v>
      </c>
      <c r="R135" s="16">
        <f t="shared" si="17"/>
        <v>6993</v>
      </c>
      <c r="S135" s="448">
        <f t="shared" si="18"/>
        <v>69.930000000000007</v>
      </c>
    </row>
    <row r="136" spans="2:19" s="288" customFormat="1" x14ac:dyDescent="0.2">
      <c r="B136" s="6">
        <f t="shared" si="19"/>
        <v>26</v>
      </c>
      <c r="C136" s="17"/>
      <c r="D136" s="17"/>
      <c r="E136" s="17"/>
      <c r="F136" s="13" t="s">
        <v>73</v>
      </c>
      <c r="G136" s="19">
        <v>633</v>
      </c>
      <c r="H136" s="17" t="s">
        <v>122</v>
      </c>
      <c r="I136" s="20">
        <v>2000</v>
      </c>
      <c r="J136" s="20">
        <v>0</v>
      </c>
      <c r="K136" s="397">
        <f t="shared" si="20"/>
        <v>0</v>
      </c>
      <c r="L136" s="20"/>
      <c r="M136" s="20"/>
      <c r="N136" s="20"/>
      <c r="O136" s="397"/>
      <c r="P136" s="20"/>
      <c r="Q136" s="21">
        <f t="shared" si="16"/>
        <v>2000</v>
      </c>
      <c r="R136" s="21">
        <f t="shared" si="17"/>
        <v>0</v>
      </c>
      <c r="S136" s="448">
        <f t="shared" si="18"/>
        <v>0</v>
      </c>
    </row>
    <row r="137" spans="2:19" s="288" customFormat="1" x14ac:dyDescent="0.2">
      <c r="B137" s="6">
        <f t="shared" si="19"/>
        <v>27</v>
      </c>
      <c r="C137" s="17"/>
      <c r="D137" s="17"/>
      <c r="E137" s="17"/>
      <c r="F137" s="13" t="s">
        <v>397</v>
      </c>
      <c r="G137" s="19">
        <v>637</v>
      </c>
      <c r="H137" s="17" t="s">
        <v>119</v>
      </c>
      <c r="I137" s="20">
        <v>8000</v>
      </c>
      <c r="J137" s="20">
        <v>6993</v>
      </c>
      <c r="K137" s="397">
        <f t="shared" si="20"/>
        <v>87.412500000000009</v>
      </c>
      <c r="L137" s="20"/>
      <c r="M137" s="20"/>
      <c r="N137" s="20"/>
      <c r="O137" s="397"/>
      <c r="P137" s="20"/>
      <c r="Q137" s="21">
        <f t="shared" si="16"/>
        <v>8000</v>
      </c>
      <c r="R137" s="21">
        <f t="shared" si="17"/>
        <v>6993</v>
      </c>
      <c r="S137" s="448">
        <f t="shared" si="18"/>
        <v>87.412500000000009</v>
      </c>
    </row>
    <row r="138" spans="2:19" s="288" customFormat="1" ht="15" x14ac:dyDescent="0.2">
      <c r="B138" s="6">
        <f t="shared" si="19"/>
        <v>28</v>
      </c>
      <c r="C138" s="9">
        <v>4</v>
      </c>
      <c r="D138" s="637" t="s">
        <v>188</v>
      </c>
      <c r="E138" s="638"/>
      <c r="F138" s="638"/>
      <c r="G138" s="638"/>
      <c r="H138" s="638"/>
      <c r="I138" s="10">
        <f>I139</f>
        <v>265500</v>
      </c>
      <c r="J138" s="10">
        <f>J139</f>
        <v>212500</v>
      </c>
      <c r="K138" s="395">
        <f t="shared" si="20"/>
        <v>80.037664783427502</v>
      </c>
      <c r="L138" s="312"/>
      <c r="M138" s="10">
        <f>M144</f>
        <v>5904538</v>
      </c>
      <c r="N138" s="10">
        <f>N144</f>
        <v>1395258</v>
      </c>
      <c r="O138" s="395">
        <f>N138/M138*100</f>
        <v>23.630265399257315</v>
      </c>
      <c r="P138" s="312"/>
      <c r="Q138" s="31">
        <f t="shared" si="16"/>
        <v>6170038</v>
      </c>
      <c r="R138" s="31">
        <f t="shared" si="17"/>
        <v>1607758</v>
      </c>
      <c r="S138" s="449">
        <f t="shared" si="18"/>
        <v>26.057505642590854</v>
      </c>
    </row>
    <row r="139" spans="2:19" s="288" customFormat="1" x14ac:dyDescent="0.2">
      <c r="B139" s="6">
        <f t="shared" si="19"/>
        <v>29</v>
      </c>
      <c r="C139" s="12"/>
      <c r="D139" s="12"/>
      <c r="E139" s="12"/>
      <c r="F139" s="13" t="s">
        <v>150</v>
      </c>
      <c r="G139" s="14">
        <v>630</v>
      </c>
      <c r="H139" s="12" t="s">
        <v>118</v>
      </c>
      <c r="I139" s="15">
        <f>SUM(I140:I143)</f>
        <v>265500</v>
      </c>
      <c r="J139" s="15">
        <f>SUM(J140:J143)</f>
        <v>212500</v>
      </c>
      <c r="K139" s="397">
        <f t="shared" si="20"/>
        <v>80.037664783427502</v>
      </c>
      <c r="L139" s="15"/>
      <c r="M139" s="15"/>
      <c r="N139" s="15"/>
      <c r="O139" s="397"/>
      <c r="P139" s="15"/>
      <c r="Q139" s="16">
        <f t="shared" si="16"/>
        <v>265500</v>
      </c>
      <c r="R139" s="16">
        <f t="shared" si="17"/>
        <v>212500</v>
      </c>
      <c r="S139" s="448">
        <f t="shared" si="18"/>
        <v>80.037664783427502</v>
      </c>
    </row>
    <row r="140" spans="2:19" s="288" customFormat="1" x14ac:dyDescent="0.2">
      <c r="B140" s="6">
        <f t="shared" si="19"/>
        <v>30</v>
      </c>
      <c r="C140" s="17"/>
      <c r="D140" s="17"/>
      <c r="E140" s="17"/>
      <c r="F140" s="18"/>
      <c r="G140" s="19">
        <v>632</v>
      </c>
      <c r="H140" s="17" t="s">
        <v>131</v>
      </c>
      <c r="I140" s="20">
        <v>63000</v>
      </c>
      <c r="J140" s="20">
        <v>52922</v>
      </c>
      <c r="K140" s="397">
        <f t="shared" si="20"/>
        <v>84.0031746031746</v>
      </c>
      <c r="L140" s="20"/>
      <c r="M140" s="20"/>
      <c r="N140" s="20"/>
      <c r="O140" s="397"/>
      <c r="P140" s="20"/>
      <c r="Q140" s="21">
        <f t="shared" si="16"/>
        <v>63000</v>
      </c>
      <c r="R140" s="21">
        <f t="shared" si="17"/>
        <v>52922</v>
      </c>
      <c r="S140" s="448">
        <f t="shared" si="18"/>
        <v>84.0031746031746</v>
      </c>
    </row>
    <row r="141" spans="2:19" s="288" customFormat="1" x14ac:dyDescent="0.2">
      <c r="B141" s="6">
        <f t="shared" si="19"/>
        <v>31</v>
      </c>
      <c r="C141" s="17"/>
      <c r="D141" s="17"/>
      <c r="E141" s="17"/>
      <c r="F141" s="18"/>
      <c r="G141" s="19">
        <v>633</v>
      </c>
      <c r="H141" s="17" t="s">
        <v>122</v>
      </c>
      <c r="I141" s="20">
        <v>32500</v>
      </c>
      <c r="J141" s="20">
        <v>14282</v>
      </c>
      <c r="K141" s="397">
        <f t="shared" si="20"/>
        <v>43.944615384615382</v>
      </c>
      <c r="L141" s="20"/>
      <c r="M141" s="20"/>
      <c r="N141" s="20"/>
      <c r="O141" s="397"/>
      <c r="P141" s="20"/>
      <c r="Q141" s="21">
        <f t="shared" si="16"/>
        <v>32500</v>
      </c>
      <c r="R141" s="21">
        <f t="shared" si="17"/>
        <v>14282</v>
      </c>
      <c r="S141" s="448">
        <f t="shared" si="18"/>
        <v>43.944615384615382</v>
      </c>
    </row>
    <row r="142" spans="2:19" s="288" customFormat="1" x14ac:dyDescent="0.2">
      <c r="B142" s="6">
        <f t="shared" si="19"/>
        <v>32</v>
      </c>
      <c r="C142" s="17"/>
      <c r="D142" s="17"/>
      <c r="E142" s="17"/>
      <c r="F142" s="18"/>
      <c r="G142" s="19">
        <v>635</v>
      </c>
      <c r="H142" s="17" t="s">
        <v>130</v>
      </c>
      <c r="I142" s="20">
        <f>81000+5000</f>
        <v>86000</v>
      </c>
      <c r="J142" s="20">
        <v>68990</v>
      </c>
      <c r="K142" s="397">
        <f t="shared" si="20"/>
        <v>80.220930232558146</v>
      </c>
      <c r="L142" s="20"/>
      <c r="M142" s="20"/>
      <c r="N142" s="20"/>
      <c r="O142" s="397"/>
      <c r="P142" s="20"/>
      <c r="Q142" s="21">
        <f t="shared" si="16"/>
        <v>86000</v>
      </c>
      <c r="R142" s="21">
        <f t="shared" si="17"/>
        <v>68990</v>
      </c>
      <c r="S142" s="448">
        <f t="shared" si="18"/>
        <v>80.220930232558146</v>
      </c>
    </row>
    <row r="143" spans="2:19" s="288" customFormat="1" x14ac:dyDescent="0.2">
      <c r="B143" s="6">
        <f t="shared" si="19"/>
        <v>33</v>
      </c>
      <c r="C143" s="17"/>
      <c r="D143" s="17"/>
      <c r="E143" s="17"/>
      <c r="F143" s="18"/>
      <c r="G143" s="19">
        <v>637</v>
      </c>
      <c r="H143" s="17" t="s">
        <v>119</v>
      </c>
      <c r="I143" s="20">
        <f>86000-2000</f>
        <v>84000</v>
      </c>
      <c r="J143" s="20">
        <v>76306</v>
      </c>
      <c r="K143" s="397">
        <f t="shared" si="20"/>
        <v>90.840476190476195</v>
      </c>
      <c r="L143" s="20"/>
      <c r="M143" s="20"/>
      <c r="N143" s="20"/>
      <c r="O143" s="397"/>
      <c r="P143" s="20"/>
      <c r="Q143" s="21">
        <f t="shared" ref="Q143:Q174" si="21">I143+M143</f>
        <v>84000</v>
      </c>
      <c r="R143" s="21">
        <f t="shared" ref="R143:R174" si="22">J143+N143</f>
        <v>76306</v>
      </c>
      <c r="S143" s="448">
        <f t="shared" ref="S143:S174" si="23">R143/Q143*100</f>
        <v>90.840476190476195</v>
      </c>
    </row>
    <row r="144" spans="2:19" s="288" customFormat="1" x14ac:dyDescent="0.2">
      <c r="B144" s="6">
        <f t="shared" ref="B144:B175" si="24">B143+1</f>
        <v>34</v>
      </c>
      <c r="C144" s="12"/>
      <c r="D144" s="12"/>
      <c r="E144" s="12"/>
      <c r="F144" s="13" t="s">
        <v>189</v>
      </c>
      <c r="G144" s="14">
        <v>710</v>
      </c>
      <c r="H144" s="12" t="s">
        <v>172</v>
      </c>
      <c r="I144" s="15"/>
      <c r="J144" s="15"/>
      <c r="K144" s="397"/>
      <c r="L144" s="15"/>
      <c r="M144" s="15">
        <f>M147+M153+M165+M145</f>
        <v>5904538</v>
      </c>
      <c r="N144" s="15">
        <f>N147+N153+N165+N145</f>
        <v>1395258</v>
      </c>
      <c r="O144" s="397">
        <f t="shared" ref="O144:O167" si="25">N144/M144*100</f>
        <v>23.630265399257315</v>
      </c>
      <c r="P144" s="15"/>
      <c r="Q144" s="16">
        <f t="shared" si="21"/>
        <v>5904538</v>
      </c>
      <c r="R144" s="16">
        <f t="shared" si="22"/>
        <v>1395258</v>
      </c>
      <c r="S144" s="448">
        <f t="shared" si="23"/>
        <v>23.630265399257315</v>
      </c>
    </row>
    <row r="145" spans="2:19" s="288" customFormat="1" x14ac:dyDescent="0.2">
      <c r="B145" s="6">
        <f t="shared" si="24"/>
        <v>35</v>
      </c>
      <c r="C145" s="12"/>
      <c r="D145" s="12"/>
      <c r="E145" s="12"/>
      <c r="F145" s="13"/>
      <c r="G145" s="74">
        <v>713</v>
      </c>
      <c r="H145" s="72" t="s">
        <v>216</v>
      </c>
      <c r="I145" s="15"/>
      <c r="J145" s="15"/>
      <c r="K145" s="397"/>
      <c r="L145" s="15"/>
      <c r="M145" s="20">
        <f>M146</f>
        <v>202897</v>
      </c>
      <c r="N145" s="20">
        <f>N146</f>
        <v>2974</v>
      </c>
      <c r="O145" s="397">
        <f t="shared" si="25"/>
        <v>1.4657683455152122</v>
      </c>
      <c r="P145" s="20"/>
      <c r="Q145" s="21">
        <f t="shared" si="21"/>
        <v>202897</v>
      </c>
      <c r="R145" s="21">
        <f t="shared" si="22"/>
        <v>2974</v>
      </c>
      <c r="S145" s="448">
        <f t="shared" si="23"/>
        <v>1.4657683455152122</v>
      </c>
    </row>
    <row r="146" spans="2:19" s="288" customFormat="1" x14ac:dyDescent="0.2">
      <c r="B146" s="6">
        <f t="shared" si="24"/>
        <v>36</v>
      </c>
      <c r="C146" s="470"/>
      <c r="D146" s="470"/>
      <c r="E146" s="470"/>
      <c r="F146" s="471"/>
      <c r="G146" s="545"/>
      <c r="H146" s="546" t="s">
        <v>663</v>
      </c>
      <c r="I146" s="473"/>
      <c r="J146" s="473"/>
      <c r="K146" s="396"/>
      <c r="L146" s="473"/>
      <c r="M146" s="35">
        <v>202897</v>
      </c>
      <c r="N146" s="35">
        <v>2974</v>
      </c>
      <c r="O146" s="396">
        <f t="shared" si="25"/>
        <v>1.4657683455152122</v>
      </c>
      <c r="P146" s="35"/>
      <c r="Q146" s="37">
        <f t="shared" si="21"/>
        <v>202897</v>
      </c>
      <c r="R146" s="37">
        <f t="shared" si="22"/>
        <v>2974</v>
      </c>
      <c r="S146" s="450">
        <f t="shared" si="23"/>
        <v>1.4657683455152122</v>
      </c>
    </row>
    <row r="147" spans="2:19" s="288" customFormat="1" x14ac:dyDescent="0.2">
      <c r="B147" s="6">
        <f t="shared" si="24"/>
        <v>37</v>
      </c>
      <c r="C147" s="52"/>
      <c r="D147" s="52"/>
      <c r="E147" s="52"/>
      <c r="F147" s="53"/>
      <c r="G147" s="54">
        <v>716</v>
      </c>
      <c r="H147" s="52" t="s">
        <v>213</v>
      </c>
      <c r="I147" s="56"/>
      <c r="J147" s="56"/>
      <c r="K147" s="396"/>
      <c r="L147" s="56"/>
      <c r="M147" s="56">
        <f>SUM(M148:M152)</f>
        <v>71000</v>
      </c>
      <c r="N147" s="56">
        <f>SUM(N148:N152)</f>
        <v>9973</v>
      </c>
      <c r="O147" s="396">
        <f t="shared" si="25"/>
        <v>14.046478873239437</v>
      </c>
      <c r="P147" s="56"/>
      <c r="Q147" s="57">
        <f t="shared" si="21"/>
        <v>71000</v>
      </c>
      <c r="R147" s="57">
        <f t="shared" si="22"/>
        <v>9973</v>
      </c>
      <c r="S147" s="450">
        <f t="shared" si="23"/>
        <v>14.046478873239437</v>
      </c>
    </row>
    <row r="148" spans="2:19" s="288" customFormat="1" x14ac:dyDescent="0.2">
      <c r="B148" s="6">
        <f t="shared" si="24"/>
        <v>38</v>
      </c>
      <c r="C148" s="32"/>
      <c r="D148" s="32"/>
      <c r="E148" s="59"/>
      <c r="F148" s="33"/>
      <c r="G148" s="33"/>
      <c r="H148" s="59" t="s">
        <v>604</v>
      </c>
      <c r="I148" s="35"/>
      <c r="J148" s="35"/>
      <c r="K148" s="396"/>
      <c r="L148" s="35"/>
      <c r="M148" s="35">
        <v>40000</v>
      </c>
      <c r="N148" s="35">
        <v>802</v>
      </c>
      <c r="O148" s="396">
        <f t="shared" si="25"/>
        <v>2.0049999999999999</v>
      </c>
      <c r="P148" s="35"/>
      <c r="Q148" s="37">
        <f t="shared" si="21"/>
        <v>40000</v>
      </c>
      <c r="R148" s="37">
        <f t="shared" si="22"/>
        <v>802</v>
      </c>
      <c r="S148" s="450">
        <f t="shared" si="23"/>
        <v>2.0049999999999999</v>
      </c>
    </row>
    <row r="149" spans="2:19" s="288" customFormat="1" x14ac:dyDescent="0.2">
      <c r="B149" s="6">
        <f t="shared" si="24"/>
        <v>39</v>
      </c>
      <c r="C149" s="32"/>
      <c r="D149" s="32"/>
      <c r="E149" s="59"/>
      <c r="F149" s="33"/>
      <c r="G149" s="33"/>
      <c r="H149" s="34" t="s">
        <v>421</v>
      </c>
      <c r="I149" s="35"/>
      <c r="J149" s="35"/>
      <c r="K149" s="396"/>
      <c r="L149" s="35"/>
      <c r="M149" s="35">
        <v>10000</v>
      </c>
      <c r="N149" s="35">
        <v>5337</v>
      </c>
      <c r="O149" s="396">
        <f t="shared" si="25"/>
        <v>53.37</v>
      </c>
      <c r="P149" s="35"/>
      <c r="Q149" s="37">
        <f t="shared" si="21"/>
        <v>10000</v>
      </c>
      <c r="R149" s="37">
        <f t="shared" si="22"/>
        <v>5337</v>
      </c>
      <c r="S149" s="450">
        <f t="shared" si="23"/>
        <v>53.37</v>
      </c>
    </row>
    <row r="150" spans="2:19" s="288" customFormat="1" ht="24" x14ac:dyDescent="0.2">
      <c r="B150" s="6">
        <f t="shared" si="24"/>
        <v>40</v>
      </c>
      <c r="C150" s="32"/>
      <c r="D150" s="32"/>
      <c r="E150" s="59"/>
      <c r="F150" s="33"/>
      <c r="G150" s="33"/>
      <c r="H150" s="34" t="s">
        <v>748</v>
      </c>
      <c r="I150" s="35"/>
      <c r="J150" s="35"/>
      <c r="K150" s="396"/>
      <c r="L150" s="35"/>
      <c r="M150" s="35">
        <v>17100</v>
      </c>
      <c r="N150" s="35">
        <v>0</v>
      </c>
      <c r="O150" s="396">
        <f t="shared" si="25"/>
        <v>0</v>
      </c>
      <c r="P150" s="35"/>
      <c r="Q150" s="37">
        <f t="shared" si="21"/>
        <v>17100</v>
      </c>
      <c r="R150" s="37">
        <f t="shared" si="22"/>
        <v>0</v>
      </c>
      <c r="S150" s="450">
        <f t="shared" si="23"/>
        <v>0</v>
      </c>
    </row>
    <row r="151" spans="2:19" s="288" customFormat="1" ht="24" x14ac:dyDescent="0.2">
      <c r="B151" s="6">
        <f t="shared" si="24"/>
        <v>41</v>
      </c>
      <c r="C151" s="32"/>
      <c r="D151" s="32"/>
      <c r="E151" s="59"/>
      <c r="F151" s="33"/>
      <c r="G151" s="33"/>
      <c r="H151" s="34" t="s">
        <v>730</v>
      </c>
      <c r="I151" s="35"/>
      <c r="J151" s="35"/>
      <c r="K151" s="396"/>
      <c r="L151" s="35"/>
      <c r="M151" s="35">
        <v>2700</v>
      </c>
      <c r="N151" s="35">
        <v>2653</v>
      </c>
      <c r="O151" s="396">
        <f t="shared" si="25"/>
        <v>98.259259259259252</v>
      </c>
      <c r="P151" s="35"/>
      <c r="Q151" s="37">
        <f t="shared" si="21"/>
        <v>2700</v>
      </c>
      <c r="R151" s="37">
        <f t="shared" si="22"/>
        <v>2653</v>
      </c>
      <c r="S151" s="450">
        <f t="shared" si="23"/>
        <v>98.259259259259252</v>
      </c>
    </row>
    <row r="152" spans="2:19" s="288" customFormat="1" ht="24" x14ac:dyDescent="0.2">
      <c r="B152" s="6">
        <f t="shared" si="24"/>
        <v>42</v>
      </c>
      <c r="C152" s="32"/>
      <c r="D152" s="32"/>
      <c r="E152" s="59"/>
      <c r="F152" s="33"/>
      <c r="G152" s="33"/>
      <c r="H152" s="34" t="s">
        <v>643</v>
      </c>
      <c r="I152" s="35"/>
      <c r="J152" s="35"/>
      <c r="K152" s="396"/>
      <c r="L152" s="35"/>
      <c r="M152" s="35">
        <v>1200</v>
      </c>
      <c r="N152" s="35">
        <v>1181</v>
      </c>
      <c r="O152" s="396">
        <f t="shared" si="25"/>
        <v>98.416666666666657</v>
      </c>
      <c r="P152" s="35"/>
      <c r="Q152" s="37">
        <f t="shared" si="21"/>
        <v>1200</v>
      </c>
      <c r="R152" s="37">
        <f t="shared" si="22"/>
        <v>1181</v>
      </c>
      <c r="S152" s="450">
        <f t="shared" si="23"/>
        <v>98.416666666666657</v>
      </c>
    </row>
    <row r="153" spans="2:19" s="288" customFormat="1" x14ac:dyDescent="0.2">
      <c r="B153" s="6">
        <f t="shared" si="24"/>
        <v>43</v>
      </c>
      <c r="C153" s="52"/>
      <c r="D153" s="52"/>
      <c r="E153" s="52"/>
      <c r="F153" s="53"/>
      <c r="G153" s="54">
        <v>717</v>
      </c>
      <c r="H153" s="52" t="s">
        <v>179</v>
      </c>
      <c r="I153" s="56"/>
      <c r="J153" s="56"/>
      <c r="K153" s="396"/>
      <c r="L153" s="56"/>
      <c r="M153" s="56">
        <f>SUM(M154:M164)</f>
        <v>5618641</v>
      </c>
      <c r="N153" s="56">
        <f>SUM(N154:N164)</f>
        <v>1371159</v>
      </c>
      <c r="O153" s="396">
        <f t="shared" si="25"/>
        <v>24.403748166149075</v>
      </c>
      <c r="P153" s="56"/>
      <c r="Q153" s="57">
        <f t="shared" si="21"/>
        <v>5618641</v>
      </c>
      <c r="R153" s="57">
        <f t="shared" si="22"/>
        <v>1371159</v>
      </c>
      <c r="S153" s="450">
        <f t="shared" si="23"/>
        <v>24.403748166149075</v>
      </c>
    </row>
    <row r="154" spans="2:19" s="288" customFormat="1" x14ac:dyDescent="0.2">
      <c r="B154" s="6">
        <f t="shared" si="24"/>
        <v>44</v>
      </c>
      <c r="C154" s="32"/>
      <c r="D154" s="32"/>
      <c r="E154" s="59"/>
      <c r="F154" s="33"/>
      <c r="G154" s="33"/>
      <c r="H154" s="34" t="s">
        <v>580</v>
      </c>
      <c r="I154" s="35"/>
      <c r="J154" s="35"/>
      <c r="K154" s="396"/>
      <c r="L154" s="35"/>
      <c r="M154" s="35">
        <v>20000</v>
      </c>
      <c r="N154" s="35">
        <v>0</v>
      </c>
      <c r="O154" s="396">
        <f t="shared" si="25"/>
        <v>0</v>
      </c>
      <c r="P154" s="35"/>
      <c r="Q154" s="37">
        <f t="shared" si="21"/>
        <v>20000</v>
      </c>
      <c r="R154" s="37">
        <f t="shared" si="22"/>
        <v>0</v>
      </c>
      <c r="S154" s="450">
        <f t="shared" si="23"/>
        <v>0</v>
      </c>
    </row>
    <row r="155" spans="2:19" s="288" customFormat="1" x14ac:dyDescent="0.2">
      <c r="B155" s="6">
        <f t="shared" si="24"/>
        <v>45</v>
      </c>
      <c r="C155" s="32"/>
      <c r="D155" s="32"/>
      <c r="E155" s="59"/>
      <c r="F155" s="33"/>
      <c r="G155" s="33"/>
      <c r="H155" s="34" t="s">
        <v>550</v>
      </c>
      <c r="I155" s="35"/>
      <c r="J155" s="35"/>
      <c r="K155" s="396"/>
      <c r="L155" s="35"/>
      <c r="M155" s="35">
        <f>22000-5200-4800-2000</f>
        <v>10000</v>
      </c>
      <c r="N155" s="35">
        <v>9060</v>
      </c>
      <c r="O155" s="396">
        <f t="shared" si="25"/>
        <v>90.600000000000009</v>
      </c>
      <c r="P155" s="35"/>
      <c r="Q155" s="37">
        <f t="shared" si="21"/>
        <v>10000</v>
      </c>
      <c r="R155" s="37">
        <f t="shared" si="22"/>
        <v>9060</v>
      </c>
      <c r="S155" s="450">
        <f t="shared" si="23"/>
        <v>90.600000000000009</v>
      </c>
    </row>
    <row r="156" spans="2:19" s="288" customFormat="1" x14ac:dyDescent="0.2">
      <c r="B156" s="6">
        <f t="shared" si="24"/>
        <v>46</v>
      </c>
      <c r="C156" s="32"/>
      <c r="D156" s="32"/>
      <c r="E156" s="59"/>
      <c r="F156" s="33"/>
      <c r="G156" s="33"/>
      <c r="H156" s="34" t="s">
        <v>384</v>
      </c>
      <c r="I156" s="35"/>
      <c r="J156" s="35"/>
      <c r="K156" s="396"/>
      <c r="L156" s="35"/>
      <c r="M156" s="35">
        <f>284000+17000+14000+800</f>
        <v>315800</v>
      </c>
      <c r="N156" s="35">
        <v>315172</v>
      </c>
      <c r="O156" s="396">
        <f t="shared" si="25"/>
        <v>99.801139962001258</v>
      </c>
      <c r="P156" s="35"/>
      <c r="Q156" s="37">
        <f t="shared" si="21"/>
        <v>315800</v>
      </c>
      <c r="R156" s="37">
        <f t="shared" si="22"/>
        <v>315172</v>
      </c>
      <c r="S156" s="450">
        <f t="shared" si="23"/>
        <v>99.801139962001258</v>
      </c>
    </row>
    <row r="157" spans="2:19" s="288" customFormat="1" x14ac:dyDescent="0.2">
      <c r="B157" s="6">
        <f t="shared" si="24"/>
        <v>47</v>
      </c>
      <c r="C157" s="32"/>
      <c r="D157" s="32"/>
      <c r="E157" s="59"/>
      <c r="F157" s="33"/>
      <c r="G157" s="33"/>
      <c r="H157" s="34" t="s">
        <v>471</v>
      </c>
      <c r="I157" s="35"/>
      <c r="J157" s="35"/>
      <c r="K157" s="396"/>
      <c r="L157" s="35"/>
      <c r="M157" s="35">
        <v>13693</v>
      </c>
      <c r="N157" s="35">
        <v>13693</v>
      </c>
      <c r="O157" s="396">
        <f t="shared" si="25"/>
        <v>100</v>
      </c>
      <c r="P157" s="35"/>
      <c r="Q157" s="37">
        <f t="shared" si="21"/>
        <v>13693</v>
      </c>
      <c r="R157" s="37">
        <f t="shared" si="22"/>
        <v>13693</v>
      </c>
      <c r="S157" s="450">
        <f t="shared" si="23"/>
        <v>100</v>
      </c>
    </row>
    <row r="158" spans="2:19" s="288" customFormat="1" x14ac:dyDescent="0.2">
      <c r="B158" s="6">
        <f t="shared" si="24"/>
        <v>48</v>
      </c>
      <c r="C158" s="32"/>
      <c r="D158" s="32"/>
      <c r="E158" s="59"/>
      <c r="F158" s="33"/>
      <c r="G158" s="33"/>
      <c r="H158" s="34" t="s">
        <v>551</v>
      </c>
      <c r="I158" s="35"/>
      <c r="J158" s="35"/>
      <c r="K158" s="396"/>
      <c r="L158" s="35"/>
      <c r="M158" s="35">
        <f>118000+154000+35000</f>
        <v>307000</v>
      </c>
      <c r="N158" s="35">
        <v>300355</v>
      </c>
      <c r="O158" s="396">
        <f t="shared" si="25"/>
        <v>97.835504885993487</v>
      </c>
      <c r="P158" s="35"/>
      <c r="Q158" s="37">
        <f t="shared" si="21"/>
        <v>307000</v>
      </c>
      <c r="R158" s="37">
        <f t="shared" si="22"/>
        <v>300355</v>
      </c>
      <c r="S158" s="450">
        <f t="shared" si="23"/>
        <v>97.835504885993487</v>
      </c>
    </row>
    <row r="159" spans="2:19" s="288" customFormat="1" ht="24" x14ac:dyDescent="0.2">
      <c r="B159" s="6">
        <f t="shared" si="24"/>
        <v>49</v>
      </c>
      <c r="C159" s="32"/>
      <c r="D159" s="32"/>
      <c r="E159" s="59"/>
      <c r="F159" s="33"/>
      <c r="G159" s="33"/>
      <c r="H159" s="34" t="s">
        <v>721</v>
      </c>
      <c r="I159" s="35"/>
      <c r="J159" s="35"/>
      <c r="K159" s="396"/>
      <c r="L159" s="35"/>
      <c r="M159" s="35">
        <v>11000</v>
      </c>
      <c r="N159" s="35">
        <v>10978</v>
      </c>
      <c r="O159" s="396">
        <f t="shared" si="25"/>
        <v>99.8</v>
      </c>
      <c r="P159" s="35"/>
      <c r="Q159" s="37">
        <f t="shared" si="21"/>
        <v>11000</v>
      </c>
      <c r="R159" s="37">
        <f t="shared" si="22"/>
        <v>10978</v>
      </c>
      <c r="S159" s="450">
        <f t="shared" si="23"/>
        <v>99.8</v>
      </c>
    </row>
    <row r="160" spans="2:19" s="288" customFormat="1" x14ac:dyDescent="0.2">
      <c r="B160" s="6">
        <f t="shared" si="24"/>
        <v>50</v>
      </c>
      <c r="C160" s="32"/>
      <c r="D160" s="32"/>
      <c r="E160" s="59"/>
      <c r="F160" s="33"/>
      <c r="G160" s="33"/>
      <c r="H160" s="34" t="s">
        <v>538</v>
      </c>
      <c r="I160" s="35"/>
      <c r="J160" s="35"/>
      <c r="K160" s="396"/>
      <c r="L160" s="35"/>
      <c r="M160" s="35">
        <f>30000-828</f>
        <v>29172</v>
      </c>
      <c r="N160" s="35">
        <v>29172</v>
      </c>
      <c r="O160" s="396">
        <f t="shared" si="25"/>
        <v>100</v>
      </c>
      <c r="P160" s="35"/>
      <c r="Q160" s="37">
        <f t="shared" si="21"/>
        <v>29172</v>
      </c>
      <c r="R160" s="37">
        <f t="shared" si="22"/>
        <v>29172</v>
      </c>
      <c r="S160" s="450">
        <f t="shared" si="23"/>
        <v>100</v>
      </c>
    </row>
    <row r="161" spans="2:19" s="288" customFormat="1" x14ac:dyDescent="0.2">
      <c r="B161" s="6">
        <f t="shared" si="24"/>
        <v>51</v>
      </c>
      <c r="C161" s="32"/>
      <c r="D161" s="32"/>
      <c r="E161" s="59"/>
      <c r="F161" s="33"/>
      <c r="G161" s="33"/>
      <c r="H161" s="34" t="s">
        <v>728</v>
      </c>
      <c r="I161" s="35"/>
      <c r="J161" s="35"/>
      <c r="K161" s="396"/>
      <c r="L161" s="35"/>
      <c r="M161" s="35">
        <f>3950000+310157+611946</f>
        <v>4872103</v>
      </c>
      <c r="N161" s="35">
        <v>673706</v>
      </c>
      <c r="O161" s="396">
        <f t="shared" si="25"/>
        <v>13.827827531560807</v>
      </c>
      <c r="P161" s="35"/>
      <c r="Q161" s="37">
        <f t="shared" si="21"/>
        <v>4872103</v>
      </c>
      <c r="R161" s="37">
        <f t="shared" si="22"/>
        <v>673706</v>
      </c>
      <c r="S161" s="450">
        <f t="shared" si="23"/>
        <v>13.827827531560807</v>
      </c>
    </row>
    <row r="162" spans="2:19" s="288" customFormat="1" x14ac:dyDescent="0.2">
      <c r="B162" s="6">
        <f t="shared" si="24"/>
        <v>52</v>
      </c>
      <c r="C162" s="32"/>
      <c r="D162" s="32"/>
      <c r="E162" s="59"/>
      <c r="F162" s="33"/>
      <c r="G162" s="33"/>
      <c r="H162" s="34" t="s">
        <v>510</v>
      </c>
      <c r="I162" s="35"/>
      <c r="J162" s="35"/>
      <c r="K162" s="396"/>
      <c r="L162" s="35"/>
      <c r="M162" s="35">
        <v>13500</v>
      </c>
      <c r="N162" s="35">
        <v>0</v>
      </c>
      <c r="O162" s="396">
        <f t="shared" si="25"/>
        <v>0</v>
      </c>
      <c r="P162" s="35"/>
      <c r="Q162" s="37">
        <f t="shared" si="21"/>
        <v>13500</v>
      </c>
      <c r="R162" s="37">
        <f t="shared" si="22"/>
        <v>0</v>
      </c>
      <c r="S162" s="450">
        <f t="shared" si="23"/>
        <v>0</v>
      </c>
    </row>
    <row r="163" spans="2:19" s="288" customFormat="1" ht="24" x14ac:dyDescent="0.2">
      <c r="B163" s="6">
        <f t="shared" si="24"/>
        <v>53</v>
      </c>
      <c r="C163" s="32"/>
      <c r="D163" s="32"/>
      <c r="E163" s="59"/>
      <c r="F163" s="33"/>
      <c r="G163" s="33"/>
      <c r="H163" s="34" t="s">
        <v>511</v>
      </c>
      <c r="I163" s="35"/>
      <c r="J163" s="35"/>
      <c r="K163" s="396"/>
      <c r="L163" s="35"/>
      <c r="M163" s="35">
        <f>7500+11500-427</f>
        <v>18573</v>
      </c>
      <c r="N163" s="35">
        <v>11225</v>
      </c>
      <c r="O163" s="396">
        <f t="shared" si="25"/>
        <v>60.437193775911268</v>
      </c>
      <c r="P163" s="35"/>
      <c r="Q163" s="37">
        <f t="shared" si="21"/>
        <v>18573</v>
      </c>
      <c r="R163" s="37">
        <f t="shared" si="22"/>
        <v>11225</v>
      </c>
      <c r="S163" s="450">
        <f t="shared" si="23"/>
        <v>60.437193775911268</v>
      </c>
    </row>
    <row r="164" spans="2:19" s="288" customFormat="1" x14ac:dyDescent="0.2">
      <c r="B164" s="6">
        <f t="shared" si="24"/>
        <v>54</v>
      </c>
      <c r="C164" s="32"/>
      <c r="D164" s="32"/>
      <c r="E164" s="59"/>
      <c r="F164" s="33"/>
      <c r="G164" s="33"/>
      <c r="H164" s="34" t="s">
        <v>644</v>
      </c>
      <c r="I164" s="35"/>
      <c r="J164" s="35"/>
      <c r="K164" s="396"/>
      <c r="L164" s="35"/>
      <c r="M164" s="35">
        <v>7800</v>
      </c>
      <c r="N164" s="35">
        <v>7798</v>
      </c>
      <c r="O164" s="396">
        <f t="shared" si="25"/>
        <v>99.974358974358978</v>
      </c>
      <c r="P164" s="35"/>
      <c r="Q164" s="37">
        <f t="shared" si="21"/>
        <v>7800</v>
      </c>
      <c r="R164" s="37">
        <f t="shared" si="22"/>
        <v>7798</v>
      </c>
      <c r="S164" s="450">
        <f t="shared" si="23"/>
        <v>99.974358974358978</v>
      </c>
    </row>
    <row r="165" spans="2:19" s="288" customFormat="1" x14ac:dyDescent="0.2">
      <c r="B165" s="6">
        <f t="shared" si="24"/>
        <v>55</v>
      </c>
      <c r="C165" s="32"/>
      <c r="D165" s="32"/>
      <c r="E165" s="59"/>
      <c r="F165" s="33"/>
      <c r="G165" s="54">
        <v>718</v>
      </c>
      <c r="H165" s="52" t="s">
        <v>645</v>
      </c>
      <c r="I165" s="56"/>
      <c r="J165" s="56"/>
      <c r="K165" s="396"/>
      <c r="L165" s="35"/>
      <c r="M165" s="56">
        <f>M166</f>
        <v>12000</v>
      </c>
      <c r="N165" s="56">
        <f>N166</f>
        <v>11152</v>
      </c>
      <c r="O165" s="396">
        <f t="shared" si="25"/>
        <v>92.933333333333337</v>
      </c>
      <c r="P165" s="35"/>
      <c r="Q165" s="57">
        <f t="shared" si="21"/>
        <v>12000</v>
      </c>
      <c r="R165" s="57">
        <f t="shared" si="22"/>
        <v>11152</v>
      </c>
      <c r="S165" s="450">
        <f t="shared" si="23"/>
        <v>92.933333333333337</v>
      </c>
    </row>
    <row r="166" spans="2:19" s="288" customFormat="1" ht="24" x14ac:dyDescent="0.2">
      <c r="B166" s="6">
        <f t="shared" si="24"/>
        <v>56</v>
      </c>
      <c r="C166" s="32"/>
      <c r="D166" s="32"/>
      <c r="E166" s="59"/>
      <c r="F166" s="33"/>
      <c r="G166" s="33"/>
      <c r="H166" s="34" t="s">
        <v>664</v>
      </c>
      <c r="I166" s="35"/>
      <c r="J166" s="35"/>
      <c r="K166" s="396"/>
      <c r="L166" s="35"/>
      <c r="M166" s="35">
        <v>12000</v>
      </c>
      <c r="N166" s="35">
        <v>11152</v>
      </c>
      <c r="O166" s="396">
        <f t="shared" si="25"/>
        <v>92.933333333333337</v>
      </c>
      <c r="P166" s="35"/>
      <c r="Q166" s="37">
        <f t="shared" si="21"/>
        <v>12000</v>
      </c>
      <c r="R166" s="37">
        <f t="shared" si="22"/>
        <v>11152</v>
      </c>
      <c r="S166" s="450">
        <f t="shared" si="23"/>
        <v>92.933333333333337</v>
      </c>
    </row>
    <row r="167" spans="2:19" s="288" customFormat="1" ht="15" x14ac:dyDescent="0.2">
      <c r="B167" s="6">
        <f t="shared" si="24"/>
        <v>57</v>
      </c>
      <c r="C167" s="9">
        <v>5</v>
      </c>
      <c r="D167" s="637" t="s">
        <v>149</v>
      </c>
      <c r="E167" s="638"/>
      <c r="F167" s="638"/>
      <c r="G167" s="638"/>
      <c r="H167" s="638"/>
      <c r="I167" s="10">
        <f>I168+I169+I170+I175+I177+I178</f>
        <v>6607699</v>
      </c>
      <c r="J167" s="10">
        <f>J168+J169+J170+J175+J177+J178</f>
        <v>6385981</v>
      </c>
      <c r="K167" s="395">
        <f t="shared" ref="K167:K178" si="26">J167/I167*100</f>
        <v>96.644550546264284</v>
      </c>
      <c r="L167" s="312"/>
      <c r="M167" s="10">
        <f>M179</f>
        <v>118900</v>
      </c>
      <c r="N167" s="10">
        <f>N179</f>
        <v>65217</v>
      </c>
      <c r="O167" s="395">
        <f t="shared" si="25"/>
        <v>54.850294365012623</v>
      </c>
      <c r="P167" s="312"/>
      <c r="Q167" s="31">
        <f t="shared" si="21"/>
        <v>6726599</v>
      </c>
      <c r="R167" s="31">
        <f t="shared" si="22"/>
        <v>6451198</v>
      </c>
      <c r="S167" s="449">
        <f t="shared" si="23"/>
        <v>95.905791321884948</v>
      </c>
    </row>
    <row r="168" spans="2:19" s="288" customFormat="1" x14ac:dyDescent="0.2">
      <c r="B168" s="6">
        <f t="shared" si="24"/>
        <v>58</v>
      </c>
      <c r="C168" s="12"/>
      <c r="D168" s="12"/>
      <c r="E168" s="12"/>
      <c r="F168" s="13" t="s">
        <v>73</v>
      </c>
      <c r="G168" s="14">
        <v>610</v>
      </c>
      <c r="H168" s="12" t="s">
        <v>128</v>
      </c>
      <c r="I168" s="15">
        <f>3600000+2451+126560-30150</f>
        <v>3698861</v>
      </c>
      <c r="J168" s="15">
        <v>3683699</v>
      </c>
      <c r="K168" s="397">
        <f t="shared" si="26"/>
        <v>99.590090030417471</v>
      </c>
      <c r="L168" s="15"/>
      <c r="M168" s="15"/>
      <c r="N168" s="15"/>
      <c r="O168" s="397"/>
      <c r="P168" s="15"/>
      <c r="Q168" s="16">
        <f t="shared" si="21"/>
        <v>3698861</v>
      </c>
      <c r="R168" s="16">
        <f t="shared" si="22"/>
        <v>3683699</v>
      </c>
      <c r="S168" s="448">
        <f t="shared" si="23"/>
        <v>99.590090030417471</v>
      </c>
    </row>
    <row r="169" spans="2:19" s="288" customFormat="1" x14ac:dyDescent="0.2">
      <c r="B169" s="6">
        <f t="shared" si="24"/>
        <v>59</v>
      </c>
      <c r="C169" s="12"/>
      <c r="D169" s="12"/>
      <c r="E169" s="12"/>
      <c r="F169" s="13" t="s">
        <v>73</v>
      </c>
      <c r="G169" s="14">
        <v>620</v>
      </c>
      <c r="H169" s="12" t="s">
        <v>121</v>
      </c>
      <c r="I169" s="15">
        <f>1407000-4900+1376+45498-4000</f>
        <v>1444974</v>
      </c>
      <c r="J169" s="15">
        <f>1431326+9</f>
        <v>1431335</v>
      </c>
      <c r="K169" s="397">
        <f t="shared" si="26"/>
        <v>99.056107583942691</v>
      </c>
      <c r="L169" s="15"/>
      <c r="M169" s="15"/>
      <c r="N169" s="15"/>
      <c r="O169" s="397"/>
      <c r="P169" s="15"/>
      <c r="Q169" s="16">
        <f t="shared" si="21"/>
        <v>1444974</v>
      </c>
      <c r="R169" s="16">
        <f t="shared" si="22"/>
        <v>1431335</v>
      </c>
      <c r="S169" s="448">
        <f t="shared" si="23"/>
        <v>99.056107583942691</v>
      </c>
    </row>
    <row r="170" spans="2:19" s="288" customFormat="1" x14ac:dyDescent="0.2">
      <c r="B170" s="6">
        <f t="shared" si="24"/>
        <v>60</v>
      </c>
      <c r="C170" s="12"/>
      <c r="D170" s="12"/>
      <c r="E170" s="12"/>
      <c r="F170" s="13" t="s">
        <v>73</v>
      </c>
      <c r="G170" s="14">
        <v>630</v>
      </c>
      <c r="H170" s="12" t="s">
        <v>118</v>
      </c>
      <c r="I170" s="15">
        <f>SUM(I171:I174)</f>
        <v>826216</v>
      </c>
      <c r="J170" s="15">
        <f>SUM(J171:J174)</f>
        <v>730902</v>
      </c>
      <c r="K170" s="397">
        <f t="shared" si="26"/>
        <v>88.46379155087773</v>
      </c>
      <c r="L170" s="15"/>
      <c r="M170" s="15"/>
      <c r="N170" s="15"/>
      <c r="O170" s="397"/>
      <c r="P170" s="15"/>
      <c r="Q170" s="16">
        <f t="shared" si="21"/>
        <v>826216</v>
      </c>
      <c r="R170" s="16">
        <f t="shared" si="22"/>
        <v>730902</v>
      </c>
      <c r="S170" s="448">
        <f t="shared" si="23"/>
        <v>88.46379155087773</v>
      </c>
    </row>
    <row r="171" spans="2:19" s="288" customFormat="1" x14ac:dyDescent="0.2">
      <c r="B171" s="6">
        <f t="shared" si="24"/>
        <v>61</v>
      </c>
      <c r="C171" s="17"/>
      <c r="D171" s="17"/>
      <c r="E171" s="17"/>
      <c r="F171" s="18"/>
      <c r="G171" s="19">
        <v>632</v>
      </c>
      <c r="H171" s="17" t="s">
        <v>131</v>
      </c>
      <c r="I171" s="20">
        <f>288200+908-8115-5500-19723-15000-3104-5000</f>
        <v>232666</v>
      </c>
      <c r="J171" s="20">
        <v>193998</v>
      </c>
      <c r="K171" s="397">
        <f t="shared" si="26"/>
        <v>83.380468138877177</v>
      </c>
      <c r="L171" s="20"/>
      <c r="M171" s="20"/>
      <c r="N171" s="20"/>
      <c r="O171" s="397"/>
      <c r="P171" s="20"/>
      <c r="Q171" s="21">
        <f t="shared" si="21"/>
        <v>232666</v>
      </c>
      <c r="R171" s="21">
        <f t="shared" si="22"/>
        <v>193998</v>
      </c>
      <c r="S171" s="448">
        <f t="shared" si="23"/>
        <v>83.380468138877177</v>
      </c>
    </row>
    <row r="172" spans="2:19" s="288" customFormat="1" x14ac:dyDescent="0.2">
      <c r="B172" s="6">
        <f t="shared" si="24"/>
        <v>62</v>
      </c>
      <c r="C172" s="17"/>
      <c r="D172" s="17"/>
      <c r="E172" s="17"/>
      <c r="F172" s="18"/>
      <c r="G172" s="19">
        <v>633</v>
      </c>
      <c r="H172" s="17" t="s">
        <v>122</v>
      </c>
      <c r="I172" s="20">
        <f>65000-640</f>
        <v>64360</v>
      </c>
      <c r="J172" s="20">
        <v>62507</v>
      </c>
      <c r="K172" s="397">
        <f t="shared" si="26"/>
        <v>97.120882535736484</v>
      </c>
      <c r="L172" s="20"/>
      <c r="M172" s="20"/>
      <c r="N172" s="20"/>
      <c r="O172" s="397"/>
      <c r="P172" s="20"/>
      <c r="Q172" s="21">
        <f t="shared" si="21"/>
        <v>64360</v>
      </c>
      <c r="R172" s="21">
        <f t="shared" si="22"/>
        <v>62507</v>
      </c>
      <c r="S172" s="448">
        <f t="shared" si="23"/>
        <v>97.120882535736484</v>
      </c>
    </row>
    <row r="173" spans="2:19" s="288" customFormat="1" x14ac:dyDescent="0.2">
      <c r="B173" s="6">
        <f t="shared" si="24"/>
        <v>63</v>
      </c>
      <c r="C173" s="17"/>
      <c r="D173" s="17"/>
      <c r="E173" s="17"/>
      <c r="F173" s="18"/>
      <c r="G173" s="19">
        <v>635</v>
      </c>
      <c r="H173" s="17" t="s">
        <v>130</v>
      </c>
      <c r="I173" s="20">
        <f>99000-1000</f>
        <v>98000</v>
      </c>
      <c r="J173" s="20">
        <v>57026</v>
      </c>
      <c r="K173" s="397">
        <f t="shared" si="26"/>
        <v>58.189795918367352</v>
      </c>
      <c r="L173" s="20"/>
      <c r="M173" s="20"/>
      <c r="N173" s="20"/>
      <c r="O173" s="397"/>
      <c r="P173" s="20"/>
      <c r="Q173" s="21">
        <f t="shared" si="21"/>
        <v>98000</v>
      </c>
      <c r="R173" s="21">
        <f t="shared" si="22"/>
        <v>57026</v>
      </c>
      <c r="S173" s="448">
        <f t="shared" si="23"/>
        <v>58.189795918367352</v>
      </c>
    </row>
    <row r="174" spans="2:19" s="288" customFormat="1" x14ac:dyDescent="0.2">
      <c r="B174" s="6">
        <f t="shared" si="24"/>
        <v>64</v>
      </c>
      <c r="C174" s="17"/>
      <c r="D174" s="17"/>
      <c r="E174" s="17"/>
      <c r="F174" s="18"/>
      <c r="G174" s="19">
        <v>637</v>
      </c>
      <c r="H174" s="17" t="s">
        <v>119</v>
      </c>
      <c r="I174" s="20">
        <f>347000-270+59460+25000</f>
        <v>431190</v>
      </c>
      <c r="J174" s="20">
        <v>417371</v>
      </c>
      <c r="K174" s="397">
        <f t="shared" si="26"/>
        <v>96.79514831048958</v>
      </c>
      <c r="L174" s="20"/>
      <c r="M174" s="20"/>
      <c r="N174" s="20"/>
      <c r="O174" s="397"/>
      <c r="P174" s="20"/>
      <c r="Q174" s="21">
        <f t="shared" si="21"/>
        <v>431190</v>
      </c>
      <c r="R174" s="21">
        <f t="shared" si="22"/>
        <v>417371</v>
      </c>
      <c r="S174" s="448">
        <f t="shared" si="23"/>
        <v>96.79514831048958</v>
      </c>
    </row>
    <row r="175" spans="2:19" s="288" customFormat="1" x14ac:dyDescent="0.2">
      <c r="B175" s="6">
        <f t="shared" si="24"/>
        <v>65</v>
      </c>
      <c r="C175" s="12"/>
      <c r="D175" s="12"/>
      <c r="E175" s="12"/>
      <c r="F175" s="13" t="s">
        <v>242</v>
      </c>
      <c r="G175" s="14">
        <v>630</v>
      </c>
      <c r="H175" s="12" t="s">
        <v>118</v>
      </c>
      <c r="I175" s="15">
        <f>I176</f>
        <v>30000</v>
      </c>
      <c r="J175" s="15">
        <f>J176</f>
        <v>26914</v>
      </c>
      <c r="K175" s="397">
        <f t="shared" si="26"/>
        <v>89.713333333333338</v>
      </c>
      <c r="L175" s="15"/>
      <c r="M175" s="15"/>
      <c r="N175" s="15"/>
      <c r="O175" s="397"/>
      <c r="P175" s="15"/>
      <c r="Q175" s="16">
        <f t="shared" ref="Q175:Q180" si="27">I175+M175</f>
        <v>30000</v>
      </c>
      <c r="R175" s="16">
        <f t="shared" ref="R175:R180" si="28">J175+N175</f>
        <v>26914</v>
      </c>
      <c r="S175" s="448">
        <f t="shared" ref="S175:S206" si="29">R175/Q175*100</f>
        <v>89.713333333333338</v>
      </c>
    </row>
    <row r="176" spans="2:19" s="288" customFormat="1" x14ac:dyDescent="0.2">
      <c r="B176" s="6">
        <f t="shared" ref="B176:B206" si="30">B175+1</f>
        <v>66</v>
      </c>
      <c r="C176" s="17"/>
      <c r="D176" s="17"/>
      <c r="E176" s="17"/>
      <c r="F176" s="18"/>
      <c r="G176" s="19">
        <v>637</v>
      </c>
      <c r="H176" s="17" t="s">
        <v>119</v>
      </c>
      <c r="I176" s="20">
        <f>25000+5000</f>
        <v>30000</v>
      </c>
      <c r="J176" s="20">
        <v>26914</v>
      </c>
      <c r="K176" s="397">
        <f t="shared" si="26"/>
        <v>89.713333333333338</v>
      </c>
      <c r="L176" s="20"/>
      <c r="M176" s="20"/>
      <c r="N176" s="20"/>
      <c r="O176" s="397"/>
      <c r="P176" s="20"/>
      <c r="Q176" s="21">
        <f t="shared" si="27"/>
        <v>30000</v>
      </c>
      <c r="R176" s="21">
        <f t="shared" si="28"/>
        <v>26914</v>
      </c>
      <c r="S176" s="448">
        <f t="shared" si="29"/>
        <v>89.713333333333338</v>
      </c>
    </row>
    <row r="177" spans="2:19" s="288" customFormat="1" x14ac:dyDescent="0.2">
      <c r="B177" s="6">
        <f t="shared" si="30"/>
        <v>67</v>
      </c>
      <c r="C177" s="12"/>
      <c r="D177" s="12"/>
      <c r="E177" s="12"/>
      <c r="F177" s="13" t="s">
        <v>205</v>
      </c>
      <c r="G177" s="14">
        <v>650</v>
      </c>
      <c r="H177" s="12" t="s">
        <v>418</v>
      </c>
      <c r="I177" s="15">
        <f>480000-3000-1000-2352-5000-25000-5000</f>
        <v>438648</v>
      </c>
      <c r="J177" s="15">
        <v>385641</v>
      </c>
      <c r="K177" s="397">
        <f t="shared" si="26"/>
        <v>87.915823165727417</v>
      </c>
      <c r="L177" s="315"/>
      <c r="M177" s="15"/>
      <c r="N177" s="15"/>
      <c r="O177" s="397"/>
      <c r="P177" s="15"/>
      <c r="Q177" s="16">
        <f t="shared" si="27"/>
        <v>438648</v>
      </c>
      <c r="R177" s="16">
        <f t="shared" si="28"/>
        <v>385641</v>
      </c>
      <c r="S177" s="448">
        <f t="shared" si="29"/>
        <v>87.915823165727417</v>
      </c>
    </row>
    <row r="178" spans="2:19" s="288" customFormat="1" x14ac:dyDescent="0.2">
      <c r="B178" s="6">
        <f t="shared" si="30"/>
        <v>68</v>
      </c>
      <c r="C178" s="12"/>
      <c r="D178" s="12"/>
      <c r="E178" s="12"/>
      <c r="F178" s="13" t="s">
        <v>73</v>
      </c>
      <c r="G178" s="14">
        <v>640</v>
      </c>
      <c r="H178" s="12" t="s">
        <v>126</v>
      </c>
      <c r="I178" s="15">
        <f>189000-10000-20000-15000+25000</f>
        <v>169000</v>
      </c>
      <c r="J178" s="15">
        <v>127490</v>
      </c>
      <c r="K178" s="397">
        <f t="shared" si="26"/>
        <v>75.437869822485197</v>
      </c>
      <c r="L178" s="15"/>
      <c r="M178" s="15"/>
      <c r="N178" s="15"/>
      <c r="O178" s="397"/>
      <c r="P178" s="15"/>
      <c r="Q178" s="16">
        <f t="shared" si="27"/>
        <v>169000</v>
      </c>
      <c r="R178" s="16">
        <f t="shared" si="28"/>
        <v>127490</v>
      </c>
      <c r="S178" s="448">
        <f t="shared" si="29"/>
        <v>75.437869822485197</v>
      </c>
    </row>
    <row r="179" spans="2:19" s="288" customFormat="1" x14ac:dyDescent="0.2">
      <c r="B179" s="6">
        <f t="shared" si="30"/>
        <v>69</v>
      </c>
      <c r="C179" s="12"/>
      <c r="D179" s="12"/>
      <c r="E179" s="12"/>
      <c r="F179" s="13" t="s">
        <v>73</v>
      </c>
      <c r="G179" s="14">
        <v>710</v>
      </c>
      <c r="H179" s="12" t="s">
        <v>172</v>
      </c>
      <c r="I179" s="15"/>
      <c r="J179" s="15"/>
      <c r="K179" s="397"/>
      <c r="L179" s="15"/>
      <c r="M179" s="15">
        <f>M183+M180</f>
        <v>118900</v>
      </c>
      <c r="N179" s="15">
        <f>N183+N180</f>
        <v>65217</v>
      </c>
      <c r="O179" s="397">
        <f t="shared" ref="O179:O186" si="31">N179/M179*100</f>
        <v>54.850294365012623</v>
      </c>
      <c r="P179" s="15"/>
      <c r="Q179" s="16">
        <f t="shared" si="27"/>
        <v>118900</v>
      </c>
      <c r="R179" s="16">
        <f t="shared" si="28"/>
        <v>65217</v>
      </c>
      <c r="S179" s="448">
        <f t="shared" si="29"/>
        <v>54.850294365012623</v>
      </c>
    </row>
    <row r="180" spans="2:19" s="288" customFormat="1" x14ac:dyDescent="0.2">
      <c r="B180" s="6">
        <f t="shared" si="30"/>
        <v>70</v>
      </c>
      <c r="C180" s="17"/>
      <c r="D180" s="17"/>
      <c r="E180" s="17"/>
      <c r="F180" s="18"/>
      <c r="G180" s="19">
        <v>713</v>
      </c>
      <c r="H180" s="17" t="s">
        <v>216</v>
      </c>
      <c r="I180" s="20"/>
      <c r="J180" s="20"/>
      <c r="K180" s="397"/>
      <c r="L180" s="20"/>
      <c r="M180" s="20">
        <f>M182+M181</f>
        <v>48000</v>
      </c>
      <c r="N180" s="20">
        <f>N182+N181</f>
        <v>44895</v>
      </c>
      <c r="O180" s="397">
        <f t="shared" si="31"/>
        <v>93.53125</v>
      </c>
      <c r="P180" s="20"/>
      <c r="Q180" s="21">
        <f t="shared" si="27"/>
        <v>48000</v>
      </c>
      <c r="R180" s="21">
        <f t="shared" si="28"/>
        <v>44895</v>
      </c>
      <c r="S180" s="448">
        <f t="shared" si="29"/>
        <v>93.53125</v>
      </c>
    </row>
    <row r="181" spans="2:19" s="288" customFormat="1" x14ac:dyDescent="0.2">
      <c r="B181" s="6">
        <f t="shared" si="30"/>
        <v>71</v>
      </c>
      <c r="C181" s="17"/>
      <c r="D181" s="17"/>
      <c r="E181" s="17"/>
      <c r="F181" s="18"/>
      <c r="G181" s="19"/>
      <c r="H181" s="1" t="s">
        <v>695</v>
      </c>
      <c r="I181" s="24"/>
      <c r="J181" s="24"/>
      <c r="K181" s="397"/>
      <c r="L181" s="24"/>
      <c r="M181" s="24">
        <v>21000</v>
      </c>
      <c r="N181" s="24">
        <v>17903</v>
      </c>
      <c r="O181" s="397">
        <f t="shared" si="31"/>
        <v>85.25238095238096</v>
      </c>
      <c r="P181" s="24"/>
      <c r="Q181" s="26">
        <f>M181</f>
        <v>21000</v>
      </c>
      <c r="R181" s="26">
        <f>N181</f>
        <v>17903</v>
      </c>
      <c r="S181" s="448">
        <f t="shared" si="29"/>
        <v>85.25238095238096</v>
      </c>
    </row>
    <row r="182" spans="2:19" s="288" customFormat="1" x14ac:dyDescent="0.2">
      <c r="B182" s="6">
        <f t="shared" si="30"/>
        <v>72</v>
      </c>
      <c r="C182" s="22"/>
      <c r="D182" s="22"/>
      <c r="E182" s="1"/>
      <c r="F182" s="23"/>
      <c r="G182" s="23"/>
      <c r="H182" s="1" t="s">
        <v>540</v>
      </c>
      <c r="I182" s="24"/>
      <c r="J182" s="24"/>
      <c r="K182" s="397"/>
      <c r="L182" s="24"/>
      <c r="M182" s="24">
        <v>27000</v>
      </c>
      <c r="N182" s="24">
        <v>26992</v>
      </c>
      <c r="O182" s="397">
        <f t="shared" si="31"/>
        <v>99.970370370370361</v>
      </c>
      <c r="P182" s="24"/>
      <c r="Q182" s="26">
        <f t="shared" ref="Q182:Q206" si="32">I182+M182</f>
        <v>27000</v>
      </c>
      <c r="R182" s="26">
        <f t="shared" ref="R182:R206" si="33">J182+N182</f>
        <v>26992</v>
      </c>
      <c r="S182" s="448">
        <f t="shared" si="29"/>
        <v>99.970370370370361</v>
      </c>
    </row>
    <row r="183" spans="2:19" s="288" customFormat="1" x14ac:dyDescent="0.2">
      <c r="B183" s="6">
        <f t="shared" si="30"/>
        <v>73</v>
      </c>
      <c r="C183" s="17"/>
      <c r="D183" s="17"/>
      <c r="E183" s="17"/>
      <c r="F183" s="18"/>
      <c r="G183" s="19">
        <v>717</v>
      </c>
      <c r="H183" s="17" t="s">
        <v>179</v>
      </c>
      <c r="I183" s="20"/>
      <c r="J183" s="20"/>
      <c r="K183" s="397"/>
      <c r="L183" s="20"/>
      <c r="M183" s="20">
        <f>SUM(M184:M186)</f>
        <v>70900</v>
      </c>
      <c r="N183" s="20">
        <f>SUM(N184:N186)</f>
        <v>20322</v>
      </c>
      <c r="O183" s="397">
        <f t="shared" si="31"/>
        <v>28.662905500705222</v>
      </c>
      <c r="P183" s="20"/>
      <c r="Q183" s="21">
        <f t="shared" si="32"/>
        <v>70900</v>
      </c>
      <c r="R183" s="21">
        <f t="shared" si="33"/>
        <v>20322</v>
      </c>
      <c r="S183" s="448">
        <f t="shared" si="29"/>
        <v>28.662905500705222</v>
      </c>
    </row>
    <row r="184" spans="2:19" s="288" customFormat="1" x14ac:dyDescent="0.2">
      <c r="B184" s="6">
        <f t="shared" si="30"/>
        <v>74</v>
      </c>
      <c r="C184" s="22"/>
      <c r="D184" s="22"/>
      <c r="E184" s="1"/>
      <c r="F184" s="23"/>
      <c r="G184" s="23"/>
      <c r="H184" s="1" t="s">
        <v>539</v>
      </c>
      <c r="I184" s="24"/>
      <c r="J184" s="24"/>
      <c r="K184" s="397"/>
      <c r="L184" s="24"/>
      <c r="M184" s="24">
        <f>25000-4600</f>
        <v>20400</v>
      </c>
      <c r="N184" s="24">
        <v>20322</v>
      </c>
      <c r="O184" s="397">
        <f t="shared" si="31"/>
        <v>99.617647058823536</v>
      </c>
      <c r="P184" s="24"/>
      <c r="Q184" s="26">
        <f t="shared" si="32"/>
        <v>20400</v>
      </c>
      <c r="R184" s="26">
        <f t="shared" si="33"/>
        <v>20322</v>
      </c>
      <c r="S184" s="448">
        <f t="shared" si="29"/>
        <v>99.617647058823536</v>
      </c>
    </row>
    <row r="185" spans="2:19" s="288" customFormat="1" x14ac:dyDescent="0.2">
      <c r="B185" s="6">
        <f t="shared" si="30"/>
        <v>75</v>
      </c>
      <c r="C185" s="22"/>
      <c r="D185" s="22"/>
      <c r="E185" s="1"/>
      <c r="F185" s="23"/>
      <c r="G185" s="23"/>
      <c r="H185" s="1" t="s">
        <v>731</v>
      </c>
      <c r="I185" s="24"/>
      <c r="J185" s="24"/>
      <c r="K185" s="397"/>
      <c r="L185" s="24"/>
      <c r="M185" s="24">
        <v>10500</v>
      </c>
      <c r="N185" s="24"/>
      <c r="O185" s="397">
        <f t="shared" si="31"/>
        <v>0</v>
      </c>
      <c r="P185" s="24"/>
      <c r="Q185" s="26">
        <f t="shared" si="32"/>
        <v>10500</v>
      </c>
      <c r="R185" s="26">
        <f t="shared" si="33"/>
        <v>0</v>
      </c>
      <c r="S185" s="448">
        <f t="shared" si="29"/>
        <v>0</v>
      </c>
    </row>
    <row r="186" spans="2:19" s="288" customFormat="1" x14ac:dyDescent="0.2">
      <c r="B186" s="6">
        <f t="shared" si="30"/>
        <v>76</v>
      </c>
      <c r="C186" s="22"/>
      <c r="D186" s="22"/>
      <c r="E186" s="1"/>
      <c r="F186" s="23"/>
      <c r="G186" s="23"/>
      <c r="H186" s="1" t="s">
        <v>509</v>
      </c>
      <c r="I186" s="24"/>
      <c r="J186" s="24"/>
      <c r="K186" s="397"/>
      <c r="L186" s="24"/>
      <c r="M186" s="24">
        <v>40000</v>
      </c>
      <c r="N186" s="24"/>
      <c r="O186" s="397">
        <f t="shared" si="31"/>
        <v>0</v>
      </c>
      <c r="P186" s="24"/>
      <c r="Q186" s="26">
        <f t="shared" si="32"/>
        <v>40000</v>
      </c>
      <c r="R186" s="26">
        <f t="shared" si="33"/>
        <v>0</v>
      </c>
      <c r="S186" s="448">
        <f t="shared" si="29"/>
        <v>0</v>
      </c>
    </row>
    <row r="187" spans="2:19" s="288" customFormat="1" ht="15" x14ac:dyDescent="0.2">
      <c r="B187" s="6">
        <f t="shared" si="30"/>
        <v>77</v>
      </c>
      <c r="C187" s="9">
        <v>6</v>
      </c>
      <c r="D187" s="637" t="s">
        <v>256</v>
      </c>
      <c r="E187" s="638"/>
      <c r="F187" s="638"/>
      <c r="G187" s="638"/>
      <c r="H187" s="638"/>
      <c r="I187" s="10">
        <f>I188+I190</f>
        <v>19500</v>
      </c>
      <c r="J187" s="10">
        <f>J188+J190</f>
        <v>14033</v>
      </c>
      <c r="K187" s="395">
        <f t="shared" ref="K187:K198" si="34">J187/I187*100</f>
        <v>71.964102564102561</v>
      </c>
      <c r="L187" s="312"/>
      <c r="M187" s="10"/>
      <c r="N187" s="10"/>
      <c r="O187" s="395"/>
      <c r="P187" s="312"/>
      <c r="Q187" s="31">
        <f t="shared" si="32"/>
        <v>19500</v>
      </c>
      <c r="R187" s="31">
        <f t="shared" si="33"/>
        <v>14033</v>
      </c>
      <c r="S187" s="449">
        <f t="shared" si="29"/>
        <v>71.964102564102561</v>
      </c>
    </row>
    <row r="188" spans="2:19" s="288" customFormat="1" x14ac:dyDescent="0.2">
      <c r="B188" s="6">
        <f t="shared" si="30"/>
        <v>78</v>
      </c>
      <c r="C188" s="12"/>
      <c r="D188" s="12"/>
      <c r="E188" s="12"/>
      <c r="F188" s="13" t="s">
        <v>73</v>
      </c>
      <c r="G188" s="14">
        <v>630</v>
      </c>
      <c r="H188" s="12" t="s">
        <v>118</v>
      </c>
      <c r="I188" s="15">
        <f>I189</f>
        <v>5500</v>
      </c>
      <c r="J188" s="15">
        <f>J189</f>
        <v>4654</v>
      </c>
      <c r="K188" s="397">
        <f t="shared" si="34"/>
        <v>84.61818181818181</v>
      </c>
      <c r="L188" s="15"/>
      <c r="M188" s="15"/>
      <c r="N188" s="15"/>
      <c r="O188" s="397"/>
      <c r="P188" s="15"/>
      <c r="Q188" s="16">
        <f t="shared" si="32"/>
        <v>5500</v>
      </c>
      <c r="R188" s="16">
        <f t="shared" si="33"/>
        <v>4654</v>
      </c>
      <c r="S188" s="448">
        <f t="shared" si="29"/>
        <v>84.61818181818181</v>
      </c>
    </row>
    <row r="189" spans="2:19" s="288" customFormat="1" x14ac:dyDescent="0.2">
      <c r="B189" s="6">
        <f t="shared" si="30"/>
        <v>79</v>
      </c>
      <c r="C189" s="17"/>
      <c r="D189" s="17"/>
      <c r="E189" s="17"/>
      <c r="F189" s="18"/>
      <c r="G189" s="19">
        <v>631</v>
      </c>
      <c r="H189" s="17" t="s">
        <v>124</v>
      </c>
      <c r="I189" s="20">
        <v>5500</v>
      </c>
      <c r="J189" s="20">
        <v>4654</v>
      </c>
      <c r="K189" s="397">
        <f t="shared" si="34"/>
        <v>84.61818181818181</v>
      </c>
      <c r="L189" s="20"/>
      <c r="M189" s="20"/>
      <c r="N189" s="20"/>
      <c r="O189" s="397"/>
      <c r="P189" s="20"/>
      <c r="Q189" s="21">
        <f t="shared" si="32"/>
        <v>5500</v>
      </c>
      <c r="R189" s="21">
        <f t="shared" si="33"/>
        <v>4654</v>
      </c>
      <c r="S189" s="448">
        <f t="shared" si="29"/>
        <v>84.61818181818181</v>
      </c>
    </row>
    <row r="190" spans="2:19" s="288" customFormat="1" x14ac:dyDescent="0.2">
      <c r="B190" s="6">
        <f t="shared" si="30"/>
        <v>80</v>
      </c>
      <c r="C190" s="12"/>
      <c r="D190" s="12"/>
      <c r="E190" s="12"/>
      <c r="F190" s="13" t="s">
        <v>155</v>
      </c>
      <c r="G190" s="14">
        <v>630</v>
      </c>
      <c r="H190" s="12" t="s">
        <v>118</v>
      </c>
      <c r="I190" s="15">
        <f>I191</f>
        <v>14000</v>
      </c>
      <c r="J190" s="15">
        <f>J191</f>
        <v>9379</v>
      </c>
      <c r="K190" s="397">
        <f t="shared" si="34"/>
        <v>66.992857142857147</v>
      </c>
      <c r="L190" s="15"/>
      <c r="M190" s="15"/>
      <c r="N190" s="15"/>
      <c r="O190" s="397"/>
      <c r="P190" s="15"/>
      <c r="Q190" s="16">
        <f t="shared" si="32"/>
        <v>14000</v>
      </c>
      <c r="R190" s="16">
        <f t="shared" si="33"/>
        <v>9379</v>
      </c>
      <c r="S190" s="448">
        <f t="shared" si="29"/>
        <v>66.992857142857147</v>
      </c>
    </row>
    <row r="191" spans="2:19" s="288" customFormat="1" x14ac:dyDescent="0.2">
      <c r="B191" s="6">
        <f t="shared" si="30"/>
        <v>81</v>
      </c>
      <c r="C191" s="17"/>
      <c r="D191" s="17"/>
      <c r="E191" s="17"/>
      <c r="F191" s="18"/>
      <c r="G191" s="19">
        <v>637</v>
      </c>
      <c r="H191" s="17" t="s">
        <v>119</v>
      </c>
      <c r="I191" s="20">
        <v>14000</v>
      </c>
      <c r="J191" s="20">
        <v>9379</v>
      </c>
      <c r="K191" s="397">
        <f t="shared" si="34"/>
        <v>66.992857142857147</v>
      </c>
      <c r="L191" s="20"/>
      <c r="M191" s="20"/>
      <c r="N191" s="20"/>
      <c r="O191" s="397"/>
      <c r="P191" s="20"/>
      <c r="Q191" s="21">
        <f t="shared" si="32"/>
        <v>14000</v>
      </c>
      <c r="R191" s="21">
        <f t="shared" si="33"/>
        <v>9379</v>
      </c>
      <c r="S191" s="448">
        <f t="shared" si="29"/>
        <v>66.992857142857147</v>
      </c>
    </row>
    <row r="192" spans="2:19" s="288" customFormat="1" ht="15" x14ac:dyDescent="0.2">
      <c r="B192" s="6">
        <f t="shared" si="30"/>
        <v>82</v>
      </c>
      <c r="C192" s="9">
        <v>7</v>
      </c>
      <c r="D192" s="637" t="s">
        <v>132</v>
      </c>
      <c r="E192" s="638"/>
      <c r="F192" s="638"/>
      <c r="G192" s="638"/>
      <c r="H192" s="638"/>
      <c r="I192" s="10">
        <f>I193</f>
        <v>533700</v>
      </c>
      <c r="J192" s="10">
        <f>J193</f>
        <v>495306</v>
      </c>
      <c r="K192" s="395">
        <f t="shared" si="34"/>
        <v>92.806070826306922</v>
      </c>
      <c r="L192" s="312"/>
      <c r="M192" s="10">
        <f>M199</f>
        <v>5000</v>
      </c>
      <c r="N192" s="10">
        <f>N199</f>
        <v>3616</v>
      </c>
      <c r="O192" s="395">
        <f>N192/M192*100</f>
        <v>72.319999999999993</v>
      </c>
      <c r="P192" s="312"/>
      <c r="Q192" s="31">
        <f t="shared" si="32"/>
        <v>538700</v>
      </c>
      <c r="R192" s="31">
        <f t="shared" si="33"/>
        <v>498922</v>
      </c>
      <c r="S192" s="449">
        <f t="shared" si="29"/>
        <v>92.615927232225729</v>
      </c>
    </row>
    <row r="193" spans="2:19" s="288" customFormat="1" x14ac:dyDescent="0.2">
      <c r="B193" s="6">
        <f t="shared" si="30"/>
        <v>83</v>
      </c>
      <c r="C193" s="12"/>
      <c r="D193" s="12"/>
      <c r="E193" s="12"/>
      <c r="F193" s="13" t="s">
        <v>73</v>
      </c>
      <c r="G193" s="14">
        <v>630</v>
      </c>
      <c r="H193" s="12" t="s">
        <v>118</v>
      </c>
      <c r="I193" s="15">
        <f>SUM(I194:I198)</f>
        <v>533700</v>
      </c>
      <c r="J193" s="15">
        <f>SUM(J194:J198)</f>
        <v>495306</v>
      </c>
      <c r="K193" s="397">
        <f t="shared" si="34"/>
        <v>92.806070826306922</v>
      </c>
      <c r="L193" s="15"/>
      <c r="M193" s="15"/>
      <c r="N193" s="15"/>
      <c r="O193" s="397"/>
      <c r="P193" s="15"/>
      <c r="Q193" s="16">
        <f t="shared" si="32"/>
        <v>533700</v>
      </c>
      <c r="R193" s="16">
        <f t="shared" si="33"/>
        <v>495306</v>
      </c>
      <c r="S193" s="448">
        <f t="shared" si="29"/>
        <v>92.806070826306922</v>
      </c>
    </row>
    <row r="194" spans="2:19" s="288" customFormat="1" x14ac:dyDescent="0.2">
      <c r="B194" s="6">
        <f t="shared" si="30"/>
        <v>84</v>
      </c>
      <c r="C194" s="17"/>
      <c r="D194" s="17"/>
      <c r="E194" s="17"/>
      <c r="F194" s="18"/>
      <c r="G194" s="19">
        <v>632</v>
      </c>
      <c r="H194" s="17" t="s">
        <v>131</v>
      </c>
      <c r="I194" s="20">
        <v>7800</v>
      </c>
      <c r="J194" s="20">
        <v>3915</v>
      </c>
      <c r="K194" s="397">
        <f t="shared" si="34"/>
        <v>50.192307692307693</v>
      </c>
      <c r="L194" s="20"/>
      <c r="M194" s="20"/>
      <c r="N194" s="20"/>
      <c r="O194" s="397"/>
      <c r="P194" s="20"/>
      <c r="Q194" s="21">
        <f t="shared" si="32"/>
        <v>7800</v>
      </c>
      <c r="R194" s="21">
        <f t="shared" si="33"/>
        <v>3915</v>
      </c>
      <c r="S194" s="448">
        <f t="shared" si="29"/>
        <v>50.192307692307693</v>
      </c>
    </row>
    <row r="195" spans="2:19" s="288" customFormat="1" x14ac:dyDescent="0.2">
      <c r="B195" s="6">
        <f t="shared" si="30"/>
        <v>85</v>
      </c>
      <c r="C195" s="17"/>
      <c r="D195" s="17"/>
      <c r="E195" s="17"/>
      <c r="F195" s="18"/>
      <c r="G195" s="19">
        <v>633</v>
      </c>
      <c r="H195" s="17" t="s">
        <v>122</v>
      </c>
      <c r="I195" s="20">
        <f>87500+8000</f>
        <v>95500</v>
      </c>
      <c r="J195" s="20">
        <v>93161</v>
      </c>
      <c r="K195" s="397">
        <f t="shared" si="34"/>
        <v>97.550785340314135</v>
      </c>
      <c r="L195" s="20"/>
      <c r="M195" s="20"/>
      <c r="N195" s="20"/>
      <c r="O195" s="397"/>
      <c r="P195" s="20"/>
      <c r="Q195" s="21">
        <f t="shared" si="32"/>
        <v>95500</v>
      </c>
      <c r="R195" s="21">
        <f t="shared" si="33"/>
        <v>93161</v>
      </c>
      <c r="S195" s="448">
        <f t="shared" si="29"/>
        <v>97.550785340314135</v>
      </c>
    </row>
    <row r="196" spans="2:19" s="288" customFormat="1" x14ac:dyDescent="0.2">
      <c r="B196" s="6">
        <f t="shared" si="30"/>
        <v>86</v>
      </c>
      <c r="C196" s="17"/>
      <c r="D196" s="17"/>
      <c r="E196" s="17"/>
      <c r="F196" s="18"/>
      <c r="G196" s="19">
        <v>635</v>
      </c>
      <c r="H196" s="17" t="s">
        <v>130</v>
      </c>
      <c r="I196" s="20">
        <v>308800</v>
      </c>
      <c r="J196" s="20">
        <v>301979</v>
      </c>
      <c r="K196" s="397">
        <f t="shared" si="34"/>
        <v>97.791126943005182</v>
      </c>
      <c r="L196" s="20"/>
      <c r="M196" s="20"/>
      <c r="N196" s="20"/>
      <c r="O196" s="397"/>
      <c r="P196" s="20"/>
      <c r="Q196" s="21">
        <f t="shared" si="32"/>
        <v>308800</v>
      </c>
      <c r="R196" s="21">
        <f t="shared" si="33"/>
        <v>301979</v>
      </c>
      <c r="S196" s="448">
        <f t="shared" si="29"/>
        <v>97.791126943005182</v>
      </c>
    </row>
    <row r="197" spans="2:19" s="288" customFormat="1" x14ac:dyDescent="0.2">
      <c r="B197" s="6">
        <f t="shared" si="30"/>
        <v>87</v>
      </c>
      <c r="C197" s="17"/>
      <c r="D197" s="17"/>
      <c r="E197" s="17"/>
      <c r="F197" s="18"/>
      <c r="G197" s="19">
        <v>636</v>
      </c>
      <c r="H197" s="17" t="s">
        <v>123</v>
      </c>
      <c r="I197" s="20">
        <v>46500</v>
      </c>
      <c r="J197" s="20">
        <v>38901</v>
      </c>
      <c r="K197" s="397">
        <f t="shared" si="34"/>
        <v>83.658064516129031</v>
      </c>
      <c r="L197" s="20"/>
      <c r="M197" s="20"/>
      <c r="N197" s="20"/>
      <c r="O197" s="397"/>
      <c r="P197" s="20"/>
      <c r="Q197" s="21">
        <f t="shared" si="32"/>
        <v>46500</v>
      </c>
      <c r="R197" s="21">
        <f t="shared" si="33"/>
        <v>38901</v>
      </c>
      <c r="S197" s="448">
        <f t="shared" si="29"/>
        <v>83.658064516129031</v>
      </c>
    </row>
    <row r="198" spans="2:19" s="288" customFormat="1" x14ac:dyDescent="0.2">
      <c r="B198" s="6">
        <f t="shared" si="30"/>
        <v>88</v>
      </c>
      <c r="C198" s="17"/>
      <c r="D198" s="17"/>
      <c r="E198" s="17"/>
      <c r="F198" s="18"/>
      <c r="G198" s="19">
        <v>637</v>
      </c>
      <c r="H198" s="17" t="s">
        <v>119</v>
      </c>
      <c r="I198" s="20">
        <v>75100</v>
      </c>
      <c r="J198" s="20">
        <v>57350</v>
      </c>
      <c r="K198" s="397">
        <f t="shared" si="34"/>
        <v>76.364846870838875</v>
      </c>
      <c r="L198" s="20"/>
      <c r="M198" s="20"/>
      <c r="N198" s="20"/>
      <c r="O198" s="397"/>
      <c r="P198" s="20"/>
      <c r="Q198" s="21">
        <f t="shared" si="32"/>
        <v>75100</v>
      </c>
      <c r="R198" s="21">
        <f t="shared" si="33"/>
        <v>57350</v>
      </c>
      <c r="S198" s="448">
        <f t="shared" si="29"/>
        <v>76.364846870838875</v>
      </c>
    </row>
    <row r="199" spans="2:19" s="288" customFormat="1" x14ac:dyDescent="0.2">
      <c r="B199" s="6">
        <f t="shared" si="30"/>
        <v>89</v>
      </c>
      <c r="C199" s="12"/>
      <c r="D199" s="12"/>
      <c r="E199" s="12"/>
      <c r="F199" s="13" t="s">
        <v>73</v>
      </c>
      <c r="G199" s="14">
        <v>710</v>
      </c>
      <c r="H199" s="12" t="s">
        <v>172</v>
      </c>
      <c r="I199" s="15"/>
      <c r="J199" s="15"/>
      <c r="K199" s="397"/>
      <c r="L199" s="15"/>
      <c r="M199" s="15">
        <f>M200</f>
        <v>5000</v>
      </c>
      <c r="N199" s="15">
        <f>N200</f>
        <v>3616</v>
      </c>
      <c r="O199" s="397">
        <f>N199/M199*100</f>
        <v>72.319999999999993</v>
      </c>
      <c r="P199" s="15"/>
      <c r="Q199" s="57">
        <f t="shared" si="32"/>
        <v>5000</v>
      </c>
      <c r="R199" s="57">
        <f t="shared" si="33"/>
        <v>3616</v>
      </c>
      <c r="S199" s="450">
        <f t="shared" si="29"/>
        <v>72.319999999999993</v>
      </c>
    </row>
    <row r="200" spans="2:19" s="288" customFormat="1" x14ac:dyDescent="0.2">
      <c r="B200" s="6">
        <f t="shared" si="30"/>
        <v>90</v>
      </c>
      <c r="C200" s="17"/>
      <c r="D200" s="17"/>
      <c r="E200" s="137"/>
      <c r="F200" s="139"/>
      <c r="G200" s="140">
        <v>713</v>
      </c>
      <c r="H200" s="138" t="s">
        <v>216</v>
      </c>
      <c r="I200" s="284"/>
      <c r="J200" s="368"/>
      <c r="K200" s="442"/>
      <c r="L200" s="20"/>
      <c r="M200" s="20">
        <f>SUM(M201:M201)</f>
        <v>5000</v>
      </c>
      <c r="N200" s="20">
        <f>SUM(N201:N201)</f>
        <v>3616</v>
      </c>
      <c r="O200" s="397">
        <f>N200/M200*100</f>
        <v>72.319999999999993</v>
      </c>
      <c r="P200" s="20"/>
      <c r="Q200" s="21">
        <f t="shared" si="32"/>
        <v>5000</v>
      </c>
      <c r="R200" s="21">
        <f t="shared" si="33"/>
        <v>3616</v>
      </c>
      <c r="S200" s="448">
        <f t="shared" si="29"/>
        <v>72.319999999999993</v>
      </c>
    </row>
    <row r="201" spans="2:19" s="288" customFormat="1" x14ac:dyDescent="0.2">
      <c r="B201" s="6">
        <f t="shared" si="30"/>
        <v>91</v>
      </c>
      <c r="C201" s="22"/>
      <c r="D201" s="22"/>
      <c r="E201" s="285"/>
      <c r="F201" s="286"/>
      <c r="G201" s="286"/>
      <c r="H201" s="143" t="s">
        <v>328</v>
      </c>
      <c r="I201" s="287"/>
      <c r="J201" s="369"/>
      <c r="K201" s="442"/>
      <c r="L201" s="24"/>
      <c r="M201" s="24">
        <f>35000-35000+5000</f>
        <v>5000</v>
      </c>
      <c r="N201" s="24">
        <v>3616</v>
      </c>
      <c r="O201" s="397">
        <f>N201/M201*100</f>
        <v>72.319999999999993</v>
      </c>
      <c r="P201" s="316"/>
      <c r="Q201" s="26">
        <f t="shared" si="32"/>
        <v>5000</v>
      </c>
      <c r="R201" s="26">
        <f t="shared" si="33"/>
        <v>3616</v>
      </c>
      <c r="S201" s="448">
        <f t="shared" si="29"/>
        <v>72.319999999999993</v>
      </c>
    </row>
    <row r="202" spans="2:19" s="288" customFormat="1" ht="15" x14ac:dyDescent="0.2">
      <c r="B202" s="6">
        <f t="shared" si="30"/>
        <v>92</v>
      </c>
      <c r="C202" s="9">
        <v>8</v>
      </c>
      <c r="D202" s="637" t="s">
        <v>244</v>
      </c>
      <c r="E202" s="638"/>
      <c r="F202" s="638"/>
      <c r="G202" s="638"/>
      <c r="H202" s="638"/>
      <c r="I202" s="10">
        <f>I203</f>
        <v>57715</v>
      </c>
      <c r="J202" s="10">
        <f>J203</f>
        <v>46081</v>
      </c>
      <c r="K202" s="395">
        <f>J202/I202*100</f>
        <v>79.842328684050941</v>
      </c>
      <c r="L202" s="312"/>
      <c r="M202" s="10"/>
      <c r="N202" s="10"/>
      <c r="O202" s="395"/>
      <c r="P202" s="312"/>
      <c r="Q202" s="31">
        <f t="shared" si="32"/>
        <v>57715</v>
      </c>
      <c r="R202" s="31">
        <f t="shared" si="33"/>
        <v>46081</v>
      </c>
      <c r="S202" s="449">
        <f t="shared" si="29"/>
        <v>79.842328684050941</v>
      </c>
    </row>
    <row r="203" spans="2:19" s="288" customFormat="1" x14ac:dyDescent="0.2">
      <c r="B203" s="6">
        <f t="shared" si="30"/>
        <v>93</v>
      </c>
      <c r="C203" s="12"/>
      <c r="D203" s="12"/>
      <c r="E203" s="12"/>
      <c r="F203" s="13" t="s">
        <v>73</v>
      </c>
      <c r="G203" s="14">
        <v>630</v>
      </c>
      <c r="H203" s="12" t="s">
        <v>118</v>
      </c>
      <c r="I203" s="15">
        <f>I204+I206+I205</f>
        <v>57715</v>
      </c>
      <c r="J203" s="15">
        <f>J204+J206+J205</f>
        <v>46081</v>
      </c>
      <c r="K203" s="397">
        <f>J203/I203*100</f>
        <v>79.842328684050941</v>
      </c>
      <c r="L203" s="15"/>
      <c r="M203" s="15"/>
      <c r="N203" s="15"/>
      <c r="O203" s="397"/>
      <c r="P203" s="15"/>
      <c r="Q203" s="16">
        <f t="shared" si="32"/>
        <v>57715</v>
      </c>
      <c r="R203" s="16">
        <f t="shared" si="33"/>
        <v>46081</v>
      </c>
      <c r="S203" s="448">
        <f t="shared" si="29"/>
        <v>79.842328684050941</v>
      </c>
    </row>
    <row r="204" spans="2:19" s="288" customFormat="1" x14ac:dyDescent="0.2">
      <c r="B204" s="6">
        <f t="shared" si="30"/>
        <v>94</v>
      </c>
      <c r="C204" s="17"/>
      <c r="D204" s="17"/>
      <c r="E204" s="17"/>
      <c r="F204" s="18"/>
      <c r="G204" s="19">
        <v>634</v>
      </c>
      <c r="H204" s="17" t="s">
        <v>129</v>
      </c>
      <c r="I204" s="20">
        <v>50670</v>
      </c>
      <c r="J204" s="20">
        <v>40230</v>
      </c>
      <c r="K204" s="397">
        <f>J204/I204*100</f>
        <v>79.396092362344589</v>
      </c>
      <c r="L204" s="20"/>
      <c r="M204" s="20"/>
      <c r="N204" s="20"/>
      <c r="O204" s="397"/>
      <c r="P204" s="20"/>
      <c r="Q204" s="21">
        <f t="shared" si="32"/>
        <v>50670</v>
      </c>
      <c r="R204" s="21">
        <f t="shared" si="33"/>
        <v>40230</v>
      </c>
      <c r="S204" s="448">
        <f t="shared" si="29"/>
        <v>79.396092362344589</v>
      </c>
    </row>
    <row r="205" spans="2:19" s="288" customFormat="1" x14ac:dyDescent="0.2">
      <c r="B205" s="6">
        <f t="shared" si="30"/>
        <v>95</v>
      </c>
      <c r="C205" s="118"/>
      <c r="D205" s="118"/>
      <c r="E205" s="118"/>
      <c r="F205" s="119"/>
      <c r="G205" s="120">
        <v>636</v>
      </c>
      <c r="H205" s="118" t="s">
        <v>123</v>
      </c>
      <c r="I205" s="121">
        <v>6115</v>
      </c>
      <c r="J205" s="121">
        <v>5107</v>
      </c>
      <c r="K205" s="405">
        <f>J205/I205*100</f>
        <v>83.515944399018807</v>
      </c>
      <c r="L205" s="121"/>
      <c r="M205" s="121"/>
      <c r="N205" s="121"/>
      <c r="O205" s="405"/>
      <c r="P205" s="121"/>
      <c r="Q205" s="21">
        <f t="shared" si="32"/>
        <v>6115</v>
      </c>
      <c r="R205" s="21">
        <f t="shared" si="33"/>
        <v>5107</v>
      </c>
      <c r="S205" s="448">
        <f t="shared" si="29"/>
        <v>83.515944399018807</v>
      </c>
    </row>
    <row r="206" spans="2:19" s="288" customFormat="1" x14ac:dyDescent="0.2">
      <c r="B206" s="6">
        <f t="shared" si="30"/>
        <v>96</v>
      </c>
      <c r="C206" s="270"/>
      <c r="D206" s="270"/>
      <c r="E206" s="270"/>
      <c r="F206" s="271"/>
      <c r="G206" s="272">
        <v>637</v>
      </c>
      <c r="H206" s="270" t="s">
        <v>119</v>
      </c>
      <c r="I206" s="273">
        <v>930</v>
      </c>
      <c r="J206" s="273">
        <v>744</v>
      </c>
      <c r="K206" s="406">
        <f>J206/I206*100</f>
        <v>80</v>
      </c>
      <c r="L206" s="273"/>
      <c r="M206" s="273"/>
      <c r="N206" s="273"/>
      <c r="O206" s="406"/>
      <c r="P206" s="273"/>
      <c r="Q206" s="274">
        <f t="shared" si="32"/>
        <v>930</v>
      </c>
      <c r="R206" s="274">
        <f t="shared" si="33"/>
        <v>744</v>
      </c>
      <c r="S206" s="454">
        <f t="shared" si="29"/>
        <v>80</v>
      </c>
    </row>
    <row r="207" spans="2:19" s="288" customFormat="1" x14ac:dyDescent="0.2">
      <c r="B207" s="289"/>
      <c r="F207" s="290"/>
      <c r="G207" s="290"/>
      <c r="I207" s="261"/>
      <c r="J207" s="261"/>
      <c r="K207" s="401"/>
      <c r="L207" s="5"/>
      <c r="M207" s="261"/>
      <c r="N207" s="261"/>
      <c r="O207" s="401"/>
      <c r="P207" s="5"/>
      <c r="Q207" s="261"/>
      <c r="R207" s="261"/>
      <c r="S207" s="261"/>
    </row>
    <row r="208" spans="2:19" s="288" customFormat="1" x14ac:dyDescent="0.2">
      <c r="B208" s="289"/>
      <c r="F208" s="290"/>
      <c r="G208" s="290"/>
      <c r="I208" s="261"/>
      <c r="J208" s="261"/>
      <c r="K208" s="401"/>
      <c r="L208" s="5"/>
      <c r="M208" s="261"/>
      <c r="N208" s="261"/>
      <c r="O208" s="401"/>
      <c r="P208" s="5"/>
      <c r="Q208" s="261"/>
      <c r="R208" s="261"/>
      <c r="S208" s="261"/>
    </row>
    <row r="209" spans="2:19" s="288" customFormat="1" x14ac:dyDescent="0.2">
      <c r="B209" s="289"/>
      <c r="F209" s="290"/>
      <c r="G209" s="290"/>
      <c r="I209" s="261"/>
      <c r="J209" s="261"/>
      <c r="K209" s="401"/>
      <c r="L209" s="5"/>
      <c r="M209" s="261"/>
      <c r="N209" s="261"/>
      <c r="O209" s="401"/>
      <c r="P209" s="5"/>
      <c r="Q209" s="261"/>
      <c r="R209" s="261"/>
      <c r="S209" s="261"/>
    </row>
    <row r="210" spans="2:19" s="288" customFormat="1" ht="27.75" x14ac:dyDescent="0.4">
      <c r="B210" s="672" t="s">
        <v>17</v>
      </c>
      <c r="C210" s="673"/>
      <c r="D210" s="673"/>
      <c r="E210" s="673"/>
      <c r="F210" s="673"/>
      <c r="G210" s="673"/>
      <c r="H210" s="673"/>
      <c r="I210" s="673"/>
      <c r="J210" s="673"/>
      <c r="K210" s="673"/>
      <c r="L210" s="673"/>
      <c r="M210" s="673"/>
      <c r="N210" s="673"/>
      <c r="O210" s="673"/>
      <c r="P210" s="673"/>
      <c r="Q210" s="674"/>
      <c r="R210" s="3"/>
      <c r="S210" s="154"/>
    </row>
    <row r="211" spans="2:19" s="288" customFormat="1" x14ac:dyDescent="0.2">
      <c r="B211" s="631" t="s">
        <v>432</v>
      </c>
      <c r="C211" s="632"/>
      <c r="D211" s="632"/>
      <c r="E211" s="632"/>
      <c r="F211" s="632"/>
      <c r="G211" s="632"/>
      <c r="H211" s="632"/>
      <c r="I211" s="632"/>
      <c r="J211" s="632"/>
      <c r="K211" s="632"/>
      <c r="L211" s="632"/>
      <c r="M211" s="632"/>
      <c r="N211" s="632"/>
      <c r="O211" s="632"/>
      <c r="P211" s="632"/>
      <c r="Q211" s="624" t="s">
        <v>761</v>
      </c>
      <c r="R211" s="624" t="s">
        <v>757</v>
      </c>
      <c r="S211" s="641" t="s">
        <v>758</v>
      </c>
    </row>
    <row r="212" spans="2:19" s="288" customFormat="1" x14ac:dyDescent="0.2">
      <c r="B212" s="633"/>
      <c r="C212" s="634" t="s">
        <v>111</v>
      </c>
      <c r="D212" s="634" t="s">
        <v>112</v>
      </c>
      <c r="E212" s="634"/>
      <c r="F212" s="634" t="s">
        <v>113</v>
      </c>
      <c r="G212" s="627" t="s">
        <v>114</v>
      </c>
      <c r="H212" s="628" t="s">
        <v>115</v>
      </c>
      <c r="I212" s="626" t="s">
        <v>759</v>
      </c>
      <c r="J212" s="626" t="s">
        <v>757</v>
      </c>
      <c r="K212" s="643" t="s">
        <v>758</v>
      </c>
      <c r="L212" s="310"/>
      <c r="M212" s="626" t="s">
        <v>760</v>
      </c>
      <c r="N212" s="626" t="s">
        <v>757</v>
      </c>
      <c r="O212" s="652" t="s">
        <v>758</v>
      </c>
      <c r="P212" s="310"/>
      <c r="Q212" s="625"/>
      <c r="R212" s="625"/>
      <c r="S212" s="642"/>
    </row>
    <row r="213" spans="2:19" s="288" customFormat="1" x14ac:dyDescent="0.2">
      <c r="B213" s="633"/>
      <c r="C213" s="634"/>
      <c r="D213" s="634"/>
      <c r="E213" s="634"/>
      <c r="F213" s="634"/>
      <c r="G213" s="627"/>
      <c r="H213" s="628"/>
      <c r="I213" s="626"/>
      <c r="J213" s="626"/>
      <c r="K213" s="643"/>
      <c r="L213" s="310"/>
      <c r="M213" s="626"/>
      <c r="N213" s="626"/>
      <c r="O213" s="652"/>
      <c r="P213" s="310"/>
      <c r="Q213" s="625"/>
      <c r="R213" s="625"/>
      <c r="S213" s="642"/>
    </row>
    <row r="214" spans="2:19" s="288" customFormat="1" x14ac:dyDescent="0.2">
      <c r="B214" s="633"/>
      <c r="C214" s="634"/>
      <c r="D214" s="634"/>
      <c r="E214" s="634"/>
      <c r="F214" s="634"/>
      <c r="G214" s="627"/>
      <c r="H214" s="628"/>
      <c r="I214" s="626"/>
      <c r="J214" s="626"/>
      <c r="K214" s="643"/>
      <c r="L214" s="310"/>
      <c r="M214" s="626"/>
      <c r="N214" s="626"/>
      <c r="O214" s="652"/>
      <c r="P214" s="310"/>
      <c r="Q214" s="625"/>
      <c r="R214" s="625"/>
      <c r="S214" s="642"/>
    </row>
    <row r="215" spans="2:19" s="288" customFormat="1" x14ac:dyDescent="0.2">
      <c r="B215" s="633"/>
      <c r="C215" s="634"/>
      <c r="D215" s="634"/>
      <c r="E215" s="634"/>
      <c r="F215" s="634"/>
      <c r="G215" s="627"/>
      <c r="H215" s="628"/>
      <c r="I215" s="626"/>
      <c r="J215" s="626"/>
      <c r="K215" s="643"/>
      <c r="L215" s="310"/>
      <c r="M215" s="626"/>
      <c r="N215" s="626"/>
      <c r="O215" s="652"/>
      <c r="P215" s="310"/>
      <c r="Q215" s="625"/>
      <c r="R215" s="625"/>
      <c r="S215" s="642"/>
    </row>
    <row r="216" spans="2:19" s="288" customFormat="1" ht="15.75" x14ac:dyDescent="0.2">
      <c r="B216" s="61">
        <v>1</v>
      </c>
      <c r="C216" s="670" t="s">
        <v>17</v>
      </c>
      <c r="D216" s="671"/>
      <c r="E216" s="671"/>
      <c r="F216" s="671"/>
      <c r="G216" s="671"/>
      <c r="H216" s="671"/>
      <c r="I216" s="62">
        <f>I282+I268+I257+I242+I233+I223+I217</f>
        <v>1046697</v>
      </c>
      <c r="J216" s="62">
        <f>J282+J268+J257+J242+J233+J223+J217</f>
        <v>903428</v>
      </c>
      <c r="K216" s="410">
        <f t="shared" ref="K216:K251" si="35">J216/I216*100</f>
        <v>86.312275663348615</v>
      </c>
      <c r="L216" s="317"/>
      <c r="M216" s="62">
        <f>M282+M268+M257+M242+M233+M223+M217</f>
        <v>665360</v>
      </c>
      <c r="N216" s="62">
        <f>N282+N268+N257+N242+N233+N223+N217</f>
        <v>353128</v>
      </c>
      <c r="O216" s="410">
        <f>N216/M216*100</f>
        <v>53.073223518095467</v>
      </c>
      <c r="P216" s="317"/>
      <c r="Q216" s="63">
        <f t="shared" ref="Q216:Q247" si="36">I216+M216</f>
        <v>1712057</v>
      </c>
      <c r="R216" s="63">
        <f t="shared" ref="R216:R247" si="37">J216+N216</f>
        <v>1256556</v>
      </c>
      <c r="S216" s="455">
        <f t="shared" ref="S216:S247" si="38">R216/Q216*100</f>
        <v>73.394518990898078</v>
      </c>
    </row>
    <row r="217" spans="2:19" s="288" customFormat="1" ht="15" x14ac:dyDescent="0.2">
      <c r="B217" s="61">
        <f t="shared" ref="B217:B248" si="39">B216+1</f>
        <v>2</v>
      </c>
      <c r="C217" s="64">
        <v>1</v>
      </c>
      <c r="D217" s="668" t="s">
        <v>177</v>
      </c>
      <c r="E217" s="669"/>
      <c r="F217" s="669"/>
      <c r="G217" s="669"/>
      <c r="H217" s="669"/>
      <c r="I217" s="65">
        <f>I218+I219+I222</f>
        <v>48760</v>
      </c>
      <c r="J217" s="65">
        <f>J218+J219+J222</f>
        <v>45162</v>
      </c>
      <c r="K217" s="409">
        <f t="shared" si="35"/>
        <v>92.621000820344548</v>
      </c>
      <c r="L217" s="318"/>
      <c r="M217" s="65"/>
      <c r="N217" s="65"/>
      <c r="O217" s="409"/>
      <c r="P217" s="318"/>
      <c r="Q217" s="66">
        <f t="shared" si="36"/>
        <v>48760</v>
      </c>
      <c r="R217" s="66">
        <f t="shared" si="37"/>
        <v>45162</v>
      </c>
      <c r="S217" s="456">
        <f t="shared" si="38"/>
        <v>92.621000820344548</v>
      </c>
    </row>
    <row r="218" spans="2:19" s="288" customFormat="1" x14ac:dyDescent="0.2">
      <c r="B218" s="61">
        <f t="shared" si="39"/>
        <v>3</v>
      </c>
      <c r="C218" s="67"/>
      <c r="D218" s="67"/>
      <c r="E218" s="67"/>
      <c r="F218" s="68" t="s">
        <v>74</v>
      </c>
      <c r="G218" s="69">
        <v>620</v>
      </c>
      <c r="H218" s="67" t="s">
        <v>121</v>
      </c>
      <c r="I218" s="70">
        <f>9550+110</f>
        <v>9660</v>
      </c>
      <c r="J218" s="70">
        <v>8889</v>
      </c>
      <c r="K218" s="408">
        <f t="shared" si="35"/>
        <v>92.018633540372676</v>
      </c>
      <c r="L218" s="70"/>
      <c r="M218" s="70"/>
      <c r="N218" s="70"/>
      <c r="O218" s="408"/>
      <c r="P218" s="70"/>
      <c r="Q218" s="71">
        <f t="shared" si="36"/>
        <v>9660</v>
      </c>
      <c r="R218" s="71">
        <f t="shared" si="37"/>
        <v>8889</v>
      </c>
      <c r="S218" s="457">
        <f t="shared" si="38"/>
        <v>92.018633540372676</v>
      </c>
    </row>
    <row r="219" spans="2:19" s="288" customFormat="1" x14ac:dyDescent="0.2">
      <c r="B219" s="61">
        <f t="shared" si="39"/>
        <v>4</v>
      </c>
      <c r="C219" s="67"/>
      <c r="D219" s="67"/>
      <c r="E219" s="67"/>
      <c r="F219" s="68" t="s">
        <v>74</v>
      </c>
      <c r="G219" s="69">
        <v>630</v>
      </c>
      <c r="H219" s="67" t="s">
        <v>118</v>
      </c>
      <c r="I219" s="70">
        <f>I220+I221</f>
        <v>39000</v>
      </c>
      <c r="J219" s="70">
        <f>J220+J221</f>
        <v>36193</v>
      </c>
      <c r="K219" s="408">
        <f t="shared" si="35"/>
        <v>92.802564102564105</v>
      </c>
      <c r="L219" s="70"/>
      <c r="M219" s="70"/>
      <c r="N219" s="70"/>
      <c r="O219" s="408"/>
      <c r="P219" s="70"/>
      <c r="Q219" s="71">
        <f t="shared" si="36"/>
        <v>39000</v>
      </c>
      <c r="R219" s="71">
        <f t="shared" si="37"/>
        <v>36193</v>
      </c>
      <c r="S219" s="457">
        <f t="shared" si="38"/>
        <v>92.802564102564105</v>
      </c>
    </row>
    <row r="220" spans="2:19" s="288" customFormat="1" x14ac:dyDescent="0.2">
      <c r="B220" s="61">
        <f t="shared" si="39"/>
        <v>5</v>
      </c>
      <c r="C220" s="72"/>
      <c r="D220" s="72"/>
      <c r="E220" s="72"/>
      <c r="F220" s="73"/>
      <c r="G220" s="74">
        <v>633</v>
      </c>
      <c r="H220" s="72" t="s">
        <v>122</v>
      </c>
      <c r="I220" s="75">
        <v>5500</v>
      </c>
      <c r="J220" s="75">
        <v>4191</v>
      </c>
      <c r="K220" s="408">
        <f t="shared" si="35"/>
        <v>76.2</v>
      </c>
      <c r="L220" s="75"/>
      <c r="M220" s="75"/>
      <c r="N220" s="75"/>
      <c r="O220" s="408"/>
      <c r="P220" s="75"/>
      <c r="Q220" s="77">
        <f t="shared" si="36"/>
        <v>5500</v>
      </c>
      <c r="R220" s="77">
        <f t="shared" si="37"/>
        <v>4191</v>
      </c>
      <c r="S220" s="457">
        <f t="shared" si="38"/>
        <v>76.2</v>
      </c>
    </row>
    <row r="221" spans="2:19" s="288" customFormat="1" x14ac:dyDescent="0.2">
      <c r="B221" s="61">
        <f t="shared" si="39"/>
        <v>6</v>
      </c>
      <c r="C221" s="72"/>
      <c r="D221" s="72"/>
      <c r="E221" s="72"/>
      <c r="F221" s="73"/>
      <c r="G221" s="74">
        <v>637</v>
      </c>
      <c r="H221" s="72" t="s">
        <v>119</v>
      </c>
      <c r="I221" s="75">
        <f>33000-40+540</f>
        <v>33500</v>
      </c>
      <c r="J221" s="75">
        <v>32002</v>
      </c>
      <c r="K221" s="408">
        <f t="shared" si="35"/>
        <v>95.528358208955225</v>
      </c>
      <c r="L221" s="75"/>
      <c r="M221" s="75"/>
      <c r="N221" s="75"/>
      <c r="O221" s="408"/>
      <c r="P221" s="75"/>
      <c r="Q221" s="77">
        <f t="shared" si="36"/>
        <v>33500</v>
      </c>
      <c r="R221" s="77">
        <f t="shared" si="37"/>
        <v>32002</v>
      </c>
      <c r="S221" s="457">
        <f t="shared" si="38"/>
        <v>95.528358208955225</v>
      </c>
    </row>
    <row r="222" spans="2:19" s="288" customFormat="1" x14ac:dyDescent="0.2">
      <c r="B222" s="61">
        <f t="shared" si="39"/>
        <v>7</v>
      </c>
      <c r="C222" s="72"/>
      <c r="D222" s="72"/>
      <c r="E222" s="72"/>
      <c r="F222" s="68" t="s">
        <v>74</v>
      </c>
      <c r="G222" s="69">
        <v>640</v>
      </c>
      <c r="H222" s="67" t="s">
        <v>126</v>
      </c>
      <c r="I222" s="70">
        <f>40+60</f>
        <v>100</v>
      </c>
      <c r="J222" s="70">
        <v>80</v>
      </c>
      <c r="K222" s="408">
        <f t="shared" si="35"/>
        <v>80</v>
      </c>
      <c r="L222" s="70"/>
      <c r="M222" s="70"/>
      <c r="N222" s="70"/>
      <c r="O222" s="408"/>
      <c r="P222" s="70"/>
      <c r="Q222" s="71">
        <f t="shared" si="36"/>
        <v>100</v>
      </c>
      <c r="R222" s="71">
        <f t="shared" si="37"/>
        <v>80</v>
      </c>
      <c r="S222" s="457">
        <f t="shared" si="38"/>
        <v>80</v>
      </c>
    </row>
    <row r="223" spans="2:19" s="288" customFormat="1" ht="15" x14ac:dyDescent="0.2">
      <c r="B223" s="61">
        <f t="shared" si="39"/>
        <v>8</v>
      </c>
      <c r="C223" s="64">
        <v>2</v>
      </c>
      <c r="D223" s="668" t="s">
        <v>181</v>
      </c>
      <c r="E223" s="669"/>
      <c r="F223" s="669"/>
      <c r="G223" s="669"/>
      <c r="H223" s="669"/>
      <c r="I223" s="65">
        <f>I224+I225+I226+I232</f>
        <v>212496</v>
      </c>
      <c r="J223" s="65">
        <f>J224+J225+J226+J232</f>
        <v>187004</v>
      </c>
      <c r="K223" s="409">
        <f t="shared" si="35"/>
        <v>88.003538890143815</v>
      </c>
      <c r="L223" s="318"/>
      <c r="M223" s="65"/>
      <c r="N223" s="65"/>
      <c r="O223" s="409"/>
      <c r="P223" s="318"/>
      <c r="Q223" s="66">
        <f t="shared" si="36"/>
        <v>212496</v>
      </c>
      <c r="R223" s="66">
        <f t="shared" si="37"/>
        <v>187004</v>
      </c>
      <c r="S223" s="456">
        <f t="shared" si="38"/>
        <v>88.003538890143815</v>
      </c>
    </row>
    <row r="224" spans="2:19" s="288" customFormat="1" x14ac:dyDescent="0.2">
      <c r="B224" s="61">
        <f t="shared" si="39"/>
        <v>9</v>
      </c>
      <c r="C224" s="67"/>
      <c r="D224" s="67"/>
      <c r="E224" s="67"/>
      <c r="F224" s="68" t="s">
        <v>180</v>
      </c>
      <c r="G224" s="69">
        <v>610</v>
      </c>
      <c r="H224" s="67" t="s">
        <v>128</v>
      </c>
      <c r="I224" s="70">
        <f>109000+4000-1000</f>
        <v>112000</v>
      </c>
      <c r="J224" s="70">
        <v>103258</v>
      </c>
      <c r="K224" s="408">
        <f t="shared" si="35"/>
        <v>92.194642857142867</v>
      </c>
      <c r="L224" s="70"/>
      <c r="M224" s="70"/>
      <c r="N224" s="70"/>
      <c r="O224" s="408"/>
      <c r="P224" s="70"/>
      <c r="Q224" s="71">
        <f t="shared" si="36"/>
        <v>112000</v>
      </c>
      <c r="R224" s="71">
        <f t="shared" si="37"/>
        <v>103258</v>
      </c>
      <c r="S224" s="457">
        <f t="shared" si="38"/>
        <v>92.194642857142867</v>
      </c>
    </row>
    <row r="225" spans="2:19" s="288" customFormat="1" x14ac:dyDescent="0.2">
      <c r="B225" s="61">
        <f t="shared" si="39"/>
        <v>10</v>
      </c>
      <c r="C225" s="67"/>
      <c r="D225" s="67"/>
      <c r="E225" s="67"/>
      <c r="F225" s="68" t="s">
        <v>180</v>
      </c>
      <c r="G225" s="69">
        <v>620</v>
      </c>
      <c r="H225" s="67" t="s">
        <v>121</v>
      </c>
      <c r="I225" s="70">
        <f>41900+1438</f>
        <v>43338</v>
      </c>
      <c r="J225" s="70">
        <v>41708</v>
      </c>
      <c r="K225" s="408">
        <f t="shared" si="35"/>
        <v>96.238866583598693</v>
      </c>
      <c r="L225" s="70"/>
      <c r="M225" s="70"/>
      <c r="N225" s="70"/>
      <c r="O225" s="408"/>
      <c r="P225" s="70"/>
      <c r="Q225" s="71">
        <f t="shared" si="36"/>
        <v>43338</v>
      </c>
      <c r="R225" s="71">
        <f t="shared" si="37"/>
        <v>41708</v>
      </c>
      <c r="S225" s="457">
        <f t="shared" si="38"/>
        <v>96.238866583598693</v>
      </c>
    </row>
    <row r="226" spans="2:19" s="288" customFormat="1" x14ac:dyDescent="0.2">
      <c r="B226" s="61">
        <f t="shared" si="39"/>
        <v>11</v>
      </c>
      <c r="C226" s="67"/>
      <c r="D226" s="67"/>
      <c r="E226" s="67"/>
      <c r="F226" s="68" t="s">
        <v>180</v>
      </c>
      <c r="G226" s="69">
        <v>630</v>
      </c>
      <c r="H226" s="67" t="s">
        <v>118</v>
      </c>
      <c r="I226" s="70">
        <f>I227+I228+I229+I230+I231</f>
        <v>50458</v>
      </c>
      <c r="J226" s="70">
        <f>J227+J228+J229+J230+J231</f>
        <v>37928</v>
      </c>
      <c r="K226" s="408">
        <f t="shared" si="35"/>
        <v>75.16746601133616</v>
      </c>
      <c r="L226" s="70"/>
      <c r="M226" s="70"/>
      <c r="N226" s="70"/>
      <c r="O226" s="408"/>
      <c r="P226" s="70"/>
      <c r="Q226" s="71">
        <f t="shared" si="36"/>
        <v>50458</v>
      </c>
      <c r="R226" s="71">
        <f t="shared" si="37"/>
        <v>37928</v>
      </c>
      <c r="S226" s="457">
        <f t="shared" si="38"/>
        <v>75.16746601133616</v>
      </c>
    </row>
    <row r="227" spans="2:19" s="288" customFormat="1" x14ac:dyDescent="0.2">
      <c r="B227" s="61">
        <f t="shared" si="39"/>
        <v>12</v>
      </c>
      <c r="C227" s="72"/>
      <c r="D227" s="72"/>
      <c r="E227" s="72"/>
      <c r="F227" s="73"/>
      <c r="G227" s="74">
        <v>631</v>
      </c>
      <c r="H227" s="72" t="s">
        <v>124</v>
      </c>
      <c r="I227" s="75">
        <v>300</v>
      </c>
      <c r="J227" s="75">
        <v>148</v>
      </c>
      <c r="K227" s="408">
        <f t="shared" si="35"/>
        <v>49.333333333333336</v>
      </c>
      <c r="L227" s="75"/>
      <c r="M227" s="75"/>
      <c r="N227" s="75"/>
      <c r="O227" s="408"/>
      <c r="P227" s="75"/>
      <c r="Q227" s="77">
        <f t="shared" si="36"/>
        <v>300</v>
      </c>
      <c r="R227" s="77">
        <f t="shared" si="37"/>
        <v>148</v>
      </c>
      <c r="S227" s="457">
        <f t="shared" si="38"/>
        <v>49.333333333333336</v>
      </c>
    </row>
    <row r="228" spans="2:19" s="288" customFormat="1" x14ac:dyDescent="0.2">
      <c r="B228" s="61">
        <f t="shared" si="39"/>
        <v>13</v>
      </c>
      <c r="C228" s="72"/>
      <c r="D228" s="72"/>
      <c r="E228" s="72"/>
      <c r="F228" s="73"/>
      <c r="G228" s="74">
        <v>632</v>
      </c>
      <c r="H228" s="72" t="s">
        <v>131</v>
      </c>
      <c r="I228" s="75">
        <v>4000</v>
      </c>
      <c r="J228" s="75">
        <v>4000</v>
      </c>
      <c r="K228" s="408">
        <f t="shared" si="35"/>
        <v>100</v>
      </c>
      <c r="L228" s="75"/>
      <c r="M228" s="75"/>
      <c r="N228" s="75"/>
      <c r="O228" s="408"/>
      <c r="P228" s="75"/>
      <c r="Q228" s="77">
        <f t="shared" si="36"/>
        <v>4000</v>
      </c>
      <c r="R228" s="77">
        <f t="shared" si="37"/>
        <v>4000</v>
      </c>
      <c r="S228" s="457">
        <f t="shared" si="38"/>
        <v>100</v>
      </c>
    </row>
    <row r="229" spans="2:19" s="288" customFormat="1" x14ac:dyDescent="0.2">
      <c r="B229" s="61">
        <f t="shared" si="39"/>
        <v>14</v>
      </c>
      <c r="C229" s="72"/>
      <c r="D229" s="72"/>
      <c r="E229" s="72"/>
      <c r="F229" s="73"/>
      <c r="G229" s="74">
        <v>633</v>
      </c>
      <c r="H229" s="72" t="s">
        <v>122</v>
      </c>
      <c r="I229" s="75">
        <v>10000</v>
      </c>
      <c r="J229" s="75">
        <v>4729</v>
      </c>
      <c r="K229" s="408">
        <f t="shared" si="35"/>
        <v>47.29</v>
      </c>
      <c r="L229" s="75"/>
      <c r="M229" s="75"/>
      <c r="N229" s="75"/>
      <c r="O229" s="408"/>
      <c r="P229" s="75"/>
      <c r="Q229" s="77">
        <f t="shared" si="36"/>
        <v>10000</v>
      </c>
      <c r="R229" s="77">
        <f t="shared" si="37"/>
        <v>4729</v>
      </c>
      <c r="S229" s="457">
        <f t="shared" si="38"/>
        <v>47.29</v>
      </c>
    </row>
    <row r="230" spans="2:19" s="288" customFormat="1" x14ac:dyDescent="0.2">
      <c r="B230" s="61">
        <f t="shared" si="39"/>
        <v>15</v>
      </c>
      <c r="C230" s="72"/>
      <c r="D230" s="72"/>
      <c r="E230" s="72"/>
      <c r="F230" s="73"/>
      <c r="G230" s="74">
        <v>635</v>
      </c>
      <c r="H230" s="72" t="s">
        <v>130</v>
      </c>
      <c r="I230" s="75">
        <v>300</v>
      </c>
      <c r="J230" s="75">
        <v>0</v>
      </c>
      <c r="K230" s="408">
        <f t="shared" si="35"/>
        <v>0</v>
      </c>
      <c r="L230" s="75"/>
      <c r="M230" s="75"/>
      <c r="N230" s="75"/>
      <c r="O230" s="408"/>
      <c r="P230" s="75"/>
      <c r="Q230" s="77">
        <f t="shared" si="36"/>
        <v>300</v>
      </c>
      <c r="R230" s="77">
        <f t="shared" si="37"/>
        <v>0</v>
      </c>
      <c r="S230" s="457">
        <f t="shared" si="38"/>
        <v>0</v>
      </c>
    </row>
    <row r="231" spans="2:19" s="288" customFormat="1" x14ac:dyDescent="0.2">
      <c r="B231" s="61">
        <f t="shared" si="39"/>
        <v>16</v>
      </c>
      <c r="C231" s="72"/>
      <c r="D231" s="72"/>
      <c r="E231" s="72"/>
      <c r="F231" s="73"/>
      <c r="G231" s="74">
        <v>637</v>
      </c>
      <c r="H231" s="72" t="s">
        <v>119</v>
      </c>
      <c r="I231" s="75">
        <f>14575+21283</f>
        <v>35858</v>
      </c>
      <c r="J231" s="75">
        <v>29051</v>
      </c>
      <c r="K231" s="408">
        <f t="shared" si="35"/>
        <v>81.016788443304151</v>
      </c>
      <c r="L231" s="75"/>
      <c r="M231" s="75"/>
      <c r="N231" s="75"/>
      <c r="O231" s="408"/>
      <c r="P231" s="75"/>
      <c r="Q231" s="77">
        <f t="shared" si="36"/>
        <v>35858</v>
      </c>
      <c r="R231" s="77">
        <f t="shared" si="37"/>
        <v>29051</v>
      </c>
      <c r="S231" s="457">
        <f t="shared" si="38"/>
        <v>81.016788443304151</v>
      </c>
    </row>
    <row r="232" spans="2:19" s="288" customFormat="1" x14ac:dyDescent="0.2">
      <c r="B232" s="61">
        <f t="shared" si="39"/>
        <v>17</v>
      </c>
      <c r="C232" s="67"/>
      <c r="D232" s="67"/>
      <c r="E232" s="67"/>
      <c r="F232" s="68" t="s">
        <v>180</v>
      </c>
      <c r="G232" s="69">
        <v>640</v>
      </c>
      <c r="H232" s="67" t="s">
        <v>126</v>
      </c>
      <c r="I232" s="70">
        <f>5700+1000</f>
        <v>6700</v>
      </c>
      <c r="J232" s="70">
        <v>4110</v>
      </c>
      <c r="K232" s="408">
        <f t="shared" si="35"/>
        <v>61.343283582089548</v>
      </c>
      <c r="L232" s="70"/>
      <c r="M232" s="70"/>
      <c r="N232" s="70"/>
      <c r="O232" s="408"/>
      <c r="P232" s="70"/>
      <c r="Q232" s="71">
        <f t="shared" si="36"/>
        <v>6700</v>
      </c>
      <c r="R232" s="71">
        <f t="shared" si="37"/>
        <v>4110</v>
      </c>
      <c r="S232" s="457">
        <f t="shared" si="38"/>
        <v>61.343283582089548</v>
      </c>
    </row>
    <row r="233" spans="2:19" s="288" customFormat="1" ht="15" x14ac:dyDescent="0.2">
      <c r="B233" s="61">
        <f t="shared" si="39"/>
        <v>18</v>
      </c>
      <c r="C233" s="64">
        <v>3</v>
      </c>
      <c r="D233" s="668" t="s">
        <v>167</v>
      </c>
      <c r="E233" s="669"/>
      <c r="F233" s="669"/>
      <c r="G233" s="669"/>
      <c r="H233" s="669"/>
      <c r="I233" s="65">
        <f>I234+I235+I236+I241</f>
        <v>355108</v>
      </c>
      <c r="J233" s="65">
        <f>J234+J235+J236+J241</f>
        <v>345935</v>
      </c>
      <c r="K233" s="409">
        <f t="shared" si="35"/>
        <v>97.416842200119405</v>
      </c>
      <c r="L233" s="318"/>
      <c r="M233" s="65"/>
      <c r="N233" s="65"/>
      <c r="O233" s="409"/>
      <c r="P233" s="318"/>
      <c r="Q233" s="66">
        <f t="shared" si="36"/>
        <v>355108</v>
      </c>
      <c r="R233" s="66">
        <f t="shared" si="37"/>
        <v>345935</v>
      </c>
      <c r="S233" s="456">
        <f t="shared" si="38"/>
        <v>97.416842200119405</v>
      </c>
    </row>
    <row r="234" spans="2:19" s="288" customFormat="1" x14ac:dyDescent="0.2">
      <c r="B234" s="61">
        <f t="shared" si="39"/>
        <v>19</v>
      </c>
      <c r="C234" s="67"/>
      <c r="D234" s="67"/>
      <c r="E234" s="67"/>
      <c r="F234" s="68" t="s">
        <v>73</v>
      </c>
      <c r="G234" s="69">
        <v>610</v>
      </c>
      <c r="H234" s="67" t="s">
        <v>128</v>
      </c>
      <c r="I234" s="70">
        <f>234800+8800-10100</f>
        <v>233500</v>
      </c>
      <c r="J234" s="70">
        <v>233321</v>
      </c>
      <c r="K234" s="408">
        <f t="shared" si="35"/>
        <v>99.923340471092075</v>
      </c>
      <c r="L234" s="70"/>
      <c r="M234" s="70"/>
      <c r="N234" s="70"/>
      <c r="O234" s="408"/>
      <c r="P234" s="70"/>
      <c r="Q234" s="71">
        <f t="shared" si="36"/>
        <v>233500</v>
      </c>
      <c r="R234" s="71">
        <f t="shared" si="37"/>
        <v>233321</v>
      </c>
      <c r="S234" s="457">
        <f t="shared" si="38"/>
        <v>99.923340471092075</v>
      </c>
    </row>
    <row r="235" spans="2:19" s="288" customFormat="1" x14ac:dyDescent="0.2">
      <c r="B235" s="61">
        <f t="shared" si="39"/>
        <v>20</v>
      </c>
      <c r="C235" s="67"/>
      <c r="D235" s="67"/>
      <c r="E235" s="67"/>
      <c r="F235" s="68" t="s">
        <v>73</v>
      </c>
      <c r="G235" s="69">
        <v>620</v>
      </c>
      <c r="H235" s="67" t="s">
        <v>121</v>
      </c>
      <c r="I235" s="70">
        <f>89000+3163</f>
        <v>92163</v>
      </c>
      <c r="J235" s="70">
        <v>90567</v>
      </c>
      <c r="K235" s="408">
        <f t="shared" si="35"/>
        <v>98.268285537580155</v>
      </c>
      <c r="L235" s="70"/>
      <c r="M235" s="70"/>
      <c r="N235" s="70"/>
      <c r="O235" s="408"/>
      <c r="P235" s="70"/>
      <c r="Q235" s="71">
        <f t="shared" si="36"/>
        <v>92163</v>
      </c>
      <c r="R235" s="71">
        <f t="shared" si="37"/>
        <v>90567</v>
      </c>
      <c r="S235" s="457">
        <f t="shared" si="38"/>
        <v>98.268285537580155</v>
      </c>
    </row>
    <row r="236" spans="2:19" s="288" customFormat="1" x14ac:dyDescent="0.2">
      <c r="B236" s="61">
        <f t="shared" si="39"/>
        <v>21</v>
      </c>
      <c r="C236" s="67"/>
      <c r="D236" s="67"/>
      <c r="E236" s="67"/>
      <c r="F236" s="68" t="s">
        <v>73</v>
      </c>
      <c r="G236" s="69">
        <v>630</v>
      </c>
      <c r="H236" s="67" t="s">
        <v>118</v>
      </c>
      <c r="I236" s="70">
        <f>I237+I238+I239+I240</f>
        <v>17645</v>
      </c>
      <c r="J236" s="70">
        <f>J237+J238+J239+J240</f>
        <v>13305</v>
      </c>
      <c r="K236" s="408">
        <f t="shared" si="35"/>
        <v>75.40379710966279</v>
      </c>
      <c r="L236" s="70"/>
      <c r="M236" s="70"/>
      <c r="N236" s="70"/>
      <c r="O236" s="408"/>
      <c r="P236" s="70"/>
      <c r="Q236" s="71">
        <f t="shared" si="36"/>
        <v>17645</v>
      </c>
      <c r="R236" s="71">
        <f t="shared" si="37"/>
        <v>13305</v>
      </c>
      <c r="S236" s="457">
        <f t="shared" si="38"/>
        <v>75.40379710966279</v>
      </c>
    </row>
    <row r="237" spans="2:19" s="288" customFormat="1" x14ac:dyDescent="0.2">
      <c r="B237" s="61">
        <f t="shared" si="39"/>
        <v>22</v>
      </c>
      <c r="C237" s="72"/>
      <c r="D237" s="72"/>
      <c r="E237" s="72"/>
      <c r="F237" s="73"/>
      <c r="G237" s="74">
        <v>631</v>
      </c>
      <c r="H237" s="72" t="s">
        <v>124</v>
      </c>
      <c r="I237" s="75">
        <v>100</v>
      </c>
      <c r="J237" s="75">
        <v>28</v>
      </c>
      <c r="K237" s="408">
        <f t="shared" si="35"/>
        <v>28.000000000000004</v>
      </c>
      <c r="L237" s="75"/>
      <c r="M237" s="75"/>
      <c r="N237" s="75"/>
      <c r="O237" s="408"/>
      <c r="P237" s="75"/>
      <c r="Q237" s="77">
        <f t="shared" si="36"/>
        <v>100</v>
      </c>
      <c r="R237" s="77">
        <f t="shared" si="37"/>
        <v>28</v>
      </c>
      <c r="S237" s="457">
        <f t="shared" si="38"/>
        <v>28.000000000000004</v>
      </c>
    </row>
    <row r="238" spans="2:19" s="288" customFormat="1" x14ac:dyDescent="0.2">
      <c r="B238" s="61">
        <f t="shared" si="39"/>
        <v>23</v>
      </c>
      <c r="C238" s="72"/>
      <c r="D238" s="72"/>
      <c r="E238" s="72"/>
      <c r="F238" s="73"/>
      <c r="G238" s="74">
        <v>632</v>
      </c>
      <c r="H238" s="72" t="s">
        <v>131</v>
      </c>
      <c r="I238" s="75">
        <v>3000</v>
      </c>
      <c r="J238" s="75">
        <v>1727</v>
      </c>
      <c r="K238" s="408">
        <f t="shared" si="35"/>
        <v>57.566666666666663</v>
      </c>
      <c r="L238" s="75"/>
      <c r="M238" s="75"/>
      <c r="N238" s="75"/>
      <c r="O238" s="408"/>
      <c r="P238" s="75"/>
      <c r="Q238" s="77">
        <f t="shared" si="36"/>
        <v>3000</v>
      </c>
      <c r="R238" s="77">
        <f t="shared" si="37"/>
        <v>1727</v>
      </c>
      <c r="S238" s="457">
        <f t="shared" si="38"/>
        <v>57.566666666666663</v>
      </c>
    </row>
    <row r="239" spans="2:19" s="288" customFormat="1" x14ac:dyDescent="0.2">
      <c r="B239" s="61">
        <f t="shared" si="39"/>
        <v>24</v>
      </c>
      <c r="C239" s="72"/>
      <c r="D239" s="72"/>
      <c r="E239" s="72"/>
      <c r="F239" s="73"/>
      <c r="G239" s="74">
        <v>633</v>
      </c>
      <c r="H239" s="72" t="s">
        <v>122</v>
      </c>
      <c r="I239" s="75">
        <v>4000</v>
      </c>
      <c r="J239" s="75">
        <v>3260</v>
      </c>
      <c r="K239" s="408">
        <f t="shared" si="35"/>
        <v>81.5</v>
      </c>
      <c r="L239" s="75"/>
      <c r="M239" s="75"/>
      <c r="N239" s="75"/>
      <c r="O239" s="408"/>
      <c r="P239" s="75"/>
      <c r="Q239" s="77">
        <f t="shared" si="36"/>
        <v>4000</v>
      </c>
      <c r="R239" s="77">
        <f t="shared" si="37"/>
        <v>3260</v>
      </c>
      <c r="S239" s="457">
        <f t="shared" si="38"/>
        <v>81.5</v>
      </c>
    </row>
    <row r="240" spans="2:19" s="288" customFormat="1" x14ac:dyDescent="0.2">
      <c r="B240" s="61">
        <f t="shared" si="39"/>
        <v>25</v>
      </c>
      <c r="C240" s="72"/>
      <c r="D240" s="72"/>
      <c r="E240" s="72"/>
      <c r="F240" s="73"/>
      <c r="G240" s="74">
        <v>637</v>
      </c>
      <c r="H240" s="72" t="s">
        <v>119</v>
      </c>
      <c r="I240" s="75">
        <v>10545</v>
      </c>
      <c r="J240" s="75">
        <v>8290</v>
      </c>
      <c r="K240" s="408">
        <f t="shared" si="35"/>
        <v>78.615457562825981</v>
      </c>
      <c r="L240" s="75"/>
      <c r="M240" s="75"/>
      <c r="N240" s="75"/>
      <c r="O240" s="408"/>
      <c r="P240" s="75"/>
      <c r="Q240" s="77">
        <f t="shared" si="36"/>
        <v>10545</v>
      </c>
      <c r="R240" s="77">
        <f t="shared" si="37"/>
        <v>8290</v>
      </c>
      <c r="S240" s="457">
        <f t="shared" si="38"/>
        <v>78.615457562825981</v>
      </c>
    </row>
    <row r="241" spans="2:19" s="288" customFormat="1" x14ac:dyDescent="0.2">
      <c r="B241" s="61">
        <f t="shared" si="39"/>
        <v>26</v>
      </c>
      <c r="C241" s="67"/>
      <c r="D241" s="67"/>
      <c r="E241" s="67"/>
      <c r="F241" s="68" t="s">
        <v>73</v>
      </c>
      <c r="G241" s="69">
        <v>640</v>
      </c>
      <c r="H241" s="67" t="s">
        <v>126</v>
      </c>
      <c r="I241" s="70">
        <f>10700+1100</f>
        <v>11800</v>
      </c>
      <c r="J241" s="70">
        <v>8742</v>
      </c>
      <c r="K241" s="408">
        <f t="shared" si="35"/>
        <v>74.084745762711862</v>
      </c>
      <c r="L241" s="70"/>
      <c r="M241" s="70"/>
      <c r="N241" s="70"/>
      <c r="O241" s="408"/>
      <c r="P241" s="70"/>
      <c r="Q241" s="71">
        <f t="shared" si="36"/>
        <v>11800</v>
      </c>
      <c r="R241" s="71">
        <f t="shared" si="37"/>
        <v>8742</v>
      </c>
      <c r="S241" s="457">
        <f t="shared" si="38"/>
        <v>74.084745762711862</v>
      </c>
    </row>
    <row r="242" spans="2:19" s="288" customFormat="1" ht="15" x14ac:dyDescent="0.2">
      <c r="B242" s="61">
        <f t="shared" si="39"/>
        <v>27</v>
      </c>
      <c r="C242" s="64">
        <v>4</v>
      </c>
      <c r="D242" s="668" t="s">
        <v>44</v>
      </c>
      <c r="E242" s="669"/>
      <c r="F242" s="669"/>
      <c r="G242" s="669"/>
      <c r="H242" s="669"/>
      <c r="I242" s="65">
        <f>I243</f>
        <v>90913</v>
      </c>
      <c r="J242" s="65">
        <f>J243</f>
        <v>71410</v>
      </c>
      <c r="K242" s="409">
        <f t="shared" si="35"/>
        <v>78.547622452234549</v>
      </c>
      <c r="L242" s="318"/>
      <c r="M242" s="65">
        <f>M243</f>
        <v>277800</v>
      </c>
      <c r="N242" s="65">
        <f>N243</f>
        <v>275533</v>
      </c>
      <c r="O242" s="409">
        <f>N242/M242*100</f>
        <v>99.183945284377245</v>
      </c>
      <c r="P242" s="318"/>
      <c r="Q242" s="66">
        <f t="shared" si="36"/>
        <v>368713</v>
      </c>
      <c r="R242" s="66">
        <f t="shared" si="37"/>
        <v>346943</v>
      </c>
      <c r="S242" s="456">
        <f t="shared" si="38"/>
        <v>94.095678752851128</v>
      </c>
    </row>
    <row r="243" spans="2:19" s="288" customFormat="1" ht="15" x14ac:dyDescent="0.25">
      <c r="B243" s="61">
        <f t="shared" si="39"/>
        <v>28</v>
      </c>
      <c r="C243" s="78"/>
      <c r="D243" s="78"/>
      <c r="E243" s="78">
        <v>2</v>
      </c>
      <c r="F243" s="79"/>
      <c r="G243" s="79"/>
      <c r="H243" s="78" t="s">
        <v>11</v>
      </c>
      <c r="I243" s="80">
        <f>I244+I245+I246+I251</f>
        <v>90913</v>
      </c>
      <c r="J243" s="80">
        <f>J244+J245+J246+J251</f>
        <v>71410</v>
      </c>
      <c r="K243" s="411">
        <f t="shared" si="35"/>
        <v>78.547622452234549</v>
      </c>
      <c r="L243" s="244"/>
      <c r="M243" s="80">
        <f>M252</f>
        <v>277800</v>
      </c>
      <c r="N243" s="80">
        <f>N252</f>
        <v>275533</v>
      </c>
      <c r="O243" s="411">
        <f>N243/M243*100</f>
        <v>99.183945284377245</v>
      </c>
      <c r="P243" s="244"/>
      <c r="Q243" s="81">
        <f t="shared" si="36"/>
        <v>368713</v>
      </c>
      <c r="R243" s="81">
        <f t="shared" si="37"/>
        <v>346943</v>
      </c>
      <c r="S243" s="458">
        <f t="shared" si="38"/>
        <v>94.095678752851128</v>
      </c>
    </row>
    <row r="244" spans="2:19" s="288" customFormat="1" x14ac:dyDescent="0.2">
      <c r="B244" s="61">
        <f t="shared" si="39"/>
        <v>29</v>
      </c>
      <c r="C244" s="67"/>
      <c r="D244" s="67"/>
      <c r="E244" s="67"/>
      <c r="F244" s="68" t="s">
        <v>150</v>
      </c>
      <c r="G244" s="69">
        <v>610</v>
      </c>
      <c r="H244" s="67" t="s">
        <v>128</v>
      </c>
      <c r="I244" s="70">
        <f>41100+2400</f>
        <v>43500</v>
      </c>
      <c r="J244" s="70">
        <v>43425</v>
      </c>
      <c r="K244" s="408">
        <f t="shared" si="35"/>
        <v>99.827586206896555</v>
      </c>
      <c r="L244" s="70"/>
      <c r="M244" s="70"/>
      <c r="N244" s="70"/>
      <c r="O244" s="408"/>
      <c r="P244" s="70"/>
      <c r="Q244" s="71">
        <f t="shared" si="36"/>
        <v>43500</v>
      </c>
      <c r="R244" s="71">
        <f t="shared" si="37"/>
        <v>43425</v>
      </c>
      <c r="S244" s="457">
        <f t="shared" si="38"/>
        <v>99.827586206896555</v>
      </c>
    </row>
    <row r="245" spans="2:19" s="288" customFormat="1" x14ac:dyDescent="0.2">
      <c r="B245" s="61">
        <f t="shared" si="39"/>
        <v>30</v>
      </c>
      <c r="C245" s="67"/>
      <c r="D245" s="67"/>
      <c r="E245" s="67"/>
      <c r="F245" s="68" t="s">
        <v>150</v>
      </c>
      <c r="G245" s="69">
        <v>620</v>
      </c>
      <c r="H245" s="67" t="s">
        <v>121</v>
      </c>
      <c r="I245" s="70">
        <f>16015+763</f>
        <v>16778</v>
      </c>
      <c r="J245" s="70">
        <v>14740</v>
      </c>
      <c r="K245" s="408">
        <f t="shared" si="35"/>
        <v>87.853141017999761</v>
      </c>
      <c r="L245" s="70"/>
      <c r="M245" s="70"/>
      <c r="N245" s="70"/>
      <c r="O245" s="408"/>
      <c r="P245" s="70"/>
      <c r="Q245" s="71">
        <f t="shared" si="36"/>
        <v>16778</v>
      </c>
      <c r="R245" s="71">
        <f t="shared" si="37"/>
        <v>14740</v>
      </c>
      <c r="S245" s="457">
        <f t="shared" si="38"/>
        <v>87.853141017999761</v>
      </c>
    </row>
    <row r="246" spans="2:19" s="288" customFormat="1" x14ac:dyDescent="0.2">
      <c r="B246" s="61">
        <f t="shared" si="39"/>
        <v>31</v>
      </c>
      <c r="C246" s="67"/>
      <c r="D246" s="67"/>
      <c r="E246" s="67"/>
      <c r="F246" s="68" t="s">
        <v>150</v>
      </c>
      <c r="G246" s="69">
        <v>630</v>
      </c>
      <c r="H246" s="67" t="s">
        <v>118</v>
      </c>
      <c r="I246" s="70">
        <f>I247+I248+I249+I250</f>
        <v>25735</v>
      </c>
      <c r="J246" s="70">
        <f>J247+J248+J249+J250</f>
        <v>10484</v>
      </c>
      <c r="K246" s="408">
        <f t="shared" si="35"/>
        <v>40.738294151933161</v>
      </c>
      <c r="L246" s="70"/>
      <c r="M246" s="70"/>
      <c r="N246" s="70"/>
      <c r="O246" s="408"/>
      <c r="P246" s="70"/>
      <c r="Q246" s="71">
        <f t="shared" si="36"/>
        <v>25735</v>
      </c>
      <c r="R246" s="71">
        <f t="shared" si="37"/>
        <v>10484</v>
      </c>
      <c r="S246" s="457">
        <f t="shared" si="38"/>
        <v>40.738294151933161</v>
      </c>
    </row>
    <row r="247" spans="2:19" s="288" customFormat="1" x14ac:dyDescent="0.2">
      <c r="B247" s="61">
        <f t="shared" si="39"/>
        <v>32</v>
      </c>
      <c r="C247" s="72"/>
      <c r="D247" s="72"/>
      <c r="E247" s="72"/>
      <c r="F247" s="73"/>
      <c r="G247" s="74">
        <v>632</v>
      </c>
      <c r="H247" s="72" t="s">
        <v>131</v>
      </c>
      <c r="I247" s="75">
        <v>10500</v>
      </c>
      <c r="J247" s="75">
        <v>6395</v>
      </c>
      <c r="K247" s="408">
        <f t="shared" si="35"/>
        <v>60.904761904761905</v>
      </c>
      <c r="L247" s="75"/>
      <c r="M247" s="75"/>
      <c r="N247" s="75"/>
      <c r="O247" s="408"/>
      <c r="P247" s="75"/>
      <c r="Q247" s="77">
        <f t="shared" si="36"/>
        <v>10500</v>
      </c>
      <c r="R247" s="77">
        <f t="shared" si="37"/>
        <v>6395</v>
      </c>
      <c r="S247" s="457">
        <f t="shared" si="38"/>
        <v>60.904761904761905</v>
      </c>
    </row>
    <row r="248" spans="2:19" s="288" customFormat="1" x14ac:dyDescent="0.2">
      <c r="B248" s="61">
        <f t="shared" si="39"/>
        <v>33</v>
      </c>
      <c r="C248" s="72"/>
      <c r="D248" s="72"/>
      <c r="E248" s="72"/>
      <c r="F248" s="73"/>
      <c r="G248" s="74">
        <v>633</v>
      </c>
      <c r="H248" s="72" t="s">
        <v>122</v>
      </c>
      <c r="I248" s="75">
        <v>3800</v>
      </c>
      <c r="J248" s="75">
        <v>1893</v>
      </c>
      <c r="K248" s="408">
        <f t="shared" si="35"/>
        <v>49.815789473684212</v>
      </c>
      <c r="L248" s="75"/>
      <c r="M248" s="75"/>
      <c r="N248" s="75"/>
      <c r="O248" s="408"/>
      <c r="P248" s="75"/>
      <c r="Q248" s="77">
        <f t="shared" ref="Q248:Q279" si="40">I248+M248</f>
        <v>3800</v>
      </c>
      <c r="R248" s="77">
        <f t="shared" ref="R248:R279" si="41">J248+N248</f>
        <v>1893</v>
      </c>
      <c r="S248" s="457">
        <f t="shared" ref="S248:S279" si="42">R248/Q248*100</f>
        <v>49.815789473684212</v>
      </c>
    </row>
    <row r="249" spans="2:19" s="288" customFormat="1" x14ac:dyDescent="0.2">
      <c r="B249" s="61">
        <f t="shared" ref="B249:B280" si="43">B248+1</f>
        <v>34</v>
      </c>
      <c r="C249" s="72"/>
      <c r="D249" s="72"/>
      <c r="E249" s="72"/>
      <c r="F249" s="73"/>
      <c r="G249" s="74">
        <v>635</v>
      </c>
      <c r="H249" s="72" t="s">
        <v>130</v>
      </c>
      <c r="I249" s="75">
        <v>7800</v>
      </c>
      <c r="J249" s="75">
        <v>314</v>
      </c>
      <c r="K249" s="408">
        <f t="shared" si="35"/>
        <v>4.0256410256410255</v>
      </c>
      <c r="L249" s="75"/>
      <c r="M249" s="75"/>
      <c r="N249" s="75"/>
      <c r="O249" s="408"/>
      <c r="P249" s="75"/>
      <c r="Q249" s="77">
        <f t="shared" si="40"/>
        <v>7800</v>
      </c>
      <c r="R249" s="77">
        <f t="shared" si="41"/>
        <v>314</v>
      </c>
      <c r="S249" s="457">
        <f t="shared" si="42"/>
        <v>4.0256410256410255</v>
      </c>
    </row>
    <row r="250" spans="2:19" s="288" customFormat="1" x14ac:dyDescent="0.2">
      <c r="B250" s="61">
        <f t="shared" si="43"/>
        <v>35</v>
      </c>
      <c r="C250" s="72"/>
      <c r="D250" s="72"/>
      <c r="E250" s="72"/>
      <c r="F250" s="73"/>
      <c r="G250" s="74">
        <v>637</v>
      </c>
      <c r="H250" s="72" t="s">
        <v>119</v>
      </c>
      <c r="I250" s="75">
        <v>3635</v>
      </c>
      <c r="J250" s="75">
        <v>1882</v>
      </c>
      <c r="K250" s="408">
        <f t="shared" si="35"/>
        <v>51.774415405777162</v>
      </c>
      <c r="L250" s="75"/>
      <c r="M250" s="75"/>
      <c r="N250" s="75"/>
      <c r="O250" s="408"/>
      <c r="P250" s="75"/>
      <c r="Q250" s="77">
        <f t="shared" si="40"/>
        <v>3635</v>
      </c>
      <c r="R250" s="77">
        <f t="shared" si="41"/>
        <v>1882</v>
      </c>
      <c r="S250" s="457">
        <f t="shared" si="42"/>
        <v>51.774415405777162</v>
      </c>
    </row>
    <row r="251" spans="2:19" s="288" customFormat="1" x14ac:dyDescent="0.2">
      <c r="B251" s="61">
        <f t="shared" si="43"/>
        <v>36</v>
      </c>
      <c r="C251" s="67"/>
      <c r="D251" s="67"/>
      <c r="E251" s="67"/>
      <c r="F251" s="68" t="s">
        <v>150</v>
      </c>
      <c r="G251" s="69">
        <v>640</v>
      </c>
      <c r="H251" s="67" t="s">
        <v>126</v>
      </c>
      <c r="I251" s="70">
        <v>4900</v>
      </c>
      <c r="J251" s="70">
        <v>2761</v>
      </c>
      <c r="K251" s="408">
        <f t="shared" si="35"/>
        <v>56.346938775510203</v>
      </c>
      <c r="L251" s="70"/>
      <c r="M251" s="70"/>
      <c r="N251" s="70"/>
      <c r="O251" s="408"/>
      <c r="P251" s="70"/>
      <c r="Q251" s="71">
        <f t="shared" si="40"/>
        <v>4900</v>
      </c>
      <c r="R251" s="71">
        <f t="shared" si="41"/>
        <v>2761</v>
      </c>
      <c r="S251" s="457">
        <f t="shared" si="42"/>
        <v>56.346938775510203</v>
      </c>
    </row>
    <row r="252" spans="2:19" s="288" customFormat="1" x14ac:dyDescent="0.2">
      <c r="B252" s="61">
        <f t="shared" si="43"/>
        <v>37</v>
      </c>
      <c r="C252" s="67"/>
      <c r="D252" s="67"/>
      <c r="E252" s="67"/>
      <c r="F252" s="68" t="s">
        <v>150</v>
      </c>
      <c r="G252" s="69">
        <v>710</v>
      </c>
      <c r="H252" s="67" t="s">
        <v>172</v>
      </c>
      <c r="I252" s="70"/>
      <c r="J252" s="70"/>
      <c r="K252" s="408"/>
      <c r="L252" s="70"/>
      <c r="M252" s="70">
        <f>M253</f>
        <v>277800</v>
      </c>
      <c r="N252" s="70">
        <f>N253</f>
        <v>275533</v>
      </c>
      <c r="O252" s="408">
        <f>N252/M252*100</f>
        <v>99.183945284377245</v>
      </c>
      <c r="P252" s="70"/>
      <c r="Q252" s="71">
        <f t="shared" si="40"/>
        <v>277800</v>
      </c>
      <c r="R252" s="71">
        <f t="shared" si="41"/>
        <v>275533</v>
      </c>
      <c r="S252" s="457">
        <f t="shared" si="42"/>
        <v>99.183945284377245</v>
      </c>
    </row>
    <row r="253" spans="2:19" s="288" customFormat="1" x14ac:dyDescent="0.2">
      <c r="B253" s="61">
        <f t="shared" si="43"/>
        <v>38</v>
      </c>
      <c r="C253" s="72"/>
      <c r="D253" s="72"/>
      <c r="E253" s="72"/>
      <c r="F253" s="73"/>
      <c r="G253" s="74">
        <v>717</v>
      </c>
      <c r="H253" s="72" t="s">
        <v>179</v>
      </c>
      <c r="I253" s="75"/>
      <c r="J253" s="75"/>
      <c r="K253" s="408"/>
      <c r="L253" s="75"/>
      <c r="M253" s="75">
        <f>M254+M255+M256</f>
        <v>277800</v>
      </c>
      <c r="N253" s="75">
        <f>N254+N255+N256</f>
        <v>275533</v>
      </c>
      <c r="O253" s="408">
        <f>N253/M253*100</f>
        <v>99.183945284377245</v>
      </c>
      <c r="P253" s="75"/>
      <c r="Q253" s="77">
        <f t="shared" si="40"/>
        <v>277800</v>
      </c>
      <c r="R253" s="77">
        <f t="shared" si="41"/>
        <v>275533</v>
      </c>
      <c r="S253" s="457">
        <f t="shared" si="42"/>
        <v>99.183945284377245</v>
      </c>
    </row>
    <row r="254" spans="2:19" s="288" customFormat="1" x14ac:dyDescent="0.2">
      <c r="B254" s="61">
        <f t="shared" si="43"/>
        <v>39</v>
      </c>
      <c r="C254" s="82"/>
      <c r="D254" s="82"/>
      <c r="E254" s="82"/>
      <c r="F254" s="83"/>
      <c r="G254" s="84"/>
      <c r="H254" s="82" t="s">
        <v>401</v>
      </c>
      <c r="I254" s="85"/>
      <c r="J254" s="85"/>
      <c r="K254" s="408"/>
      <c r="L254" s="85"/>
      <c r="M254" s="85">
        <v>18000</v>
      </c>
      <c r="N254" s="85">
        <v>16316</v>
      </c>
      <c r="O254" s="408">
        <f>N254/M254*100</f>
        <v>90.644444444444446</v>
      </c>
      <c r="P254" s="85"/>
      <c r="Q254" s="86">
        <f t="shared" si="40"/>
        <v>18000</v>
      </c>
      <c r="R254" s="86">
        <f t="shared" si="41"/>
        <v>16316</v>
      </c>
      <c r="S254" s="457">
        <f t="shared" si="42"/>
        <v>90.644444444444446</v>
      </c>
    </row>
    <row r="255" spans="2:19" s="288" customFormat="1" x14ac:dyDescent="0.2">
      <c r="B255" s="61">
        <f t="shared" si="43"/>
        <v>40</v>
      </c>
      <c r="C255" s="82"/>
      <c r="D255" s="82"/>
      <c r="E255" s="82"/>
      <c r="F255" s="83"/>
      <c r="G255" s="84"/>
      <c r="H255" s="82" t="s">
        <v>447</v>
      </c>
      <c r="I255" s="85"/>
      <c r="J255" s="85"/>
      <c r="K255" s="408"/>
      <c r="L255" s="85"/>
      <c r="M255" s="85">
        <f>207000+19000+1500+25400</f>
        <v>252900</v>
      </c>
      <c r="N255" s="85">
        <v>252368</v>
      </c>
      <c r="O255" s="408">
        <f>N255/M255*100</f>
        <v>99.789640173981809</v>
      </c>
      <c r="P255" s="85"/>
      <c r="Q255" s="86">
        <f t="shared" si="40"/>
        <v>252900</v>
      </c>
      <c r="R255" s="86">
        <f t="shared" si="41"/>
        <v>252368</v>
      </c>
      <c r="S255" s="457">
        <f t="shared" si="42"/>
        <v>99.789640173981809</v>
      </c>
    </row>
    <row r="256" spans="2:19" s="288" customFormat="1" x14ac:dyDescent="0.2">
      <c r="B256" s="61">
        <f t="shared" si="43"/>
        <v>41</v>
      </c>
      <c r="C256" s="82"/>
      <c r="D256" s="82"/>
      <c r="E256" s="82"/>
      <c r="F256" s="83"/>
      <c r="G256" s="84"/>
      <c r="H256" s="82" t="s">
        <v>714</v>
      </c>
      <c r="I256" s="85"/>
      <c r="J256" s="85"/>
      <c r="K256" s="408"/>
      <c r="L256" s="85"/>
      <c r="M256" s="85">
        <v>6900</v>
      </c>
      <c r="N256" s="85">
        <v>6849</v>
      </c>
      <c r="O256" s="408">
        <f>N256/M256*100</f>
        <v>99.260869565217391</v>
      </c>
      <c r="P256" s="85"/>
      <c r="Q256" s="86">
        <f t="shared" si="40"/>
        <v>6900</v>
      </c>
      <c r="R256" s="86">
        <f t="shared" si="41"/>
        <v>6849</v>
      </c>
      <c r="S256" s="457">
        <f t="shared" si="42"/>
        <v>99.260869565217391</v>
      </c>
    </row>
    <row r="257" spans="2:19" s="288" customFormat="1" ht="15" x14ac:dyDescent="0.2">
      <c r="B257" s="61">
        <f t="shared" si="43"/>
        <v>42</v>
      </c>
      <c r="C257" s="64">
        <v>5</v>
      </c>
      <c r="D257" s="668" t="s">
        <v>214</v>
      </c>
      <c r="E257" s="669"/>
      <c r="F257" s="669"/>
      <c r="G257" s="669"/>
      <c r="H257" s="669"/>
      <c r="I257" s="65">
        <f>I258</f>
        <v>91935</v>
      </c>
      <c r="J257" s="65">
        <f>J258</f>
        <v>77756</v>
      </c>
      <c r="K257" s="409">
        <f t="shared" ref="K257:K273" si="44">J257/I257*100</f>
        <v>84.57714689726437</v>
      </c>
      <c r="L257" s="318"/>
      <c r="M257" s="65"/>
      <c r="N257" s="65"/>
      <c r="O257" s="409"/>
      <c r="P257" s="318"/>
      <c r="Q257" s="66">
        <f t="shared" si="40"/>
        <v>91935</v>
      </c>
      <c r="R257" s="66">
        <f t="shared" si="41"/>
        <v>77756</v>
      </c>
      <c r="S257" s="456">
        <f t="shared" si="42"/>
        <v>84.57714689726437</v>
      </c>
    </row>
    <row r="258" spans="2:19" s="288" customFormat="1" ht="15" x14ac:dyDescent="0.25">
      <c r="B258" s="61">
        <f t="shared" si="43"/>
        <v>43</v>
      </c>
      <c r="C258" s="87"/>
      <c r="D258" s="87"/>
      <c r="E258" s="87">
        <v>2</v>
      </c>
      <c r="F258" s="88"/>
      <c r="G258" s="88"/>
      <c r="H258" s="78" t="s">
        <v>11</v>
      </c>
      <c r="I258" s="80">
        <f>I259+I260+I261+I267</f>
        <v>91935</v>
      </c>
      <c r="J258" s="80">
        <f>J259+J260+J261+J267</f>
        <v>77756</v>
      </c>
      <c r="K258" s="411">
        <f t="shared" si="44"/>
        <v>84.57714689726437</v>
      </c>
      <c r="L258" s="244"/>
      <c r="M258" s="89"/>
      <c r="N258" s="89"/>
      <c r="O258" s="412"/>
      <c r="P258" s="244"/>
      <c r="Q258" s="90">
        <f t="shared" si="40"/>
        <v>91935</v>
      </c>
      <c r="R258" s="90">
        <f t="shared" si="41"/>
        <v>77756</v>
      </c>
      <c r="S258" s="459">
        <f t="shared" si="42"/>
        <v>84.57714689726437</v>
      </c>
    </row>
    <row r="259" spans="2:19" s="288" customFormat="1" x14ac:dyDescent="0.2">
      <c r="B259" s="61">
        <f t="shared" si="43"/>
        <v>44</v>
      </c>
      <c r="C259" s="67"/>
      <c r="D259" s="67"/>
      <c r="E259" s="67"/>
      <c r="F259" s="68" t="s">
        <v>180</v>
      </c>
      <c r="G259" s="69">
        <v>610</v>
      </c>
      <c r="H259" s="67" t="s">
        <v>128</v>
      </c>
      <c r="I259" s="70">
        <f>30980+1600</f>
        <v>32580</v>
      </c>
      <c r="J259" s="70">
        <v>32448</v>
      </c>
      <c r="K259" s="408">
        <f t="shared" si="44"/>
        <v>99.594843462246772</v>
      </c>
      <c r="L259" s="70"/>
      <c r="M259" s="70"/>
      <c r="N259" s="70"/>
      <c r="O259" s="408"/>
      <c r="P259" s="70"/>
      <c r="Q259" s="71">
        <f t="shared" si="40"/>
        <v>32580</v>
      </c>
      <c r="R259" s="71">
        <f t="shared" si="41"/>
        <v>32448</v>
      </c>
      <c r="S259" s="457">
        <f t="shared" si="42"/>
        <v>99.594843462246772</v>
      </c>
    </row>
    <row r="260" spans="2:19" s="288" customFormat="1" x14ac:dyDescent="0.2">
      <c r="B260" s="61">
        <f t="shared" si="43"/>
        <v>45</v>
      </c>
      <c r="C260" s="67"/>
      <c r="D260" s="67"/>
      <c r="E260" s="67"/>
      <c r="F260" s="68" t="s">
        <v>180</v>
      </c>
      <c r="G260" s="69">
        <v>620</v>
      </c>
      <c r="H260" s="67" t="s">
        <v>121</v>
      </c>
      <c r="I260" s="70">
        <f>14285+575</f>
        <v>14860</v>
      </c>
      <c r="J260" s="70">
        <v>11994</v>
      </c>
      <c r="K260" s="408">
        <f t="shared" si="44"/>
        <v>80.713324360699872</v>
      </c>
      <c r="L260" s="70"/>
      <c r="M260" s="70"/>
      <c r="N260" s="70"/>
      <c r="O260" s="408"/>
      <c r="P260" s="70"/>
      <c r="Q260" s="71">
        <f t="shared" si="40"/>
        <v>14860</v>
      </c>
      <c r="R260" s="71">
        <f t="shared" si="41"/>
        <v>11994</v>
      </c>
      <c r="S260" s="457">
        <f t="shared" si="42"/>
        <v>80.713324360699872</v>
      </c>
    </row>
    <row r="261" spans="2:19" s="288" customFormat="1" x14ac:dyDescent="0.2">
      <c r="B261" s="61">
        <f t="shared" si="43"/>
        <v>46</v>
      </c>
      <c r="C261" s="67"/>
      <c r="D261" s="67"/>
      <c r="E261" s="67"/>
      <c r="F261" s="68" t="s">
        <v>180</v>
      </c>
      <c r="G261" s="69">
        <v>630</v>
      </c>
      <c r="H261" s="67" t="s">
        <v>118</v>
      </c>
      <c r="I261" s="70">
        <f>I262+I263+I264+I265+I266</f>
        <v>42395</v>
      </c>
      <c r="J261" s="70">
        <f>J262+J263+J264+J265+J266</f>
        <v>31718</v>
      </c>
      <c r="K261" s="408">
        <f t="shared" si="44"/>
        <v>74.815426347446632</v>
      </c>
      <c r="L261" s="70"/>
      <c r="M261" s="70"/>
      <c r="N261" s="70"/>
      <c r="O261" s="408"/>
      <c r="P261" s="70"/>
      <c r="Q261" s="71">
        <f t="shared" si="40"/>
        <v>42395</v>
      </c>
      <c r="R261" s="71">
        <f t="shared" si="41"/>
        <v>31718</v>
      </c>
      <c r="S261" s="457">
        <f t="shared" si="42"/>
        <v>74.815426347446632</v>
      </c>
    </row>
    <row r="262" spans="2:19" s="288" customFormat="1" x14ac:dyDescent="0.2">
      <c r="B262" s="61">
        <f t="shared" si="43"/>
        <v>47</v>
      </c>
      <c r="C262" s="72"/>
      <c r="D262" s="72"/>
      <c r="E262" s="72"/>
      <c r="F262" s="73"/>
      <c r="G262" s="74">
        <v>632</v>
      </c>
      <c r="H262" s="72" t="s">
        <v>131</v>
      </c>
      <c r="I262" s="75">
        <v>7200</v>
      </c>
      <c r="J262" s="75">
        <v>2688</v>
      </c>
      <c r="K262" s="408">
        <f t="shared" si="44"/>
        <v>37.333333333333336</v>
      </c>
      <c r="L262" s="75"/>
      <c r="M262" s="75"/>
      <c r="N262" s="75"/>
      <c r="O262" s="408"/>
      <c r="P262" s="75"/>
      <c r="Q262" s="77">
        <f t="shared" si="40"/>
        <v>7200</v>
      </c>
      <c r="R262" s="77">
        <f t="shared" si="41"/>
        <v>2688</v>
      </c>
      <c r="S262" s="457">
        <f t="shared" si="42"/>
        <v>37.333333333333336</v>
      </c>
    </row>
    <row r="263" spans="2:19" s="288" customFormat="1" x14ac:dyDescent="0.2">
      <c r="B263" s="61">
        <f t="shared" si="43"/>
        <v>48</v>
      </c>
      <c r="C263" s="72"/>
      <c r="D263" s="72"/>
      <c r="E263" s="72"/>
      <c r="F263" s="73"/>
      <c r="G263" s="74">
        <v>633</v>
      </c>
      <c r="H263" s="72" t="s">
        <v>122</v>
      </c>
      <c r="I263" s="75">
        <f>18100-5000</f>
        <v>13100</v>
      </c>
      <c r="J263" s="75">
        <v>11346</v>
      </c>
      <c r="K263" s="408">
        <f t="shared" si="44"/>
        <v>86.610687022900763</v>
      </c>
      <c r="L263" s="75"/>
      <c r="M263" s="75"/>
      <c r="N263" s="75"/>
      <c r="O263" s="408"/>
      <c r="P263" s="75"/>
      <c r="Q263" s="77">
        <f t="shared" si="40"/>
        <v>13100</v>
      </c>
      <c r="R263" s="77">
        <f t="shared" si="41"/>
        <v>11346</v>
      </c>
      <c r="S263" s="457">
        <f t="shared" si="42"/>
        <v>86.610687022900763</v>
      </c>
    </row>
    <row r="264" spans="2:19" s="288" customFormat="1" x14ac:dyDescent="0.2">
      <c r="B264" s="61">
        <f t="shared" si="43"/>
        <v>49</v>
      </c>
      <c r="C264" s="72"/>
      <c r="D264" s="72"/>
      <c r="E264" s="72"/>
      <c r="F264" s="73"/>
      <c r="G264" s="74">
        <v>635</v>
      </c>
      <c r="H264" s="72" t="s">
        <v>130</v>
      </c>
      <c r="I264" s="75">
        <v>400</v>
      </c>
      <c r="J264" s="75">
        <v>129</v>
      </c>
      <c r="K264" s="408">
        <f t="shared" si="44"/>
        <v>32.25</v>
      </c>
      <c r="L264" s="75"/>
      <c r="M264" s="75"/>
      <c r="N264" s="75"/>
      <c r="O264" s="408"/>
      <c r="P264" s="75"/>
      <c r="Q264" s="77">
        <f t="shared" si="40"/>
        <v>400</v>
      </c>
      <c r="R264" s="77">
        <f t="shared" si="41"/>
        <v>129</v>
      </c>
      <c r="S264" s="457">
        <f t="shared" si="42"/>
        <v>32.25</v>
      </c>
    </row>
    <row r="265" spans="2:19" s="288" customFormat="1" x14ac:dyDescent="0.2">
      <c r="B265" s="61">
        <f t="shared" si="43"/>
        <v>50</v>
      </c>
      <c r="C265" s="72"/>
      <c r="D265" s="72"/>
      <c r="E265" s="72"/>
      <c r="F265" s="73"/>
      <c r="G265" s="74">
        <v>636</v>
      </c>
      <c r="H265" s="72" t="s">
        <v>123</v>
      </c>
      <c r="I265" s="75">
        <v>2700</v>
      </c>
      <c r="J265" s="75">
        <v>1673</v>
      </c>
      <c r="K265" s="408">
        <f t="shared" si="44"/>
        <v>61.962962962962962</v>
      </c>
      <c r="L265" s="75"/>
      <c r="M265" s="75"/>
      <c r="N265" s="75"/>
      <c r="O265" s="408"/>
      <c r="P265" s="75"/>
      <c r="Q265" s="77">
        <f t="shared" si="40"/>
        <v>2700</v>
      </c>
      <c r="R265" s="77">
        <f t="shared" si="41"/>
        <v>1673</v>
      </c>
      <c r="S265" s="457">
        <f t="shared" si="42"/>
        <v>61.962962962962962</v>
      </c>
    </row>
    <row r="266" spans="2:19" s="288" customFormat="1" x14ac:dyDescent="0.2">
      <c r="B266" s="61">
        <f t="shared" si="43"/>
        <v>51</v>
      </c>
      <c r="C266" s="72"/>
      <c r="D266" s="72"/>
      <c r="E266" s="72"/>
      <c r="F266" s="73"/>
      <c r="G266" s="74">
        <v>637</v>
      </c>
      <c r="H266" s="72" t="s">
        <v>119</v>
      </c>
      <c r="I266" s="75">
        <f>22995-4000</f>
        <v>18995</v>
      </c>
      <c r="J266" s="75">
        <v>15882</v>
      </c>
      <c r="K266" s="408">
        <f t="shared" si="44"/>
        <v>83.611476704395898</v>
      </c>
      <c r="L266" s="75"/>
      <c r="M266" s="75"/>
      <c r="N266" s="75"/>
      <c r="O266" s="408"/>
      <c r="P266" s="75"/>
      <c r="Q266" s="77">
        <f t="shared" si="40"/>
        <v>18995</v>
      </c>
      <c r="R266" s="77">
        <f t="shared" si="41"/>
        <v>15882</v>
      </c>
      <c r="S266" s="457">
        <f t="shared" si="42"/>
        <v>83.611476704395898</v>
      </c>
    </row>
    <row r="267" spans="2:19" s="288" customFormat="1" x14ac:dyDescent="0.2">
      <c r="B267" s="61">
        <f t="shared" si="43"/>
        <v>52</v>
      </c>
      <c r="C267" s="67"/>
      <c r="D267" s="67"/>
      <c r="E267" s="67"/>
      <c r="F267" s="68" t="s">
        <v>180</v>
      </c>
      <c r="G267" s="69">
        <v>640</v>
      </c>
      <c r="H267" s="67" t="s">
        <v>126</v>
      </c>
      <c r="I267" s="70">
        <v>2100</v>
      </c>
      <c r="J267" s="70">
        <v>1596</v>
      </c>
      <c r="K267" s="408">
        <f t="shared" si="44"/>
        <v>76</v>
      </c>
      <c r="L267" s="70"/>
      <c r="M267" s="70"/>
      <c r="N267" s="70"/>
      <c r="O267" s="408"/>
      <c r="P267" s="70"/>
      <c r="Q267" s="71">
        <f t="shared" si="40"/>
        <v>2100</v>
      </c>
      <c r="R267" s="71">
        <f t="shared" si="41"/>
        <v>1596</v>
      </c>
      <c r="S267" s="457">
        <f t="shared" si="42"/>
        <v>76</v>
      </c>
    </row>
    <row r="268" spans="2:19" s="288" customFormat="1" ht="15" x14ac:dyDescent="0.2">
      <c r="B268" s="61">
        <f t="shared" si="43"/>
        <v>53</v>
      </c>
      <c r="C268" s="64">
        <v>6</v>
      </c>
      <c r="D268" s="668" t="s">
        <v>142</v>
      </c>
      <c r="E268" s="669"/>
      <c r="F268" s="669"/>
      <c r="G268" s="669"/>
      <c r="H268" s="669"/>
      <c r="I268" s="65">
        <f>I269</f>
        <v>245400</v>
      </c>
      <c r="J268" s="65">
        <f>J269</f>
        <v>175627</v>
      </c>
      <c r="K268" s="409">
        <f t="shared" si="44"/>
        <v>71.567644661776683</v>
      </c>
      <c r="L268" s="318"/>
      <c r="M268" s="65">
        <f>M274</f>
        <v>387560</v>
      </c>
      <c r="N268" s="65">
        <f>N274</f>
        <v>77595</v>
      </c>
      <c r="O268" s="409">
        <f>N268/M268*100</f>
        <v>20.021416038806894</v>
      </c>
      <c r="P268" s="318"/>
      <c r="Q268" s="66">
        <f t="shared" si="40"/>
        <v>632960</v>
      </c>
      <c r="R268" s="66">
        <f t="shared" si="41"/>
        <v>253222</v>
      </c>
      <c r="S268" s="456">
        <f t="shared" si="42"/>
        <v>40.006003538928212</v>
      </c>
    </row>
    <row r="269" spans="2:19" s="288" customFormat="1" x14ac:dyDescent="0.2">
      <c r="B269" s="61">
        <f t="shared" si="43"/>
        <v>54</v>
      </c>
      <c r="C269" s="67"/>
      <c r="D269" s="67"/>
      <c r="E269" s="67"/>
      <c r="F269" s="68" t="s">
        <v>141</v>
      </c>
      <c r="G269" s="69">
        <v>630</v>
      </c>
      <c r="H269" s="67" t="s">
        <v>118</v>
      </c>
      <c r="I269" s="70">
        <f>I270+I271+I272+I273</f>
        <v>245400</v>
      </c>
      <c r="J269" s="70">
        <f>J270+J271+J272+J273</f>
        <v>175627</v>
      </c>
      <c r="K269" s="408">
        <f t="shared" si="44"/>
        <v>71.567644661776683</v>
      </c>
      <c r="L269" s="70"/>
      <c r="M269" s="70"/>
      <c r="N269" s="70"/>
      <c r="O269" s="408"/>
      <c r="P269" s="70"/>
      <c r="Q269" s="71">
        <f t="shared" si="40"/>
        <v>245400</v>
      </c>
      <c r="R269" s="71">
        <f t="shared" si="41"/>
        <v>175627</v>
      </c>
      <c r="S269" s="457">
        <f t="shared" si="42"/>
        <v>71.567644661776683</v>
      </c>
    </row>
    <row r="270" spans="2:19" s="288" customFormat="1" x14ac:dyDescent="0.2">
      <c r="B270" s="61">
        <f t="shared" si="43"/>
        <v>55</v>
      </c>
      <c r="C270" s="72"/>
      <c r="D270" s="72"/>
      <c r="E270" s="72"/>
      <c r="F270" s="73"/>
      <c r="G270" s="74">
        <v>632</v>
      </c>
      <c r="H270" s="72" t="s">
        <v>131</v>
      </c>
      <c r="I270" s="75">
        <v>41000</v>
      </c>
      <c r="J270" s="75">
        <v>29429</v>
      </c>
      <c r="K270" s="408">
        <f t="shared" si="44"/>
        <v>71.778048780487808</v>
      </c>
      <c r="L270" s="75"/>
      <c r="M270" s="75"/>
      <c r="N270" s="75"/>
      <c r="O270" s="408"/>
      <c r="P270" s="75"/>
      <c r="Q270" s="77">
        <f t="shared" si="40"/>
        <v>41000</v>
      </c>
      <c r="R270" s="77">
        <f t="shared" si="41"/>
        <v>29429</v>
      </c>
      <c r="S270" s="457">
        <f t="shared" si="42"/>
        <v>71.778048780487808</v>
      </c>
    </row>
    <row r="271" spans="2:19" s="288" customFormat="1" x14ac:dyDescent="0.2">
      <c r="B271" s="61">
        <f t="shared" si="43"/>
        <v>56</v>
      </c>
      <c r="C271" s="72"/>
      <c r="D271" s="72"/>
      <c r="E271" s="72"/>
      <c r="F271" s="73"/>
      <c r="G271" s="74">
        <v>633</v>
      </c>
      <c r="H271" s="72" t="s">
        <v>122</v>
      </c>
      <c r="I271" s="75">
        <v>3000</v>
      </c>
      <c r="J271" s="75">
        <v>1860</v>
      </c>
      <c r="K271" s="408">
        <f t="shared" si="44"/>
        <v>62</v>
      </c>
      <c r="L271" s="75"/>
      <c r="M271" s="75"/>
      <c r="N271" s="75"/>
      <c r="O271" s="408"/>
      <c r="P271" s="75"/>
      <c r="Q271" s="77">
        <f t="shared" si="40"/>
        <v>3000</v>
      </c>
      <c r="R271" s="77">
        <f t="shared" si="41"/>
        <v>1860</v>
      </c>
      <c r="S271" s="457">
        <f t="shared" si="42"/>
        <v>62</v>
      </c>
    </row>
    <row r="272" spans="2:19" s="288" customFormat="1" x14ac:dyDescent="0.2">
      <c r="B272" s="61">
        <f t="shared" si="43"/>
        <v>57</v>
      </c>
      <c r="C272" s="72"/>
      <c r="D272" s="72"/>
      <c r="E272" s="72"/>
      <c r="F272" s="73"/>
      <c r="G272" s="74">
        <v>635</v>
      </c>
      <c r="H272" s="72" t="s">
        <v>130</v>
      </c>
      <c r="I272" s="75">
        <v>30000</v>
      </c>
      <c r="J272" s="75">
        <v>13814</v>
      </c>
      <c r="K272" s="408">
        <f t="shared" si="44"/>
        <v>46.046666666666667</v>
      </c>
      <c r="L272" s="75"/>
      <c r="M272" s="75"/>
      <c r="N272" s="75"/>
      <c r="O272" s="408"/>
      <c r="P272" s="75"/>
      <c r="Q272" s="77">
        <f t="shared" si="40"/>
        <v>30000</v>
      </c>
      <c r="R272" s="77">
        <f t="shared" si="41"/>
        <v>13814</v>
      </c>
      <c r="S272" s="457">
        <f t="shared" si="42"/>
        <v>46.046666666666667</v>
      </c>
    </row>
    <row r="273" spans="2:19" s="288" customFormat="1" x14ac:dyDescent="0.2">
      <c r="B273" s="61">
        <f t="shared" si="43"/>
        <v>58</v>
      </c>
      <c r="C273" s="72"/>
      <c r="D273" s="72"/>
      <c r="E273" s="72"/>
      <c r="F273" s="73"/>
      <c r="G273" s="74">
        <v>637</v>
      </c>
      <c r="H273" s="72" t="s">
        <v>119</v>
      </c>
      <c r="I273" s="75">
        <v>171400</v>
      </c>
      <c r="J273" s="75">
        <v>130524</v>
      </c>
      <c r="K273" s="408">
        <f t="shared" si="44"/>
        <v>76.151691948658112</v>
      </c>
      <c r="L273" s="75"/>
      <c r="M273" s="75"/>
      <c r="N273" s="75"/>
      <c r="O273" s="408"/>
      <c r="P273" s="75"/>
      <c r="Q273" s="77">
        <f t="shared" si="40"/>
        <v>171400</v>
      </c>
      <c r="R273" s="77">
        <f t="shared" si="41"/>
        <v>130524</v>
      </c>
      <c r="S273" s="457">
        <f t="shared" si="42"/>
        <v>76.151691948658112</v>
      </c>
    </row>
    <row r="274" spans="2:19" s="288" customFormat="1" x14ac:dyDescent="0.2">
      <c r="B274" s="61">
        <f t="shared" si="43"/>
        <v>59</v>
      </c>
      <c r="C274" s="67"/>
      <c r="D274" s="67"/>
      <c r="E274" s="67"/>
      <c r="F274" s="68" t="s">
        <v>141</v>
      </c>
      <c r="G274" s="69">
        <v>710</v>
      </c>
      <c r="H274" s="67" t="s">
        <v>172</v>
      </c>
      <c r="I274" s="70"/>
      <c r="J274" s="70"/>
      <c r="K274" s="408"/>
      <c r="L274" s="70"/>
      <c r="M274" s="70">
        <f>M275+M278</f>
        <v>387560</v>
      </c>
      <c r="N274" s="70">
        <f>N275+N278</f>
        <v>77595</v>
      </c>
      <c r="O274" s="408">
        <f t="shared" ref="O274:O281" si="45">N274/M274*100</f>
        <v>20.021416038806894</v>
      </c>
      <c r="P274" s="70"/>
      <c r="Q274" s="71">
        <f t="shared" si="40"/>
        <v>387560</v>
      </c>
      <c r="R274" s="71">
        <f t="shared" si="41"/>
        <v>77595</v>
      </c>
      <c r="S274" s="457">
        <f t="shared" si="42"/>
        <v>20.021416038806894</v>
      </c>
    </row>
    <row r="275" spans="2:19" s="288" customFormat="1" x14ac:dyDescent="0.2">
      <c r="B275" s="61">
        <f t="shared" si="43"/>
        <v>60</v>
      </c>
      <c r="C275" s="72"/>
      <c r="D275" s="72"/>
      <c r="E275" s="72"/>
      <c r="F275" s="73"/>
      <c r="G275" s="74">
        <v>716</v>
      </c>
      <c r="H275" s="72" t="s">
        <v>213</v>
      </c>
      <c r="I275" s="75"/>
      <c r="J275" s="75"/>
      <c r="K275" s="408"/>
      <c r="L275" s="75"/>
      <c r="M275" s="75">
        <f>SUM(M276:M277)</f>
        <v>271660</v>
      </c>
      <c r="N275" s="75">
        <f>SUM(N276:N277)</f>
        <v>5240</v>
      </c>
      <c r="O275" s="408">
        <f t="shared" si="45"/>
        <v>1.9288816903482293</v>
      </c>
      <c r="P275" s="75"/>
      <c r="Q275" s="77">
        <f t="shared" si="40"/>
        <v>271660</v>
      </c>
      <c r="R275" s="77">
        <f t="shared" si="41"/>
        <v>5240</v>
      </c>
      <c r="S275" s="457">
        <f t="shared" si="42"/>
        <v>1.9288816903482293</v>
      </c>
    </row>
    <row r="276" spans="2:19" s="288" customFormat="1" x14ac:dyDescent="0.2">
      <c r="B276" s="61">
        <f t="shared" si="43"/>
        <v>61</v>
      </c>
      <c r="C276" s="82"/>
      <c r="D276" s="82"/>
      <c r="E276" s="82"/>
      <c r="F276" s="84"/>
      <c r="G276" s="84"/>
      <c r="H276" s="82" t="s">
        <v>578</v>
      </c>
      <c r="I276" s="85"/>
      <c r="J276" s="85"/>
      <c r="K276" s="408"/>
      <c r="L276" s="85"/>
      <c r="M276" s="85">
        <v>5000</v>
      </c>
      <c r="N276" s="85">
        <v>0</v>
      </c>
      <c r="O276" s="408">
        <f t="shared" si="45"/>
        <v>0</v>
      </c>
      <c r="P276" s="85"/>
      <c r="Q276" s="86">
        <f t="shared" si="40"/>
        <v>5000</v>
      </c>
      <c r="R276" s="86">
        <f t="shared" si="41"/>
        <v>0</v>
      </c>
      <c r="S276" s="457">
        <f t="shared" si="42"/>
        <v>0</v>
      </c>
    </row>
    <row r="277" spans="2:19" s="288" customFormat="1" x14ac:dyDescent="0.2">
      <c r="B277" s="61">
        <f t="shared" si="43"/>
        <v>62</v>
      </c>
      <c r="C277" s="82"/>
      <c r="D277" s="82"/>
      <c r="E277" s="82"/>
      <c r="F277" s="84"/>
      <c r="G277" s="84"/>
      <c r="H277" s="82" t="s">
        <v>375</v>
      </c>
      <c r="I277" s="85"/>
      <c r="J277" s="85"/>
      <c r="K277" s="408"/>
      <c r="L277" s="85"/>
      <c r="M277" s="85">
        <f>99660+167000</f>
        <v>266660</v>
      </c>
      <c r="N277" s="85">
        <v>5240</v>
      </c>
      <c r="O277" s="408">
        <f t="shared" si="45"/>
        <v>1.9650491262281558</v>
      </c>
      <c r="P277" s="85"/>
      <c r="Q277" s="86">
        <f t="shared" si="40"/>
        <v>266660</v>
      </c>
      <c r="R277" s="86">
        <f t="shared" si="41"/>
        <v>5240</v>
      </c>
      <c r="S277" s="457">
        <f t="shared" si="42"/>
        <v>1.9650491262281558</v>
      </c>
    </row>
    <row r="278" spans="2:19" s="288" customFormat="1" x14ac:dyDescent="0.2">
      <c r="B278" s="61">
        <f t="shared" si="43"/>
        <v>63</v>
      </c>
      <c r="C278" s="72"/>
      <c r="D278" s="72"/>
      <c r="E278" s="72"/>
      <c r="F278" s="73"/>
      <c r="G278" s="74">
        <v>717</v>
      </c>
      <c r="H278" s="72" t="s">
        <v>179</v>
      </c>
      <c r="I278" s="75"/>
      <c r="J278" s="75"/>
      <c r="K278" s="408"/>
      <c r="L278" s="75"/>
      <c r="M278" s="75">
        <f>SUM(M279:M281)</f>
        <v>115900</v>
      </c>
      <c r="N278" s="75">
        <f>SUM(N279:N281)</f>
        <v>72355</v>
      </c>
      <c r="O278" s="408">
        <f t="shared" si="45"/>
        <v>62.42881794650561</v>
      </c>
      <c r="P278" s="75"/>
      <c r="Q278" s="77">
        <f t="shared" si="40"/>
        <v>115900</v>
      </c>
      <c r="R278" s="77">
        <f t="shared" si="41"/>
        <v>72355</v>
      </c>
      <c r="S278" s="457">
        <f t="shared" si="42"/>
        <v>62.42881794650561</v>
      </c>
    </row>
    <row r="279" spans="2:19" s="288" customFormat="1" x14ac:dyDescent="0.2">
      <c r="B279" s="61">
        <f t="shared" si="43"/>
        <v>64</v>
      </c>
      <c r="C279" s="82"/>
      <c r="D279" s="82"/>
      <c r="E279" s="82"/>
      <c r="F279" s="84"/>
      <c r="G279" s="84"/>
      <c r="H279" s="82" t="s">
        <v>514</v>
      </c>
      <c r="I279" s="85"/>
      <c r="J279" s="85"/>
      <c r="K279" s="408"/>
      <c r="L279" s="85"/>
      <c r="M279" s="85">
        <v>17000</v>
      </c>
      <c r="N279" s="85">
        <v>0</v>
      </c>
      <c r="O279" s="408">
        <f t="shared" si="45"/>
        <v>0</v>
      </c>
      <c r="P279" s="85"/>
      <c r="Q279" s="86">
        <f t="shared" si="40"/>
        <v>17000</v>
      </c>
      <c r="R279" s="86">
        <f t="shared" si="41"/>
        <v>0</v>
      </c>
      <c r="S279" s="457">
        <f t="shared" si="42"/>
        <v>0</v>
      </c>
    </row>
    <row r="280" spans="2:19" s="288" customFormat="1" x14ac:dyDescent="0.2">
      <c r="B280" s="61">
        <f t="shared" si="43"/>
        <v>65</v>
      </c>
      <c r="C280" s="82"/>
      <c r="D280" s="82"/>
      <c r="E280" s="82"/>
      <c r="F280" s="84"/>
      <c r="G280" s="84"/>
      <c r="H280" s="82" t="s">
        <v>472</v>
      </c>
      <c r="I280" s="85"/>
      <c r="J280" s="85"/>
      <c r="K280" s="408"/>
      <c r="L280" s="85"/>
      <c r="M280" s="85">
        <v>26500</v>
      </c>
      <c r="N280" s="85">
        <v>0</v>
      </c>
      <c r="O280" s="408">
        <f t="shared" si="45"/>
        <v>0</v>
      </c>
      <c r="P280" s="85"/>
      <c r="Q280" s="86">
        <f t="shared" ref="Q280:Q288" si="46">I280+M280</f>
        <v>26500</v>
      </c>
      <c r="R280" s="86">
        <f t="shared" ref="R280:R288" si="47">J280+N280</f>
        <v>0</v>
      </c>
      <c r="S280" s="457">
        <f t="shared" ref="S280:S288" si="48">R280/Q280*100</f>
        <v>0</v>
      </c>
    </row>
    <row r="281" spans="2:19" s="288" customFormat="1" x14ac:dyDescent="0.2">
      <c r="B281" s="61">
        <f t="shared" ref="B281:B288" si="49">B280+1</f>
        <v>66</v>
      </c>
      <c r="C281" s="82"/>
      <c r="D281" s="82"/>
      <c r="E281" s="82"/>
      <c r="F281" s="84"/>
      <c r="G281" s="84"/>
      <c r="H281" s="82" t="s">
        <v>385</v>
      </c>
      <c r="I281" s="85"/>
      <c r="J281" s="85"/>
      <c r="K281" s="408"/>
      <c r="L281" s="85"/>
      <c r="M281" s="85">
        <f>75000-2600</f>
        <v>72400</v>
      </c>
      <c r="N281" s="85">
        <v>72355</v>
      </c>
      <c r="O281" s="408">
        <f t="shared" si="45"/>
        <v>99.937845303867405</v>
      </c>
      <c r="P281" s="85"/>
      <c r="Q281" s="86">
        <f t="shared" si="46"/>
        <v>72400</v>
      </c>
      <c r="R281" s="86">
        <f t="shared" si="47"/>
        <v>72355</v>
      </c>
      <c r="S281" s="457">
        <f t="shared" si="48"/>
        <v>99.937845303867405</v>
      </c>
    </row>
    <row r="282" spans="2:19" s="288" customFormat="1" ht="15" x14ac:dyDescent="0.2">
      <c r="B282" s="61">
        <f t="shared" si="49"/>
        <v>67</v>
      </c>
      <c r="C282" s="64">
        <v>7</v>
      </c>
      <c r="D282" s="668" t="s">
        <v>42</v>
      </c>
      <c r="E282" s="669"/>
      <c r="F282" s="669"/>
      <c r="G282" s="669"/>
      <c r="H282" s="669"/>
      <c r="I282" s="65">
        <f>I283</f>
        <v>2085</v>
      </c>
      <c r="J282" s="65">
        <f>J283</f>
        <v>534</v>
      </c>
      <c r="K282" s="409">
        <f t="shared" ref="K282:K288" si="50">J282/I282*100</f>
        <v>25.611510791366904</v>
      </c>
      <c r="L282" s="318"/>
      <c r="M282" s="65"/>
      <c r="N282" s="65"/>
      <c r="O282" s="409"/>
      <c r="P282" s="318"/>
      <c r="Q282" s="66">
        <f t="shared" si="46"/>
        <v>2085</v>
      </c>
      <c r="R282" s="66">
        <f t="shared" si="47"/>
        <v>534</v>
      </c>
      <c r="S282" s="456">
        <f t="shared" si="48"/>
        <v>25.611510791366904</v>
      </c>
    </row>
    <row r="283" spans="2:19" s="288" customFormat="1" ht="15" x14ac:dyDescent="0.25">
      <c r="B283" s="61">
        <f t="shared" si="49"/>
        <v>68</v>
      </c>
      <c r="C283" s="87"/>
      <c r="D283" s="87"/>
      <c r="E283" s="87">
        <v>2</v>
      </c>
      <c r="F283" s="88"/>
      <c r="G283" s="88"/>
      <c r="H283" s="87" t="s">
        <v>11</v>
      </c>
      <c r="I283" s="80">
        <f>I284</f>
        <v>2085</v>
      </c>
      <c r="J283" s="80">
        <f>J284</f>
        <v>534</v>
      </c>
      <c r="K283" s="411">
        <f t="shared" si="50"/>
        <v>25.611510791366904</v>
      </c>
      <c r="L283" s="244"/>
      <c r="M283" s="89"/>
      <c r="N283" s="89"/>
      <c r="O283" s="412"/>
      <c r="P283" s="244"/>
      <c r="Q283" s="90">
        <f t="shared" si="46"/>
        <v>2085</v>
      </c>
      <c r="R283" s="90">
        <f t="shared" si="47"/>
        <v>534</v>
      </c>
      <c r="S283" s="459">
        <f t="shared" si="48"/>
        <v>25.611510791366904</v>
      </c>
    </row>
    <row r="284" spans="2:19" s="288" customFormat="1" x14ac:dyDescent="0.2">
      <c r="B284" s="61">
        <f t="shared" si="49"/>
        <v>69</v>
      </c>
      <c r="C284" s="67"/>
      <c r="D284" s="67"/>
      <c r="E284" s="67"/>
      <c r="F284" s="68" t="s">
        <v>215</v>
      </c>
      <c r="G284" s="69">
        <v>630</v>
      </c>
      <c r="H284" s="67" t="s">
        <v>118</v>
      </c>
      <c r="I284" s="70">
        <f>I285+I286+I287+I288</f>
        <v>2085</v>
      </c>
      <c r="J284" s="70">
        <f>J285+J286+J287+J288</f>
        <v>534</v>
      </c>
      <c r="K284" s="408">
        <f t="shared" si="50"/>
        <v>25.611510791366904</v>
      </c>
      <c r="L284" s="70"/>
      <c r="M284" s="70"/>
      <c r="N284" s="70"/>
      <c r="O284" s="408"/>
      <c r="P284" s="70"/>
      <c r="Q284" s="71">
        <f t="shared" si="46"/>
        <v>2085</v>
      </c>
      <c r="R284" s="71">
        <f t="shared" si="47"/>
        <v>534</v>
      </c>
      <c r="S284" s="457">
        <f t="shared" si="48"/>
        <v>25.611510791366904</v>
      </c>
    </row>
    <row r="285" spans="2:19" s="288" customFormat="1" x14ac:dyDescent="0.2">
      <c r="B285" s="61">
        <f t="shared" si="49"/>
        <v>70</v>
      </c>
      <c r="C285" s="72"/>
      <c r="D285" s="72"/>
      <c r="E285" s="72"/>
      <c r="F285" s="73"/>
      <c r="G285" s="74">
        <v>633</v>
      </c>
      <c r="H285" s="72" t="s">
        <v>122</v>
      </c>
      <c r="I285" s="75">
        <v>550</v>
      </c>
      <c r="J285" s="75">
        <v>59</v>
      </c>
      <c r="K285" s="408">
        <f t="shared" si="50"/>
        <v>10.727272727272727</v>
      </c>
      <c r="L285" s="75"/>
      <c r="M285" s="75"/>
      <c r="N285" s="75"/>
      <c r="O285" s="408"/>
      <c r="P285" s="75"/>
      <c r="Q285" s="77">
        <f t="shared" si="46"/>
        <v>550</v>
      </c>
      <c r="R285" s="77">
        <f t="shared" si="47"/>
        <v>59</v>
      </c>
      <c r="S285" s="457">
        <f t="shared" si="48"/>
        <v>10.727272727272727</v>
      </c>
    </row>
    <row r="286" spans="2:19" s="288" customFormat="1" x14ac:dyDescent="0.2">
      <c r="B286" s="61">
        <f t="shared" si="49"/>
        <v>71</v>
      </c>
      <c r="C286" s="72"/>
      <c r="D286" s="72"/>
      <c r="E286" s="72"/>
      <c r="F286" s="73"/>
      <c r="G286" s="74">
        <v>634</v>
      </c>
      <c r="H286" s="72" t="s">
        <v>129</v>
      </c>
      <c r="I286" s="75">
        <v>350</v>
      </c>
      <c r="J286" s="75">
        <v>115</v>
      </c>
      <c r="K286" s="408">
        <f t="shared" si="50"/>
        <v>32.857142857142854</v>
      </c>
      <c r="L286" s="75"/>
      <c r="M286" s="75"/>
      <c r="N286" s="75"/>
      <c r="O286" s="408"/>
      <c r="P286" s="75"/>
      <c r="Q286" s="77">
        <f t="shared" si="46"/>
        <v>350</v>
      </c>
      <c r="R286" s="77">
        <f t="shared" si="47"/>
        <v>115</v>
      </c>
      <c r="S286" s="457">
        <f t="shared" si="48"/>
        <v>32.857142857142854</v>
      </c>
    </row>
    <row r="287" spans="2:19" s="288" customFormat="1" x14ac:dyDescent="0.2">
      <c r="B287" s="61">
        <f t="shared" si="49"/>
        <v>72</v>
      </c>
      <c r="C287" s="72"/>
      <c r="D287" s="72"/>
      <c r="E287" s="72"/>
      <c r="F287" s="73"/>
      <c r="G287" s="74">
        <v>635</v>
      </c>
      <c r="H287" s="72" t="s">
        <v>130</v>
      </c>
      <c r="I287" s="75">
        <v>985</v>
      </c>
      <c r="J287" s="75">
        <v>360</v>
      </c>
      <c r="K287" s="408">
        <f t="shared" si="50"/>
        <v>36.548223350253807</v>
      </c>
      <c r="L287" s="75"/>
      <c r="M287" s="75"/>
      <c r="N287" s="75"/>
      <c r="O287" s="408"/>
      <c r="P287" s="75"/>
      <c r="Q287" s="77">
        <f t="shared" si="46"/>
        <v>985</v>
      </c>
      <c r="R287" s="77">
        <f t="shared" si="47"/>
        <v>360</v>
      </c>
      <c r="S287" s="457">
        <f t="shared" si="48"/>
        <v>36.548223350253807</v>
      </c>
    </row>
    <row r="288" spans="2:19" s="288" customFormat="1" x14ac:dyDescent="0.2">
      <c r="B288" s="61">
        <f t="shared" si="49"/>
        <v>73</v>
      </c>
      <c r="C288" s="91"/>
      <c r="D288" s="91"/>
      <c r="E288" s="91"/>
      <c r="F288" s="92"/>
      <c r="G288" s="93">
        <v>637</v>
      </c>
      <c r="H288" s="91" t="s">
        <v>119</v>
      </c>
      <c r="I288" s="94">
        <v>200</v>
      </c>
      <c r="J288" s="94"/>
      <c r="K288" s="413">
        <f t="shared" si="50"/>
        <v>0</v>
      </c>
      <c r="L288" s="94"/>
      <c r="M288" s="94"/>
      <c r="N288" s="94"/>
      <c r="O288" s="413"/>
      <c r="P288" s="94"/>
      <c r="Q288" s="95">
        <f t="shared" si="46"/>
        <v>200</v>
      </c>
      <c r="R288" s="95">
        <f t="shared" si="47"/>
        <v>0</v>
      </c>
      <c r="S288" s="460">
        <f t="shared" si="48"/>
        <v>0</v>
      </c>
    </row>
    <row r="289" spans="2:19" s="288" customFormat="1" x14ac:dyDescent="0.2">
      <c r="B289" s="289"/>
      <c r="F289" s="290"/>
      <c r="G289" s="290"/>
      <c r="I289" s="261"/>
      <c r="J289" s="261"/>
      <c r="K289" s="401"/>
      <c r="L289" s="5"/>
      <c r="M289" s="261"/>
      <c r="N289" s="261"/>
      <c r="O289" s="401"/>
      <c r="P289" s="5"/>
      <c r="Q289" s="261"/>
      <c r="R289" s="261"/>
      <c r="S289" s="261"/>
    </row>
    <row r="290" spans="2:19" s="288" customFormat="1" x14ac:dyDescent="0.2">
      <c r="B290" s="289"/>
      <c r="F290" s="290"/>
      <c r="G290" s="290"/>
      <c r="I290" s="261"/>
      <c r="J290" s="261"/>
      <c r="K290" s="401"/>
      <c r="L290" s="5"/>
      <c r="M290" s="261"/>
      <c r="N290" s="261"/>
      <c r="O290" s="401"/>
      <c r="P290" s="5"/>
      <c r="Q290" s="261"/>
      <c r="R290" s="261"/>
      <c r="S290" s="261"/>
    </row>
    <row r="291" spans="2:19" s="288" customFormat="1" x14ac:dyDescent="0.2">
      <c r="B291" s="289"/>
      <c r="F291" s="290"/>
      <c r="G291" s="290"/>
      <c r="I291" s="261"/>
      <c r="J291" s="261"/>
      <c r="K291" s="401"/>
      <c r="L291" s="5"/>
      <c r="M291" s="261"/>
      <c r="N291" s="261"/>
      <c r="O291" s="401"/>
      <c r="P291" s="5"/>
      <c r="Q291" s="261"/>
      <c r="R291" s="261"/>
      <c r="S291" s="261"/>
    </row>
    <row r="292" spans="2:19" s="288" customFormat="1" ht="27.75" x14ac:dyDescent="0.4">
      <c r="B292" s="672" t="s">
        <v>18</v>
      </c>
      <c r="C292" s="673"/>
      <c r="D292" s="673"/>
      <c r="E292" s="673"/>
      <c r="F292" s="673"/>
      <c r="G292" s="673"/>
      <c r="H292" s="673"/>
      <c r="I292" s="673"/>
      <c r="J292" s="673"/>
      <c r="K292" s="673"/>
      <c r="L292" s="673"/>
      <c r="M292" s="673"/>
      <c r="N292" s="673"/>
      <c r="O292" s="673"/>
      <c r="P292" s="673"/>
      <c r="Q292" s="674"/>
      <c r="R292" s="3"/>
      <c r="S292" s="3"/>
    </row>
    <row r="293" spans="2:19" s="288" customFormat="1" x14ac:dyDescent="0.2">
      <c r="B293" s="631" t="s">
        <v>432</v>
      </c>
      <c r="C293" s="632"/>
      <c r="D293" s="632"/>
      <c r="E293" s="632"/>
      <c r="F293" s="632"/>
      <c r="G293" s="632"/>
      <c r="H293" s="632"/>
      <c r="I293" s="632"/>
      <c r="J293" s="632"/>
      <c r="K293" s="632"/>
      <c r="L293" s="632"/>
      <c r="M293" s="632"/>
      <c r="N293" s="632"/>
      <c r="O293" s="632"/>
      <c r="P293" s="632"/>
      <c r="Q293" s="624" t="s">
        <v>761</v>
      </c>
      <c r="R293" s="624" t="s">
        <v>757</v>
      </c>
      <c r="S293" s="665" t="s">
        <v>758</v>
      </c>
    </row>
    <row r="294" spans="2:19" s="288" customFormat="1" x14ac:dyDescent="0.2">
      <c r="B294" s="633"/>
      <c r="C294" s="634" t="s">
        <v>111</v>
      </c>
      <c r="D294" s="634" t="s">
        <v>112</v>
      </c>
      <c r="E294" s="634"/>
      <c r="F294" s="634" t="s">
        <v>113</v>
      </c>
      <c r="G294" s="627" t="s">
        <v>114</v>
      </c>
      <c r="H294" s="628" t="s">
        <v>115</v>
      </c>
      <c r="I294" s="626" t="s">
        <v>759</v>
      </c>
      <c r="J294" s="626" t="s">
        <v>757</v>
      </c>
      <c r="K294" s="667" t="s">
        <v>758</v>
      </c>
      <c r="L294" s="310"/>
      <c r="M294" s="626" t="s">
        <v>760</v>
      </c>
      <c r="N294" s="626" t="s">
        <v>757</v>
      </c>
      <c r="O294" s="626" t="s">
        <v>758</v>
      </c>
      <c r="P294" s="310"/>
      <c r="Q294" s="625"/>
      <c r="R294" s="625"/>
      <c r="S294" s="666"/>
    </row>
    <row r="295" spans="2:19" s="288" customFormat="1" x14ac:dyDescent="0.2">
      <c r="B295" s="633"/>
      <c r="C295" s="634"/>
      <c r="D295" s="634"/>
      <c r="E295" s="634"/>
      <c r="F295" s="634"/>
      <c r="G295" s="627"/>
      <c r="H295" s="628"/>
      <c r="I295" s="626"/>
      <c r="J295" s="626"/>
      <c r="K295" s="667"/>
      <c r="L295" s="310"/>
      <c r="M295" s="626"/>
      <c r="N295" s="626"/>
      <c r="O295" s="626"/>
      <c r="P295" s="310"/>
      <c r="Q295" s="625"/>
      <c r="R295" s="625"/>
      <c r="S295" s="666"/>
    </row>
    <row r="296" spans="2:19" s="288" customFormat="1" x14ac:dyDescent="0.2">
      <c r="B296" s="633"/>
      <c r="C296" s="634"/>
      <c r="D296" s="634"/>
      <c r="E296" s="634"/>
      <c r="F296" s="634"/>
      <c r="G296" s="627"/>
      <c r="H296" s="628"/>
      <c r="I296" s="626"/>
      <c r="J296" s="626"/>
      <c r="K296" s="667"/>
      <c r="L296" s="310"/>
      <c r="M296" s="626"/>
      <c r="N296" s="626"/>
      <c r="O296" s="626"/>
      <c r="P296" s="310"/>
      <c r="Q296" s="625"/>
      <c r="R296" s="625"/>
      <c r="S296" s="666"/>
    </row>
    <row r="297" spans="2:19" s="288" customFormat="1" x14ac:dyDescent="0.2">
      <c r="B297" s="633"/>
      <c r="C297" s="634"/>
      <c r="D297" s="634"/>
      <c r="E297" s="634"/>
      <c r="F297" s="634"/>
      <c r="G297" s="627"/>
      <c r="H297" s="628"/>
      <c r="I297" s="626"/>
      <c r="J297" s="626"/>
      <c r="K297" s="667"/>
      <c r="L297" s="310"/>
      <c r="M297" s="626"/>
      <c r="N297" s="626"/>
      <c r="O297" s="626"/>
      <c r="P297" s="310"/>
      <c r="Q297" s="625"/>
      <c r="R297" s="625"/>
      <c r="S297" s="666"/>
    </row>
    <row r="298" spans="2:19" s="288" customFormat="1" ht="15.75" x14ac:dyDescent="0.2">
      <c r="B298" s="61">
        <v>1</v>
      </c>
      <c r="C298" s="670" t="s">
        <v>18</v>
      </c>
      <c r="D298" s="671"/>
      <c r="E298" s="671"/>
      <c r="F298" s="671"/>
      <c r="G298" s="671"/>
      <c r="H298" s="671"/>
      <c r="I298" s="62">
        <f>I299+I316+I340+I347+I353</f>
        <v>2552477</v>
      </c>
      <c r="J298" s="62">
        <f>J299+J316+J340+J347+J353</f>
        <v>2426703</v>
      </c>
      <c r="K298" s="410">
        <f t="shared" ref="K298:K310" si="51">J298/I298*100</f>
        <v>95.072472739225461</v>
      </c>
      <c r="L298" s="317"/>
      <c r="M298" s="62">
        <f>M299+M316+M340+M347+M353</f>
        <v>15179900</v>
      </c>
      <c r="N298" s="62">
        <f>N299+N316+N340+N347+N353</f>
        <v>3238559</v>
      </c>
      <c r="O298" s="410">
        <f>N298/M298*100</f>
        <v>21.334521307782001</v>
      </c>
      <c r="P298" s="319"/>
      <c r="Q298" s="63">
        <f t="shared" ref="Q298:Q329" si="52">I298+M298</f>
        <v>17732377</v>
      </c>
      <c r="R298" s="63">
        <f t="shared" ref="R298:R329" si="53">J298+N298</f>
        <v>5665262</v>
      </c>
      <c r="S298" s="455">
        <f t="shared" ref="S298:S329" si="54">R298/Q298*100</f>
        <v>31.948689112576389</v>
      </c>
    </row>
    <row r="299" spans="2:19" s="288" customFormat="1" ht="15" x14ac:dyDescent="0.2">
      <c r="B299" s="61">
        <f t="shared" ref="B299:B330" si="55">B298+1</f>
        <v>2</v>
      </c>
      <c r="C299" s="64">
        <v>1</v>
      </c>
      <c r="D299" s="668" t="s">
        <v>148</v>
      </c>
      <c r="E299" s="669"/>
      <c r="F299" s="669"/>
      <c r="G299" s="669"/>
      <c r="H299" s="669"/>
      <c r="I299" s="65">
        <f>I300+I301+I302+I310</f>
        <v>1735840</v>
      </c>
      <c r="J299" s="65">
        <f>J300+J301+J302+J310</f>
        <v>1659276</v>
      </c>
      <c r="K299" s="409">
        <f t="shared" si="51"/>
        <v>95.589224813346846</v>
      </c>
      <c r="L299" s="318"/>
      <c r="M299" s="65">
        <f>M311</f>
        <v>45000</v>
      </c>
      <c r="N299" s="65">
        <f>N311</f>
        <v>44977</v>
      </c>
      <c r="O299" s="409">
        <f>N299/M299*100</f>
        <v>99.948888888888888</v>
      </c>
      <c r="P299" s="320"/>
      <c r="Q299" s="66">
        <f t="shared" si="52"/>
        <v>1780840</v>
      </c>
      <c r="R299" s="66">
        <f t="shared" si="53"/>
        <v>1704253</v>
      </c>
      <c r="S299" s="456">
        <f t="shared" si="54"/>
        <v>95.699389052357319</v>
      </c>
    </row>
    <row r="300" spans="2:19" s="288" customFormat="1" x14ac:dyDescent="0.2">
      <c r="B300" s="61">
        <f t="shared" si="55"/>
        <v>3</v>
      </c>
      <c r="C300" s="67"/>
      <c r="D300" s="67"/>
      <c r="E300" s="67"/>
      <c r="F300" s="68" t="s">
        <v>147</v>
      </c>
      <c r="G300" s="69">
        <v>610</v>
      </c>
      <c r="H300" s="67" t="s">
        <v>128</v>
      </c>
      <c r="I300" s="70">
        <f>1090000-40000+9000</f>
        <v>1059000</v>
      </c>
      <c r="J300" s="70">
        <v>1059000</v>
      </c>
      <c r="K300" s="408">
        <f t="shared" si="51"/>
        <v>100</v>
      </c>
      <c r="L300" s="70"/>
      <c r="M300" s="70"/>
      <c r="N300" s="70"/>
      <c r="O300" s="408"/>
      <c r="P300" s="70"/>
      <c r="Q300" s="71">
        <f t="shared" si="52"/>
        <v>1059000</v>
      </c>
      <c r="R300" s="71">
        <f t="shared" si="53"/>
        <v>1059000</v>
      </c>
      <c r="S300" s="457">
        <f t="shared" si="54"/>
        <v>100</v>
      </c>
    </row>
    <row r="301" spans="2:19" s="288" customFormat="1" x14ac:dyDescent="0.2">
      <c r="B301" s="61">
        <f t="shared" si="55"/>
        <v>4</v>
      </c>
      <c r="C301" s="67"/>
      <c r="D301" s="67"/>
      <c r="E301" s="67"/>
      <c r="F301" s="68" t="s">
        <v>147</v>
      </c>
      <c r="G301" s="69">
        <v>620</v>
      </c>
      <c r="H301" s="67" t="s">
        <v>121</v>
      </c>
      <c r="I301" s="70">
        <f>344000+56000+14000-5500</f>
        <v>408500</v>
      </c>
      <c r="J301" s="70">
        <v>403848</v>
      </c>
      <c r="K301" s="408">
        <f t="shared" si="51"/>
        <v>98.861199510403921</v>
      </c>
      <c r="L301" s="70"/>
      <c r="M301" s="70"/>
      <c r="N301" s="70"/>
      <c r="O301" s="408"/>
      <c r="P301" s="70"/>
      <c r="Q301" s="71">
        <f t="shared" si="52"/>
        <v>408500</v>
      </c>
      <c r="R301" s="71">
        <f t="shared" si="53"/>
        <v>403848</v>
      </c>
      <c r="S301" s="457">
        <f t="shared" si="54"/>
        <v>98.861199510403921</v>
      </c>
    </row>
    <row r="302" spans="2:19" s="288" customFormat="1" x14ac:dyDescent="0.2">
      <c r="B302" s="61">
        <f t="shared" si="55"/>
        <v>5</v>
      </c>
      <c r="C302" s="67"/>
      <c r="D302" s="67"/>
      <c r="E302" s="67"/>
      <c r="F302" s="68" t="s">
        <v>147</v>
      </c>
      <c r="G302" s="69">
        <v>630</v>
      </c>
      <c r="H302" s="67" t="s">
        <v>118</v>
      </c>
      <c r="I302" s="70">
        <f>I303+I304+I305+I306+I307+I308+I309</f>
        <v>208440</v>
      </c>
      <c r="J302" s="70">
        <f>J303+J304+J305+J306+J307+J308+J309</f>
        <v>149980</v>
      </c>
      <c r="K302" s="408">
        <f t="shared" si="51"/>
        <v>71.953559777393977</v>
      </c>
      <c r="L302" s="70"/>
      <c r="M302" s="70"/>
      <c r="N302" s="70"/>
      <c r="O302" s="408"/>
      <c r="P302" s="70"/>
      <c r="Q302" s="71">
        <f t="shared" si="52"/>
        <v>208440</v>
      </c>
      <c r="R302" s="71">
        <f t="shared" si="53"/>
        <v>149980</v>
      </c>
      <c r="S302" s="457">
        <f t="shared" si="54"/>
        <v>71.953559777393977</v>
      </c>
    </row>
    <row r="303" spans="2:19" s="288" customFormat="1" x14ac:dyDescent="0.2">
      <c r="B303" s="61">
        <f t="shared" si="55"/>
        <v>6</v>
      </c>
      <c r="C303" s="72"/>
      <c r="D303" s="72"/>
      <c r="E303" s="72"/>
      <c r="F303" s="73"/>
      <c r="G303" s="74">
        <v>631</v>
      </c>
      <c r="H303" s="72" t="s">
        <v>124</v>
      </c>
      <c r="I303" s="75">
        <f>8000-3000</f>
        <v>5000</v>
      </c>
      <c r="J303" s="75">
        <v>2384</v>
      </c>
      <c r="K303" s="408">
        <f t="shared" si="51"/>
        <v>47.68</v>
      </c>
      <c r="L303" s="75"/>
      <c r="M303" s="75"/>
      <c r="N303" s="75"/>
      <c r="O303" s="408"/>
      <c r="P303" s="75"/>
      <c r="Q303" s="77">
        <f t="shared" si="52"/>
        <v>5000</v>
      </c>
      <c r="R303" s="77">
        <f t="shared" si="53"/>
        <v>2384</v>
      </c>
      <c r="S303" s="457">
        <f t="shared" si="54"/>
        <v>47.68</v>
      </c>
    </row>
    <row r="304" spans="2:19" s="288" customFormat="1" x14ac:dyDescent="0.2">
      <c r="B304" s="61">
        <f t="shared" si="55"/>
        <v>7</v>
      </c>
      <c r="C304" s="72"/>
      <c r="D304" s="72"/>
      <c r="E304" s="72"/>
      <c r="F304" s="73"/>
      <c r="G304" s="74">
        <v>632</v>
      </c>
      <c r="H304" s="72" t="s">
        <v>131</v>
      </c>
      <c r="I304" s="75">
        <v>44000</v>
      </c>
      <c r="J304" s="75">
        <v>23098</v>
      </c>
      <c r="K304" s="408">
        <f t="shared" si="51"/>
        <v>52.495454545454542</v>
      </c>
      <c r="L304" s="75"/>
      <c r="M304" s="75"/>
      <c r="N304" s="75"/>
      <c r="O304" s="408"/>
      <c r="P304" s="75"/>
      <c r="Q304" s="77">
        <f t="shared" si="52"/>
        <v>44000</v>
      </c>
      <c r="R304" s="77">
        <f t="shared" si="53"/>
        <v>23098</v>
      </c>
      <c r="S304" s="457">
        <f t="shared" si="54"/>
        <v>52.495454545454542</v>
      </c>
    </row>
    <row r="305" spans="2:19" s="288" customFormat="1" x14ac:dyDescent="0.2">
      <c r="B305" s="61">
        <f t="shared" si="55"/>
        <v>8</v>
      </c>
      <c r="C305" s="72"/>
      <c r="D305" s="72"/>
      <c r="E305" s="72"/>
      <c r="F305" s="73"/>
      <c r="G305" s="74">
        <v>633</v>
      </c>
      <c r="H305" s="72" t="s">
        <v>122</v>
      </c>
      <c r="I305" s="75">
        <f>70250-1000</f>
        <v>69250</v>
      </c>
      <c r="J305" s="75">
        <v>61897</v>
      </c>
      <c r="K305" s="408">
        <f t="shared" si="51"/>
        <v>89.38194945848376</v>
      </c>
      <c r="L305" s="75"/>
      <c r="M305" s="75"/>
      <c r="N305" s="75"/>
      <c r="O305" s="408"/>
      <c r="P305" s="75"/>
      <c r="Q305" s="77">
        <f t="shared" si="52"/>
        <v>69250</v>
      </c>
      <c r="R305" s="77">
        <f t="shared" si="53"/>
        <v>61897</v>
      </c>
      <c r="S305" s="457">
        <f t="shared" si="54"/>
        <v>89.38194945848376</v>
      </c>
    </row>
    <row r="306" spans="2:19" s="288" customFormat="1" x14ac:dyDescent="0.2">
      <c r="B306" s="61">
        <f t="shared" si="55"/>
        <v>9</v>
      </c>
      <c r="C306" s="72"/>
      <c r="D306" s="72"/>
      <c r="E306" s="72"/>
      <c r="F306" s="73"/>
      <c r="G306" s="74">
        <v>634</v>
      </c>
      <c r="H306" s="72" t="s">
        <v>129</v>
      </c>
      <c r="I306" s="75">
        <v>40610</v>
      </c>
      <c r="J306" s="75">
        <v>31665</v>
      </c>
      <c r="K306" s="408">
        <f t="shared" si="51"/>
        <v>77.973405565131742</v>
      </c>
      <c r="L306" s="75"/>
      <c r="M306" s="75"/>
      <c r="N306" s="75"/>
      <c r="O306" s="408"/>
      <c r="P306" s="75"/>
      <c r="Q306" s="77">
        <f t="shared" si="52"/>
        <v>40610</v>
      </c>
      <c r="R306" s="77">
        <f t="shared" si="53"/>
        <v>31665</v>
      </c>
      <c r="S306" s="457">
        <f t="shared" si="54"/>
        <v>77.973405565131742</v>
      </c>
    </row>
    <row r="307" spans="2:19" s="288" customFormat="1" x14ac:dyDescent="0.2">
      <c r="B307" s="61">
        <f t="shared" si="55"/>
        <v>10</v>
      </c>
      <c r="C307" s="72"/>
      <c r="D307" s="72"/>
      <c r="E307" s="72"/>
      <c r="F307" s="73"/>
      <c r="G307" s="74">
        <v>635</v>
      </c>
      <c r="H307" s="72" t="s">
        <v>130</v>
      </c>
      <c r="I307" s="75">
        <v>6100</v>
      </c>
      <c r="J307" s="75">
        <v>1471</v>
      </c>
      <c r="K307" s="408">
        <f t="shared" si="51"/>
        <v>24.114754098360656</v>
      </c>
      <c r="L307" s="75"/>
      <c r="M307" s="75"/>
      <c r="N307" s="75"/>
      <c r="O307" s="408"/>
      <c r="P307" s="75"/>
      <c r="Q307" s="77">
        <f t="shared" si="52"/>
        <v>6100</v>
      </c>
      <c r="R307" s="77">
        <f t="shared" si="53"/>
        <v>1471</v>
      </c>
      <c r="S307" s="457">
        <f t="shared" si="54"/>
        <v>24.114754098360656</v>
      </c>
    </row>
    <row r="308" spans="2:19" s="288" customFormat="1" x14ac:dyDescent="0.2">
      <c r="B308" s="61">
        <f t="shared" si="55"/>
        <v>11</v>
      </c>
      <c r="C308" s="72"/>
      <c r="D308" s="72"/>
      <c r="E308" s="72"/>
      <c r="F308" s="73"/>
      <c r="G308" s="74">
        <v>636</v>
      </c>
      <c r="H308" s="72" t="s">
        <v>123</v>
      </c>
      <c r="I308" s="75">
        <v>2000</v>
      </c>
      <c r="J308" s="75">
        <v>200</v>
      </c>
      <c r="K308" s="408">
        <f t="shared" si="51"/>
        <v>10</v>
      </c>
      <c r="L308" s="75"/>
      <c r="M308" s="75"/>
      <c r="N308" s="75"/>
      <c r="O308" s="408"/>
      <c r="P308" s="75"/>
      <c r="Q308" s="77">
        <f t="shared" si="52"/>
        <v>2000</v>
      </c>
      <c r="R308" s="77">
        <f t="shared" si="53"/>
        <v>200</v>
      </c>
      <c r="S308" s="457">
        <f t="shared" si="54"/>
        <v>10</v>
      </c>
    </row>
    <row r="309" spans="2:19" s="288" customFormat="1" x14ac:dyDescent="0.2">
      <c r="B309" s="61">
        <f t="shared" si="55"/>
        <v>12</v>
      </c>
      <c r="C309" s="72"/>
      <c r="D309" s="72"/>
      <c r="E309" s="72"/>
      <c r="F309" s="73"/>
      <c r="G309" s="74">
        <v>637</v>
      </c>
      <c r="H309" s="72" t="s">
        <v>119</v>
      </c>
      <c r="I309" s="75">
        <v>41480</v>
      </c>
      <c r="J309" s="75">
        <v>29265</v>
      </c>
      <c r="K309" s="408">
        <f t="shared" si="51"/>
        <v>70.552073288331727</v>
      </c>
      <c r="L309" s="75"/>
      <c r="M309" s="75"/>
      <c r="N309" s="75"/>
      <c r="O309" s="408"/>
      <c r="P309" s="75"/>
      <c r="Q309" s="77">
        <f t="shared" si="52"/>
        <v>41480</v>
      </c>
      <c r="R309" s="77">
        <f t="shared" si="53"/>
        <v>29265</v>
      </c>
      <c r="S309" s="457">
        <f t="shared" si="54"/>
        <v>70.552073288331727</v>
      </c>
    </row>
    <row r="310" spans="2:19" s="288" customFormat="1" x14ac:dyDescent="0.2">
      <c r="B310" s="61">
        <f t="shared" si="55"/>
        <v>13</v>
      </c>
      <c r="C310" s="67"/>
      <c r="D310" s="67"/>
      <c r="E310" s="67"/>
      <c r="F310" s="68" t="s">
        <v>147</v>
      </c>
      <c r="G310" s="69">
        <v>640</v>
      </c>
      <c r="H310" s="67" t="s">
        <v>126</v>
      </c>
      <c r="I310" s="70">
        <f>40200+12200+2000+5500</f>
        <v>59900</v>
      </c>
      <c r="J310" s="70">
        <v>46448</v>
      </c>
      <c r="K310" s="408">
        <f t="shared" si="51"/>
        <v>77.542570951585972</v>
      </c>
      <c r="L310" s="70"/>
      <c r="M310" s="70"/>
      <c r="N310" s="70"/>
      <c r="O310" s="408"/>
      <c r="P310" s="70"/>
      <c r="Q310" s="71">
        <f t="shared" si="52"/>
        <v>59900</v>
      </c>
      <c r="R310" s="71">
        <f t="shared" si="53"/>
        <v>46448</v>
      </c>
      <c r="S310" s="457">
        <f t="shared" si="54"/>
        <v>77.542570951585972</v>
      </c>
    </row>
    <row r="311" spans="2:19" s="288" customFormat="1" x14ac:dyDescent="0.2">
      <c r="B311" s="61">
        <f t="shared" si="55"/>
        <v>14</v>
      </c>
      <c r="C311" s="67"/>
      <c r="D311" s="67"/>
      <c r="E311" s="67"/>
      <c r="F311" s="68" t="s">
        <v>147</v>
      </c>
      <c r="G311" s="69">
        <v>710</v>
      </c>
      <c r="H311" s="67" t="s">
        <v>172</v>
      </c>
      <c r="I311" s="70"/>
      <c r="J311" s="70"/>
      <c r="K311" s="408"/>
      <c r="L311" s="70"/>
      <c r="M311" s="70">
        <f>M312+M314</f>
        <v>45000</v>
      </c>
      <c r="N311" s="70">
        <f>N312+N314</f>
        <v>44977</v>
      </c>
      <c r="O311" s="408">
        <f t="shared" ref="O311:O327" si="56">N311/M311*100</f>
        <v>99.948888888888888</v>
      </c>
      <c r="P311" s="70"/>
      <c r="Q311" s="71">
        <f t="shared" si="52"/>
        <v>45000</v>
      </c>
      <c r="R311" s="71">
        <f t="shared" si="53"/>
        <v>44977</v>
      </c>
      <c r="S311" s="457">
        <f t="shared" si="54"/>
        <v>99.948888888888888</v>
      </c>
    </row>
    <row r="312" spans="2:19" s="288" customFormat="1" x14ac:dyDescent="0.2">
      <c r="B312" s="61">
        <f t="shared" si="55"/>
        <v>15</v>
      </c>
      <c r="C312" s="72"/>
      <c r="D312" s="72"/>
      <c r="E312" s="72"/>
      <c r="F312" s="73"/>
      <c r="G312" s="74">
        <v>713</v>
      </c>
      <c r="H312" s="72" t="s">
        <v>216</v>
      </c>
      <c r="I312" s="75"/>
      <c r="J312" s="75"/>
      <c r="K312" s="408"/>
      <c r="L312" s="75"/>
      <c r="M312" s="75">
        <f>M313</f>
        <v>1000</v>
      </c>
      <c r="N312" s="75">
        <f>N313</f>
        <v>984</v>
      </c>
      <c r="O312" s="408">
        <f t="shared" si="56"/>
        <v>98.4</v>
      </c>
      <c r="P312" s="75"/>
      <c r="Q312" s="77">
        <f t="shared" si="52"/>
        <v>1000</v>
      </c>
      <c r="R312" s="77">
        <f t="shared" si="53"/>
        <v>984</v>
      </c>
      <c r="S312" s="457">
        <f t="shared" si="54"/>
        <v>98.4</v>
      </c>
    </row>
    <row r="313" spans="2:19" s="288" customFormat="1" x14ac:dyDescent="0.2">
      <c r="B313" s="61">
        <f t="shared" si="55"/>
        <v>16</v>
      </c>
      <c r="C313" s="82"/>
      <c r="D313" s="82"/>
      <c r="E313" s="82"/>
      <c r="F313" s="84"/>
      <c r="G313" s="84"/>
      <c r="H313" s="82" t="s">
        <v>655</v>
      </c>
      <c r="I313" s="85"/>
      <c r="J313" s="85"/>
      <c r="K313" s="408"/>
      <c r="L313" s="85"/>
      <c r="M313" s="85">
        <v>1000</v>
      </c>
      <c r="N313" s="85">
        <v>984</v>
      </c>
      <c r="O313" s="408">
        <f t="shared" si="56"/>
        <v>98.4</v>
      </c>
      <c r="P313" s="85"/>
      <c r="Q313" s="86">
        <f t="shared" si="52"/>
        <v>1000</v>
      </c>
      <c r="R313" s="86">
        <f t="shared" si="53"/>
        <v>984</v>
      </c>
      <c r="S313" s="457">
        <f t="shared" si="54"/>
        <v>98.4</v>
      </c>
    </row>
    <row r="314" spans="2:19" s="288" customFormat="1" x14ac:dyDescent="0.2">
      <c r="B314" s="61">
        <f t="shared" si="55"/>
        <v>17</v>
      </c>
      <c r="C314" s="72"/>
      <c r="D314" s="72"/>
      <c r="E314" s="72"/>
      <c r="F314" s="68"/>
      <c r="G314" s="74">
        <v>717</v>
      </c>
      <c r="H314" s="72" t="s">
        <v>340</v>
      </c>
      <c r="I314" s="75"/>
      <c r="J314" s="75"/>
      <c r="K314" s="408"/>
      <c r="L314" s="75"/>
      <c r="M314" s="75">
        <f>M315</f>
        <v>44000</v>
      </c>
      <c r="N314" s="75">
        <f>N315</f>
        <v>43993</v>
      </c>
      <c r="O314" s="408">
        <f t="shared" si="56"/>
        <v>99.984090909090909</v>
      </c>
      <c r="P314" s="75"/>
      <c r="Q314" s="77">
        <f t="shared" si="52"/>
        <v>44000</v>
      </c>
      <c r="R314" s="77">
        <f t="shared" si="53"/>
        <v>43993</v>
      </c>
      <c r="S314" s="457">
        <f t="shared" si="54"/>
        <v>99.984090909090909</v>
      </c>
    </row>
    <row r="315" spans="2:19" s="288" customFormat="1" x14ac:dyDescent="0.2">
      <c r="B315" s="61">
        <f t="shared" si="55"/>
        <v>18</v>
      </c>
      <c r="C315" s="82"/>
      <c r="D315" s="82"/>
      <c r="E315" s="82"/>
      <c r="F315" s="84"/>
      <c r="G315" s="84"/>
      <c r="H315" s="82" t="s">
        <v>515</v>
      </c>
      <c r="I315" s="85"/>
      <c r="J315" s="85"/>
      <c r="K315" s="408"/>
      <c r="L315" s="85"/>
      <c r="M315" s="85">
        <f>40000+5200-1200</f>
        <v>44000</v>
      </c>
      <c r="N315" s="85">
        <v>43993</v>
      </c>
      <c r="O315" s="408">
        <f t="shared" si="56"/>
        <v>99.984090909090909</v>
      </c>
      <c r="P315" s="75"/>
      <c r="Q315" s="86">
        <f t="shared" si="52"/>
        <v>44000</v>
      </c>
      <c r="R315" s="86">
        <f t="shared" si="53"/>
        <v>43993</v>
      </c>
      <c r="S315" s="457">
        <f t="shared" si="54"/>
        <v>99.984090909090909</v>
      </c>
    </row>
    <row r="316" spans="2:19" s="288" customFormat="1" ht="15" x14ac:dyDescent="0.2">
      <c r="B316" s="61">
        <f t="shared" si="55"/>
        <v>19</v>
      </c>
      <c r="C316" s="64">
        <v>2</v>
      </c>
      <c r="D316" s="668" t="s">
        <v>203</v>
      </c>
      <c r="E316" s="669"/>
      <c r="F316" s="669"/>
      <c r="G316" s="669"/>
      <c r="H316" s="669"/>
      <c r="I316" s="65">
        <f>I327</f>
        <v>711603</v>
      </c>
      <c r="J316" s="65">
        <f>J327</f>
        <v>679266</v>
      </c>
      <c r="K316" s="409">
        <f>J316/I316*100</f>
        <v>95.455752716050952</v>
      </c>
      <c r="L316" s="318"/>
      <c r="M316" s="65">
        <f>M317+M327</f>
        <v>15109900</v>
      </c>
      <c r="N316" s="65">
        <f>N317+N327</f>
        <v>3171008</v>
      </c>
      <c r="O316" s="409">
        <f t="shared" si="56"/>
        <v>20.986293754425905</v>
      </c>
      <c r="P316" s="75"/>
      <c r="Q316" s="66">
        <f t="shared" si="52"/>
        <v>15821503</v>
      </c>
      <c r="R316" s="66">
        <f t="shared" si="53"/>
        <v>3850274</v>
      </c>
      <c r="S316" s="456">
        <f t="shared" si="54"/>
        <v>24.335703125044443</v>
      </c>
    </row>
    <row r="317" spans="2:19" s="288" customFormat="1" x14ac:dyDescent="0.2">
      <c r="B317" s="61">
        <f t="shared" si="55"/>
        <v>20</v>
      </c>
      <c r="C317" s="67"/>
      <c r="D317" s="67"/>
      <c r="E317" s="67"/>
      <c r="F317" s="68" t="s">
        <v>202</v>
      </c>
      <c r="G317" s="69">
        <v>710</v>
      </c>
      <c r="H317" s="67" t="s">
        <v>172</v>
      </c>
      <c r="I317" s="70"/>
      <c r="J317" s="70"/>
      <c r="K317" s="408"/>
      <c r="L317" s="70"/>
      <c r="M317" s="70">
        <f>M318+M320+M323</f>
        <v>15094900</v>
      </c>
      <c r="N317" s="70">
        <f>N318+N320+N323</f>
        <v>3156908</v>
      </c>
      <c r="O317" s="408">
        <f t="shared" si="56"/>
        <v>20.913739077436748</v>
      </c>
      <c r="P317" s="75"/>
      <c r="Q317" s="71">
        <f t="shared" si="52"/>
        <v>15094900</v>
      </c>
      <c r="R317" s="71">
        <f t="shared" si="53"/>
        <v>3156908</v>
      </c>
      <c r="S317" s="457">
        <f t="shared" si="54"/>
        <v>20.913739077436748</v>
      </c>
    </row>
    <row r="318" spans="2:19" s="288" customFormat="1" x14ac:dyDescent="0.2">
      <c r="B318" s="61">
        <f t="shared" si="55"/>
        <v>21</v>
      </c>
      <c r="C318" s="72"/>
      <c r="D318" s="72"/>
      <c r="E318" s="72"/>
      <c r="F318" s="73"/>
      <c r="G318" s="74">
        <v>713</v>
      </c>
      <c r="H318" s="72" t="s">
        <v>216</v>
      </c>
      <c r="I318" s="75"/>
      <c r="J318" s="75"/>
      <c r="K318" s="408"/>
      <c r="L318" s="75"/>
      <c r="M318" s="75">
        <f>M319</f>
        <v>15000</v>
      </c>
      <c r="N318" s="75">
        <f>N319</f>
        <v>0</v>
      </c>
      <c r="O318" s="408">
        <f t="shared" si="56"/>
        <v>0</v>
      </c>
      <c r="P318" s="75"/>
      <c r="Q318" s="77">
        <f t="shared" si="52"/>
        <v>15000</v>
      </c>
      <c r="R318" s="77">
        <f t="shared" si="53"/>
        <v>0</v>
      </c>
      <c r="S318" s="457">
        <f t="shared" si="54"/>
        <v>0</v>
      </c>
    </row>
    <row r="319" spans="2:19" s="288" customFormat="1" x14ac:dyDescent="0.2">
      <c r="B319" s="61">
        <f t="shared" si="55"/>
        <v>22</v>
      </c>
      <c r="C319" s="72"/>
      <c r="D319" s="72"/>
      <c r="E319" s="72"/>
      <c r="F319" s="73"/>
      <c r="G319" s="74"/>
      <c r="H319" s="82" t="s">
        <v>516</v>
      </c>
      <c r="I319" s="75"/>
      <c r="J319" s="75"/>
      <c r="K319" s="408"/>
      <c r="L319" s="75"/>
      <c r="M319" s="85">
        <v>15000</v>
      </c>
      <c r="N319" s="85">
        <v>0</v>
      </c>
      <c r="O319" s="408">
        <f t="shared" si="56"/>
        <v>0</v>
      </c>
      <c r="P319" s="75"/>
      <c r="Q319" s="86">
        <f t="shared" si="52"/>
        <v>15000</v>
      </c>
      <c r="R319" s="86">
        <f t="shared" si="53"/>
        <v>0</v>
      </c>
      <c r="S319" s="457">
        <f t="shared" si="54"/>
        <v>0</v>
      </c>
    </row>
    <row r="320" spans="2:19" s="288" customFormat="1" x14ac:dyDescent="0.2">
      <c r="B320" s="61">
        <f t="shared" si="55"/>
        <v>23</v>
      </c>
      <c r="C320" s="72"/>
      <c r="D320" s="72"/>
      <c r="E320" s="72"/>
      <c r="F320" s="73"/>
      <c r="G320" s="74">
        <v>716</v>
      </c>
      <c r="H320" s="72" t="s">
        <v>213</v>
      </c>
      <c r="I320" s="75"/>
      <c r="J320" s="75"/>
      <c r="K320" s="408"/>
      <c r="L320" s="75"/>
      <c r="M320" s="75">
        <f>SUM(M321:M322)</f>
        <v>119900</v>
      </c>
      <c r="N320" s="75">
        <f>SUM(N321:N322)</f>
        <v>2794</v>
      </c>
      <c r="O320" s="408">
        <f t="shared" si="56"/>
        <v>2.330275229357798</v>
      </c>
      <c r="P320" s="75"/>
      <c r="Q320" s="77">
        <f t="shared" si="52"/>
        <v>119900</v>
      </c>
      <c r="R320" s="77">
        <f t="shared" si="53"/>
        <v>2794</v>
      </c>
      <c r="S320" s="457">
        <f t="shared" si="54"/>
        <v>2.330275229357798</v>
      </c>
    </row>
    <row r="321" spans="2:19" s="288" customFormat="1" x14ac:dyDescent="0.2">
      <c r="B321" s="61">
        <f t="shared" si="55"/>
        <v>24</v>
      </c>
      <c r="C321" s="72"/>
      <c r="D321" s="72"/>
      <c r="E321" s="72"/>
      <c r="F321" s="73"/>
      <c r="G321" s="74"/>
      <c r="H321" s="82" t="s">
        <v>448</v>
      </c>
      <c r="I321" s="75"/>
      <c r="J321" s="75"/>
      <c r="K321" s="408"/>
      <c r="L321" s="75"/>
      <c r="M321" s="75">
        <f>3500-600</f>
        <v>2900</v>
      </c>
      <c r="N321" s="75">
        <v>2794</v>
      </c>
      <c r="O321" s="408">
        <f t="shared" si="56"/>
        <v>96.34482758620689</v>
      </c>
      <c r="P321" s="75"/>
      <c r="Q321" s="77">
        <f t="shared" si="52"/>
        <v>2900</v>
      </c>
      <c r="R321" s="77">
        <f t="shared" si="53"/>
        <v>2794</v>
      </c>
      <c r="S321" s="457">
        <f t="shared" si="54"/>
        <v>96.34482758620689</v>
      </c>
    </row>
    <row r="322" spans="2:19" s="288" customFormat="1" x14ac:dyDescent="0.2">
      <c r="B322" s="61">
        <f t="shared" si="55"/>
        <v>25</v>
      </c>
      <c r="C322" s="82"/>
      <c r="D322" s="82"/>
      <c r="E322" s="82"/>
      <c r="F322" s="84"/>
      <c r="G322" s="84"/>
      <c r="H322" s="82" t="s">
        <v>402</v>
      </c>
      <c r="I322" s="85"/>
      <c r="J322" s="85"/>
      <c r="K322" s="408"/>
      <c r="L322" s="85"/>
      <c r="M322" s="85">
        <v>117000</v>
      </c>
      <c r="N322" s="85">
        <v>0</v>
      </c>
      <c r="O322" s="408">
        <f t="shared" si="56"/>
        <v>0</v>
      </c>
      <c r="P322" s="85"/>
      <c r="Q322" s="86">
        <f t="shared" si="52"/>
        <v>117000</v>
      </c>
      <c r="R322" s="86">
        <f t="shared" si="53"/>
        <v>0</v>
      </c>
      <c r="S322" s="457">
        <f t="shared" si="54"/>
        <v>0</v>
      </c>
    </row>
    <row r="323" spans="2:19" s="288" customFormat="1" x14ac:dyDescent="0.2">
      <c r="B323" s="61">
        <f t="shared" si="55"/>
        <v>26</v>
      </c>
      <c r="C323" s="72"/>
      <c r="D323" s="72"/>
      <c r="E323" s="72"/>
      <c r="F323" s="73"/>
      <c r="G323" s="74">
        <v>717</v>
      </c>
      <c r="H323" s="72" t="s">
        <v>179</v>
      </c>
      <c r="I323" s="75"/>
      <c r="J323" s="75"/>
      <c r="K323" s="408"/>
      <c r="L323" s="75"/>
      <c r="M323" s="75">
        <f>SUM(M324:M326)</f>
        <v>14960000</v>
      </c>
      <c r="N323" s="75">
        <f>SUM(N324:N326)</f>
        <v>3154114</v>
      </c>
      <c r="O323" s="408">
        <f t="shared" si="56"/>
        <v>21.083649732620323</v>
      </c>
      <c r="P323" s="75"/>
      <c r="Q323" s="77">
        <f t="shared" si="52"/>
        <v>14960000</v>
      </c>
      <c r="R323" s="77">
        <f t="shared" si="53"/>
        <v>3154114</v>
      </c>
      <c r="S323" s="457">
        <f t="shared" si="54"/>
        <v>21.083649732620323</v>
      </c>
    </row>
    <row r="324" spans="2:19" s="288" customFormat="1" x14ac:dyDescent="0.2">
      <c r="B324" s="61">
        <f t="shared" si="55"/>
        <v>27</v>
      </c>
      <c r="C324" s="82"/>
      <c r="D324" s="82"/>
      <c r="E324" s="82"/>
      <c r="F324" s="84"/>
      <c r="G324" s="84"/>
      <c r="H324" s="82" t="s">
        <v>579</v>
      </c>
      <c r="I324" s="85"/>
      <c r="J324" s="85"/>
      <c r="K324" s="408"/>
      <c r="L324" s="85"/>
      <c r="M324" s="85">
        <v>10000</v>
      </c>
      <c r="N324" s="85">
        <v>0</v>
      </c>
      <c r="O324" s="408">
        <f t="shared" si="56"/>
        <v>0</v>
      </c>
      <c r="P324" s="85"/>
      <c r="Q324" s="86">
        <f t="shared" si="52"/>
        <v>10000</v>
      </c>
      <c r="R324" s="86">
        <f t="shared" si="53"/>
        <v>0</v>
      </c>
      <c r="S324" s="457">
        <f t="shared" si="54"/>
        <v>0</v>
      </c>
    </row>
    <row r="325" spans="2:19" s="288" customFormat="1" x14ac:dyDescent="0.2">
      <c r="B325" s="61">
        <f t="shared" si="55"/>
        <v>28</v>
      </c>
      <c r="C325" s="82"/>
      <c r="D325" s="82"/>
      <c r="E325" s="82"/>
      <c r="F325" s="84"/>
      <c r="G325" s="84"/>
      <c r="H325" s="82" t="s">
        <v>553</v>
      </c>
      <c r="I325" s="85"/>
      <c r="J325" s="85"/>
      <c r="K325" s="408"/>
      <c r="L325" s="85"/>
      <c r="M325" s="85">
        <v>6490000</v>
      </c>
      <c r="N325" s="85">
        <v>3154114</v>
      </c>
      <c r="O325" s="408">
        <f t="shared" si="56"/>
        <v>48.599599383667183</v>
      </c>
      <c r="P325" s="85"/>
      <c r="Q325" s="86">
        <f t="shared" si="52"/>
        <v>6490000</v>
      </c>
      <c r="R325" s="86">
        <f t="shared" si="53"/>
        <v>3154114</v>
      </c>
      <c r="S325" s="457">
        <f t="shared" si="54"/>
        <v>48.599599383667183</v>
      </c>
    </row>
    <row r="326" spans="2:19" s="288" customFormat="1" x14ac:dyDescent="0.2">
      <c r="B326" s="61">
        <f t="shared" si="55"/>
        <v>29</v>
      </c>
      <c r="C326" s="82"/>
      <c r="D326" s="82"/>
      <c r="E326" s="82"/>
      <c r="F326" s="84"/>
      <c r="G326" s="84"/>
      <c r="H326" s="82" t="s">
        <v>554</v>
      </c>
      <c r="I326" s="85"/>
      <c r="J326" s="85"/>
      <c r="K326" s="408"/>
      <c r="L326" s="85"/>
      <c r="M326" s="85">
        <v>8460000</v>
      </c>
      <c r="N326" s="85">
        <v>0</v>
      </c>
      <c r="O326" s="408">
        <f t="shared" si="56"/>
        <v>0</v>
      </c>
      <c r="P326" s="85"/>
      <c r="Q326" s="86">
        <f t="shared" si="52"/>
        <v>8460000</v>
      </c>
      <c r="R326" s="86">
        <f t="shared" si="53"/>
        <v>0</v>
      </c>
      <c r="S326" s="457">
        <f t="shared" si="54"/>
        <v>0</v>
      </c>
    </row>
    <row r="327" spans="2:19" s="288" customFormat="1" ht="15" x14ac:dyDescent="0.25">
      <c r="B327" s="61">
        <f t="shared" si="55"/>
        <v>30</v>
      </c>
      <c r="C327" s="87"/>
      <c r="D327" s="87"/>
      <c r="E327" s="87">
        <v>2</v>
      </c>
      <c r="F327" s="88"/>
      <c r="G327" s="88"/>
      <c r="H327" s="87" t="s">
        <v>11</v>
      </c>
      <c r="I327" s="89">
        <f>I328+I329+I330+I336</f>
        <v>711603</v>
      </c>
      <c r="J327" s="89">
        <f>J328+J329+J330+J336</f>
        <v>679266</v>
      </c>
      <c r="K327" s="412">
        <f t="shared" ref="K327:K336" si="57">J327/I327*100</f>
        <v>95.455752716050952</v>
      </c>
      <c r="L327" s="244"/>
      <c r="M327" s="89">
        <f>M337</f>
        <v>15000</v>
      </c>
      <c r="N327" s="89">
        <f>N337</f>
        <v>14100</v>
      </c>
      <c r="O327" s="412">
        <f t="shared" si="56"/>
        <v>94</v>
      </c>
      <c r="P327" s="244"/>
      <c r="Q327" s="90">
        <f t="shared" si="52"/>
        <v>726603</v>
      </c>
      <c r="R327" s="90">
        <f t="shared" si="53"/>
        <v>693366</v>
      </c>
      <c r="S327" s="459">
        <f t="shared" si="54"/>
        <v>95.425700141617909</v>
      </c>
    </row>
    <row r="328" spans="2:19" s="288" customFormat="1" x14ac:dyDescent="0.2">
      <c r="B328" s="61">
        <f t="shared" si="55"/>
        <v>31</v>
      </c>
      <c r="C328" s="67"/>
      <c r="D328" s="67"/>
      <c r="E328" s="67"/>
      <c r="F328" s="68" t="s">
        <v>202</v>
      </c>
      <c r="G328" s="69">
        <v>610</v>
      </c>
      <c r="H328" s="67" t="s">
        <v>128</v>
      </c>
      <c r="I328" s="70">
        <f>79005-2100</f>
        <v>76905</v>
      </c>
      <c r="J328" s="70">
        <v>72583</v>
      </c>
      <c r="K328" s="408">
        <f t="shared" si="57"/>
        <v>94.380079318639872</v>
      </c>
      <c r="L328" s="70"/>
      <c r="M328" s="70"/>
      <c r="N328" s="70"/>
      <c r="O328" s="408"/>
      <c r="P328" s="70"/>
      <c r="Q328" s="71">
        <f t="shared" si="52"/>
        <v>76905</v>
      </c>
      <c r="R328" s="71">
        <f t="shared" si="53"/>
        <v>72583</v>
      </c>
      <c r="S328" s="457">
        <f t="shared" si="54"/>
        <v>94.380079318639872</v>
      </c>
    </row>
    <row r="329" spans="2:19" s="288" customFormat="1" x14ac:dyDescent="0.2">
      <c r="B329" s="61">
        <f t="shared" si="55"/>
        <v>32</v>
      </c>
      <c r="C329" s="67"/>
      <c r="D329" s="67"/>
      <c r="E329" s="67"/>
      <c r="F329" s="68" t="s">
        <v>202</v>
      </c>
      <c r="G329" s="69">
        <v>620</v>
      </c>
      <c r="H329" s="67" t="s">
        <v>121</v>
      </c>
      <c r="I329" s="70">
        <f>33605-737</f>
        <v>32868</v>
      </c>
      <c r="J329" s="70">
        <v>29734</v>
      </c>
      <c r="K329" s="408">
        <f t="shared" si="57"/>
        <v>90.46488986248022</v>
      </c>
      <c r="L329" s="70"/>
      <c r="M329" s="70"/>
      <c r="N329" s="70"/>
      <c r="O329" s="408"/>
      <c r="P329" s="70"/>
      <c r="Q329" s="71">
        <f t="shared" si="52"/>
        <v>32868</v>
      </c>
      <c r="R329" s="71">
        <f t="shared" si="53"/>
        <v>29734</v>
      </c>
      <c r="S329" s="457">
        <f t="shared" si="54"/>
        <v>90.46488986248022</v>
      </c>
    </row>
    <row r="330" spans="2:19" s="288" customFormat="1" x14ac:dyDescent="0.2">
      <c r="B330" s="61">
        <f t="shared" si="55"/>
        <v>33</v>
      </c>
      <c r="C330" s="67"/>
      <c r="D330" s="67"/>
      <c r="E330" s="67"/>
      <c r="F330" s="68" t="s">
        <v>202</v>
      </c>
      <c r="G330" s="69">
        <v>630</v>
      </c>
      <c r="H330" s="67" t="s">
        <v>118</v>
      </c>
      <c r="I330" s="70">
        <f>I331+I332+I333+I334+I335</f>
        <v>598130</v>
      </c>
      <c r="J330" s="70">
        <f>J331+J332+J333+J334+J335</f>
        <v>573599</v>
      </c>
      <c r="K330" s="408">
        <f t="shared" si="57"/>
        <v>95.898717670071719</v>
      </c>
      <c r="L330" s="70"/>
      <c r="M330" s="70"/>
      <c r="N330" s="70"/>
      <c r="O330" s="408"/>
      <c r="P330" s="70"/>
      <c r="Q330" s="71">
        <f t="shared" ref="Q330:Q361" si="58">I330+M330</f>
        <v>598130</v>
      </c>
      <c r="R330" s="71">
        <f t="shared" ref="R330:R361" si="59">J330+N330</f>
        <v>573599</v>
      </c>
      <c r="S330" s="457">
        <f t="shared" ref="S330:S361" si="60">R330/Q330*100</f>
        <v>95.898717670071719</v>
      </c>
    </row>
    <row r="331" spans="2:19" s="288" customFormat="1" x14ac:dyDescent="0.2">
      <c r="B331" s="61">
        <f t="shared" ref="B331:B361" si="61">B330+1</f>
        <v>34</v>
      </c>
      <c r="C331" s="72"/>
      <c r="D331" s="72"/>
      <c r="E331" s="72"/>
      <c r="F331" s="73"/>
      <c r="G331" s="74">
        <v>632</v>
      </c>
      <c r="H331" s="72" t="s">
        <v>131</v>
      </c>
      <c r="I331" s="75">
        <f>570000-62500-5000</f>
        <v>502500</v>
      </c>
      <c r="J331" s="75">
        <v>486384</v>
      </c>
      <c r="K331" s="408">
        <f t="shared" si="57"/>
        <v>96.792835820895519</v>
      </c>
      <c r="L331" s="75"/>
      <c r="M331" s="75"/>
      <c r="N331" s="75"/>
      <c r="O331" s="408"/>
      <c r="P331" s="75"/>
      <c r="Q331" s="77">
        <f t="shared" si="58"/>
        <v>502500</v>
      </c>
      <c r="R331" s="77">
        <f t="shared" si="59"/>
        <v>486384</v>
      </c>
      <c r="S331" s="457">
        <f t="shared" si="60"/>
        <v>96.792835820895519</v>
      </c>
    </row>
    <row r="332" spans="2:19" s="288" customFormat="1" x14ac:dyDescent="0.2">
      <c r="B332" s="61">
        <f t="shared" si="61"/>
        <v>35</v>
      </c>
      <c r="C332" s="72"/>
      <c r="D332" s="72"/>
      <c r="E332" s="72"/>
      <c r="F332" s="73"/>
      <c r="G332" s="74">
        <v>633</v>
      </c>
      <c r="H332" s="72" t="s">
        <v>122</v>
      </c>
      <c r="I332" s="75">
        <f>44700-8900-5000</f>
        <v>30800</v>
      </c>
      <c r="J332" s="75">
        <v>29514</v>
      </c>
      <c r="K332" s="408">
        <f t="shared" si="57"/>
        <v>95.824675324675326</v>
      </c>
      <c r="L332" s="75"/>
      <c r="M332" s="75"/>
      <c r="N332" s="75"/>
      <c r="O332" s="408"/>
      <c r="P332" s="75"/>
      <c r="Q332" s="77">
        <f t="shared" si="58"/>
        <v>30800</v>
      </c>
      <c r="R332" s="77">
        <f t="shared" si="59"/>
        <v>29514</v>
      </c>
      <c r="S332" s="457">
        <f t="shared" si="60"/>
        <v>95.824675324675326</v>
      </c>
    </row>
    <row r="333" spans="2:19" s="288" customFormat="1" x14ac:dyDescent="0.2">
      <c r="B333" s="61">
        <f t="shared" si="61"/>
        <v>36</v>
      </c>
      <c r="C333" s="72"/>
      <c r="D333" s="72"/>
      <c r="E333" s="72"/>
      <c r="F333" s="73"/>
      <c r="G333" s="74">
        <v>634</v>
      </c>
      <c r="H333" s="72" t="s">
        <v>129</v>
      </c>
      <c r="I333" s="75">
        <v>7110</v>
      </c>
      <c r="J333" s="75">
        <v>5145</v>
      </c>
      <c r="K333" s="408">
        <f t="shared" si="57"/>
        <v>72.362869198312239</v>
      </c>
      <c r="L333" s="75"/>
      <c r="M333" s="75"/>
      <c r="N333" s="75"/>
      <c r="O333" s="408"/>
      <c r="P333" s="75"/>
      <c r="Q333" s="77">
        <f t="shared" si="58"/>
        <v>7110</v>
      </c>
      <c r="R333" s="77">
        <f t="shared" si="59"/>
        <v>5145</v>
      </c>
      <c r="S333" s="457">
        <f t="shared" si="60"/>
        <v>72.362869198312239</v>
      </c>
    </row>
    <row r="334" spans="2:19" s="288" customFormat="1" x14ac:dyDescent="0.2">
      <c r="B334" s="61">
        <f t="shared" si="61"/>
        <v>37</v>
      </c>
      <c r="C334" s="72"/>
      <c r="D334" s="72"/>
      <c r="E334" s="72"/>
      <c r="F334" s="73"/>
      <c r="G334" s="74">
        <v>635</v>
      </c>
      <c r="H334" s="72" t="s">
        <v>130</v>
      </c>
      <c r="I334" s="75">
        <f>25000+5000+13500-8000</f>
        <v>35500</v>
      </c>
      <c r="J334" s="75">
        <v>32423</v>
      </c>
      <c r="K334" s="408">
        <f t="shared" si="57"/>
        <v>91.332394366197178</v>
      </c>
      <c r="L334" s="75"/>
      <c r="M334" s="75"/>
      <c r="N334" s="75"/>
      <c r="O334" s="408"/>
      <c r="P334" s="75"/>
      <c r="Q334" s="77">
        <f t="shared" si="58"/>
        <v>35500</v>
      </c>
      <c r="R334" s="77">
        <f t="shared" si="59"/>
        <v>32423</v>
      </c>
      <c r="S334" s="457">
        <f t="shared" si="60"/>
        <v>91.332394366197178</v>
      </c>
    </row>
    <row r="335" spans="2:19" s="288" customFormat="1" x14ac:dyDescent="0.2">
      <c r="B335" s="61">
        <f t="shared" si="61"/>
        <v>38</v>
      </c>
      <c r="C335" s="72"/>
      <c r="D335" s="72"/>
      <c r="E335" s="72"/>
      <c r="F335" s="73"/>
      <c r="G335" s="74">
        <v>637</v>
      </c>
      <c r="H335" s="72" t="s">
        <v>119</v>
      </c>
      <c r="I335" s="75">
        <f>37220-5600-4400-5000</f>
        <v>22220</v>
      </c>
      <c r="J335" s="75">
        <v>20133</v>
      </c>
      <c r="K335" s="408">
        <f t="shared" si="57"/>
        <v>90.607560756075614</v>
      </c>
      <c r="L335" s="75"/>
      <c r="M335" s="75"/>
      <c r="N335" s="75"/>
      <c r="O335" s="408"/>
      <c r="P335" s="75"/>
      <c r="Q335" s="77">
        <f t="shared" si="58"/>
        <v>22220</v>
      </c>
      <c r="R335" s="77">
        <f t="shared" si="59"/>
        <v>20133</v>
      </c>
      <c r="S335" s="457">
        <f t="shared" si="60"/>
        <v>90.607560756075614</v>
      </c>
    </row>
    <row r="336" spans="2:19" s="288" customFormat="1" x14ac:dyDescent="0.2">
      <c r="B336" s="61">
        <f t="shared" si="61"/>
        <v>39</v>
      </c>
      <c r="C336" s="67"/>
      <c r="D336" s="67"/>
      <c r="E336" s="67"/>
      <c r="F336" s="68" t="s">
        <v>202</v>
      </c>
      <c r="G336" s="69">
        <v>640</v>
      </c>
      <c r="H336" s="67" t="s">
        <v>126</v>
      </c>
      <c r="I336" s="70">
        <v>3700</v>
      </c>
      <c r="J336" s="70">
        <v>3350</v>
      </c>
      <c r="K336" s="408">
        <f t="shared" si="57"/>
        <v>90.540540540540533</v>
      </c>
      <c r="L336" s="70"/>
      <c r="M336" s="70"/>
      <c r="N336" s="70"/>
      <c r="O336" s="408"/>
      <c r="P336" s="70"/>
      <c r="Q336" s="71">
        <f t="shared" si="58"/>
        <v>3700</v>
      </c>
      <c r="R336" s="71">
        <f t="shared" si="59"/>
        <v>3350</v>
      </c>
      <c r="S336" s="457">
        <f t="shared" si="60"/>
        <v>90.540540540540533</v>
      </c>
    </row>
    <row r="337" spans="2:19" s="288" customFormat="1" x14ac:dyDescent="0.2">
      <c r="B337" s="61">
        <f t="shared" si="61"/>
        <v>40</v>
      </c>
      <c r="C337" s="67"/>
      <c r="D337" s="67"/>
      <c r="E337" s="67"/>
      <c r="F337" s="68" t="s">
        <v>202</v>
      </c>
      <c r="G337" s="69">
        <v>710</v>
      </c>
      <c r="H337" s="67" t="s">
        <v>172</v>
      </c>
      <c r="I337" s="70"/>
      <c r="J337" s="70"/>
      <c r="K337" s="408"/>
      <c r="L337" s="70"/>
      <c r="M337" s="70">
        <f>M338</f>
        <v>15000</v>
      </c>
      <c r="N337" s="70">
        <f>N338</f>
        <v>14100</v>
      </c>
      <c r="O337" s="408">
        <f>N337/M337*100</f>
        <v>94</v>
      </c>
      <c r="P337" s="75"/>
      <c r="Q337" s="71">
        <f t="shared" si="58"/>
        <v>15000</v>
      </c>
      <c r="R337" s="71">
        <f t="shared" si="59"/>
        <v>14100</v>
      </c>
      <c r="S337" s="457">
        <f t="shared" si="60"/>
        <v>94</v>
      </c>
    </row>
    <row r="338" spans="2:19" s="288" customFormat="1" x14ac:dyDescent="0.2">
      <c r="B338" s="61">
        <f t="shared" si="61"/>
        <v>41</v>
      </c>
      <c r="C338" s="67"/>
      <c r="D338" s="67"/>
      <c r="E338" s="67"/>
      <c r="F338" s="68"/>
      <c r="G338" s="74">
        <v>714</v>
      </c>
      <c r="H338" s="72" t="s">
        <v>173</v>
      </c>
      <c r="I338" s="75"/>
      <c r="J338" s="75"/>
      <c r="K338" s="408"/>
      <c r="L338" s="75"/>
      <c r="M338" s="75">
        <f>M339</f>
        <v>15000</v>
      </c>
      <c r="N338" s="75">
        <f>N339</f>
        <v>14100</v>
      </c>
      <c r="O338" s="408">
        <f>N338/M338*100</f>
        <v>94</v>
      </c>
      <c r="P338" s="75"/>
      <c r="Q338" s="77">
        <f t="shared" si="58"/>
        <v>15000</v>
      </c>
      <c r="R338" s="77">
        <f t="shared" si="59"/>
        <v>14100</v>
      </c>
      <c r="S338" s="457">
        <f t="shared" si="60"/>
        <v>94</v>
      </c>
    </row>
    <row r="339" spans="2:19" s="288" customFormat="1" x14ac:dyDescent="0.2">
      <c r="B339" s="61">
        <f t="shared" si="61"/>
        <v>42</v>
      </c>
      <c r="C339" s="67"/>
      <c r="D339" s="67"/>
      <c r="E339" s="67"/>
      <c r="F339" s="68"/>
      <c r="G339" s="84"/>
      <c r="H339" s="82" t="s">
        <v>329</v>
      </c>
      <c r="I339" s="85"/>
      <c r="J339" s="85"/>
      <c r="K339" s="408"/>
      <c r="L339" s="85"/>
      <c r="M339" s="85">
        <v>15000</v>
      </c>
      <c r="N339" s="85">
        <v>14100</v>
      </c>
      <c r="O339" s="408">
        <f>N339/M339*100</f>
        <v>94</v>
      </c>
      <c r="P339" s="85"/>
      <c r="Q339" s="86">
        <f t="shared" si="58"/>
        <v>15000</v>
      </c>
      <c r="R339" s="86">
        <f t="shared" si="59"/>
        <v>14100</v>
      </c>
      <c r="S339" s="457">
        <f t="shared" si="60"/>
        <v>94</v>
      </c>
    </row>
    <row r="340" spans="2:19" s="288" customFormat="1" ht="15" x14ac:dyDescent="0.2">
      <c r="B340" s="61">
        <f t="shared" si="61"/>
        <v>43</v>
      </c>
      <c r="C340" s="64">
        <v>3</v>
      </c>
      <c r="D340" s="668" t="s">
        <v>228</v>
      </c>
      <c r="E340" s="669"/>
      <c r="F340" s="669"/>
      <c r="G340" s="669"/>
      <c r="H340" s="669"/>
      <c r="I340" s="65">
        <f>I341</f>
        <v>12000</v>
      </c>
      <c r="J340" s="65">
        <f>J341</f>
        <v>11090</v>
      </c>
      <c r="K340" s="409">
        <f>J340/I340*100</f>
        <v>92.416666666666671</v>
      </c>
      <c r="L340" s="318"/>
      <c r="M340" s="65">
        <f>M344</f>
        <v>25000</v>
      </c>
      <c r="N340" s="65">
        <f>N344</f>
        <v>22574</v>
      </c>
      <c r="O340" s="409">
        <f>N340/M340*100</f>
        <v>90.295999999999992</v>
      </c>
      <c r="P340" s="318"/>
      <c r="Q340" s="66">
        <f t="shared" si="58"/>
        <v>37000</v>
      </c>
      <c r="R340" s="66">
        <f t="shared" si="59"/>
        <v>33664</v>
      </c>
      <c r="S340" s="456">
        <f t="shared" si="60"/>
        <v>90.983783783783792</v>
      </c>
    </row>
    <row r="341" spans="2:19" s="288" customFormat="1" x14ac:dyDescent="0.2">
      <c r="B341" s="61">
        <f t="shared" si="61"/>
        <v>44</v>
      </c>
      <c r="C341" s="67"/>
      <c r="D341" s="67"/>
      <c r="E341" s="67"/>
      <c r="F341" s="68" t="s">
        <v>189</v>
      </c>
      <c r="G341" s="69">
        <v>630</v>
      </c>
      <c r="H341" s="67" t="s">
        <v>118</v>
      </c>
      <c r="I341" s="70">
        <f>I342+I343</f>
        <v>12000</v>
      </c>
      <c r="J341" s="70">
        <f>J342+J343</f>
        <v>11090</v>
      </c>
      <c r="K341" s="408">
        <f>J341/I341*100</f>
        <v>92.416666666666671</v>
      </c>
      <c r="L341" s="70"/>
      <c r="M341" s="70"/>
      <c r="N341" s="70"/>
      <c r="O341" s="408"/>
      <c r="P341" s="70"/>
      <c r="Q341" s="71">
        <f t="shared" si="58"/>
        <v>12000</v>
      </c>
      <c r="R341" s="71">
        <f t="shared" si="59"/>
        <v>11090</v>
      </c>
      <c r="S341" s="457">
        <f t="shared" si="60"/>
        <v>92.416666666666671</v>
      </c>
    </row>
    <row r="342" spans="2:19" s="288" customFormat="1" x14ac:dyDescent="0.2">
      <c r="B342" s="61">
        <f t="shared" si="61"/>
        <v>45</v>
      </c>
      <c r="C342" s="72"/>
      <c r="D342" s="72"/>
      <c r="E342" s="72"/>
      <c r="F342" s="73"/>
      <c r="G342" s="74">
        <v>633</v>
      </c>
      <c r="H342" s="72" t="s">
        <v>122</v>
      </c>
      <c r="I342" s="75">
        <v>5000</v>
      </c>
      <c r="J342" s="75">
        <v>4900</v>
      </c>
      <c r="K342" s="408">
        <f>J342/I342*100</f>
        <v>98</v>
      </c>
      <c r="L342" s="75"/>
      <c r="M342" s="75"/>
      <c r="N342" s="75"/>
      <c r="O342" s="408"/>
      <c r="P342" s="75"/>
      <c r="Q342" s="77">
        <f t="shared" si="58"/>
        <v>5000</v>
      </c>
      <c r="R342" s="77">
        <f t="shared" si="59"/>
        <v>4900</v>
      </c>
      <c r="S342" s="457">
        <f t="shared" si="60"/>
        <v>98</v>
      </c>
    </row>
    <row r="343" spans="2:19" s="288" customFormat="1" x14ac:dyDescent="0.2">
      <c r="B343" s="61">
        <f t="shared" si="61"/>
        <v>46</v>
      </c>
      <c r="C343" s="72"/>
      <c r="D343" s="72"/>
      <c r="E343" s="72"/>
      <c r="F343" s="73"/>
      <c r="G343" s="74">
        <v>635</v>
      </c>
      <c r="H343" s="72" t="s">
        <v>130</v>
      </c>
      <c r="I343" s="75">
        <v>7000</v>
      </c>
      <c r="J343" s="75">
        <v>6190</v>
      </c>
      <c r="K343" s="408">
        <f>J343/I343*100</f>
        <v>88.428571428571416</v>
      </c>
      <c r="L343" s="75"/>
      <c r="M343" s="75"/>
      <c r="N343" s="75"/>
      <c r="O343" s="408"/>
      <c r="P343" s="75"/>
      <c r="Q343" s="77">
        <f t="shared" si="58"/>
        <v>7000</v>
      </c>
      <c r="R343" s="77">
        <f t="shared" si="59"/>
        <v>6190</v>
      </c>
      <c r="S343" s="457">
        <f t="shared" si="60"/>
        <v>88.428571428571416</v>
      </c>
    </row>
    <row r="344" spans="2:19" s="288" customFormat="1" x14ac:dyDescent="0.2">
      <c r="B344" s="61">
        <f t="shared" si="61"/>
        <v>47</v>
      </c>
      <c r="C344" s="67"/>
      <c r="D344" s="67"/>
      <c r="E344" s="67"/>
      <c r="F344" s="68" t="s">
        <v>189</v>
      </c>
      <c r="G344" s="69">
        <v>710</v>
      </c>
      <c r="H344" s="67" t="s">
        <v>172</v>
      </c>
      <c r="I344" s="70"/>
      <c r="J344" s="70"/>
      <c r="K344" s="408"/>
      <c r="L344" s="70"/>
      <c r="M344" s="70">
        <f>M345</f>
        <v>25000</v>
      </c>
      <c r="N344" s="70">
        <f>N345</f>
        <v>22574</v>
      </c>
      <c r="O344" s="408">
        <f>N344/M344*100</f>
        <v>90.295999999999992</v>
      </c>
      <c r="P344" s="70"/>
      <c r="Q344" s="71">
        <f t="shared" si="58"/>
        <v>25000</v>
      </c>
      <c r="R344" s="71">
        <f t="shared" si="59"/>
        <v>22574</v>
      </c>
      <c r="S344" s="457">
        <f t="shared" si="60"/>
        <v>90.295999999999992</v>
      </c>
    </row>
    <row r="345" spans="2:19" s="288" customFormat="1" x14ac:dyDescent="0.2">
      <c r="B345" s="61">
        <f t="shared" si="61"/>
        <v>48</v>
      </c>
      <c r="C345" s="72"/>
      <c r="D345" s="72"/>
      <c r="E345" s="72"/>
      <c r="F345" s="73"/>
      <c r="G345" s="74">
        <v>713</v>
      </c>
      <c r="H345" s="72" t="s">
        <v>216</v>
      </c>
      <c r="I345" s="75"/>
      <c r="J345" s="75"/>
      <c r="K345" s="408"/>
      <c r="L345" s="75"/>
      <c r="M345" s="75">
        <f>M346</f>
        <v>25000</v>
      </c>
      <c r="N345" s="75">
        <f>N346</f>
        <v>22574</v>
      </c>
      <c r="O345" s="408">
        <f>N345/M345*100</f>
        <v>90.295999999999992</v>
      </c>
      <c r="P345" s="75"/>
      <c r="Q345" s="77">
        <f t="shared" si="58"/>
        <v>25000</v>
      </c>
      <c r="R345" s="77">
        <f t="shared" si="59"/>
        <v>22574</v>
      </c>
      <c r="S345" s="457">
        <f t="shared" si="60"/>
        <v>90.295999999999992</v>
      </c>
    </row>
    <row r="346" spans="2:19" s="288" customFormat="1" x14ac:dyDescent="0.2">
      <c r="B346" s="61">
        <f t="shared" si="61"/>
        <v>49</v>
      </c>
      <c r="C346" s="82"/>
      <c r="D346" s="82"/>
      <c r="E346" s="82"/>
      <c r="F346" s="84"/>
      <c r="G346" s="84"/>
      <c r="H346" s="82" t="s">
        <v>284</v>
      </c>
      <c r="I346" s="85"/>
      <c r="J346" s="85"/>
      <c r="K346" s="408"/>
      <c r="L346" s="85"/>
      <c r="M346" s="85">
        <f>35000-5000-5000</f>
        <v>25000</v>
      </c>
      <c r="N346" s="85">
        <v>22574</v>
      </c>
      <c r="O346" s="408">
        <f>N346/M346*100</f>
        <v>90.295999999999992</v>
      </c>
      <c r="P346" s="85"/>
      <c r="Q346" s="86">
        <f t="shared" si="58"/>
        <v>25000</v>
      </c>
      <c r="R346" s="86">
        <f t="shared" si="59"/>
        <v>22574</v>
      </c>
      <c r="S346" s="457">
        <f t="shared" si="60"/>
        <v>90.295999999999992</v>
      </c>
    </row>
    <row r="347" spans="2:19" s="288" customFormat="1" ht="15" x14ac:dyDescent="0.2">
      <c r="B347" s="61">
        <f t="shared" si="61"/>
        <v>50</v>
      </c>
      <c r="C347" s="64">
        <v>4</v>
      </c>
      <c r="D347" s="668" t="s">
        <v>154</v>
      </c>
      <c r="E347" s="669"/>
      <c r="F347" s="669"/>
      <c r="G347" s="669"/>
      <c r="H347" s="669"/>
      <c r="I347" s="65">
        <f>I348+I349</f>
        <v>47619</v>
      </c>
      <c r="J347" s="65">
        <f>J348+J349</f>
        <v>40349</v>
      </c>
      <c r="K347" s="409">
        <f t="shared" ref="K347:K361" si="62">J347/I347*100</f>
        <v>84.732984732984733</v>
      </c>
      <c r="L347" s="318"/>
      <c r="M347" s="65"/>
      <c r="N347" s="65"/>
      <c r="O347" s="409"/>
      <c r="P347" s="318"/>
      <c r="Q347" s="66">
        <f t="shared" si="58"/>
        <v>47619</v>
      </c>
      <c r="R347" s="66">
        <f t="shared" si="59"/>
        <v>40349</v>
      </c>
      <c r="S347" s="456">
        <f t="shared" si="60"/>
        <v>84.732984732984733</v>
      </c>
    </row>
    <row r="348" spans="2:19" s="288" customFormat="1" x14ac:dyDescent="0.2">
      <c r="B348" s="61">
        <f t="shared" si="61"/>
        <v>51</v>
      </c>
      <c r="C348" s="67"/>
      <c r="D348" s="67"/>
      <c r="E348" s="67"/>
      <c r="F348" s="68" t="s">
        <v>153</v>
      </c>
      <c r="G348" s="69">
        <v>620</v>
      </c>
      <c r="H348" s="67" t="s">
        <v>121</v>
      </c>
      <c r="I348" s="70">
        <v>719</v>
      </c>
      <c r="J348" s="70">
        <f>728-9</f>
        <v>719</v>
      </c>
      <c r="K348" s="408">
        <f t="shared" si="62"/>
        <v>100</v>
      </c>
      <c r="L348" s="70"/>
      <c r="M348" s="70"/>
      <c r="N348" s="70"/>
      <c r="O348" s="408"/>
      <c r="P348" s="70"/>
      <c r="Q348" s="71">
        <f t="shared" si="58"/>
        <v>719</v>
      </c>
      <c r="R348" s="71">
        <f t="shared" si="59"/>
        <v>719</v>
      </c>
      <c r="S348" s="457">
        <f t="shared" si="60"/>
        <v>100</v>
      </c>
    </row>
    <row r="349" spans="2:19" s="288" customFormat="1" x14ac:dyDescent="0.2">
      <c r="B349" s="61">
        <f t="shared" si="61"/>
        <v>52</v>
      </c>
      <c r="C349" s="67"/>
      <c r="D349" s="67"/>
      <c r="E349" s="67"/>
      <c r="F349" s="68" t="s">
        <v>153</v>
      </c>
      <c r="G349" s="69">
        <v>630</v>
      </c>
      <c r="H349" s="67" t="s">
        <v>118</v>
      </c>
      <c r="I349" s="70">
        <f>SUM(I350:I352)</f>
        <v>46900</v>
      </c>
      <c r="J349" s="70">
        <f>SUM(J350:J352)</f>
        <v>39630</v>
      </c>
      <c r="K349" s="408">
        <f t="shared" si="62"/>
        <v>84.498933901918974</v>
      </c>
      <c r="L349" s="70"/>
      <c r="M349" s="70"/>
      <c r="N349" s="70"/>
      <c r="O349" s="408"/>
      <c r="P349" s="70"/>
      <c r="Q349" s="71">
        <f t="shared" si="58"/>
        <v>46900</v>
      </c>
      <c r="R349" s="71">
        <f t="shared" si="59"/>
        <v>39630</v>
      </c>
      <c r="S349" s="457">
        <f t="shared" si="60"/>
        <v>84.498933901918974</v>
      </c>
    </row>
    <row r="350" spans="2:19" s="288" customFormat="1" x14ac:dyDescent="0.2">
      <c r="B350" s="61">
        <f t="shared" si="61"/>
        <v>53</v>
      </c>
      <c r="C350" s="72"/>
      <c r="D350" s="72"/>
      <c r="E350" s="72"/>
      <c r="F350" s="73"/>
      <c r="G350" s="74">
        <v>633</v>
      </c>
      <c r="H350" s="72" t="s">
        <v>122</v>
      </c>
      <c r="I350" s="75">
        <f>9400-2000</f>
        <v>7400</v>
      </c>
      <c r="J350" s="75">
        <v>6820</v>
      </c>
      <c r="K350" s="408">
        <f t="shared" si="62"/>
        <v>92.162162162162161</v>
      </c>
      <c r="L350" s="75"/>
      <c r="M350" s="75"/>
      <c r="N350" s="75"/>
      <c r="O350" s="408"/>
      <c r="P350" s="75"/>
      <c r="Q350" s="77">
        <f t="shared" si="58"/>
        <v>7400</v>
      </c>
      <c r="R350" s="77">
        <f t="shared" si="59"/>
        <v>6820</v>
      </c>
      <c r="S350" s="457">
        <f t="shared" si="60"/>
        <v>92.162162162162161</v>
      </c>
    </row>
    <row r="351" spans="2:19" s="288" customFormat="1" x14ac:dyDescent="0.2">
      <c r="B351" s="61">
        <f t="shared" si="61"/>
        <v>54</v>
      </c>
      <c r="C351" s="72"/>
      <c r="D351" s="72"/>
      <c r="E351" s="72"/>
      <c r="F351" s="73"/>
      <c r="G351" s="74">
        <v>635</v>
      </c>
      <c r="H351" s="72" t="s">
        <v>130</v>
      </c>
      <c r="I351" s="75">
        <v>13000</v>
      </c>
      <c r="J351" s="75">
        <v>12047</v>
      </c>
      <c r="K351" s="408">
        <f t="shared" si="62"/>
        <v>92.669230769230765</v>
      </c>
      <c r="L351" s="75"/>
      <c r="M351" s="75"/>
      <c r="N351" s="75"/>
      <c r="O351" s="408"/>
      <c r="P351" s="75"/>
      <c r="Q351" s="77">
        <f t="shared" si="58"/>
        <v>13000</v>
      </c>
      <c r="R351" s="77">
        <f t="shared" si="59"/>
        <v>12047</v>
      </c>
      <c r="S351" s="457">
        <f t="shared" si="60"/>
        <v>92.669230769230765</v>
      </c>
    </row>
    <row r="352" spans="2:19" s="288" customFormat="1" x14ac:dyDescent="0.2">
      <c r="B352" s="61">
        <f t="shared" si="61"/>
        <v>55</v>
      </c>
      <c r="C352" s="72"/>
      <c r="D352" s="72"/>
      <c r="E352" s="72"/>
      <c r="F352" s="73"/>
      <c r="G352" s="74">
        <v>637</v>
      </c>
      <c r="H352" s="72" t="s">
        <v>119</v>
      </c>
      <c r="I352" s="75">
        <v>26500</v>
      </c>
      <c r="J352" s="75">
        <v>20763</v>
      </c>
      <c r="K352" s="408">
        <f t="shared" si="62"/>
        <v>78.350943396226413</v>
      </c>
      <c r="L352" s="75"/>
      <c r="M352" s="75"/>
      <c r="N352" s="75"/>
      <c r="O352" s="408"/>
      <c r="P352" s="75"/>
      <c r="Q352" s="77">
        <f t="shared" si="58"/>
        <v>26500</v>
      </c>
      <c r="R352" s="77">
        <f t="shared" si="59"/>
        <v>20763</v>
      </c>
      <c r="S352" s="457">
        <f t="shared" si="60"/>
        <v>78.350943396226413</v>
      </c>
    </row>
    <row r="353" spans="2:19" s="288" customFormat="1" ht="15" x14ac:dyDescent="0.2">
      <c r="B353" s="61">
        <f t="shared" si="61"/>
        <v>56</v>
      </c>
      <c r="C353" s="64">
        <v>5</v>
      </c>
      <c r="D353" s="668" t="s">
        <v>144</v>
      </c>
      <c r="E353" s="669"/>
      <c r="F353" s="669"/>
      <c r="G353" s="669"/>
      <c r="H353" s="669"/>
      <c r="I353" s="65">
        <f>I354+I355+I359</f>
        <v>45415</v>
      </c>
      <c r="J353" s="65">
        <f>J354+J355+J359</f>
        <v>36722</v>
      </c>
      <c r="K353" s="409">
        <f t="shared" si="62"/>
        <v>80.858747109985686</v>
      </c>
      <c r="L353" s="318"/>
      <c r="M353" s="65"/>
      <c r="N353" s="65"/>
      <c r="O353" s="409"/>
      <c r="P353" s="318"/>
      <c r="Q353" s="66">
        <f t="shared" si="58"/>
        <v>45415</v>
      </c>
      <c r="R353" s="66">
        <f t="shared" si="59"/>
        <v>36722</v>
      </c>
      <c r="S353" s="456">
        <f t="shared" si="60"/>
        <v>80.858747109985686</v>
      </c>
    </row>
    <row r="354" spans="2:19" s="288" customFormat="1" x14ac:dyDescent="0.2">
      <c r="B354" s="61">
        <f t="shared" si="61"/>
        <v>57</v>
      </c>
      <c r="C354" s="67"/>
      <c r="D354" s="67"/>
      <c r="E354" s="67"/>
      <c r="F354" s="68" t="s">
        <v>143</v>
      </c>
      <c r="G354" s="69">
        <v>620</v>
      </c>
      <c r="H354" s="67" t="s">
        <v>121</v>
      </c>
      <c r="I354" s="70">
        <v>500</v>
      </c>
      <c r="J354" s="70">
        <v>0</v>
      </c>
      <c r="K354" s="408">
        <f t="shared" si="62"/>
        <v>0</v>
      </c>
      <c r="L354" s="70"/>
      <c r="M354" s="70"/>
      <c r="N354" s="70"/>
      <c r="O354" s="408"/>
      <c r="P354" s="70"/>
      <c r="Q354" s="71">
        <f t="shared" si="58"/>
        <v>500</v>
      </c>
      <c r="R354" s="71">
        <f t="shared" si="59"/>
        <v>0</v>
      </c>
      <c r="S354" s="457">
        <f t="shared" si="60"/>
        <v>0</v>
      </c>
    </row>
    <row r="355" spans="2:19" s="288" customFormat="1" x14ac:dyDescent="0.2">
      <c r="B355" s="61">
        <f t="shared" si="61"/>
        <v>58</v>
      </c>
      <c r="C355" s="67"/>
      <c r="D355" s="67"/>
      <c r="E355" s="67"/>
      <c r="F355" s="68" t="s">
        <v>143</v>
      </c>
      <c r="G355" s="69">
        <v>630</v>
      </c>
      <c r="H355" s="67" t="s">
        <v>118</v>
      </c>
      <c r="I355" s="70">
        <f>I356+I357+I358</f>
        <v>35915</v>
      </c>
      <c r="J355" s="70">
        <f>J356+J357+J358</f>
        <v>28222</v>
      </c>
      <c r="K355" s="408">
        <f t="shared" si="62"/>
        <v>78.579980509536412</v>
      </c>
      <c r="L355" s="70"/>
      <c r="M355" s="70"/>
      <c r="N355" s="70"/>
      <c r="O355" s="408"/>
      <c r="P355" s="70"/>
      <c r="Q355" s="71">
        <f t="shared" si="58"/>
        <v>35915</v>
      </c>
      <c r="R355" s="71">
        <f t="shared" si="59"/>
        <v>28222</v>
      </c>
      <c r="S355" s="457">
        <f t="shared" si="60"/>
        <v>78.579980509536412</v>
      </c>
    </row>
    <row r="356" spans="2:19" s="288" customFormat="1" x14ac:dyDescent="0.2">
      <c r="B356" s="61">
        <f t="shared" si="61"/>
        <v>59</v>
      </c>
      <c r="C356" s="72"/>
      <c r="D356" s="72"/>
      <c r="E356" s="72"/>
      <c r="F356" s="73"/>
      <c r="G356" s="74">
        <v>633</v>
      </c>
      <c r="H356" s="72" t="s">
        <v>122</v>
      </c>
      <c r="I356" s="75">
        <v>10435</v>
      </c>
      <c r="J356" s="75">
        <v>9576</v>
      </c>
      <c r="K356" s="408">
        <f t="shared" si="62"/>
        <v>91.768088164829891</v>
      </c>
      <c r="L356" s="75"/>
      <c r="M356" s="75"/>
      <c r="N356" s="75"/>
      <c r="O356" s="408"/>
      <c r="P356" s="75"/>
      <c r="Q356" s="77">
        <f t="shared" si="58"/>
        <v>10435</v>
      </c>
      <c r="R356" s="77">
        <f t="shared" si="59"/>
        <v>9576</v>
      </c>
      <c r="S356" s="457">
        <f t="shared" si="60"/>
        <v>91.768088164829891</v>
      </c>
    </row>
    <row r="357" spans="2:19" s="288" customFormat="1" x14ac:dyDescent="0.2">
      <c r="B357" s="61">
        <f t="shared" si="61"/>
        <v>60</v>
      </c>
      <c r="C357" s="72"/>
      <c r="D357" s="72"/>
      <c r="E357" s="72"/>
      <c r="F357" s="73"/>
      <c r="G357" s="74">
        <v>634</v>
      </c>
      <c r="H357" s="72" t="s">
        <v>129</v>
      </c>
      <c r="I357" s="75">
        <v>4230</v>
      </c>
      <c r="J357" s="75">
        <v>4153</v>
      </c>
      <c r="K357" s="408">
        <f t="shared" si="62"/>
        <v>98.179669030732867</v>
      </c>
      <c r="L357" s="75"/>
      <c r="M357" s="75"/>
      <c r="N357" s="75"/>
      <c r="O357" s="408"/>
      <c r="P357" s="75"/>
      <c r="Q357" s="77">
        <f t="shared" si="58"/>
        <v>4230</v>
      </c>
      <c r="R357" s="77">
        <f t="shared" si="59"/>
        <v>4153</v>
      </c>
      <c r="S357" s="457">
        <f t="shared" si="60"/>
        <v>98.179669030732867</v>
      </c>
    </row>
    <row r="358" spans="2:19" s="288" customFormat="1" x14ac:dyDescent="0.2">
      <c r="B358" s="61">
        <f t="shared" si="61"/>
        <v>61</v>
      </c>
      <c r="C358" s="72"/>
      <c r="D358" s="72"/>
      <c r="E358" s="72"/>
      <c r="F358" s="73"/>
      <c r="G358" s="74">
        <v>637</v>
      </c>
      <c r="H358" s="72" t="s">
        <v>119</v>
      </c>
      <c r="I358" s="75">
        <v>21250</v>
      </c>
      <c r="J358" s="75">
        <v>14493</v>
      </c>
      <c r="K358" s="408">
        <f t="shared" si="62"/>
        <v>68.202352941176471</v>
      </c>
      <c r="L358" s="75"/>
      <c r="M358" s="75"/>
      <c r="N358" s="75"/>
      <c r="O358" s="408"/>
      <c r="P358" s="75"/>
      <c r="Q358" s="77">
        <f t="shared" si="58"/>
        <v>21250</v>
      </c>
      <c r="R358" s="77">
        <f t="shared" si="59"/>
        <v>14493</v>
      </c>
      <c r="S358" s="457">
        <f t="shared" si="60"/>
        <v>68.202352941176471</v>
      </c>
    </row>
    <row r="359" spans="2:19" s="288" customFormat="1" x14ac:dyDescent="0.2">
      <c r="B359" s="61">
        <f t="shared" si="61"/>
        <v>62</v>
      </c>
      <c r="C359" s="67"/>
      <c r="D359" s="67"/>
      <c r="E359" s="67"/>
      <c r="F359" s="68" t="s">
        <v>143</v>
      </c>
      <c r="G359" s="69">
        <v>640</v>
      </c>
      <c r="H359" s="67" t="s">
        <v>126</v>
      </c>
      <c r="I359" s="70">
        <f>I360+I361</f>
        <v>9000</v>
      </c>
      <c r="J359" s="70">
        <f>J360+J361</f>
        <v>8500</v>
      </c>
      <c r="K359" s="408">
        <f t="shared" si="62"/>
        <v>94.444444444444443</v>
      </c>
      <c r="L359" s="70"/>
      <c r="M359" s="70"/>
      <c r="N359" s="70"/>
      <c r="O359" s="408"/>
      <c r="P359" s="70"/>
      <c r="Q359" s="71">
        <f t="shared" si="58"/>
        <v>9000</v>
      </c>
      <c r="R359" s="71">
        <f t="shared" si="59"/>
        <v>8500</v>
      </c>
      <c r="S359" s="457">
        <f t="shared" si="60"/>
        <v>94.444444444444443</v>
      </c>
    </row>
    <row r="360" spans="2:19" s="288" customFormat="1" x14ac:dyDescent="0.2">
      <c r="B360" s="61">
        <f t="shared" si="61"/>
        <v>63</v>
      </c>
      <c r="C360" s="96"/>
      <c r="D360" s="96"/>
      <c r="E360" s="82"/>
      <c r="F360" s="84"/>
      <c r="G360" s="84"/>
      <c r="H360" s="82" t="s">
        <v>9</v>
      </c>
      <c r="I360" s="85">
        <v>3000</v>
      </c>
      <c r="J360" s="85">
        <v>2500</v>
      </c>
      <c r="K360" s="408">
        <f t="shared" si="62"/>
        <v>83.333333333333343</v>
      </c>
      <c r="L360" s="85"/>
      <c r="M360" s="85"/>
      <c r="N360" s="85"/>
      <c r="O360" s="408"/>
      <c r="P360" s="85"/>
      <c r="Q360" s="86">
        <f t="shared" si="58"/>
        <v>3000</v>
      </c>
      <c r="R360" s="86">
        <f t="shared" si="59"/>
        <v>2500</v>
      </c>
      <c r="S360" s="457">
        <f t="shared" si="60"/>
        <v>83.333333333333343</v>
      </c>
    </row>
    <row r="361" spans="2:19" s="288" customFormat="1" x14ac:dyDescent="0.2">
      <c r="B361" s="321">
        <f t="shared" si="61"/>
        <v>64</v>
      </c>
      <c r="C361" s="322"/>
      <c r="D361" s="322"/>
      <c r="E361" s="323"/>
      <c r="F361" s="324"/>
      <c r="G361" s="324"/>
      <c r="H361" s="323" t="s">
        <v>10</v>
      </c>
      <c r="I361" s="325">
        <v>6000</v>
      </c>
      <c r="J361" s="325">
        <v>6000</v>
      </c>
      <c r="K361" s="492">
        <f t="shared" si="62"/>
        <v>100</v>
      </c>
      <c r="L361" s="325"/>
      <c r="M361" s="325"/>
      <c r="N361" s="325"/>
      <c r="O361" s="492"/>
      <c r="P361" s="325"/>
      <c r="Q361" s="326">
        <f t="shared" si="58"/>
        <v>6000</v>
      </c>
      <c r="R361" s="326">
        <f t="shared" si="59"/>
        <v>6000</v>
      </c>
      <c r="S361" s="493">
        <f t="shared" si="60"/>
        <v>100</v>
      </c>
    </row>
    <row r="362" spans="2:19" s="288" customFormat="1" x14ac:dyDescent="0.2">
      <c r="B362" s="289"/>
      <c r="F362" s="290"/>
      <c r="G362" s="290"/>
      <c r="I362" s="261"/>
      <c r="J362" s="261"/>
      <c r="K362" s="401"/>
      <c r="L362" s="5"/>
      <c r="M362" s="261"/>
      <c r="N362" s="261"/>
      <c r="O362" s="401"/>
      <c r="P362" s="5"/>
      <c r="Q362" s="261"/>
      <c r="R362" s="261"/>
      <c r="S362" s="261"/>
    </row>
    <row r="363" spans="2:19" s="288" customFormat="1" x14ac:dyDescent="0.2">
      <c r="B363" s="289"/>
      <c r="F363" s="290"/>
      <c r="G363" s="290"/>
      <c r="I363" s="261"/>
      <c r="J363" s="261"/>
      <c r="K363" s="401"/>
      <c r="L363" s="5"/>
      <c r="M363" s="261"/>
      <c r="N363" s="261"/>
      <c r="O363" s="401"/>
      <c r="P363" s="5"/>
      <c r="Q363" s="261"/>
      <c r="R363" s="261"/>
      <c r="S363" s="261"/>
    </row>
    <row r="364" spans="2:19" s="288" customFormat="1" x14ac:dyDescent="0.2">
      <c r="B364" s="289"/>
      <c r="F364" s="290"/>
      <c r="G364" s="290"/>
      <c r="I364" s="261"/>
      <c r="J364" s="261"/>
      <c r="K364" s="401"/>
      <c r="L364" s="5"/>
      <c r="M364" s="261"/>
      <c r="N364" s="261"/>
      <c r="O364" s="401"/>
      <c r="P364" s="5"/>
      <c r="Q364" s="261"/>
      <c r="R364" s="261"/>
      <c r="S364" s="261"/>
    </row>
    <row r="365" spans="2:19" s="288" customFormat="1" ht="27.75" x14ac:dyDescent="0.4">
      <c r="B365" s="648" t="s">
        <v>19</v>
      </c>
      <c r="C365" s="649"/>
      <c r="D365" s="649"/>
      <c r="E365" s="649"/>
      <c r="F365" s="649"/>
      <c r="G365" s="649"/>
      <c r="H365" s="649"/>
      <c r="I365" s="649"/>
      <c r="J365" s="649"/>
      <c r="K365" s="649"/>
      <c r="L365" s="649"/>
      <c r="M365" s="649"/>
      <c r="N365" s="649"/>
      <c r="O365" s="649"/>
      <c r="P365" s="649"/>
      <c r="Q365" s="649"/>
      <c r="R365" s="3"/>
      <c r="S365" s="154"/>
    </row>
    <row r="366" spans="2:19" s="288" customFormat="1" x14ac:dyDescent="0.2">
      <c r="B366" s="631" t="s">
        <v>432</v>
      </c>
      <c r="C366" s="632"/>
      <c r="D366" s="632"/>
      <c r="E366" s="632"/>
      <c r="F366" s="632"/>
      <c r="G366" s="632"/>
      <c r="H366" s="632"/>
      <c r="I366" s="632"/>
      <c r="J366" s="632"/>
      <c r="K366" s="632"/>
      <c r="L366" s="632"/>
      <c r="M366" s="632"/>
      <c r="N366" s="632"/>
      <c r="O366" s="632"/>
      <c r="P366" s="632"/>
      <c r="Q366" s="624" t="s">
        <v>761</v>
      </c>
      <c r="R366" s="624" t="s">
        <v>757</v>
      </c>
      <c r="S366" s="641" t="s">
        <v>758</v>
      </c>
    </row>
    <row r="367" spans="2:19" s="288" customFormat="1" x14ac:dyDescent="0.2">
      <c r="B367" s="633"/>
      <c r="C367" s="634" t="s">
        <v>111</v>
      </c>
      <c r="D367" s="634" t="s">
        <v>112</v>
      </c>
      <c r="E367" s="634"/>
      <c r="F367" s="634" t="s">
        <v>113</v>
      </c>
      <c r="G367" s="627" t="s">
        <v>114</v>
      </c>
      <c r="H367" s="628" t="s">
        <v>115</v>
      </c>
      <c r="I367" s="626" t="s">
        <v>759</v>
      </c>
      <c r="J367" s="626" t="s">
        <v>757</v>
      </c>
      <c r="K367" s="643" t="s">
        <v>758</v>
      </c>
      <c r="L367" s="310"/>
      <c r="M367" s="626" t="s">
        <v>760</v>
      </c>
      <c r="N367" s="626" t="s">
        <v>757</v>
      </c>
      <c r="O367" s="643" t="s">
        <v>758</v>
      </c>
      <c r="P367" s="310"/>
      <c r="Q367" s="625"/>
      <c r="R367" s="625"/>
      <c r="S367" s="642"/>
    </row>
    <row r="368" spans="2:19" s="288" customFormat="1" x14ac:dyDescent="0.2">
      <c r="B368" s="633"/>
      <c r="C368" s="634"/>
      <c r="D368" s="634"/>
      <c r="E368" s="634"/>
      <c r="F368" s="634"/>
      <c r="G368" s="627"/>
      <c r="H368" s="628"/>
      <c r="I368" s="626"/>
      <c r="J368" s="626"/>
      <c r="K368" s="643"/>
      <c r="L368" s="310"/>
      <c r="M368" s="626"/>
      <c r="N368" s="626"/>
      <c r="O368" s="643"/>
      <c r="P368" s="310"/>
      <c r="Q368" s="625"/>
      <c r="R368" s="625"/>
      <c r="S368" s="642"/>
    </row>
    <row r="369" spans="2:19" s="288" customFormat="1" x14ac:dyDescent="0.2">
      <c r="B369" s="633"/>
      <c r="C369" s="634"/>
      <c r="D369" s="634"/>
      <c r="E369" s="634"/>
      <c r="F369" s="634"/>
      <c r="G369" s="627"/>
      <c r="H369" s="628"/>
      <c r="I369" s="626"/>
      <c r="J369" s="626"/>
      <c r="K369" s="643"/>
      <c r="L369" s="310"/>
      <c r="M369" s="626"/>
      <c r="N369" s="626"/>
      <c r="O369" s="643"/>
      <c r="P369" s="310"/>
      <c r="Q369" s="625"/>
      <c r="R369" s="625"/>
      <c r="S369" s="642"/>
    </row>
    <row r="370" spans="2:19" s="288" customFormat="1" x14ac:dyDescent="0.2">
      <c r="B370" s="633"/>
      <c r="C370" s="634"/>
      <c r="D370" s="634"/>
      <c r="E370" s="634"/>
      <c r="F370" s="634"/>
      <c r="G370" s="627"/>
      <c r="H370" s="628"/>
      <c r="I370" s="626"/>
      <c r="J370" s="626"/>
      <c r="K370" s="643"/>
      <c r="L370" s="310"/>
      <c r="M370" s="626"/>
      <c r="N370" s="626"/>
      <c r="O370" s="643"/>
      <c r="P370" s="310"/>
      <c r="Q370" s="625"/>
      <c r="R370" s="625"/>
      <c r="S370" s="642"/>
    </row>
    <row r="371" spans="2:19" s="288" customFormat="1" ht="15.75" x14ac:dyDescent="0.2">
      <c r="B371" s="6">
        <v>1</v>
      </c>
      <c r="C371" s="635" t="s">
        <v>19</v>
      </c>
      <c r="D371" s="636"/>
      <c r="E371" s="636"/>
      <c r="F371" s="636"/>
      <c r="G371" s="636"/>
      <c r="H371" s="636"/>
      <c r="I371" s="7">
        <f>I372+I391+I420</f>
        <v>7775851</v>
      </c>
      <c r="J371" s="7">
        <f>J372+J391+J420</f>
        <v>7384295</v>
      </c>
      <c r="K371" s="399">
        <f t="shared" ref="K371:K379" si="63">J371/I371*100</f>
        <v>94.964461124576587</v>
      </c>
      <c r="L371" s="311"/>
      <c r="M371" s="7">
        <f>M420+M391+M372</f>
        <v>12963197</v>
      </c>
      <c r="N371" s="7">
        <f>N420+N391+N372</f>
        <v>2037024</v>
      </c>
      <c r="O371" s="399">
        <f>N371/M371*100</f>
        <v>15.713901439590867</v>
      </c>
      <c r="P371" s="311"/>
      <c r="Q371" s="8">
        <f t="shared" ref="Q371:R373" si="64">M371+I371</f>
        <v>20739048</v>
      </c>
      <c r="R371" s="8">
        <f t="shared" si="64"/>
        <v>9421319</v>
      </c>
      <c r="S371" s="445">
        <f>R371/Q371*100</f>
        <v>45.42792417472586</v>
      </c>
    </row>
    <row r="372" spans="2:19" s="288" customFormat="1" ht="15" x14ac:dyDescent="0.2">
      <c r="B372" s="6">
        <f t="shared" ref="B372:B403" si="65">B371+1</f>
        <v>2</v>
      </c>
      <c r="C372" s="9">
        <v>1</v>
      </c>
      <c r="D372" s="637" t="s">
        <v>354</v>
      </c>
      <c r="E372" s="638"/>
      <c r="F372" s="638"/>
      <c r="G372" s="638"/>
      <c r="H372" s="638"/>
      <c r="I372" s="10">
        <f>I373+I375</f>
        <v>4712614</v>
      </c>
      <c r="J372" s="10">
        <f>J373+J375</f>
        <v>4607614</v>
      </c>
      <c r="K372" s="395">
        <f t="shared" si="63"/>
        <v>97.771937188150787</v>
      </c>
      <c r="L372" s="312"/>
      <c r="M372" s="10">
        <f>M380</f>
        <v>423140</v>
      </c>
      <c r="N372" s="10">
        <f>N380</f>
        <v>216563</v>
      </c>
      <c r="O372" s="395">
        <f>N372/M372*100</f>
        <v>51.179987710923101</v>
      </c>
      <c r="P372" s="312"/>
      <c r="Q372" s="31">
        <f t="shared" si="64"/>
        <v>5135754</v>
      </c>
      <c r="R372" s="31">
        <f t="shared" si="64"/>
        <v>4824177</v>
      </c>
      <c r="S372" s="449">
        <f>R372/Q372*100</f>
        <v>93.933179042454142</v>
      </c>
    </row>
    <row r="373" spans="2:19" s="288" customFormat="1" x14ac:dyDescent="0.2">
      <c r="B373" s="6">
        <f t="shared" si="65"/>
        <v>3</v>
      </c>
      <c r="C373" s="12"/>
      <c r="D373" s="12"/>
      <c r="E373" s="12"/>
      <c r="F373" s="13" t="s">
        <v>217</v>
      </c>
      <c r="G373" s="14">
        <v>630</v>
      </c>
      <c r="H373" s="12" t="s">
        <v>118</v>
      </c>
      <c r="I373" s="15">
        <f>I374</f>
        <v>15000</v>
      </c>
      <c r="J373" s="15">
        <f>J374</f>
        <v>0</v>
      </c>
      <c r="K373" s="397">
        <f t="shared" si="63"/>
        <v>0</v>
      </c>
      <c r="L373" s="15"/>
      <c r="M373" s="15"/>
      <c r="N373" s="15"/>
      <c r="O373" s="397"/>
      <c r="P373" s="15"/>
      <c r="Q373" s="262">
        <f t="shared" si="64"/>
        <v>15000</v>
      </c>
      <c r="R373" s="262">
        <f t="shared" si="64"/>
        <v>0</v>
      </c>
      <c r="S373" s="448">
        <f>R373/Q373*100</f>
        <v>0</v>
      </c>
    </row>
    <row r="374" spans="2:19" s="288" customFormat="1" ht="24" x14ac:dyDescent="0.2">
      <c r="B374" s="6">
        <f t="shared" si="65"/>
        <v>4</v>
      </c>
      <c r="C374" s="52"/>
      <c r="D374" s="52"/>
      <c r="E374" s="52"/>
      <c r="F374" s="54"/>
      <c r="G374" s="54">
        <v>637</v>
      </c>
      <c r="H374" s="55" t="s">
        <v>633</v>
      </c>
      <c r="I374" s="56">
        <v>15000</v>
      </c>
      <c r="J374" s="56">
        <v>0</v>
      </c>
      <c r="K374" s="396">
        <f t="shared" si="63"/>
        <v>0</v>
      </c>
      <c r="L374" s="56"/>
      <c r="M374" s="56"/>
      <c r="N374" s="56"/>
      <c r="O374" s="396"/>
      <c r="P374" s="56"/>
      <c r="Q374" s="57"/>
      <c r="R374" s="57"/>
      <c r="S374" s="450"/>
    </row>
    <row r="375" spans="2:19" s="288" customFormat="1" x14ac:dyDescent="0.2">
      <c r="B375" s="6">
        <f t="shared" si="65"/>
        <v>5</v>
      </c>
      <c r="C375" s="12"/>
      <c r="D375" s="12"/>
      <c r="E375" s="12"/>
      <c r="F375" s="13" t="s">
        <v>217</v>
      </c>
      <c r="G375" s="14">
        <v>640</v>
      </c>
      <c r="H375" s="12" t="s">
        <v>126</v>
      </c>
      <c r="I375" s="15">
        <f>SUM(I376:I379)</f>
        <v>4697614</v>
      </c>
      <c r="J375" s="15">
        <f>SUM(J376:J379)</f>
        <v>4607614</v>
      </c>
      <c r="K375" s="397">
        <f t="shared" si="63"/>
        <v>98.08413377514627</v>
      </c>
      <c r="L375" s="15"/>
      <c r="M375" s="15"/>
      <c r="N375" s="15"/>
      <c r="O375" s="397"/>
      <c r="P375" s="15"/>
      <c r="Q375" s="16">
        <f t="shared" ref="Q375:Q406" si="66">M375+I375</f>
        <v>4697614</v>
      </c>
      <c r="R375" s="16">
        <f t="shared" ref="R375:R406" si="67">N375+J375</f>
        <v>4607614</v>
      </c>
      <c r="S375" s="448">
        <f t="shared" ref="S375:S406" si="68">R375/Q375*100</f>
        <v>98.08413377514627</v>
      </c>
    </row>
    <row r="376" spans="2:19" s="288" customFormat="1" x14ac:dyDescent="0.2">
      <c r="B376" s="6">
        <f t="shared" si="65"/>
        <v>6</v>
      </c>
      <c r="C376" s="1"/>
      <c r="D376" s="1"/>
      <c r="E376" s="1"/>
      <c r="F376" s="23"/>
      <c r="G376" s="23">
        <v>644</v>
      </c>
      <c r="H376" s="1" t="s">
        <v>270</v>
      </c>
      <c r="I376" s="24">
        <v>4430252</v>
      </c>
      <c r="J376" s="24">
        <v>4340252</v>
      </c>
      <c r="K376" s="397">
        <f t="shared" si="63"/>
        <v>97.968512852090583</v>
      </c>
      <c r="L376" s="24"/>
      <c r="M376" s="24"/>
      <c r="N376" s="24"/>
      <c r="O376" s="397"/>
      <c r="P376" s="24"/>
      <c r="Q376" s="26">
        <f t="shared" si="66"/>
        <v>4430252</v>
      </c>
      <c r="R376" s="26">
        <f t="shared" si="67"/>
        <v>4340252</v>
      </c>
      <c r="S376" s="448">
        <f t="shared" si="68"/>
        <v>97.968512852090583</v>
      </c>
    </row>
    <row r="377" spans="2:19" s="288" customFormat="1" x14ac:dyDescent="0.2">
      <c r="B377" s="6">
        <f t="shared" si="65"/>
        <v>7</v>
      </c>
      <c r="C377" s="1"/>
      <c r="D377" s="1"/>
      <c r="E377" s="1"/>
      <c r="F377" s="23"/>
      <c r="G377" s="23">
        <v>644</v>
      </c>
      <c r="H377" s="1" t="s">
        <v>398</v>
      </c>
      <c r="I377" s="24">
        <f>45000+93096</f>
        <v>138096</v>
      </c>
      <c r="J377" s="24">
        <v>138096</v>
      </c>
      <c r="K377" s="397">
        <f t="shared" si="63"/>
        <v>100</v>
      </c>
      <c r="L377" s="24"/>
      <c r="M377" s="24"/>
      <c r="N377" s="24"/>
      <c r="O377" s="397"/>
      <c r="P377" s="24"/>
      <c r="Q377" s="26">
        <f t="shared" si="66"/>
        <v>138096</v>
      </c>
      <c r="R377" s="26">
        <f t="shared" si="67"/>
        <v>138096</v>
      </c>
      <c r="S377" s="448">
        <f t="shared" si="68"/>
        <v>100</v>
      </c>
    </row>
    <row r="378" spans="2:19" s="288" customFormat="1" ht="48" x14ac:dyDescent="0.2">
      <c r="B378" s="6">
        <f t="shared" si="65"/>
        <v>8</v>
      </c>
      <c r="C378" s="1"/>
      <c r="D378" s="1"/>
      <c r="E378" s="1"/>
      <c r="F378" s="23"/>
      <c r="G378" s="23">
        <v>644</v>
      </c>
      <c r="H378" s="39" t="s">
        <v>623</v>
      </c>
      <c r="I378" s="35">
        <v>107266</v>
      </c>
      <c r="J378" s="35">
        <v>107266</v>
      </c>
      <c r="K378" s="396">
        <f t="shared" si="63"/>
        <v>100</v>
      </c>
      <c r="L378" s="24"/>
      <c r="M378" s="24"/>
      <c r="N378" s="24"/>
      <c r="O378" s="397"/>
      <c r="P378" s="24"/>
      <c r="Q378" s="37">
        <f t="shared" si="66"/>
        <v>107266</v>
      </c>
      <c r="R378" s="37">
        <f t="shared" si="67"/>
        <v>107266</v>
      </c>
      <c r="S378" s="450">
        <f t="shared" si="68"/>
        <v>100</v>
      </c>
    </row>
    <row r="379" spans="2:19" s="288" customFormat="1" x14ac:dyDescent="0.2">
      <c r="B379" s="6">
        <f t="shared" si="65"/>
        <v>9</v>
      </c>
      <c r="C379" s="1"/>
      <c r="D379" s="1"/>
      <c r="E379" s="1"/>
      <c r="F379" s="23"/>
      <c r="G379" s="23">
        <v>644</v>
      </c>
      <c r="H379" s="1" t="s">
        <v>399</v>
      </c>
      <c r="I379" s="24">
        <v>22000</v>
      </c>
      <c r="J379" s="24">
        <v>22000</v>
      </c>
      <c r="K379" s="397">
        <f t="shared" si="63"/>
        <v>100</v>
      </c>
      <c r="L379" s="24"/>
      <c r="M379" s="24"/>
      <c r="N379" s="24"/>
      <c r="O379" s="397"/>
      <c r="P379" s="24"/>
      <c r="Q379" s="26">
        <f t="shared" si="66"/>
        <v>22000</v>
      </c>
      <c r="R379" s="26">
        <f t="shared" si="67"/>
        <v>22000</v>
      </c>
      <c r="S379" s="448">
        <f t="shared" si="68"/>
        <v>100</v>
      </c>
    </row>
    <row r="380" spans="2:19" s="288" customFormat="1" x14ac:dyDescent="0.2">
      <c r="B380" s="6">
        <f t="shared" si="65"/>
        <v>10</v>
      </c>
      <c r="C380" s="12"/>
      <c r="D380" s="12"/>
      <c r="E380" s="12"/>
      <c r="F380" s="13" t="s">
        <v>217</v>
      </c>
      <c r="G380" s="14">
        <v>710</v>
      </c>
      <c r="H380" s="12" t="s">
        <v>172</v>
      </c>
      <c r="I380" s="15"/>
      <c r="J380" s="15"/>
      <c r="K380" s="397"/>
      <c r="L380" s="15"/>
      <c r="M380" s="15">
        <f>M381+M386</f>
        <v>423140</v>
      </c>
      <c r="N380" s="15">
        <f>N381+N386</f>
        <v>216563</v>
      </c>
      <c r="O380" s="397">
        <f t="shared" ref="O380:O392" si="69">N380/M380*100</f>
        <v>51.179987710923101</v>
      </c>
      <c r="P380" s="15"/>
      <c r="Q380" s="16">
        <f t="shared" si="66"/>
        <v>423140</v>
      </c>
      <c r="R380" s="16">
        <f t="shared" si="67"/>
        <v>216563</v>
      </c>
      <c r="S380" s="448">
        <f t="shared" si="68"/>
        <v>51.179987710923101</v>
      </c>
    </row>
    <row r="381" spans="2:19" s="288" customFormat="1" x14ac:dyDescent="0.2">
      <c r="B381" s="6">
        <f t="shared" si="65"/>
        <v>11</v>
      </c>
      <c r="C381" s="17"/>
      <c r="D381" s="17"/>
      <c r="E381" s="17"/>
      <c r="F381" s="18" t="s">
        <v>217</v>
      </c>
      <c r="G381" s="19">
        <v>716</v>
      </c>
      <c r="H381" s="17" t="s">
        <v>213</v>
      </c>
      <c r="I381" s="20"/>
      <c r="J381" s="20"/>
      <c r="K381" s="397"/>
      <c r="L381" s="20"/>
      <c r="M381" s="20">
        <f>SUM(M382:M385)</f>
        <v>46500</v>
      </c>
      <c r="N381" s="20">
        <f>SUM(N382:N385)</f>
        <v>15164</v>
      </c>
      <c r="O381" s="397">
        <f t="shared" si="69"/>
        <v>32.610752688172049</v>
      </c>
      <c r="P381" s="20"/>
      <c r="Q381" s="21">
        <f t="shared" si="66"/>
        <v>46500</v>
      </c>
      <c r="R381" s="21">
        <f t="shared" si="67"/>
        <v>15164</v>
      </c>
      <c r="S381" s="448">
        <f t="shared" si="68"/>
        <v>32.610752688172049</v>
      </c>
    </row>
    <row r="382" spans="2:19" s="288" customFormat="1" x14ac:dyDescent="0.2">
      <c r="B382" s="6">
        <f t="shared" si="65"/>
        <v>12</v>
      </c>
      <c r="C382" s="17"/>
      <c r="D382" s="17"/>
      <c r="E382" s="17"/>
      <c r="F382" s="18"/>
      <c r="G382" s="19"/>
      <c r="H382" s="1" t="s">
        <v>773</v>
      </c>
      <c r="I382" s="24"/>
      <c r="J382" s="24"/>
      <c r="K382" s="397"/>
      <c r="L382" s="24"/>
      <c r="M382" s="24">
        <f>2000+2500</f>
        <v>4500</v>
      </c>
      <c r="N382" s="24">
        <v>4340</v>
      </c>
      <c r="O382" s="397">
        <f t="shared" si="69"/>
        <v>96.444444444444443</v>
      </c>
      <c r="P382" s="24"/>
      <c r="Q382" s="26">
        <f t="shared" si="66"/>
        <v>4500</v>
      </c>
      <c r="R382" s="26">
        <f t="shared" si="67"/>
        <v>4340</v>
      </c>
      <c r="S382" s="448">
        <f t="shared" si="68"/>
        <v>96.444444444444443</v>
      </c>
    </row>
    <row r="383" spans="2:19" s="288" customFormat="1" x14ac:dyDescent="0.2">
      <c r="B383" s="6">
        <f t="shared" si="65"/>
        <v>13</v>
      </c>
      <c r="C383" s="1"/>
      <c r="D383" s="1"/>
      <c r="E383" s="1"/>
      <c r="F383" s="23"/>
      <c r="G383" s="23"/>
      <c r="H383" s="1" t="s">
        <v>543</v>
      </c>
      <c r="I383" s="24"/>
      <c r="J383" s="24"/>
      <c r="K383" s="397"/>
      <c r="L383" s="24"/>
      <c r="M383" s="24">
        <v>2000</v>
      </c>
      <c r="N383" s="24">
        <v>0</v>
      </c>
      <c r="O383" s="397">
        <f t="shared" si="69"/>
        <v>0</v>
      </c>
      <c r="P383" s="24"/>
      <c r="Q383" s="26">
        <f t="shared" si="66"/>
        <v>2000</v>
      </c>
      <c r="R383" s="26">
        <f t="shared" si="67"/>
        <v>0</v>
      </c>
      <c r="S383" s="448">
        <f t="shared" si="68"/>
        <v>0</v>
      </c>
    </row>
    <row r="384" spans="2:19" s="288" customFormat="1" x14ac:dyDescent="0.2">
      <c r="B384" s="6">
        <f t="shared" si="65"/>
        <v>14</v>
      </c>
      <c r="C384" s="1"/>
      <c r="D384" s="1"/>
      <c r="E384" s="1"/>
      <c r="F384" s="23"/>
      <c r="G384" s="23"/>
      <c r="H384" s="1" t="s">
        <v>542</v>
      </c>
      <c r="I384" s="24"/>
      <c r="J384" s="24"/>
      <c r="K384" s="397"/>
      <c r="L384" s="24"/>
      <c r="M384" s="24">
        <v>11000</v>
      </c>
      <c r="N384" s="24">
        <v>10824</v>
      </c>
      <c r="O384" s="397">
        <f t="shared" si="69"/>
        <v>98.4</v>
      </c>
      <c r="P384" s="24"/>
      <c r="Q384" s="26">
        <f t="shared" si="66"/>
        <v>11000</v>
      </c>
      <c r="R384" s="26">
        <f t="shared" si="67"/>
        <v>10824</v>
      </c>
      <c r="S384" s="448">
        <f t="shared" si="68"/>
        <v>98.4</v>
      </c>
    </row>
    <row r="385" spans="2:19" s="288" customFormat="1" ht="24" x14ac:dyDescent="0.2">
      <c r="B385" s="6">
        <f t="shared" si="65"/>
        <v>15</v>
      </c>
      <c r="C385" s="1"/>
      <c r="D385" s="1"/>
      <c r="E385" s="1"/>
      <c r="F385" s="23"/>
      <c r="G385" s="23"/>
      <c r="H385" s="39" t="s">
        <v>706</v>
      </c>
      <c r="I385" s="24"/>
      <c r="J385" s="24"/>
      <c r="K385" s="397"/>
      <c r="L385" s="24"/>
      <c r="M385" s="24">
        <v>29000</v>
      </c>
      <c r="N385" s="24">
        <v>0</v>
      </c>
      <c r="O385" s="397">
        <f t="shared" si="69"/>
        <v>0</v>
      </c>
      <c r="P385" s="24"/>
      <c r="Q385" s="26">
        <f t="shared" si="66"/>
        <v>29000</v>
      </c>
      <c r="R385" s="26">
        <f t="shared" si="67"/>
        <v>0</v>
      </c>
      <c r="S385" s="448">
        <f t="shared" si="68"/>
        <v>0</v>
      </c>
    </row>
    <row r="386" spans="2:19" s="288" customFormat="1" x14ac:dyDescent="0.2">
      <c r="B386" s="6">
        <f t="shared" si="65"/>
        <v>16</v>
      </c>
      <c r="C386" s="17"/>
      <c r="D386" s="17"/>
      <c r="E386" s="17"/>
      <c r="F386" s="18" t="s">
        <v>217</v>
      </c>
      <c r="G386" s="19">
        <v>717</v>
      </c>
      <c r="H386" s="17" t="s">
        <v>179</v>
      </c>
      <c r="I386" s="20"/>
      <c r="J386" s="20"/>
      <c r="K386" s="397"/>
      <c r="L386" s="20"/>
      <c r="M386" s="20">
        <f>SUM(M387:M390)</f>
        <v>376640</v>
      </c>
      <c r="N386" s="20">
        <f>SUM(N387:N390)</f>
        <v>201399</v>
      </c>
      <c r="O386" s="397">
        <f t="shared" si="69"/>
        <v>53.472546728971956</v>
      </c>
      <c r="P386" s="20"/>
      <c r="Q386" s="21">
        <f t="shared" si="66"/>
        <v>376640</v>
      </c>
      <c r="R386" s="21">
        <f t="shared" si="67"/>
        <v>201399</v>
      </c>
      <c r="S386" s="448">
        <f t="shared" si="68"/>
        <v>53.472546728971956</v>
      </c>
    </row>
    <row r="387" spans="2:19" s="288" customFormat="1" x14ac:dyDescent="0.2">
      <c r="B387" s="6">
        <f t="shared" si="65"/>
        <v>17</v>
      </c>
      <c r="C387" s="1"/>
      <c r="D387" s="1"/>
      <c r="E387" s="1"/>
      <c r="F387" s="23"/>
      <c r="G387" s="23"/>
      <c r="H387" s="1" t="s">
        <v>449</v>
      </c>
      <c r="I387" s="24"/>
      <c r="J387" s="24"/>
      <c r="K387" s="397"/>
      <c r="L387" s="24"/>
      <c r="M387" s="24">
        <v>18800</v>
      </c>
      <c r="N387" s="24">
        <v>98</v>
      </c>
      <c r="O387" s="397">
        <f t="shared" si="69"/>
        <v>0.52127659574468088</v>
      </c>
      <c r="P387" s="24"/>
      <c r="Q387" s="26">
        <f t="shared" si="66"/>
        <v>18800</v>
      </c>
      <c r="R387" s="26">
        <f t="shared" si="67"/>
        <v>98</v>
      </c>
      <c r="S387" s="448">
        <f t="shared" si="68"/>
        <v>0.52127659574468088</v>
      </c>
    </row>
    <row r="388" spans="2:19" s="288" customFormat="1" x14ac:dyDescent="0.2">
      <c r="B388" s="6">
        <f t="shared" si="65"/>
        <v>18</v>
      </c>
      <c r="C388" s="1"/>
      <c r="D388" s="1"/>
      <c r="E388" s="1"/>
      <c r="F388" s="23"/>
      <c r="G388" s="23"/>
      <c r="H388" s="1" t="s">
        <v>541</v>
      </c>
      <c r="I388" s="24"/>
      <c r="J388" s="24"/>
      <c r="K388" s="397"/>
      <c r="L388" s="24"/>
      <c r="M388" s="24">
        <f>189000+142000-21130-15000-9030+49000</f>
        <v>334840</v>
      </c>
      <c r="N388" s="24">
        <v>196374</v>
      </c>
      <c r="O388" s="397">
        <f t="shared" si="69"/>
        <v>58.647115040019116</v>
      </c>
      <c r="P388" s="24"/>
      <c r="Q388" s="26">
        <f t="shared" si="66"/>
        <v>334840</v>
      </c>
      <c r="R388" s="26">
        <f t="shared" si="67"/>
        <v>196374</v>
      </c>
      <c r="S388" s="448">
        <f t="shared" si="68"/>
        <v>58.647115040019116</v>
      </c>
    </row>
    <row r="389" spans="2:19" s="288" customFormat="1" x14ac:dyDescent="0.2">
      <c r="B389" s="6">
        <f t="shared" si="65"/>
        <v>19</v>
      </c>
      <c r="C389" s="1"/>
      <c r="D389" s="1"/>
      <c r="E389" s="1"/>
      <c r="F389" s="23"/>
      <c r="G389" s="23"/>
      <c r="H389" s="1" t="s">
        <v>727</v>
      </c>
      <c r="I389" s="24"/>
      <c r="J389" s="24"/>
      <c r="K389" s="397"/>
      <c r="L389" s="24"/>
      <c r="M389" s="24">
        <v>5000</v>
      </c>
      <c r="N389" s="24">
        <v>4927</v>
      </c>
      <c r="O389" s="397">
        <f t="shared" si="69"/>
        <v>98.54</v>
      </c>
      <c r="P389" s="24"/>
      <c r="Q389" s="26">
        <f t="shared" si="66"/>
        <v>5000</v>
      </c>
      <c r="R389" s="26">
        <f t="shared" si="67"/>
        <v>4927</v>
      </c>
      <c r="S389" s="448">
        <f t="shared" si="68"/>
        <v>98.54</v>
      </c>
    </row>
    <row r="390" spans="2:19" s="288" customFormat="1" x14ac:dyDescent="0.2">
      <c r="B390" s="6">
        <f t="shared" si="65"/>
        <v>20</v>
      </c>
      <c r="C390" s="1"/>
      <c r="D390" s="1"/>
      <c r="E390" s="1"/>
      <c r="F390" s="23"/>
      <c r="G390" s="23"/>
      <c r="H390" s="1" t="s">
        <v>544</v>
      </c>
      <c r="I390" s="24"/>
      <c r="J390" s="24"/>
      <c r="K390" s="397"/>
      <c r="L390" s="24"/>
      <c r="M390" s="24">
        <v>18000</v>
      </c>
      <c r="N390" s="24">
        <v>0</v>
      </c>
      <c r="O390" s="397">
        <f t="shared" si="69"/>
        <v>0</v>
      </c>
      <c r="P390" s="24"/>
      <c r="Q390" s="26">
        <f t="shared" si="66"/>
        <v>18000</v>
      </c>
      <c r="R390" s="26">
        <f t="shared" si="67"/>
        <v>0</v>
      </c>
      <c r="S390" s="448">
        <f t="shared" si="68"/>
        <v>0</v>
      </c>
    </row>
    <row r="391" spans="2:19" s="288" customFormat="1" ht="15" x14ac:dyDescent="0.2">
      <c r="B391" s="6">
        <f t="shared" si="65"/>
        <v>21</v>
      </c>
      <c r="C391" s="9">
        <v>2</v>
      </c>
      <c r="D391" s="637" t="s">
        <v>262</v>
      </c>
      <c r="E391" s="638"/>
      <c r="F391" s="638"/>
      <c r="G391" s="638"/>
      <c r="H391" s="638"/>
      <c r="I391" s="10">
        <f>I392+I412</f>
        <v>3063237</v>
      </c>
      <c r="J391" s="10">
        <f>J392+J412</f>
        <v>2776681</v>
      </c>
      <c r="K391" s="395">
        <f t="shared" ref="K391:K406" si="70">J391/I391*100</f>
        <v>90.645320619984687</v>
      </c>
      <c r="L391" s="312"/>
      <c r="M391" s="10">
        <f>M392+M412</f>
        <v>41600</v>
      </c>
      <c r="N391" s="10">
        <f>N392+N412</f>
        <v>40742</v>
      </c>
      <c r="O391" s="395">
        <f t="shared" si="69"/>
        <v>97.9375</v>
      </c>
      <c r="P391" s="312"/>
      <c r="Q391" s="31">
        <f t="shared" si="66"/>
        <v>3104837</v>
      </c>
      <c r="R391" s="31">
        <f t="shared" si="67"/>
        <v>2817423</v>
      </c>
      <c r="S391" s="449">
        <f t="shared" si="68"/>
        <v>90.743024513042073</v>
      </c>
    </row>
    <row r="392" spans="2:19" s="288" customFormat="1" ht="15" x14ac:dyDescent="0.25">
      <c r="B392" s="6">
        <f t="shared" si="65"/>
        <v>22</v>
      </c>
      <c r="C392" s="27"/>
      <c r="D392" s="27">
        <v>1</v>
      </c>
      <c r="E392" s="639" t="s">
        <v>370</v>
      </c>
      <c r="F392" s="640"/>
      <c r="G392" s="640"/>
      <c r="H392" s="640"/>
      <c r="I392" s="28">
        <f>I393+I396</f>
        <v>2595273</v>
      </c>
      <c r="J392" s="28">
        <f>J393+J396</f>
        <v>2330316</v>
      </c>
      <c r="K392" s="404">
        <f t="shared" si="70"/>
        <v>89.790785015680427</v>
      </c>
      <c r="L392" s="313"/>
      <c r="M392" s="28">
        <f>M396</f>
        <v>32000</v>
      </c>
      <c r="N392" s="28">
        <f>N396</f>
        <v>31560</v>
      </c>
      <c r="O392" s="404">
        <f t="shared" si="69"/>
        <v>98.625</v>
      </c>
      <c r="P392" s="313"/>
      <c r="Q392" s="29">
        <f t="shared" si="66"/>
        <v>2627273</v>
      </c>
      <c r="R392" s="29">
        <f t="shared" si="67"/>
        <v>2361876</v>
      </c>
      <c r="S392" s="447">
        <f t="shared" si="68"/>
        <v>89.898385131655516</v>
      </c>
    </row>
    <row r="393" spans="2:19" s="288" customFormat="1" x14ac:dyDescent="0.2">
      <c r="B393" s="6">
        <f t="shared" si="65"/>
        <v>23</v>
      </c>
      <c r="C393" s="12"/>
      <c r="D393" s="12"/>
      <c r="E393" s="12"/>
      <c r="F393" s="13" t="s">
        <v>217</v>
      </c>
      <c r="G393" s="14">
        <v>630</v>
      </c>
      <c r="H393" s="12" t="s">
        <v>118</v>
      </c>
      <c r="I393" s="15">
        <f>I395+I394</f>
        <v>50000</v>
      </c>
      <c r="J393" s="15">
        <f>J395+J394</f>
        <v>37097</v>
      </c>
      <c r="K393" s="397">
        <f t="shared" si="70"/>
        <v>74.194000000000003</v>
      </c>
      <c r="L393" s="15"/>
      <c r="M393" s="15"/>
      <c r="N393" s="15"/>
      <c r="O393" s="397"/>
      <c r="P393" s="15"/>
      <c r="Q393" s="16">
        <f t="shared" si="66"/>
        <v>50000</v>
      </c>
      <c r="R393" s="16">
        <f t="shared" si="67"/>
        <v>37097</v>
      </c>
      <c r="S393" s="448">
        <f t="shared" si="68"/>
        <v>74.194000000000003</v>
      </c>
    </row>
    <row r="394" spans="2:19" s="288" customFormat="1" x14ac:dyDescent="0.2">
      <c r="B394" s="6">
        <f t="shared" si="65"/>
        <v>24</v>
      </c>
      <c r="C394" s="12"/>
      <c r="D394" s="12"/>
      <c r="E394" s="12"/>
      <c r="F394" s="13"/>
      <c r="G394" s="19">
        <v>636</v>
      </c>
      <c r="H394" s="17" t="s">
        <v>123</v>
      </c>
      <c r="I394" s="20">
        <v>30000</v>
      </c>
      <c r="J394" s="20">
        <v>29262</v>
      </c>
      <c r="K394" s="397">
        <f t="shared" si="70"/>
        <v>97.54</v>
      </c>
      <c r="L394" s="20"/>
      <c r="M394" s="20"/>
      <c r="N394" s="20"/>
      <c r="O394" s="397"/>
      <c r="P394" s="20"/>
      <c r="Q394" s="21">
        <f t="shared" si="66"/>
        <v>30000</v>
      </c>
      <c r="R394" s="21">
        <f t="shared" si="67"/>
        <v>29262</v>
      </c>
      <c r="S394" s="448">
        <f t="shared" si="68"/>
        <v>97.54</v>
      </c>
    </row>
    <row r="395" spans="2:19" s="288" customFormat="1" x14ac:dyDescent="0.2">
      <c r="B395" s="6">
        <f t="shared" si="65"/>
        <v>25</v>
      </c>
      <c r="C395" s="17"/>
      <c r="D395" s="17"/>
      <c r="E395" s="17"/>
      <c r="F395" s="18"/>
      <c r="G395" s="19">
        <v>637</v>
      </c>
      <c r="H395" s="17" t="s">
        <v>119</v>
      </c>
      <c r="I395" s="20">
        <v>20000</v>
      </c>
      <c r="J395" s="20">
        <v>7835</v>
      </c>
      <c r="K395" s="397">
        <f t="shared" si="70"/>
        <v>39.174999999999997</v>
      </c>
      <c r="L395" s="20"/>
      <c r="M395" s="20"/>
      <c r="N395" s="20"/>
      <c r="O395" s="397"/>
      <c r="P395" s="20"/>
      <c r="Q395" s="21">
        <f t="shared" si="66"/>
        <v>20000</v>
      </c>
      <c r="R395" s="21">
        <f t="shared" si="67"/>
        <v>7835</v>
      </c>
      <c r="S395" s="448">
        <f t="shared" si="68"/>
        <v>39.174999999999997</v>
      </c>
    </row>
    <row r="396" spans="2:19" s="288" customFormat="1" ht="15" x14ac:dyDescent="0.25">
      <c r="B396" s="6">
        <f t="shared" si="65"/>
        <v>26</v>
      </c>
      <c r="C396" s="97"/>
      <c r="D396" s="97"/>
      <c r="E396" s="97">
        <v>2</v>
      </c>
      <c r="F396" s="98"/>
      <c r="G396" s="98"/>
      <c r="H396" s="97" t="s">
        <v>11</v>
      </c>
      <c r="I396" s="99">
        <f>I397+I398+I399+I406</f>
        <v>2545273</v>
      </c>
      <c r="J396" s="99">
        <f>J397+J398+J399+J406</f>
        <v>2293219</v>
      </c>
      <c r="K396" s="414">
        <f t="shared" si="70"/>
        <v>90.097172287609226</v>
      </c>
      <c r="L396" s="313"/>
      <c r="M396" s="99">
        <f>M407</f>
        <v>32000</v>
      </c>
      <c r="N396" s="99">
        <f>N407</f>
        <v>31560</v>
      </c>
      <c r="O396" s="414">
        <f>N396/M396*100</f>
        <v>98.625</v>
      </c>
      <c r="P396" s="313"/>
      <c r="Q396" s="100">
        <f t="shared" si="66"/>
        <v>2577273</v>
      </c>
      <c r="R396" s="100">
        <f t="shared" si="67"/>
        <v>2324779</v>
      </c>
      <c r="S396" s="464">
        <f t="shared" si="68"/>
        <v>90.203055710435024</v>
      </c>
    </row>
    <row r="397" spans="2:19" s="288" customFormat="1" x14ac:dyDescent="0.2">
      <c r="B397" s="6">
        <f t="shared" si="65"/>
        <v>27</v>
      </c>
      <c r="C397" s="12"/>
      <c r="D397" s="12"/>
      <c r="E397" s="12"/>
      <c r="F397" s="13" t="s">
        <v>217</v>
      </c>
      <c r="G397" s="14">
        <v>610</v>
      </c>
      <c r="H397" s="12" t="s">
        <v>128</v>
      </c>
      <c r="I397" s="15">
        <f>124740+4800</f>
        <v>129540</v>
      </c>
      <c r="J397" s="15">
        <v>116599</v>
      </c>
      <c r="K397" s="397">
        <f t="shared" si="70"/>
        <v>90.010035510267102</v>
      </c>
      <c r="L397" s="15"/>
      <c r="M397" s="15"/>
      <c r="N397" s="15"/>
      <c r="O397" s="397"/>
      <c r="P397" s="15"/>
      <c r="Q397" s="16">
        <f t="shared" si="66"/>
        <v>129540</v>
      </c>
      <c r="R397" s="16">
        <f t="shared" si="67"/>
        <v>116599</v>
      </c>
      <c r="S397" s="448">
        <f t="shared" si="68"/>
        <v>90.010035510267102</v>
      </c>
    </row>
    <row r="398" spans="2:19" s="288" customFormat="1" x14ac:dyDescent="0.2">
      <c r="B398" s="6">
        <f t="shared" si="65"/>
        <v>28</v>
      </c>
      <c r="C398" s="12"/>
      <c r="D398" s="12"/>
      <c r="E398" s="12"/>
      <c r="F398" s="13" t="s">
        <v>217</v>
      </c>
      <c r="G398" s="14">
        <v>620</v>
      </c>
      <c r="H398" s="12" t="s">
        <v>121</v>
      </c>
      <c r="I398" s="15">
        <f>49740+1698</f>
        <v>51438</v>
      </c>
      <c r="J398" s="15">
        <v>44973</v>
      </c>
      <c r="K398" s="397">
        <f t="shared" si="70"/>
        <v>87.431470897002214</v>
      </c>
      <c r="L398" s="15"/>
      <c r="M398" s="15"/>
      <c r="N398" s="15"/>
      <c r="O398" s="397"/>
      <c r="P398" s="15"/>
      <c r="Q398" s="16">
        <f t="shared" si="66"/>
        <v>51438</v>
      </c>
      <c r="R398" s="16">
        <f t="shared" si="67"/>
        <v>44973</v>
      </c>
      <c r="S398" s="448">
        <f t="shared" si="68"/>
        <v>87.431470897002214</v>
      </c>
    </row>
    <row r="399" spans="2:19" s="288" customFormat="1" x14ac:dyDescent="0.2">
      <c r="B399" s="6">
        <f t="shared" si="65"/>
        <v>29</v>
      </c>
      <c r="C399" s="12"/>
      <c r="D399" s="12"/>
      <c r="E399" s="12"/>
      <c r="F399" s="13" t="s">
        <v>217</v>
      </c>
      <c r="G399" s="14">
        <v>630</v>
      </c>
      <c r="H399" s="12" t="s">
        <v>118</v>
      </c>
      <c r="I399" s="15">
        <f>SUM(I400:I405)</f>
        <v>2351295</v>
      </c>
      <c r="J399" s="15">
        <f>SUM(J400:J405)</f>
        <v>2121190</v>
      </c>
      <c r="K399" s="397">
        <f t="shared" si="70"/>
        <v>90.213690753393337</v>
      </c>
      <c r="L399" s="15"/>
      <c r="M399" s="15"/>
      <c r="N399" s="15"/>
      <c r="O399" s="397"/>
      <c r="P399" s="15"/>
      <c r="Q399" s="16">
        <f t="shared" si="66"/>
        <v>2351295</v>
      </c>
      <c r="R399" s="16">
        <f t="shared" si="67"/>
        <v>2121190</v>
      </c>
      <c r="S399" s="448">
        <f t="shared" si="68"/>
        <v>90.213690753393337</v>
      </c>
    </row>
    <row r="400" spans="2:19" s="288" customFormat="1" x14ac:dyDescent="0.2">
      <c r="B400" s="6">
        <f t="shared" si="65"/>
        <v>30</v>
      </c>
      <c r="C400" s="12"/>
      <c r="D400" s="12"/>
      <c r="E400" s="12"/>
      <c r="F400" s="13"/>
      <c r="G400" s="19">
        <v>632</v>
      </c>
      <c r="H400" s="17" t="s">
        <v>131</v>
      </c>
      <c r="I400" s="20">
        <v>1000</v>
      </c>
      <c r="J400" s="20">
        <v>380</v>
      </c>
      <c r="K400" s="397">
        <f t="shared" si="70"/>
        <v>38</v>
      </c>
      <c r="L400" s="15"/>
      <c r="M400" s="15"/>
      <c r="N400" s="15"/>
      <c r="O400" s="397"/>
      <c r="P400" s="15"/>
      <c r="Q400" s="16">
        <f t="shared" si="66"/>
        <v>1000</v>
      </c>
      <c r="R400" s="16">
        <f t="shared" si="67"/>
        <v>380</v>
      </c>
      <c r="S400" s="448">
        <f t="shared" si="68"/>
        <v>38</v>
      </c>
    </row>
    <row r="401" spans="2:19" s="288" customFormat="1" x14ac:dyDescent="0.2">
      <c r="B401" s="6">
        <f t="shared" si="65"/>
        <v>31</v>
      </c>
      <c r="C401" s="17"/>
      <c r="D401" s="17"/>
      <c r="E401" s="17"/>
      <c r="F401" s="18"/>
      <c r="G401" s="19">
        <v>633</v>
      </c>
      <c r="H401" s="17" t="s">
        <v>122</v>
      </c>
      <c r="I401" s="20">
        <f>29000+11600-7000</f>
        <v>33600</v>
      </c>
      <c r="J401" s="20">
        <v>28699</v>
      </c>
      <c r="K401" s="397">
        <f t="shared" si="70"/>
        <v>85.413690476190467</v>
      </c>
      <c r="L401" s="20"/>
      <c r="M401" s="20"/>
      <c r="N401" s="20"/>
      <c r="O401" s="397"/>
      <c r="P401" s="20"/>
      <c r="Q401" s="21">
        <f t="shared" si="66"/>
        <v>33600</v>
      </c>
      <c r="R401" s="21">
        <f t="shared" si="67"/>
        <v>28699</v>
      </c>
      <c r="S401" s="448">
        <f t="shared" si="68"/>
        <v>85.413690476190467</v>
      </c>
    </row>
    <row r="402" spans="2:19" s="288" customFormat="1" x14ac:dyDescent="0.2">
      <c r="B402" s="6">
        <f t="shared" si="65"/>
        <v>32</v>
      </c>
      <c r="C402" s="17"/>
      <c r="D402" s="17"/>
      <c r="E402" s="17"/>
      <c r="F402" s="18"/>
      <c r="G402" s="19">
        <v>634</v>
      </c>
      <c r="H402" s="17" t="s">
        <v>129</v>
      </c>
      <c r="I402" s="20">
        <v>27150</v>
      </c>
      <c r="J402" s="20">
        <v>24046</v>
      </c>
      <c r="K402" s="397">
        <f t="shared" si="70"/>
        <v>88.56721915285452</v>
      </c>
      <c r="L402" s="20"/>
      <c r="M402" s="20"/>
      <c r="N402" s="20"/>
      <c r="O402" s="397"/>
      <c r="P402" s="20"/>
      <c r="Q402" s="21">
        <f t="shared" si="66"/>
        <v>27150</v>
      </c>
      <c r="R402" s="21">
        <f t="shared" si="67"/>
        <v>24046</v>
      </c>
      <c r="S402" s="448">
        <f t="shared" si="68"/>
        <v>88.56721915285452</v>
      </c>
    </row>
    <row r="403" spans="2:19" s="288" customFormat="1" x14ac:dyDescent="0.2">
      <c r="B403" s="6">
        <f t="shared" si="65"/>
        <v>33</v>
      </c>
      <c r="C403" s="17"/>
      <c r="D403" s="17"/>
      <c r="E403" s="17"/>
      <c r="F403" s="18"/>
      <c r="G403" s="19">
        <v>635</v>
      </c>
      <c r="H403" s="17" t="s">
        <v>130</v>
      </c>
      <c r="I403" s="20">
        <f>2333960-65000+3500</f>
        <v>2272460</v>
      </c>
      <c r="J403" s="20">
        <v>2058411</v>
      </c>
      <c r="K403" s="397">
        <f t="shared" si="70"/>
        <v>90.580736294588249</v>
      </c>
      <c r="L403" s="20"/>
      <c r="M403" s="20"/>
      <c r="N403" s="20"/>
      <c r="O403" s="397"/>
      <c r="P403" s="20"/>
      <c r="Q403" s="21">
        <f t="shared" si="66"/>
        <v>2272460</v>
      </c>
      <c r="R403" s="21">
        <f t="shared" si="67"/>
        <v>2058411</v>
      </c>
      <c r="S403" s="448">
        <f t="shared" si="68"/>
        <v>90.580736294588249</v>
      </c>
    </row>
    <row r="404" spans="2:19" s="288" customFormat="1" x14ac:dyDescent="0.2">
      <c r="B404" s="6">
        <f t="shared" ref="B404:B435" si="71">B403+1</f>
        <v>34</v>
      </c>
      <c r="C404" s="17"/>
      <c r="D404" s="17"/>
      <c r="E404" s="17"/>
      <c r="F404" s="18"/>
      <c r="G404" s="19">
        <v>636</v>
      </c>
      <c r="H404" s="17" t="s">
        <v>123</v>
      </c>
      <c r="I404" s="20">
        <v>500</v>
      </c>
      <c r="J404" s="20">
        <v>60</v>
      </c>
      <c r="K404" s="397">
        <f t="shared" si="70"/>
        <v>12</v>
      </c>
      <c r="L404" s="20"/>
      <c r="M404" s="20"/>
      <c r="N404" s="20"/>
      <c r="O404" s="397"/>
      <c r="P404" s="20"/>
      <c r="Q404" s="21">
        <f t="shared" si="66"/>
        <v>500</v>
      </c>
      <c r="R404" s="21">
        <f t="shared" si="67"/>
        <v>60</v>
      </c>
      <c r="S404" s="448">
        <f t="shared" si="68"/>
        <v>12</v>
      </c>
    </row>
    <row r="405" spans="2:19" s="288" customFormat="1" x14ac:dyDescent="0.2">
      <c r="B405" s="6">
        <f t="shared" si="71"/>
        <v>35</v>
      </c>
      <c r="C405" s="17"/>
      <c r="D405" s="17"/>
      <c r="E405" s="17"/>
      <c r="F405" s="18"/>
      <c r="G405" s="19">
        <v>637</v>
      </c>
      <c r="H405" s="17" t="s">
        <v>119</v>
      </c>
      <c r="I405" s="20">
        <f>22285-1000-4700</f>
        <v>16585</v>
      </c>
      <c r="J405" s="20">
        <v>9594</v>
      </c>
      <c r="K405" s="397">
        <f t="shared" si="70"/>
        <v>57.847452517334943</v>
      </c>
      <c r="L405" s="20"/>
      <c r="M405" s="20"/>
      <c r="N405" s="20"/>
      <c r="O405" s="397"/>
      <c r="P405" s="20"/>
      <c r="Q405" s="21">
        <f t="shared" si="66"/>
        <v>16585</v>
      </c>
      <c r="R405" s="21">
        <f t="shared" si="67"/>
        <v>9594</v>
      </c>
      <c r="S405" s="448">
        <f t="shared" si="68"/>
        <v>57.847452517334943</v>
      </c>
    </row>
    <row r="406" spans="2:19" s="288" customFormat="1" x14ac:dyDescent="0.2">
      <c r="B406" s="6">
        <f t="shared" si="71"/>
        <v>36</v>
      </c>
      <c r="C406" s="12"/>
      <c r="D406" s="12"/>
      <c r="E406" s="12"/>
      <c r="F406" s="13" t="s">
        <v>217</v>
      </c>
      <c r="G406" s="14">
        <v>640</v>
      </c>
      <c r="H406" s="12" t="s">
        <v>126</v>
      </c>
      <c r="I406" s="15">
        <f>10800+1000+1200</f>
        <v>13000</v>
      </c>
      <c r="J406" s="15">
        <v>10457</v>
      </c>
      <c r="K406" s="397">
        <f t="shared" si="70"/>
        <v>80.438461538461539</v>
      </c>
      <c r="L406" s="15"/>
      <c r="M406" s="15"/>
      <c r="N406" s="15"/>
      <c r="O406" s="397"/>
      <c r="P406" s="15"/>
      <c r="Q406" s="16">
        <f t="shared" si="66"/>
        <v>13000</v>
      </c>
      <c r="R406" s="16">
        <f t="shared" si="67"/>
        <v>10457</v>
      </c>
      <c r="S406" s="448">
        <f t="shared" si="68"/>
        <v>80.438461538461539</v>
      </c>
    </row>
    <row r="407" spans="2:19" s="288" customFormat="1" x14ac:dyDescent="0.2">
      <c r="B407" s="6">
        <f t="shared" si="71"/>
        <v>37</v>
      </c>
      <c r="C407" s="12"/>
      <c r="D407" s="12"/>
      <c r="E407" s="12"/>
      <c r="F407" s="13" t="s">
        <v>217</v>
      </c>
      <c r="G407" s="14">
        <v>710</v>
      </c>
      <c r="H407" s="12" t="s">
        <v>172</v>
      </c>
      <c r="I407" s="15"/>
      <c r="J407" s="15"/>
      <c r="K407" s="397"/>
      <c r="L407" s="15"/>
      <c r="M407" s="15">
        <f>M408+M410</f>
        <v>32000</v>
      </c>
      <c r="N407" s="15">
        <f>N408+N410</f>
        <v>31560</v>
      </c>
      <c r="O407" s="397">
        <f t="shared" ref="O407:O412" si="72">N407/M407*100</f>
        <v>98.625</v>
      </c>
      <c r="P407" s="15"/>
      <c r="Q407" s="16">
        <f t="shared" ref="Q407:Q438" si="73">M407+I407</f>
        <v>32000</v>
      </c>
      <c r="R407" s="16">
        <f t="shared" ref="R407:R438" si="74">N407+J407</f>
        <v>31560</v>
      </c>
      <c r="S407" s="448">
        <f t="shared" ref="S407:S438" si="75">R407/Q407*100</f>
        <v>98.625</v>
      </c>
    </row>
    <row r="408" spans="2:19" s="288" customFormat="1" x14ac:dyDescent="0.2">
      <c r="B408" s="6">
        <f t="shared" si="71"/>
        <v>38</v>
      </c>
      <c r="C408" s="17"/>
      <c r="D408" s="17"/>
      <c r="E408" s="17"/>
      <c r="F408" s="18"/>
      <c r="G408" s="19">
        <v>713</v>
      </c>
      <c r="H408" s="17" t="s">
        <v>216</v>
      </c>
      <c r="I408" s="20"/>
      <c r="J408" s="20"/>
      <c r="K408" s="397"/>
      <c r="L408" s="20"/>
      <c r="M408" s="20">
        <f>M409</f>
        <v>12000</v>
      </c>
      <c r="N408" s="20">
        <f>N409</f>
        <v>11960</v>
      </c>
      <c r="O408" s="397">
        <f t="shared" si="72"/>
        <v>99.666666666666671</v>
      </c>
      <c r="P408" s="20"/>
      <c r="Q408" s="21">
        <f t="shared" si="73"/>
        <v>12000</v>
      </c>
      <c r="R408" s="21">
        <f t="shared" si="74"/>
        <v>11960</v>
      </c>
      <c r="S408" s="448">
        <f t="shared" si="75"/>
        <v>99.666666666666671</v>
      </c>
    </row>
    <row r="409" spans="2:19" s="288" customFormat="1" x14ac:dyDescent="0.2">
      <c r="B409" s="6">
        <f t="shared" si="71"/>
        <v>39</v>
      </c>
      <c r="C409" s="1"/>
      <c r="D409" s="1"/>
      <c r="E409" s="1"/>
      <c r="F409" s="101"/>
      <c r="G409" s="23"/>
      <c r="H409" s="1" t="s">
        <v>545</v>
      </c>
      <c r="I409" s="24"/>
      <c r="J409" s="24"/>
      <c r="K409" s="397"/>
      <c r="L409" s="24"/>
      <c r="M409" s="24">
        <v>12000</v>
      </c>
      <c r="N409" s="24">
        <v>11960</v>
      </c>
      <c r="O409" s="397">
        <f t="shared" si="72"/>
        <v>99.666666666666671</v>
      </c>
      <c r="P409" s="24"/>
      <c r="Q409" s="26">
        <f t="shared" si="73"/>
        <v>12000</v>
      </c>
      <c r="R409" s="26">
        <f t="shared" si="74"/>
        <v>11960</v>
      </c>
      <c r="S409" s="448">
        <f t="shared" si="75"/>
        <v>99.666666666666671</v>
      </c>
    </row>
    <row r="410" spans="2:19" s="288" customFormat="1" x14ac:dyDescent="0.2">
      <c r="B410" s="6">
        <f t="shared" si="71"/>
        <v>40</v>
      </c>
      <c r="C410" s="17"/>
      <c r="D410" s="17"/>
      <c r="E410" s="17"/>
      <c r="F410" s="18"/>
      <c r="G410" s="19">
        <v>714</v>
      </c>
      <c r="H410" s="17" t="s">
        <v>173</v>
      </c>
      <c r="I410" s="20"/>
      <c r="J410" s="20"/>
      <c r="K410" s="397"/>
      <c r="L410" s="20"/>
      <c r="M410" s="20">
        <f>M411</f>
        <v>20000</v>
      </c>
      <c r="N410" s="20">
        <f>N411</f>
        <v>19600</v>
      </c>
      <c r="O410" s="397">
        <f t="shared" si="72"/>
        <v>98</v>
      </c>
      <c r="P410" s="20"/>
      <c r="Q410" s="21">
        <f t="shared" si="73"/>
        <v>20000</v>
      </c>
      <c r="R410" s="21">
        <f t="shared" si="74"/>
        <v>19600</v>
      </c>
      <c r="S410" s="448">
        <f t="shared" si="75"/>
        <v>98</v>
      </c>
    </row>
    <row r="411" spans="2:19" s="288" customFormat="1" x14ac:dyDescent="0.2">
      <c r="B411" s="6">
        <f t="shared" si="71"/>
        <v>41</v>
      </c>
      <c r="C411" s="1"/>
      <c r="D411" s="1"/>
      <c r="E411" s="1"/>
      <c r="F411" s="101"/>
      <c r="G411" s="23"/>
      <c r="H411" s="1" t="s">
        <v>329</v>
      </c>
      <c r="I411" s="24"/>
      <c r="J411" s="24"/>
      <c r="K411" s="397"/>
      <c r="L411" s="24"/>
      <c r="M411" s="24">
        <v>20000</v>
      </c>
      <c r="N411" s="24">
        <v>19600</v>
      </c>
      <c r="O411" s="397">
        <f t="shared" si="72"/>
        <v>98</v>
      </c>
      <c r="P411" s="24"/>
      <c r="Q411" s="26">
        <f t="shared" si="73"/>
        <v>20000</v>
      </c>
      <c r="R411" s="26">
        <f t="shared" si="74"/>
        <v>19600</v>
      </c>
      <c r="S411" s="448">
        <f t="shared" si="75"/>
        <v>98</v>
      </c>
    </row>
    <row r="412" spans="2:19" s="288" customFormat="1" ht="15" x14ac:dyDescent="0.25">
      <c r="B412" s="6">
        <f t="shared" si="71"/>
        <v>42</v>
      </c>
      <c r="C412" s="27"/>
      <c r="D412" s="27">
        <v>2</v>
      </c>
      <c r="E412" s="639" t="s">
        <v>371</v>
      </c>
      <c r="F412" s="640"/>
      <c r="G412" s="640"/>
      <c r="H412" s="640"/>
      <c r="I412" s="28">
        <f>I413</f>
        <v>467964</v>
      </c>
      <c r="J412" s="28">
        <f>J413</f>
        <v>446365</v>
      </c>
      <c r="K412" s="404">
        <f>J412/I412*100</f>
        <v>95.384474019369009</v>
      </c>
      <c r="L412" s="313"/>
      <c r="M412" s="28">
        <f>M417</f>
        <v>9600</v>
      </c>
      <c r="N412" s="28">
        <f>N417</f>
        <v>9182</v>
      </c>
      <c r="O412" s="404">
        <f t="shared" si="72"/>
        <v>95.645833333333329</v>
      </c>
      <c r="P412" s="313"/>
      <c r="Q412" s="29">
        <f t="shared" si="73"/>
        <v>477564</v>
      </c>
      <c r="R412" s="29">
        <f t="shared" si="74"/>
        <v>455547</v>
      </c>
      <c r="S412" s="447">
        <f t="shared" si="75"/>
        <v>95.389727868934841</v>
      </c>
    </row>
    <row r="413" spans="2:19" s="288" customFormat="1" x14ac:dyDescent="0.2">
      <c r="B413" s="6">
        <f t="shared" si="71"/>
        <v>43</v>
      </c>
      <c r="C413" s="12"/>
      <c r="D413" s="12"/>
      <c r="E413" s="12"/>
      <c r="F413" s="13" t="s">
        <v>217</v>
      </c>
      <c r="G413" s="14">
        <v>630</v>
      </c>
      <c r="H413" s="12" t="s">
        <v>118</v>
      </c>
      <c r="I413" s="15">
        <f>SUM(I414:I416)</f>
        <v>467964</v>
      </c>
      <c r="J413" s="15">
        <f>SUM(J414:J416)</f>
        <v>446365</v>
      </c>
      <c r="K413" s="397">
        <f>J413/I413*100</f>
        <v>95.384474019369009</v>
      </c>
      <c r="L413" s="15"/>
      <c r="M413" s="15"/>
      <c r="N413" s="15"/>
      <c r="O413" s="397"/>
      <c r="P413" s="15"/>
      <c r="Q413" s="16">
        <f t="shared" si="73"/>
        <v>467964</v>
      </c>
      <c r="R413" s="16">
        <f t="shared" si="74"/>
        <v>446365</v>
      </c>
      <c r="S413" s="448">
        <f t="shared" si="75"/>
        <v>95.384474019369009</v>
      </c>
    </row>
    <row r="414" spans="2:19" s="288" customFormat="1" x14ac:dyDescent="0.2">
      <c r="B414" s="6">
        <f t="shared" si="71"/>
        <v>44</v>
      </c>
      <c r="C414" s="17"/>
      <c r="D414" s="17"/>
      <c r="E414" s="17"/>
      <c r="F414" s="18"/>
      <c r="G414" s="19">
        <v>633</v>
      </c>
      <c r="H414" s="17" t="s">
        <v>122</v>
      </c>
      <c r="I414" s="20">
        <v>8000</v>
      </c>
      <c r="J414" s="20">
        <v>5067</v>
      </c>
      <c r="K414" s="397">
        <f>J414/I414*100</f>
        <v>63.337500000000006</v>
      </c>
      <c r="L414" s="20"/>
      <c r="M414" s="20"/>
      <c r="N414" s="20"/>
      <c r="O414" s="397"/>
      <c r="P414" s="20"/>
      <c r="Q414" s="21">
        <f t="shared" si="73"/>
        <v>8000</v>
      </c>
      <c r="R414" s="21">
        <f t="shared" si="74"/>
        <v>5067</v>
      </c>
      <c r="S414" s="448">
        <f t="shared" si="75"/>
        <v>63.337500000000006</v>
      </c>
    </row>
    <row r="415" spans="2:19" s="288" customFormat="1" x14ac:dyDescent="0.2">
      <c r="B415" s="6">
        <f t="shared" si="71"/>
        <v>45</v>
      </c>
      <c r="C415" s="17"/>
      <c r="D415" s="17"/>
      <c r="E415" s="17"/>
      <c r="F415" s="18"/>
      <c r="G415" s="19">
        <v>635</v>
      </c>
      <c r="H415" s="17" t="s">
        <v>130</v>
      </c>
      <c r="I415" s="20">
        <f>211600-36</f>
        <v>211564</v>
      </c>
      <c r="J415" s="20">
        <v>203708</v>
      </c>
      <c r="K415" s="397">
        <f>J415/I415*100</f>
        <v>96.286702841693298</v>
      </c>
      <c r="L415" s="20"/>
      <c r="M415" s="20"/>
      <c r="N415" s="20"/>
      <c r="O415" s="397"/>
      <c r="P415" s="20"/>
      <c r="Q415" s="21">
        <f t="shared" si="73"/>
        <v>211564</v>
      </c>
      <c r="R415" s="21">
        <f t="shared" si="74"/>
        <v>203708</v>
      </c>
      <c r="S415" s="448">
        <f t="shared" si="75"/>
        <v>96.286702841693298</v>
      </c>
    </row>
    <row r="416" spans="2:19" s="288" customFormat="1" x14ac:dyDescent="0.2">
      <c r="B416" s="6">
        <f t="shared" si="71"/>
        <v>46</v>
      </c>
      <c r="C416" s="17"/>
      <c r="D416" s="17"/>
      <c r="E416" s="17"/>
      <c r="F416" s="18"/>
      <c r="G416" s="19">
        <v>637</v>
      </c>
      <c r="H416" s="17" t="s">
        <v>119</v>
      </c>
      <c r="I416" s="20">
        <f>230400+18000</f>
        <v>248400</v>
      </c>
      <c r="J416" s="20">
        <v>237590</v>
      </c>
      <c r="K416" s="397">
        <f>J416/I416*100</f>
        <v>95.648148148148152</v>
      </c>
      <c r="L416" s="20"/>
      <c r="M416" s="20"/>
      <c r="N416" s="20"/>
      <c r="O416" s="397"/>
      <c r="P416" s="20"/>
      <c r="Q416" s="21">
        <f t="shared" si="73"/>
        <v>248400</v>
      </c>
      <c r="R416" s="21">
        <f t="shared" si="74"/>
        <v>237590</v>
      </c>
      <c r="S416" s="448">
        <f t="shared" si="75"/>
        <v>95.648148148148152</v>
      </c>
    </row>
    <row r="417" spans="2:19" s="288" customFormat="1" x14ac:dyDescent="0.2">
      <c r="B417" s="6">
        <f t="shared" si="71"/>
        <v>47</v>
      </c>
      <c r="C417" s="12"/>
      <c r="D417" s="12"/>
      <c r="E417" s="12"/>
      <c r="F417" s="13" t="s">
        <v>217</v>
      </c>
      <c r="G417" s="14">
        <v>710</v>
      </c>
      <c r="H417" s="12" t="s">
        <v>172</v>
      </c>
      <c r="I417" s="15"/>
      <c r="J417" s="15"/>
      <c r="K417" s="397"/>
      <c r="L417" s="15"/>
      <c r="M417" s="15">
        <f>M418</f>
        <v>9600</v>
      </c>
      <c r="N417" s="15">
        <f>N418</f>
        <v>9182</v>
      </c>
      <c r="O417" s="397">
        <f t="shared" ref="O417:O448" si="76">N417/M417*100</f>
        <v>95.645833333333329</v>
      </c>
      <c r="P417" s="15"/>
      <c r="Q417" s="16">
        <f t="shared" si="73"/>
        <v>9600</v>
      </c>
      <c r="R417" s="16">
        <f t="shared" si="74"/>
        <v>9182</v>
      </c>
      <c r="S417" s="448">
        <f t="shared" si="75"/>
        <v>95.645833333333329</v>
      </c>
    </row>
    <row r="418" spans="2:19" s="288" customFormat="1" x14ac:dyDescent="0.2">
      <c r="B418" s="6">
        <f t="shared" si="71"/>
        <v>48</v>
      </c>
      <c r="C418" s="17"/>
      <c r="D418" s="17"/>
      <c r="E418" s="17"/>
      <c r="F418" s="18"/>
      <c r="G418" s="19">
        <v>716</v>
      </c>
      <c r="H418" s="17" t="s">
        <v>213</v>
      </c>
      <c r="I418" s="20"/>
      <c r="J418" s="20"/>
      <c r="K418" s="397"/>
      <c r="L418" s="24"/>
      <c r="M418" s="20">
        <f>M419</f>
        <v>9600</v>
      </c>
      <c r="N418" s="20">
        <f>N419</f>
        <v>9182</v>
      </c>
      <c r="O418" s="397">
        <f t="shared" si="76"/>
        <v>95.645833333333329</v>
      </c>
      <c r="P418" s="20"/>
      <c r="Q418" s="21">
        <f t="shared" si="73"/>
        <v>9600</v>
      </c>
      <c r="R418" s="21">
        <f t="shared" si="74"/>
        <v>9182</v>
      </c>
      <c r="S418" s="448">
        <f t="shared" si="75"/>
        <v>95.645833333333329</v>
      </c>
    </row>
    <row r="419" spans="2:19" s="288" customFormat="1" x14ac:dyDescent="0.2">
      <c r="B419" s="6">
        <f t="shared" si="71"/>
        <v>49</v>
      </c>
      <c r="C419" s="22"/>
      <c r="D419" s="22"/>
      <c r="E419" s="22"/>
      <c r="F419" s="23"/>
      <c r="G419" s="23"/>
      <c r="H419" s="1" t="s">
        <v>450</v>
      </c>
      <c r="I419" s="24"/>
      <c r="J419" s="24"/>
      <c r="K419" s="397"/>
      <c r="L419" s="24"/>
      <c r="M419" s="24">
        <v>9600</v>
      </c>
      <c r="N419" s="24">
        <v>9182</v>
      </c>
      <c r="O419" s="397">
        <f t="shared" si="76"/>
        <v>95.645833333333329</v>
      </c>
      <c r="P419" s="24"/>
      <c r="Q419" s="26">
        <f t="shared" si="73"/>
        <v>9600</v>
      </c>
      <c r="R419" s="26">
        <f t="shared" si="74"/>
        <v>9182</v>
      </c>
      <c r="S419" s="448">
        <f t="shared" si="75"/>
        <v>95.645833333333329</v>
      </c>
    </row>
    <row r="420" spans="2:19" s="288" customFormat="1" ht="15" x14ac:dyDescent="0.2">
      <c r="B420" s="6">
        <f t="shared" si="71"/>
        <v>50</v>
      </c>
      <c r="C420" s="9">
        <v>3</v>
      </c>
      <c r="D420" s="637" t="s">
        <v>223</v>
      </c>
      <c r="E420" s="638"/>
      <c r="F420" s="638"/>
      <c r="G420" s="638"/>
      <c r="H420" s="638"/>
      <c r="I420" s="10"/>
      <c r="J420" s="10"/>
      <c r="K420" s="393"/>
      <c r="L420" s="312"/>
      <c r="M420" s="10">
        <f>M421</f>
        <v>12498457</v>
      </c>
      <c r="N420" s="10">
        <f>N421</f>
        <v>1779719</v>
      </c>
      <c r="O420" s="395">
        <f t="shared" si="76"/>
        <v>14.239509725080465</v>
      </c>
      <c r="P420" s="312"/>
      <c r="Q420" s="31">
        <f t="shared" si="73"/>
        <v>12498457</v>
      </c>
      <c r="R420" s="31">
        <f t="shared" si="74"/>
        <v>1779719</v>
      </c>
      <c r="S420" s="449">
        <f t="shared" si="75"/>
        <v>14.239509725080465</v>
      </c>
    </row>
    <row r="421" spans="2:19" s="288" customFormat="1" x14ac:dyDescent="0.2">
      <c r="B421" s="6">
        <f t="shared" si="71"/>
        <v>51</v>
      </c>
      <c r="C421" s="12"/>
      <c r="D421" s="12"/>
      <c r="E421" s="12"/>
      <c r="F421" s="13" t="s">
        <v>217</v>
      </c>
      <c r="G421" s="14">
        <v>710</v>
      </c>
      <c r="H421" s="12" t="s">
        <v>172</v>
      </c>
      <c r="I421" s="15"/>
      <c r="J421" s="15"/>
      <c r="K421" s="25"/>
      <c r="L421" s="15"/>
      <c r="M421" s="15">
        <f>M422+M457</f>
        <v>12498457</v>
      </c>
      <c r="N421" s="15">
        <f>N422+N457</f>
        <v>1779719</v>
      </c>
      <c r="O421" s="397">
        <f t="shared" si="76"/>
        <v>14.239509725080465</v>
      </c>
      <c r="P421" s="15"/>
      <c r="Q421" s="16">
        <f t="shared" si="73"/>
        <v>12498457</v>
      </c>
      <c r="R421" s="16">
        <f t="shared" si="74"/>
        <v>1779719</v>
      </c>
      <c r="S421" s="448">
        <f t="shared" si="75"/>
        <v>14.239509725080465</v>
      </c>
    </row>
    <row r="422" spans="2:19" s="288" customFormat="1" x14ac:dyDescent="0.2">
      <c r="B422" s="6">
        <f t="shared" si="71"/>
        <v>52</v>
      </c>
      <c r="C422" s="102"/>
      <c r="D422" s="102"/>
      <c r="E422" s="102"/>
      <c r="F422" s="103"/>
      <c r="G422" s="104">
        <v>716</v>
      </c>
      <c r="H422" s="102" t="s">
        <v>213</v>
      </c>
      <c r="I422" s="105"/>
      <c r="J422" s="105"/>
      <c r="K422" s="462"/>
      <c r="L422" s="20"/>
      <c r="M422" s="105">
        <f>SUM(M423:M456)</f>
        <v>7274207</v>
      </c>
      <c r="N422" s="105">
        <f>SUM(N423:N456)</f>
        <v>93713</v>
      </c>
      <c r="O422" s="418">
        <f t="shared" si="76"/>
        <v>1.2882916309640349</v>
      </c>
      <c r="P422" s="20"/>
      <c r="Q422" s="106">
        <f t="shared" si="73"/>
        <v>7274207</v>
      </c>
      <c r="R422" s="106">
        <f t="shared" si="74"/>
        <v>93713</v>
      </c>
      <c r="S422" s="465">
        <f t="shared" si="75"/>
        <v>1.2882916309640349</v>
      </c>
    </row>
    <row r="423" spans="2:19" s="288" customFormat="1" x14ac:dyDescent="0.2">
      <c r="B423" s="6">
        <f t="shared" si="71"/>
        <v>53</v>
      </c>
      <c r="C423" s="17"/>
      <c r="D423" s="17"/>
      <c r="E423" s="17"/>
      <c r="F423" s="18"/>
      <c r="G423" s="19"/>
      <c r="H423" s="1" t="s">
        <v>570</v>
      </c>
      <c r="I423" s="20"/>
      <c r="J423" s="20"/>
      <c r="K423" s="25"/>
      <c r="L423" s="20"/>
      <c r="M423" s="20">
        <v>20000</v>
      </c>
      <c r="N423" s="20">
        <v>800</v>
      </c>
      <c r="O423" s="397">
        <f t="shared" si="76"/>
        <v>4</v>
      </c>
      <c r="P423" s="20"/>
      <c r="Q423" s="26">
        <f t="shared" si="73"/>
        <v>20000</v>
      </c>
      <c r="R423" s="26">
        <f t="shared" si="74"/>
        <v>800</v>
      </c>
      <c r="S423" s="448">
        <f t="shared" si="75"/>
        <v>4</v>
      </c>
    </row>
    <row r="424" spans="2:19" s="288" customFormat="1" x14ac:dyDescent="0.2">
      <c r="B424" s="6">
        <f t="shared" si="71"/>
        <v>54</v>
      </c>
      <c r="C424" s="22"/>
      <c r="D424" s="22"/>
      <c r="E424" s="22"/>
      <c r="F424" s="23"/>
      <c r="G424" s="23"/>
      <c r="H424" s="1" t="s">
        <v>292</v>
      </c>
      <c r="I424" s="24"/>
      <c r="J424" s="24"/>
      <c r="K424" s="25"/>
      <c r="L424" s="24"/>
      <c r="M424" s="24">
        <v>1731</v>
      </c>
      <c r="N424" s="24">
        <v>598</v>
      </c>
      <c r="O424" s="397">
        <f t="shared" si="76"/>
        <v>34.546504910456385</v>
      </c>
      <c r="P424" s="24"/>
      <c r="Q424" s="26">
        <f t="shared" si="73"/>
        <v>1731</v>
      </c>
      <c r="R424" s="26">
        <f t="shared" si="74"/>
        <v>598</v>
      </c>
      <c r="S424" s="448">
        <f t="shared" si="75"/>
        <v>34.546504910456385</v>
      </c>
    </row>
    <row r="425" spans="2:19" s="288" customFormat="1" x14ac:dyDescent="0.2">
      <c r="B425" s="6">
        <f t="shared" si="71"/>
        <v>55</v>
      </c>
      <c r="C425" s="22"/>
      <c r="D425" s="22"/>
      <c r="E425" s="22"/>
      <c r="F425" s="23"/>
      <c r="G425" s="23"/>
      <c r="H425" s="1" t="s">
        <v>473</v>
      </c>
      <c r="I425" s="24"/>
      <c r="J425" s="24"/>
      <c r="K425" s="25"/>
      <c r="L425" s="24"/>
      <c r="M425" s="24">
        <v>9750</v>
      </c>
      <c r="N425" s="24">
        <v>0</v>
      </c>
      <c r="O425" s="397">
        <f t="shared" si="76"/>
        <v>0</v>
      </c>
      <c r="P425" s="24"/>
      <c r="Q425" s="26">
        <f t="shared" si="73"/>
        <v>9750</v>
      </c>
      <c r="R425" s="26">
        <f t="shared" si="74"/>
        <v>0</v>
      </c>
      <c r="S425" s="448">
        <f t="shared" si="75"/>
        <v>0</v>
      </c>
    </row>
    <row r="426" spans="2:19" s="288" customFormat="1" x14ac:dyDescent="0.2">
      <c r="B426" s="6">
        <f t="shared" si="71"/>
        <v>56</v>
      </c>
      <c r="C426" s="22"/>
      <c r="D426" s="22"/>
      <c r="E426" s="22"/>
      <c r="F426" s="23"/>
      <c r="G426" s="23"/>
      <c r="H426" s="1" t="s">
        <v>347</v>
      </c>
      <c r="I426" s="24"/>
      <c r="J426" s="24"/>
      <c r="K426" s="25"/>
      <c r="L426" s="24"/>
      <c r="M426" s="24">
        <v>72000</v>
      </c>
      <c r="N426" s="24">
        <v>7475</v>
      </c>
      <c r="O426" s="397">
        <f t="shared" si="76"/>
        <v>10.381944444444445</v>
      </c>
      <c r="P426" s="24"/>
      <c r="Q426" s="26">
        <f t="shared" si="73"/>
        <v>72000</v>
      </c>
      <c r="R426" s="26">
        <f t="shared" si="74"/>
        <v>7475</v>
      </c>
      <c r="S426" s="448">
        <f t="shared" si="75"/>
        <v>10.381944444444445</v>
      </c>
    </row>
    <row r="427" spans="2:19" s="288" customFormat="1" x14ac:dyDescent="0.2">
      <c r="B427" s="6">
        <f t="shared" si="71"/>
        <v>57</v>
      </c>
      <c r="C427" s="22"/>
      <c r="D427" s="22"/>
      <c r="E427" s="22"/>
      <c r="F427" s="23"/>
      <c r="G427" s="23"/>
      <c r="H427" s="1" t="s">
        <v>457</v>
      </c>
      <c r="I427" s="24"/>
      <c r="J427" s="24"/>
      <c r="K427" s="25"/>
      <c r="L427" s="24"/>
      <c r="M427" s="24">
        <v>10400</v>
      </c>
      <c r="N427" s="24">
        <v>0</v>
      </c>
      <c r="O427" s="397">
        <f t="shared" si="76"/>
        <v>0</v>
      </c>
      <c r="P427" s="24"/>
      <c r="Q427" s="26">
        <f t="shared" si="73"/>
        <v>10400</v>
      </c>
      <c r="R427" s="26">
        <f t="shared" si="74"/>
        <v>0</v>
      </c>
      <c r="S427" s="448">
        <f t="shared" si="75"/>
        <v>0</v>
      </c>
    </row>
    <row r="428" spans="2:19" s="288" customFormat="1" x14ac:dyDescent="0.2">
      <c r="B428" s="6">
        <f t="shared" si="71"/>
        <v>58</v>
      </c>
      <c r="C428" s="22"/>
      <c r="D428" s="22"/>
      <c r="E428" s="22"/>
      <c r="F428" s="23"/>
      <c r="G428" s="23"/>
      <c r="H428" s="1" t="s">
        <v>403</v>
      </c>
      <c r="I428" s="24"/>
      <c r="J428" s="24"/>
      <c r="K428" s="25"/>
      <c r="L428" s="24"/>
      <c r="M428" s="24">
        <f>6000-1000</f>
        <v>5000</v>
      </c>
      <c r="N428" s="24">
        <v>4576</v>
      </c>
      <c r="O428" s="397">
        <f t="shared" si="76"/>
        <v>91.52</v>
      </c>
      <c r="P428" s="24"/>
      <c r="Q428" s="26">
        <f t="shared" si="73"/>
        <v>5000</v>
      </c>
      <c r="R428" s="26">
        <f t="shared" si="74"/>
        <v>4576</v>
      </c>
      <c r="S428" s="448">
        <f t="shared" si="75"/>
        <v>91.52</v>
      </c>
    </row>
    <row r="429" spans="2:19" s="288" customFormat="1" x14ac:dyDescent="0.2">
      <c r="B429" s="6">
        <f t="shared" si="71"/>
        <v>59</v>
      </c>
      <c r="C429" s="22"/>
      <c r="D429" s="22"/>
      <c r="E429" s="22"/>
      <c r="F429" s="23"/>
      <c r="G429" s="23"/>
      <c r="H429" s="1" t="s">
        <v>404</v>
      </c>
      <c r="I429" s="24"/>
      <c r="J429" s="24"/>
      <c r="K429" s="25"/>
      <c r="L429" s="24"/>
      <c r="M429" s="24">
        <v>100000</v>
      </c>
      <c r="N429" s="24">
        <v>0</v>
      </c>
      <c r="O429" s="397">
        <f t="shared" si="76"/>
        <v>0</v>
      </c>
      <c r="P429" s="24"/>
      <c r="Q429" s="26">
        <f t="shared" si="73"/>
        <v>100000</v>
      </c>
      <c r="R429" s="26">
        <f t="shared" si="74"/>
        <v>0</v>
      </c>
      <c r="S429" s="448">
        <f t="shared" si="75"/>
        <v>0</v>
      </c>
    </row>
    <row r="430" spans="2:19" s="288" customFormat="1" x14ac:dyDescent="0.2">
      <c r="B430" s="6">
        <f t="shared" si="71"/>
        <v>60</v>
      </c>
      <c r="C430" s="22"/>
      <c r="D430" s="22"/>
      <c r="E430" s="22"/>
      <c r="F430" s="23"/>
      <c r="G430" s="23"/>
      <c r="H430" s="1" t="s">
        <v>290</v>
      </c>
      <c r="I430" s="24"/>
      <c r="J430" s="24"/>
      <c r="K430" s="25"/>
      <c r="L430" s="24"/>
      <c r="M430" s="24">
        <v>70000</v>
      </c>
      <c r="N430" s="24">
        <v>0</v>
      </c>
      <c r="O430" s="397">
        <f t="shared" si="76"/>
        <v>0</v>
      </c>
      <c r="P430" s="24"/>
      <c r="Q430" s="26">
        <f t="shared" si="73"/>
        <v>70000</v>
      </c>
      <c r="R430" s="26">
        <f t="shared" si="74"/>
        <v>0</v>
      </c>
      <c r="S430" s="448">
        <f t="shared" si="75"/>
        <v>0</v>
      </c>
    </row>
    <row r="431" spans="2:19" s="288" customFormat="1" x14ac:dyDescent="0.2">
      <c r="B431" s="6">
        <f t="shared" si="71"/>
        <v>61</v>
      </c>
      <c r="C431" s="22"/>
      <c r="D431" s="22"/>
      <c r="E431" s="22"/>
      <c r="F431" s="23"/>
      <c r="G431" s="23"/>
      <c r="H431" s="1" t="s">
        <v>451</v>
      </c>
      <c r="I431" s="24"/>
      <c r="J431" s="24"/>
      <c r="K431" s="25"/>
      <c r="L431" s="24"/>
      <c r="M431" s="24">
        <v>32000</v>
      </c>
      <c r="N431" s="24">
        <v>11009</v>
      </c>
      <c r="O431" s="397">
        <f t="shared" si="76"/>
        <v>34.403125000000003</v>
      </c>
      <c r="P431" s="24"/>
      <c r="Q431" s="26">
        <f t="shared" si="73"/>
        <v>32000</v>
      </c>
      <c r="R431" s="26">
        <f t="shared" si="74"/>
        <v>11009</v>
      </c>
      <c r="S431" s="448">
        <f t="shared" si="75"/>
        <v>34.403125000000003</v>
      </c>
    </row>
    <row r="432" spans="2:19" s="288" customFormat="1" x14ac:dyDescent="0.2">
      <c r="B432" s="6">
        <f t="shared" si="71"/>
        <v>62</v>
      </c>
      <c r="C432" s="22"/>
      <c r="D432" s="22"/>
      <c r="E432" s="22"/>
      <c r="F432" s="23"/>
      <c r="G432" s="23"/>
      <c r="H432" s="1" t="s">
        <v>386</v>
      </c>
      <c r="I432" s="24"/>
      <c r="J432" s="24"/>
      <c r="K432" s="25"/>
      <c r="L432" s="24"/>
      <c r="M432" s="24">
        <v>205200</v>
      </c>
      <c r="N432" s="24">
        <v>0</v>
      </c>
      <c r="O432" s="397">
        <f t="shared" si="76"/>
        <v>0</v>
      </c>
      <c r="P432" s="24"/>
      <c r="Q432" s="26">
        <f t="shared" si="73"/>
        <v>205200</v>
      </c>
      <c r="R432" s="26">
        <f t="shared" si="74"/>
        <v>0</v>
      </c>
      <c r="S432" s="448">
        <f t="shared" si="75"/>
        <v>0</v>
      </c>
    </row>
    <row r="433" spans="2:19" s="288" customFormat="1" x14ac:dyDescent="0.2">
      <c r="B433" s="6">
        <f t="shared" si="71"/>
        <v>63</v>
      </c>
      <c r="C433" s="22"/>
      <c r="D433" s="22"/>
      <c r="E433" s="22"/>
      <c r="F433" s="23"/>
      <c r="G433" s="23"/>
      <c r="H433" s="1" t="s">
        <v>376</v>
      </c>
      <c r="I433" s="24"/>
      <c r="J433" s="24"/>
      <c r="K433" s="25"/>
      <c r="L433" s="24"/>
      <c r="M433" s="24">
        <v>60200</v>
      </c>
      <c r="N433" s="24">
        <v>0</v>
      </c>
      <c r="O433" s="397">
        <f t="shared" si="76"/>
        <v>0</v>
      </c>
      <c r="P433" s="24"/>
      <c r="Q433" s="26">
        <f t="shared" si="73"/>
        <v>60200</v>
      </c>
      <c r="R433" s="26">
        <f t="shared" si="74"/>
        <v>0</v>
      </c>
      <c r="S433" s="448">
        <f t="shared" si="75"/>
        <v>0</v>
      </c>
    </row>
    <row r="434" spans="2:19" s="288" customFormat="1" x14ac:dyDescent="0.2">
      <c r="B434" s="6">
        <f t="shared" si="71"/>
        <v>64</v>
      </c>
      <c r="C434" s="22"/>
      <c r="D434" s="22"/>
      <c r="E434" s="22"/>
      <c r="F434" s="23"/>
      <c r="G434" s="23"/>
      <c r="H434" s="1" t="s">
        <v>348</v>
      </c>
      <c r="I434" s="24"/>
      <c r="J434" s="24"/>
      <c r="K434" s="25"/>
      <c r="L434" s="24"/>
      <c r="M434" s="24">
        <f>25200-24000</f>
        <v>1200</v>
      </c>
      <c r="N434" s="24">
        <v>754</v>
      </c>
      <c r="O434" s="397">
        <f t="shared" si="76"/>
        <v>62.833333333333329</v>
      </c>
      <c r="P434" s="24"/>
      <c r="Q434" s="26">
        <f t="shared" si="73"/>
        <v>1200</v>
      </c>
      <c r="R434" s="26">
        <f t="shared" si="74"/>
        <v>754</v>
      </c>
      <c r="S434" s="448">
        <f t="shared" si="75"/>
        <v>62.833333333333329</v>
      </c>
    </row>
    <row r="435" spans="2:19" s="288" customFormat="1" x14ac:dyDescent="0.2">
      <c r="B435" s="6">
        <f t="shared" si="71"/>
        <v>65</v>
      </c>
      <c r="C435" s="22"/>
      <c r="D435" s="22"/>
      <c r="E435" s="22"/>
      <c r="F435" s="23"/>
      <c r="G435" s="23"/>
      <c r="H435" s="1" t="s">
        <v>452</v>
      </c>
      <c r="I435" s="24"/>
      <c r="J435" s="24"/>
      <c r="K435" s="25"/>
      <c r="L435" s="24"/>
      <c r="M435" s="24">
        <f>10000-1400-1000</f>
        <v>7600</v>
      </c>
      <c r="N435" s="24">
        <v>7467</v>
      </c>
      <c r="O435" s="397">
        <f t="shared" si="76"/>
        <v>98.25</v>
      </c>
      <c r="P435" s="24"/>
      <c r="Q435" s="26">
        <f t="shared" si="73"/>
        <v>7600</v>
      </c>
      <c r="R435" s="26">
        <f t="shared" si="74"/>
        <v>7467</v>
      </c>
      <c r="S435" s="448">
        <f t="shared" si="75"/>
        <v>98.25</v>
      </c>
    </row>
    <row r="436" spans="2:19" s="288" customFormat="1" x14ac:dyDescent="0.2">
      <c r="B436" s="6">
        <f t="shared" ref="B436:B467" si="77">B435+1</f>
        <v>66</v>
      </c>
      <c r="C436" s="22"/>
      <c r="D436" s="22"/>
      <c r="E436" s="22"/>
      <c r="F436" s="23"/>
      <c r="G436" s="23"/>
      <c r="H436" s="1" t="s">
        <v>377</v>
      </c>
      <c r="I436" s="24"/>
      <c r="J436" s="24"/>
      <c r="K436" s="25"/>
      <c r="L436" s="24"/>
      <c r="M436" s="24">
        <f>8000-1500</f>
        <v>6500</v>
      </c>
      <c r="N436" s="24">
        <v>2598</v>
      </c>
      <c r="O436" s="397">
        <f t="shared" si="76"/>
        <v>39.969230769230769</v>
      </c>
      <c r="P436" s="24"/>
      <c r="Q436" s="26">
        <f t="shared" si="73"/>
        <v>6500</v>
      </c>
      <c r="R436" s="26">
        <f t="shared" si="74"/>
        <v>2598</v>
      </c>
      <c r="S436" s="448">
        <f t="shared" si="75"/>
        <v>39.969230769230769</v>
      </c>
    </row>
    <row r="437" spans="2:19" s="288" customFormat="1" x14ac:dyDescent="0.2">
      <c r="B437" s="6">
        <f t="shared" si="77"/>
        <v>67</v>
      </c>
      <c r="C437" s="22"/>
      <c r="D437" s="22"/>
      <c r="E437" s="22"/>
      <c r="F437" s="23"/>
      <c r="G437" s="23"/>
      <c r="H437" s="1" t="s">
        <v>456</v>
      </c>
      <c r="I437" s="24"/>
      <c r="J437" s="24"/>
      <c r="K437" s="25"/>
      <c r="L437" s="24"/>
      <c r="M437" s="24">
        <f>15000-7000</f>
        <v>8000</v>
      </c>
      <c r="N437" s="24">
        <v>7872</v>
      </c>
      <c r="O437" s="397">
        <f t="shared" si="76"/>
        <v>98.4</v>
      </c>
      <c r="P437" s="24"/>
      <c r="Q437" s="26">
        <f t="shared" si="73"/>
        <v>8000</v>
      </c>
      <c r="R437" s="26">
        <f t="shared" si="74"/>
        <v>7872</v>
      </c>
      <c r="S437" s="448">
        <f t="shared" si="75"/>
        <v>98.4</v>
      </c>
    </row>
    <row r="438" spans="2:19" s="288" customFormat="1" x14ac:dyDescent="0.2">
      <c r="B438" s="6">
        <f t="shared" si="77"/>
        <v>68</v>
      </c>
      <c r="C438" s="22"/>
      <c r="D438" s="22"/>
      <c r="E438" s="22"/>
      <c r="F438" s="23"/>
      <c r="G438" s="23"/>
      <c r="H438" s="1" t="s">
        <v>474</v>
      </c>
      <c r="I438" s="24"/>
      <c r="J438" s="24"/>
      <c r="K438" s="25"/>
      <c r="L438" s="24"/>
      <c r="M438" s="24">
        <v>29472</v>
      </c>
      <c r="N438" s="24">
        <v>0</v>
      </c>
      <c r="O438" s="397">
        <f t="shared" si="76"/>
        <v>0</v>
      </c>
      <c r="P438" s="24"/>
      <c r="Q438" s="26">
        <f t="shared" si="73"/>
        <v>29472</v>
      </c>
      <c r="R438" s="26">
        <f t="shared" si="74"/>
        <v>0</v>
      </c>
      <c r="S438" s="448">
        <f t="shared" si="75"/>
        <v>0</v>
      </c>
    </row>
    <row r="439" spans="2:19" s="288" customFormat="1" x14ac:dyDescent="0.2">
      <c r="B439" s="6">
        <f t="shared" si="77"/>
        <v>69</v>
      </c>
      <c r="C439" s="22"/>
      <c r="D439" s="22"/>
      <c r="E439" s="22"/>
      <c r="F439" s="23"/>
      <c r="G439" s="23"/>
      <c r="H439" s="1" t="s">
        <v>453</v>
      </c>
      <c r="I439" s="24"/>
      <c r="J439" s="24"/>
      <c r="K439" s="25"/>
      <c r="L439" s="24"/>
      <c r="M439" s="24">
        <v>10000</v>
      </c>
      <c r="N439" s="24">
        <v>1600</v>
      </c>
      <c r="O439" s="397">
        <f t="shared" si="76"/>
        <v>16</v>
      </c>
      <c r="P439" s="24"/>
      <c r="Q439" s="26">
        <f t="shared" ref="Q439:Q470" si="78">M439+I439</f>
        <v>10000</v>
      </c>
      <c r="R439" s="26">
        <f t="shared" ref="R439:R470" si="79">N439+J439</f>
        <v>1600</v>
      </c>
      <c r="S439" s="448">
        <f t="shared" ref="S439:S470" si="80">R439/Q439*100</f>
        <v>16</v>
      </c>
    </row>
    <row r="440" spans="2:19" s="288" customFormat="1" x14ac:dyDescent="0.2">
      <c r="B440" s="6">
        <f t="shared" si="77"/>
        <v>70</v>
      </c>
      <c r="C440" s="22"/>
      <c r="D440" s="22"/>
      <c r="E440" s="22"/>
      <c r="F440" s="23"/>
      <c r="G440" s="23"/>
      <c r="H440" s="1" t="s">
        <v>454</v>
      </c>
      <c r="I440" s="24"/>
      <c r="J440" s="24"/>
      <c r="K440" s="25"/>
      <c r="L440" s="24"/>
      <c r="M440" s="24">
        <v>500</v>
      </c>
      <c r="N440" s="24">
        <v>0</v>
      </c>
      <c r="O440" s="397">
        <f t="shared" si="76"/>
        <v>0</v>
      </c>
      <c r="P440" s="24"/>
      <c r="Q440" s="26">
        <f t="shared" si="78"/>
        <v>500</v>
      </c>
      <c r="R440" s="26">
        <f t="shared" si="79"/>
        <v>0</v>
      </c>
      <c r="S440" s="448">
        <f t="shared" si="80"/>
        <v>0</v>
      </c>
    </row>
    <row r="441" spans="2:19" s="288" customFormat="1" ht="24" x14ac:dyDescent="0.2">
      <c r="B441" s="6">
        <f t="shared" si="77"/>
        <v>71</v>
      </c>
      <c r="C441" s="22"/>
      <c r="D441" s="22"/>
      <c r="E441" s="22"/>
      <c r="F441" s="23"/>
      <c r="G441" s="23"/>
      <c r="H441" s="39" t="s">
        <v>729</v>
      </c>
      <c r="I441" s="24"/>
      <c r="J441" s="24"/>
      <c r="K441" s="25"/>
      <c r="L441" s="24"/>
      <c r="M441" s="24">
        <v>6339654</v>
      </c>
      <c r="N441" s="24">
        <v>0</v>
      </c>
      <c r="O441" s="397">
        <f t="shared" si="76"/>
        <v>0</v>
      </c>
      <c r="P441" s="24"/>
      <c r="Q441" s="26">
        <f t="shared" si="78"/>
        <v>6339654</v>
      </c>
      <c r="R441" s="26">
        <f t="shared" si="79"/>
        <v>0</v>
      </c>
      <c r="S441" s="448">
        <f t="shared" si="80"/>
        <v>0</v>
      </c>
    </row>
    <row r="442" spans="2:19" s="288" customFormat="1" x14ac:dyDescent="0.2">
      <c r="B442" s="6">
        <f t="shared" si="77"/>
        <v>72</v>
      </c>
      <c r="C442" s="22"/>
      <c r="D442" s="22"/>
      <c r="E442" s="22"/>
      <c r="F442" s="23"/>
      <c r="G442" s="23"/>
      <c r="H442" s="1" t="s">
        <v>546</v>
      </c>
      <c r="I442" s="24"/>
      <c r="J442" s="24"/>
      <c r="K442" s="25"/>
      <c r="L442" s="24"/>
      <c r="M442" s="24">
        <f>135000-6900-30000-7000</f>
        <v>91100</v>
      </c>
      <c r="N442" s="24">
        <v>0</v>
      </c>
      <c r="O442" s="397">
        <f t="shared" si="76"/>
        <v>0</v>
      </c>
      <c r="P442" s="24"/>
      <c r="Q442" s="26">
        <f t="shared" si="78"/>
        <v>91100</v>
      </c>
      <c r="R442" s="26">
        <f t="shared" si="79"/>
        <v>0</v>
      </c>
      <c r="S442" s="448">
        <f t="shared" si="80"/>
        <v>0</v>
      </c>
    </row>
    <row r="443" spans="2:19" s="288" customFormat="1" x14ac:dyDescent="0.2">
      <c r="B443" s="6">
        <f t="shared" si="77"/>
        <v>73</v>
      </c>
      <c r="C443" s="22"/>
      <c r="D443" s="22"/>
      <c r="E443" s="22"/>
      <c r="F443" s="23"/>
      <c r="G443" s="23"/>
      <c r="H443" s="1" t="s">
        <v>405</v>
      </c>
      <c r="I443" s="24"/>
      <c r="J443" s="24"/>
      <c r="K443" s="25"/>
      <c r="L443" s="24"/>
      <c r="M443" s="24">
        <v>8000</v>
      </c>
      <c r="N443" s="24">
        <v>95</v>
      </c>
      <c r="O443" s="397">
        <f t="shared" si="76"/>
        <v>1.1875</v>
      </c>
      <c r="P443" s="24"/>
      <c r="Q443" s="26">
        <f t="shared" si="78"/>
        <v>8000</v>
      </c>
      <c r="R443" s="26">
        <f t="shared" si="79"/>
        <v>95</v>
      </c>
      <c r="S443" s="448">
        <f t="shared" si="80"/>
        <v>1.1875</v>
      </c>
    </row>
    <row r="444" spans="2:19" s="288" customFormat="1" x14ac:dyDescent="0.2">
      <c r="B444" s="6">
        <f t="shared" si="77"/>
        <v>74</v>
      </c>
      <c r="C444" s="22"/>
      <c r="D444" s="22"/>
      <c r="E444" s="22"/>
      <c r="F444" s="23"/>
      <c r="G444" s="23"/>
      <c r="H444" s="1" t="s">
        <v>406</v>
      </c>
      <c r="I444" s="24"/>
      <c r="J444" s="24"/>
      <c r="K444" s="25"/>
      <c r="L444" s="24"/>
      <c r="M444" s="24">
        <v>8000</v>
      </c>
      <c r="N444" s="24">
        <v>95</v>
      </c>
      <c r="O444" s="397">
        <f t="shared" si="76"/>
        <v>1.1875</v>
      </c>
      <c r="P444" s="24"/>
      <c r="Q444" s="26">
        <f t="shared" si="78"/>
        <v>8000</v>
      </c>
      <c r="R444" s="26">
        <f t="shared" si="79"/>
        <v>95</v>
      </c>
      <c r="S444" s="448">
        <f t="shared" si="80"/>
        <v>1.1875</v>
      </c>
    </row>
    <row r="445" spans="2:19" s="288" customFormat="1" x14ac:dyDescent="0.2">
      <c r="B445" s="6">
        <f t="shared" si="77"/>
        <v>75</v>
      </c>
      <c r="C445" s="22"/>
      <c r="D445" s="22"/>
      <c r="E445" s="22"/>
      <c r="F445" s="23"/>
      <c r="G445" s="23"/>
      <c r="H445" s="1" t="s">
        <v>407</v>
      </c>
      <c r="I445" s="24"/>
      <c r="J445" s="24"/>
      <c r="K445" s="25"/>
      <c r="L445" s="24"/>
      <c r="M445" s="24">
        <v>8000</v>
      </c>
      <c r="N445" s="24">
        <v>95</v>
      </c>
      <c r="O445" s="397">
        <f t="shared" si="76"/>
        <v>1.1875</v>
      </c>
      <c r="P445" s="24"/>
      <c r="Q445" s="26">
        <f t="shared" si="78"/>
        <v>8000</v>
      </c>
      <c r="R445" s="26">
        <f t="shared" si="79"/>
        <v>95</v>
      </c>
      <c r="S445" s="448">
        <f t="shared" si="80"/>
        <v>1.1875</v>
      </c>
    </row>
    <row r="446" spans="2:19" s="288" customFormat="1" x14ac:dyDescent="0.2">
      <c r="B446" s="6">
        <f t="shared" si="77"/>
        <v>76</v>
      </c>
      <c r="C446" s="22"/>
      <c r="D446" s="22"/>
      <c r="E446" s="22"/>
      <c r="F446" s="23"/>
      <c r="G446" s="23"/>
      <c r="H446" s="1" t="s">
        <v>475</v>
      </c>
      <c r="I446" s="24"/>
      <c r="J446" s="24"/>
      <c r="K446" s="25"/>
      <c r="L446" s="24"/>
      <c r="M446" s="24">
        <v>8000</v>
      </c>
      <c r="N446" s="24">
        <v>3050</v>
      </c>
      <c r="O446" s="397">
        <f t="shared" si="76"/>
        <v>38.125</v>
      </c>
      <c r="P446" s="24"/>
      <c r="Q446" s="26">
        <f t="shared" si="78"/>
        <v>8000</v>
      </c>
      <c r="R446" s="26">
        <f t="shared" si="79"/>
        <v>3050</v>
      </c>
      <c r="S446" s="448">
        <f t="shared" si="80"/>
        <v>38.125</v>
      </c>
    </row>
    <row r="447" spans="2:19" s="288" customFormat="1" x14ac:dyDescent="0.2">
      <c r="B447" s="6">
        <f t="shared" si="77"/>
        <v>77</v>
      </c>
      <c r="C447" s="22"/>
      <c r="D447" s="22"/>
      <c r="E447" s="22"/>
      <c r="F447" s="23"/>
      <c r="G447" s="23"/>
      <c r="H447" s="1" t="s">
        <v>408</v>
      </c>
      <c r="I447" s="24"/>
      <c r="J447" s="24"/>
      <c r="K447" s="25"/>
      <c r="L447" s="24"/>
      <c r="M447" s="24">
        <v>15000</v>
      </c>
      <c r="N447" s="24">
        <v>0</v>
      </c>
      <c r="O447" s="397">
        <f t="shared" si="76"/>
        <v>0</v>
      </c>
      <c r="P447" s="24"/>
      <c r="Q447" s="26">
        <f t="shared" si="78"/>
        <v>15000</v>
      </c>
      <c r="R447" s="26">
        <f t="shared" si="79"/>
        <v>0</v>
      </c>
      <c r="S447" s="448">
        <f t="shared" si="80"/>
        <v>0</v>
      </c>
    </row>
    <row r="448" spans="2:19" s="288" customFormat="1" x14ac:dyDescent="0.2">
      <c r="B448" s="6">
        <f t="shared" si="77"/>
        <v>78</v>
      </c>
      <c r="C448" s="22"/>
      <c r="D448" s="22"/>
      <c r="E448" s="22"/>
      <c r="F448" s="23"/>
      <c r="G448" s="23"/>
      <c r="H448" s="1" t="s">
        <v>273</v>
      </c>
      <c r="I448" s="24"/>
      <c r="J448" s="24"/>
      <c r="K448" s="25"/>
      <c r="L448" s="24"/>
      <c r="M448" s="24">
        <v>4600</v>
      </c>
      <c r="N448" s="24">
        <v>0</v>
      </c>
      <c r="O448" s="397">
        <f t="shared" si="76"/>
        <v>0</v>
      </c>
      <c r="P448" s="24"/>
      <c r="Q448" s="26">
        <f t="shared" si="78"/>
        <v>4600</v>
      </c>
      <c r="R448" s="26">
        <f t="shared" si="79"/>
        <v>0</v>
      </c>
      <c r="S448" s="448">
        <f t="shared" si="80"/>
        <v>0</v>
      </c>
    </row>
    <row r="449" spans="2:19" s="288" customFormat="1" x14ac:dyDescent="0.2">
      <c r="B449" s="6">
        <f t="shared" si="77"/>
        <v>79</v>
      </c>
      <c r="C449" s="22"/>
      <c r="D449" s="22"/>
      <c r="E449" s="22"/>
      <c r="F449" s="23"/>
      <c r="G449" s="23"/>
      <c r="H449" s="1" t="s">
        <v>561</v>
      </c>
      <c r="I449" s="24"/>
      <c r="J449" s="24"/>
      <c r="K449" s="25"/>
      <c r="L449" s="24"/>
      <c r="M449" s="24">
        <v>13000</v>
      </c>
      <c r="N449" s="24">
        <v>4837</v>
      </c>
      <c r="O449" s="397">
        <f t="shared" ref="O449:O480" si="81">N449/M449*100</f>
        <v>37.207692307692305</v>
      </c>
      <c r="P449" s="24"/>
      <c r="Q449" s="26">
        <f t="shared" si="78"/>
        <v>13000</v>
      </c>
      <c r="R449" s="26">
        <f t="shared" si="79"/>
        <v>4837</v>
      </c>
      <c r="S449" s="448">
        <f t="shared" si="80"/>
        <v>37.207692307692305</v>
      </c>
    </row>
    <row r="450" spans="2:19" s="288" customFormat="1" x14ac:dyDescent="0.2">
      <c r="B450" s="6">
        <f t="shared" si="77"/>
        <v>80</v>
      </c>
      <c r="C450" s="22"/>
      <c r="D450" s="22"/>
      <c r="E450" s="22"/>
      <c r="F450" s="23"/>
      <c r="G450" s="23"/>
      <c r="H450" s="1" t="s">
        <v>409</v>
      </c>
      <c r="I450" s="24"/>
      <c r="J450" s="24"/>
      <c r="K450" s="25"/>
      <c r="L450" s="24"/>
      <c r="M450" s="24">
        <v>11400</v>
      </c>
      <c r="N450" s="24">
        <v>0</v>
      </c>
      <c r="O450" s="397">
        <f t="shared" si="81"/>
        <v>0</v>
      </c>
      <c r="P450" s="24"/>
      <c r="Q450" s="26">
        <f t="shared" si="78"/>
        <v>11400</v>
      </c>
      <c r="R450" s="26">
        <f t="shared" si="79"/>
        <v>0</v>
      </c>
      <c r="S450" s="448">
        <f t="shared" si="80"/>
        <v>0</v>
      </c>
    </row>
    <row r="451" spans="2:19" s="288" customFormat="1" x14ac:dyDescent="0.2">
      <c r="B451" s="6">
        <f t="shared" si="77"/>
        <v>81</v>
      </c>
      <c r="C451" s="22"/>
      <c r="D451" s="22"/>
      <c r="E451" s="22"/>
      <c r="F451" s="23"/>
      <c r="G451" s="23"/>
      <c r="H451" s="1" t="s">
        <v>289</v>
      </c>
      <c r="I451" s="24"/>
      <c r="J451" s="24"/>
      <c r="K451" s="25"/>
      <c r="L451" s="24"/>
      <c r="M451" s="24">
        <v>8000</v>
      </c>
      <c r="N451" s="24">
        <v>0</v>
      </c>
      <c r="O451" s="397">
        <f t="shared" si="81"/>
        <v>0</v>
      </c>
      <c r="P451" s="24"/>
      <c r="Q451" s="26">
        <f t="shared" si="78"/>
        <v>8000</v>
      </c>
      <c r="R451" s="26">
        <f t="shared" si="79"/>
        <v>0</v>
      </c>
      <c r="S451" s="448">
        <f t="shared" si="80"/>
        <v>0</v>
      </c>
    </row>
    <row r="452" spans="2:19" s="288" customFormat="1" x14ac:dyDescent="0.2">
      <c r="B452" s="6">
        <f t="shared" si="77"/>
        <v>82</v>
      </c>
      <c r="C452" s="22"/>
      <c r="D452" s="22"/>
      <c r="E452" s="22"/>
      <c r="F452" s="23"/>
      <c r="G452" s="23"/>
      <c r="H452" s="1" t="s">
        <v>562</v>
      </c>
      <c r="I452" s="24"/>
      <c r="J452" s="24"/>
      <c r="K452" s="25"/>
      <c r="L452" s="24"/>
      <c r="M452" s="24">
        <f>3000-1500</f>
        <v>1500</v>
      </c>
      <c r="N452" s="24">
        <v>1500</v>
      </c>
      <c r="O452" s="397">
        <f t="shared" si="81"/>
        <v>100</v>
      </c>
      <c r="P452" s="24"/>
      <c r="Q452" s="26">
        <f t="shared" si="78"/>
        <v>1500</v>
      </c>
      <c r="R452" s="26">
        <f t="shared" si="79"/>
        <v>1500</v>
      </c>
      <c r="S452" s="448">
        <f t="shared" si="80"/>
        <v>100</v>
      </c>
    </row>
    <row r="453" spans="2:19" s="288" customFormat="1" x14ac:dyDescent="0.2">
      <c r="B453" s="6">
        <f t="shared" si="77"/>
        <v>83</v>
      </c>
      <c r="C453" s="22"/>
      <c r="D453" s="22"/>
      <c r="E453" s="22"/>
      <c r="F453" s="23"/>
      <c r="G453" s="23"/>
      <c r="H453" s="1" t="s">
        <v>690</v>
      </c>
      <c r="I453" s="24"/>
      <c r="J453" s="24"/>
      <c r="K453" s="25"/>
      <c r="L453" s="24"/>
      <c r="M453" s="24">
        <f>25000+7000+4200</f>
        <v>36200</v>
      </c>
      <c r="N453" s="24">
        <v>34118</v>
      </c>
      <c r="O453" s="397">
        <f t="shared" si="81"/>
        <v>94.248618784530393</v>
      </c>
      <c r="P453" s="24"/>
      <c r="Q453" s="26">
        <f t="shared" si="78"/>
        <v>36200</v>
      </c>
      <c r="R453" s="26">
        <f t="shared" si="79"/>
        <v>34118</v>
      </c>
      <c r="S453" s="448">
        <f t="shared" si="80"/>
        <v>94.248618784530393</v>
      </c>
    </row>
    <row r="454" spans="2:19" s="288" customFormat="1" x14ac:dyDescent="0.2">
      <c r="B454" s="6">
        <f t="shared" si="77"/>
        <v>84</v>
      </c>
      <c r="C454" s="22"/>
      <c r="D454" s="22"/>
      <c r="E454" s="22"/>
      <c r="F454" s="23"/>
      <c r="G454" s="23"/>
      <c r="H454" s="1" t="s">
        <v>571</v>
      </c>
      <c r="I454" s="24"/>
      <c r="J454" s="24"/>
      <c r="K454" s="25"/>
      <c r="L454" s="24"/>
      <c r="M454" s="24">
        <v>3200</v>
      </c>
      <c r="N454" s="24">
        <v>0</v>
      </c>
      <c r="O454" s="397">
        <f t="shared" si="81"/>
        <v>0</v>
      </c>
      <c r="P454" s="24"/>
      <c r="Q454" s="26">
        <f t="shared" si="78"/>
        <v>3200</v>
      </c>
      <c r="R454" s="26">
        <f t="shared" si="79"/>
        <v>0</v>
      </c>
      <c r="S454" s="448">
        <f t="shared" si="80"/>
        <v>0</v>
      </c>
    </row>
    <row r="455" spans="2:19" s="288" customFormat="1" x14ac:dyDescent="0.2">
      <c r="B455" s="6">
        <f t="shared" si="77"/>
        <v>85</v>
      </c>
      <c r="C455" s="22"/>
      <c r="D455" s="22"/>
      <c r="E455" s="22"/>
      <c r="F455" s="23"/>
      <c r="G455" s="23"/>
      <c r="H455" s="1" t="s">
        <v>287</v>
      </c>
      <c r="I455" s="24"/>
      <c r="J455" s="24"/>
      <c r="K455" s="25"/>
      <c r="L455" s="24"/>
      <c r="M455" s="24">
        <v>31000</v>
      </c>
      <c r="N455" s="24">
        <v>1140</v>
      </c>
      <c r="O455" s="397">
        <f t="shared" si="81"/>
        <v>3.6774193548387095</v>
      </c>
      <c r="P455" s="24"/>
      <c r="Q455" s="26">
        <f t="shared" si="78"/>
        <v>31000</v>
      </c>
      <c r="R455" s="26">
        <f t="shared" si="79"/>
        <v>1140</v>
      </c>
      <c r="S455" s="448">
        <f t="shared" si="80"/>
        <v>3.6774193548387095</v>
      </c>
    </row>
    <row r="456" spans="2:19" s="288" customFormat="1" x14ac:dyDescent="0.2">
      <c r="B456" s="6">
        <f t="shared" si="77"/>
        <v>86</v>
      </c>
      <c r="C456" s="22"/>
      <c r="D456" s="22"/>
      <c r="E456" s="22"/>
      <c r="F456" s="23"/>
      <c r="G456" s="23"/>
      <c r="H456" s="1" t="s">
        <v>288</v>
      </c>
      <c r="I456" s="24"/>
      <c r="J456" s="24"/>
      <c r="K456" s="25"/>
      <c r="L456" s="24"/>
      <c r="M456" s="24">
        <v>38000</v>
      </c>
      <c r="N456" s="24">
        <v>4034</v>
      </c>
      <c r="O456" s="397">
        <f t="shared" si="81"/>
        <v>10.61578947368421</v>
      </c>
      <c r="P456" s="24"/>
      <c r="Q456" s="26">
        <f t="shared" si="78"/>
        <v>38000</v>
      </c>
      <c r="R456" s="26">
        <f t="shared" si="79"/>
        <v>4034</v>
      </c>
      <c r="S456" s="448">
        <f t="shared" si="80"/>
        <v>10.61578947368421</v>
      </c>
    </row>
    <row r="457" spans="2:19" s="288" customFormat="1" x14ac:dyDescent="0.2">
      <c r="B457" s="6">
        <f t="shared" si="77"/>
        <v>87</v>
      </c>
      <c r="C457" s="102"/>
      <c r="D457" s="102"/>
      <c r="E457" s="102"/>
      <c r="F457" s="103"/>
      <c r="G457" s="104">
        <v>717</v>
      </c>
      <c r="H457" s="102" t="s">
        <v>179</v>
      </c>
      <c r="I457" s="105"/>
      <c r="J457" s="105"/>
      <c r="K457" s="462"/>
      <c r="L457" s="20"/>
      <c r="M457" s="105">
        <f>SUM(M458:M494)</f>
        <v>5224250</v>
      </c>
      <c r="N457" s="105">
        <f>SUM(N458:N494)</f>
        <v>1686006</v>
      </c>
      <c r="O457" s="418">
        <f t="shared" si="81"/>
        <v>32.272689859788485</v>
      </c>
      <c r="P457" s="20"/>
      <c r="Q457" s="106">
        <f t="shared" si="78"/>
        <v>5224250</v>
      </c>
      <c r="R457" s="106">
        <f t="shared" si="79"/>
        <v>1686006</v>
      </c>
      <c r="S457" s="465">
        <f t="shared" si="80"/>
        <v>32.272689859788485</v>
      </c>
    </row>
    <row r="458" spans="2:19" s="288" customFormat="1" x14ac:dyDescent="0.2">
      <c r="B458" s="6">
        <f t="shared" si="77"/>
        <v>88</v>
      </c>
      <c r="C458" s="52"/>
      <c r="D458" s="52"/>
      <c r="E458" s="52"/>
      <c r="F458" s="53"/>
      <c r="G458" s="54"/>
      <c r="H458" s="34" t="s">
        <v>476</v>
      </c>
      <c r="I458" s="56"/>
      <c r="J458" s="56"/>
      <c r="K458" s="36"/>
      <c r="L458" s="56"/>
      <c r="M458" s="56">
        <f>60000-5656</f>
        <v>54344</v>
      </c>
      <c r="N458" s="56">
        <v>54343</v>
      </c>
      <c r="O458" s="396">
        <f t="shared" si="81"/>
        <v>99.998159870454884</v>
      </c>
      <c r="P458" s="56"/>
      <c r="Q458" s="37">
        <f t="shared" si="78"/>
        <v>54344</v>
      </c>
      <c r="R458" s="37">
        <f t="shared" si="79"/>
        <v>54343</v>
      </c>
      <c r="S458" s="450">
        <f t="shared" si="80"/>
        <v>99.998159870454884</v>
      </c>
    </row>
    <row r="459" spans="2:19" s="288" customFormat="1" x14ac:dyDescent="0.2">
      <c r="B459" s="6">
        <f t="shared" si="77"/>
        <v>89</v>
      </c>
      <c r="C459" s="32"/>
      <c r="D459" s="32"/>
      <c r="E459" s="32"/>
      <c r="F459" s="33"/>
      <c r="G459" s="33"/>
      <c r="H459" s="34" t="s">
        <v>519</v>
      </c>
      <c r="I459" s="35"/>
      <c r="J459" s="35"/>
      <c r="K459" s="36"/>
      <c r="L459" s="35"/>
      <c r="M459" s="35">
        <f>890000+88000</f>
        <v>978000</v>
      </c>
      <c r="N459" s="35">
        <v>385293</v>
      </c>
      <c r="O459" s="396">
        <f t="shared" si="81"/>
        <v>39.396012269938652</v>
      </c>
      <c r="P459" s="35"/>
      <c r="Q459" s="37">
        <f t="shared" si="78"/>
        <v>978000</v>
      </c>
      <c r="R459" s="37">
        <f t="shared" si="79"/>
        <v>385293</v>
      </c>
      <c r="S459" s="450">
        <f t="shared" si="80"/>
        <v>39.396012269938652</v>
      </c>
    </row>
    <row r="460" spans="2:19" s="288" customFormat="1" x14ac:dyDescent="0.2">
      <c r="B460" s="6">
        <f t="shared" si="77"/>
        <v>90</v>
      </c>
      <c r="C460" s="32"/>
      <c r="D460" s="32"/>
      <c r="E460" s="32"/>
      <c r="F460" s="33"/>
      <c r="G460" s="33"/>
      <c r="H460" s="34" t="s">
        <v>547</v>
      </c>
      <c r="I460" s="35"/>
      <c r="J460" s="35"/>
      <c r="K460" s="36"/>
      <c r="L460" s="35"/>
      <c r="M460" s="35">
        <f>148000+14600-16500</f>
        <v>146100</v>
      </c>
      <c r="N460" s="35">
        <v>146039</v>
      </c>
      <c r="O460" s="396">
        <f t="shared" si="81"/>
        <v>99.958247775496233</v>
      </c>
      <c r="P460" s="35"/>
      <c r="Q460" s="37">
        <f t="shared" si="78"/>
        <v>146100</v>
      </c>
      <c r="R460" s="37">
        <f t="shared" si="79"/>
        <v>146039</v>
      </c>
      <c r="S460" s="450">
        <f t="shared" si="80"/>
        <v>99.958247775496233</v>
      </c>
    </row>
    <row r="461" spans="2:19" s="288" customFormat="1" x14ac:dyDescent="0.2">
      <c r="B461" s="6">
        <f t="shared" si="77"/>
        <v>91</v>
      </c>
      <c r="C461" s="32"/>
      <c r="D461" s="32"/>
      <c r="E461" s="32"/>
      <c r="F461" s="33"/>
      <c r="G461" s="33"/>
      <c r="H461" s="34" t="s">
        <v>455</v>
      </c>
      <c r="I461" s="35"/>
      <c r="J461" s="35"/>
      <c r="K461" s="36"/>
      <c r="L461" s="35"/>
      <c r="M461" s="35">
        <f>326000+28000-3500-86500-16000-7700</f>
        <v>240300</v>
      </c>
      <c r="N461" s="35">
        <v>228902</v>
      </c>
      <c r="O461" s="396">
        <f t="shared" si="81"/>
        <v>95.256762380357884</v>
      </c>
      <c r="P461" s="35"/>
      <c r="Q461" s="37">
        <f t="shared" si="78"/>
        <v>240300</v>
      </c>
      <c r="R461" s="37">
        <f t="shared" si="79"/>
        <v>228902</v>
      </c>
      <c r="S461" s="450">
        <f t="shared" si="80"/>
        <v>95.256762380357884</v>
      </c>
    </row>
    <row r="462" spans="2:19" s="288" customFormat="1" x14ac:dyDescent="0.2">
      <c r="B462" s="6">
        <f t="shared" si="77"/>
        <v>92</v>
      </c>
      <c r="C462" s="32"/>
      <c r="D462" s="32"/>
      <c r="E462" s="32"/>
      <c r="F462" s="33"/>
      <c r="G462" s="33"/>
      <c r="H462" s="34" t="s">
        <v>600</v>
      </c>
      <c r="I462" s="35"/>
      <c r="J462" s="35"/>
      <c r="K462" s="36"/>
      <c r="L462" s="35"/>
      <c r="M462" s="35">
        <f>56000-27100-14800</f>
        <v>14100</v>
      </c>
      <c r="N462" s="35">
        <v>14084</v>
      </c>
      <c r="O462" s="396">
        <f t="shared" si="81"/>
        <v>99.886524822695037</v>
      </c>
      <c r="P462" s="35"/>
      <c r="Q462" s="37">
        <f t="shared" si="78"/>
        <v>14100</v>
      </c>
      <c r="R462" s="37">
        <f t="shared" si="79"/>
        <v>14084</v>
      </c>
      <c r="S462" s="450">
        <f t="shared" si="80"/>
        <v>99.886524822695037</v>
      </c>
    </row>
    <row r="463" spans="2:19" s="288" customFormat="1" x14ac:dyDescent="0.2">
      <c r="B463" s="6">
        <f t="shared" si="77"/>
        <v>93</v>
      </c>
      <c r="C463" s="32"/>
      <c r="D463" s="32"/>
      <c r="E463" s="32"/>
      <c r="F463" s="33"/>
      <c r="G463" s="33"/>
      <c r="H463" s="34" t="s">
        <v>563</v>
      </c>
      <c r="I463" s="35"/>
      <c r="J463" s="35"/>
      <c r="K463" s="36"/>
      <c r="L463" s="35"/>
      <c r="M463" s="35">
        <v>25000</v>
      </c>
      <c r="N463" s="35">
        <v>87</v>
      </c>
      <c r="O463" s="396">
        <f t="shared" si="81"/>
        <v>0.34799999999999998</v>
      </c>
      <c r="P463" s="35"/>
      <c r="Q463" s="37">
        <f t="shared" si="78"/>
        <v>25000</v>
      </c>
      <c r="R463" s="37">
        <f t="shared" si="79"/>
        <v>87</v>
      </c>
      <c r="S463" s="450">
        <f t="shared" si="80"/>
        <v>0.34799999999999998</v>
      </c>
    </row>
    <row r="464" spans="2:19" s="288" customFormat="1" ht="24" x14ac:dyDescent="0.2">
      <c r="B464" s="6">
        <f t="shared" si="77"/>
        <v>94</v>
      </c>
      <c r="C464" s="32"/>
      <c r="D464" s="32"/>
      <c r="E464" s="32"/>
      <c r="F464" s="33"/>
      <c r="G464" s="33"/>
      <c r="H464" s="34" t="s">
        <v>602</v>
      </c>
      <c r="I464" s="35"/>
      <c r="J464" s="35"/>
      <c r="K464" s="36"/>
      <c r="L464" s="35"/>
      <c r="M464" s="35">
        <v>84000</v>
      </c>
      <c r="N464" s="35">
        <v>0</v>
      </c>
      <c r="O464" s="396">
        <f t="shared" si="81"/>
        <v>0</v>
      </c>
      <c r="P464" s="35"/>
      <c r="Q464" s="37">
        <f t="shared" si="78"/>
        <v>84000</v>
      </c>
      <c r="R464" s="37">
        <f t="shared" si="79"/>
        <v>0</v>
      </c>
      <c r="S464" s="450">
        <f t="shared" si="80"/>
        <v>0</v>
      </c>
    </row>
    <row r="465" spans="2:19" s="288" customFormat="1" x14ac:dyDescent="0.2">
      <c r="B465" s="6">
        <f t="shared" si="77"/>
        <v>95</v>
      </c>
      <c r="C465" s="32"/>
      <c r="D465" s="32"/>
      <c r="E465" s="32"/>
      <c r="F465" s="33"/>
      <c r="G465" s="33"/>
      <c r="H465" s="34" t="s">
        <v>517</v>
      </c>
      <c r="I465" s="35"/>
      <c r="J465" s="35"/>
      <c r="K465" s="36"/>
      <c r="L465" s="35"/>
      <c r="M465" s="35">
        <f>82000-10000-2670</f>
        <v>69330</v>
      </c>
      <c r="N465" s="35">
        <v>69327</v>
      </c>
      <c r="O465" s="396">
        <f t="shared" si="81"/>
        <v>99.995672868887937</v>
      </c>
      <c r="P465" s="35"/>
      <c r="Q465" s="37">
        <f t="shared" si="78"/>
        <v>69330</v>
      </c>
      <c r="R465" s="37">
        <f t="shared" si="79"/>
        <v>69327</v>
      </c>
      <c r="S465" s="450">
        <f t="shared" si="80"/>
        <v>99.995672868887937</v>
      </c>
    </row>
    <row r="466" spans="2:19" s="288" customFormat="1" ht="24" x14ac:dyDescent="0.2">
      <c r="B466" s="6">
        <f t="shared" si="77"/>
        <v>96</v>
      </c>
      <c r="C466" s="32"/>
      <c r="D466" s="32"/>
      <c r="E466" s="32"/>
      <c r="F466" s="33"/>
      <c r="G466" s="33"/>
      <c r="H466" s="34" t="s">
        <v>637</v>
      </c>
      <c r="I466" s="35"/>
      <c r="J466" s="35"/>
      <c r="K466" s="36"/>
      <c r="L466" s="35"/>
      <c r="M466" s="35">
        <v>30000</v>
      </c>
      <c r="N466" s="35">
        <v>29993</v>
      </c>
      <c r="O466" s="396">
        <f t="shared" si="81"/>
        <v>99.976666666666674</v>
      </c>
      <c r="P466" s="35"/>
      <c r="Q466" s="37">
        <f t="shared" si="78"/>
        <v>30000</v>
      </c>
      <c r="R466" s="37">
        <f t="shared" si="79"/>
        <v>29993</v>
      </c>
      <c r="S466" s="450">
        <f t="shared" si="80"/>
        <v>99.976666666666674</v>
      </c>
    </row>
    <row r="467" spans="2:19" s="288" customFormat="1" x14ac:dyDescent="0.2">
      <c r="B467" s="6">
        <f t="shared" si="77"/>
        <v>97</v>
      </c>
      <c r="C467" s="32"/>
      <c r="D467" s="32"/>
      <c r="E467" s="32"/>
      <c r="F467" s="33"/>
      <c r="G467" s="33"/>
      <c r="H467" s="34" t="s">
        <v>573</v>
      </c>
      <c r="I467" s="35"/>
      <c r="J467" s="35"/>
      <c r="K467" s="36"/>
      <c r="L467" s="35"/>
      <c r="M467" s="35">
        <f>15000-2300</f>
        <v>12700</v>
      </c>
      <c r="N467" s="35">
        <v>12693</v>
      </c>
      <c r="O467" s="396">
        <f t="shared" si="81"/>
        <v>99.944881889763778</v>
      </c>
      <c r="P467" s="35"/>
      <c r="Q467" s="37">
        <f t="shared" si="78"/>
        <v>12700</v>
      </c>
      <c r="R467" s="37">
        <f t="shared" si="79"/>
        <v>12693</v>
      </c>
      <c r="S467" s="450">
        <f t="shared" si="80"/>
        <v>99.944881889763778</v>
      </c>
    </row>
    <row r="468" spans="2:19" s="288" customFormat="1" x14ac:dyDescent="0.2">
      <c r="B468" s="6">
        <f t="shared" ref="B468:B487" si="82">B467+1</f>
        <v>98</v>
      </c>
      <c r="C468" s="32"/>
      <c r="D468" s="32"/>
      <c r="E468" s="32"/>
      <c r="F468" s="33"/>
      <c r="G468" s="33"/>
      <c r="H468" s="34" t="s">
        <v>605</v>
      </c>
      <c r="I468" s="35"/>
      <c r="J468" s="35"/>
      <c r="K468" s="36"/>
      <c r="L468" s="35"/>
      <c r="M468" s="35">
        <v>55000</v>
      </c>
      <c r="N468" s="35">
        <v>48566</v>
      </c>
      <c r="O468" s="396">
        <f t="shared" si="81"/>
        <v>88.301818181818177</v>
      </c>
      <c r="P468" s="35"/>
      <c r="Q468" s="37">
        <f t="shared" si="78"/>
        <v>55000</v>
      </c>
      <c r="R468" s="37">
        <f t="shared" si="79"/>
        <v>48566</v>
      </c>
      <c r="S468" s="450">
        <f t="shared" si="80"/>
        <v>88.301818181818177</v>
      </c>
    </row>
    <row r="469" spans="2:19" s="288" customFormat="1" x14ac:dyDescent="0.2">
      <c r="B469" s="6">
        <f t="shared" si="82"/>
        <v>99</v>
      </c>
      <c r="C469" s="32"/>
      <c r="D469" s="32"/>
      <c r="E469" s="32"/>
      <c r="F469" s="33"/>
      <c r="G469" s="33"/>
      <c r="H469" s="34" t="s">
        <v>646</v>
      </c>
      <c r="I469" s="35"/>
      <c r="J469" s="35"/>
      <c r="K469" s="36"/>
      <c r="L469" s="35"/>
      <c r="M469" s="35">
        <v>14000</v>
      </c>
      <c r="N469" s="35"/>
      <c r="O469" s="396">
        <f t="shared" si="81"/>
        <v>0</v>
      </c>
      <c r="P469" s="35"/>
      <c r="Q469" s="37">
        <f t="shared" si="78"/>
        <v>14000</v>
      </c>
      <c r="R469" s="37">
        <f t="shared" si="79"/>
        <v>0</v>
      </c>
      <c r="S469" s="450">
        <f t="shared" si="80"/>
        <v>0</v>
      </c>
    </row>
    <row r="470" spans="2:19" s="288" customFormat="1" ht="24" x14ac:dyDescent="0.2">
      <c r="B470" s="6">
        <f t="shared" si="82"/>
        <v>100</v>
      </c>
      <c r="C470" s="32"/>
      <c r="D470" s="32"/>
      <c r="E470" s="32"/>
      <c r="F470" s="33"/>
      <c r="G470" s="33"/>
      <c r="H470" s="34" t="s">
        <v>607</v>
      </c>
      <c r="I470" s="35"/>
      <c r="J470" s="35"/>
      <c r="K470" s="36"/>
      <c r="L470" s="35"/>
      <c r="M470" s="35">
        <f>135000-5000</f>
        <v>130000</v>
      </c>
      <c r="N470" s="35">
        <v>6040</v>
      </c>
      <c r="O470" s="396">
        <f t="shared" si="81"/>
        <v>4.6461538461538465</v>
      </c>
      <c r="P470" s="35"/>
      <c r="Q470" s="37">
        <f t="shared" si="78"/>
        <v>130000</v>
      </c>
      <c r="R470" s="37">
        <f t="shared" si="79"/>
        <v>6040</v>
      </c>
      <c r="S470" s="450">
        <f t="shared" si="80"/>
        <v>4.6461538461538465</v>
      </c>
    </row>
    <row r="471" spans="2:19" s="288" customFormat="1" x14ac:dyDescent="0.2">
      <c r="B471" s="6">
        <f t="shared" si="82"/>
        <v>101</v>
      </c>
      <c r="C471" s="32"/>
      <c r="D471" s="32"/>
      <c r="E471" s="32"/>
      <c r="F471" s="33"/>
      <c r="G471" s="33"/>
      <c r="H471" s="34" t="s">
        <v>526</v>
      </c>
      <c r="I471" s="35"/>
      <c r="J471" s="35"/>
      <c r="K471" s="36"/>
      <c r="L471" s="35"/>
      <c r="M471" s="35">
        <f>128650-32000</f>
        <v>96650</v>
      </c>
      <c r="N471" s="35">
        <v>0</v>
      </c>
      <c r="O471" s="396">
        <f t="shared" si="81"/>
        <v>0</v>
      </c>
      <c r="P471" s="35"/>
      <c r="Q471" s="37">
        <f t="shared" ref="Q471:Q494" si="83">M471+I471</f>
        <v>96650</v>
      </c>
      <c r="R471" s="37">
        <f t="shared" ref="R471:R494" si="84">N471+J471</f>
        <v>0</v>
      </c>
      <c r="S471" s="450">
        <f t="shared" ref="S471:S494" si="85">R471/Q471*100</f>
        <v>0</v>
      </c>
    </row>
    <row r="472" spans="2:19" s="288" customFormat="1" x14ac:dyDescent="0.2">
      <c r="B472" s="6">
        <f t="shared" si="82"/>
        <v>102</v>
      </c>
      <c r="C472" s="32"/>
      <c r="D472" s="32"/>
      <c r="E472" s="32"/>
      <c r="F472" s="33"/>
      <c r="G472" s="33"/>
      <c r="H472" s="34" t="s">
        <v>735</v>
      </c>
      <c r="I472" s="35"/>
      <c r="J472" s="35"/>
      <c r="K472" s="36"/>
      <c r="L472" s="35"/>
      <c r="M472" s="35">
        <v>36000</v>
      </c>
      <c r="N472" s="35">
        <v>32253</v>
      </c>
      <c r="O472" s="396">
        <f t="shared" si="81"/>
        <v>89.591666666666669</v>
      </c>
      <c r="P472" s="35"/>
      <c r="Q472" s="37">
        <f t="shared" si="83"/>
        <v>36000</v>
      </c>
      <c r="R472" s="37">
        <f t="shared" si="84"/>
        <v>32253</v>
      </c>
      <c r="S472" s="450">
        <f t="shared" si="85"/>
        <v>89.591666666666669</v>
      </c>
    </row>
    <row r="473" spans="2:19" s="288" customFormat="1" ht="24" x14ac:dyDescent="0.2">
      <c r="B473" s="6">
        <f t="shared" si="82"/>
        <v>103</v>
      </c>
      <c r="C473" s="32"/>
      <c r="D473" s="32"/>
      <c r="E473" s="32"/>
      <c r="F473" s="33"/>
      <c r="G473" s="33"/>
      <c r="H473" s="34" t="s">
        <v>601</v>
      </c>
      <c r="I473" s="35"/>
      <c r="J473" s="35"/>
      <c r="K473" s="36"/>
      <c r="L473" s="35"/>
      <c r="M473" s="35">
        <v>100000</v>
      </c>
      <c r="N473" s="35">
        <v>85058</v>
      </c>
      <c r="O473" s="396">
        <f t="shared" si="81"/>
        <v>85.058000000000007</v>
      </c>
      <c r="P473" s="35"/>
      <c r="Q473" s="37">
        <f t="shared" si="83"/>
        <v>100000</v>
      </c>
      <c r="R473" s="37">
        <f t="shared" si="84"/>
        <v>85058</v>
      </c>
      <c r="S473" s="450">
        <f t="shared" si="85"/>
        <v>85.058000000000007</v>
      </c>
    </row>
    <row r="474" spans="2:19" s="288" customFormat="1" x14ac:dyDescent="0.2">
      <c r="B474" s="6">
        <f t="shared" si="82"/>
        <v>104</v>
      </c>
      <c r="C474" s="32"/>
      <c r="D474" s="32"/>
      <c r="E474" s="32"/>
      <c r="F474" s="33"/>
      <c r="G474" s="33"/>
      <c r="H474" s="34" t="s">
        <v>518</v>
      </c>
      <c r="I474" s="35"/>
      <c r="J474" s="35"/>
      <c r="K474" s="36"/>
      <c r="L474" s="35"/>
      <c r="M474" s="35">
        <f>84000+3500-1689</f>
        <v>85811</v>
      </c>
      <c r="N474" s="35">
        <v>84519</v>
      </c>
      <c r="O474" s="396">
        <f t="shared" si="81"/>
        <v>98.494365524233487</v>
      </c>
      <c r="P474" s="35"/>
      <c r="Q474" s="37">
        <f t="shared" si="83"/>
        <v>85811</v>
      </c>
      <c r="R474" s="37">
        <f t="shared" si="84"/>
        <v>84519</v>
      </c>
      <c r="S474" s="450">
        <f t="shared" si="85"/>
        <v>98.494365524233487</v>
      </c>
    </row>
    <row r="475" spans="2:19" s="288" customFormat="1" x14ac:dyDescent="0.2">
      <c r="B475" s="6">
        <f t="shared" si="82"/>
        <v>105</v>
      </c>
      <c r="C475" s="32"/>
      <c r="D475" s="32"/>
      <c r="E475" s="32"/>
      <c r="F475" s="33"/>
      <c r="G475" s="33"/>
      <c r="H475" s="34" t="s">
        <v>606</v>
      </c>
      <c r="I475" s="35"/>
      <c r="J475" s="35"/>
      <c r="K475" s="36"/>
      <c r="L475" s="35"/>
      <c r="M475" s="35">
        <f>75000-3500+6500</f>
        <v>78000</v>
      </c>
      <c r="N475" s="35">
        <v>77018</v>
      </c>
      <c r="O475" s="396">
        <f t="shared" si="81"/>
        <v>98.741025641025644</v>
      </c>
      <c r="P475" s="35"/>
      <c r="Q475" s="37">
        <f t="shared" si="83"/>
        <v>78000</v>
      </c>
      <c r="R475" s="37">
        <f t="shared" si="84"/>
        <v>77018</v>
      </c>
      <c r="S475" s="450">
        <f t="shared" si="85"/>
        <v>98.741025641025644</v>
      </c>
    </row>
    <row r="476" spans="2:19" s="288" customFormat="1" ht="24" x14ac:dyDescent="0.2">
      <c r="B476" s="6">
        <f t="shared" si="82"/>
        <v>106</v>
      </c>
      <c r="C476" s="32"/>
      <c r="D476" s="32"/>
      <c r="E476" s="32"/>
      <c r="F476" s="33"/>
      <c r="G476" s="33"/>
      <c r="H476" s="34" t="s">
        <v>567</v>
      </c>
      <c r="I476" s="35"/>
      <c r="J476" s="35"/>
      <c r="K476" s="36"/>
      <c r="L476" s="35"/>
      <c r="M476" s="35">
        <v>43000</v>
      </c>
      <c r="N476" s="35">
        <v>0</v>
      </c>
      <c r="O476" s="396">
        <f t="shared" si="81"/>
        <v>0</v>
      </c>
      <c r="P476" s="35"/>
      <c r="Q476" s="37">
        <f t="shared" si="83"/>
        <v>43000</v>
      </c>
      <c r="R476" s="37">
        <f t="shared" si="84"/>
        <v>0</v>
      </c>
      <c r="S476" s="450">
        <f t="shared" si="85"/>
        <v>0</v>
      </c>
    </row>
    <row r="477" spans="2:19" s="288" customFormat="1" x14ac:dyDescent="0.2">
      <c r="B477" s="6">
        <f t="shared" si="82"/>
        <v>107</v>
      </c>
      <c r="C477" s="32"/>
      <c r="D477" s="32"/>
      <c r="E477" s="32"/>
      <c r="F477" s="33"/>
      <c r="G477" s="33"/>
      <c r="H477" s="34" t="s">
        <v>377</v>
      </c>
      <c r="I477" s="35"/>
      <c r="J477" s="35"/>
      <c r="K477" s="36"/>
      <c r="L477" s="35"/>
      <c r="M477" s="35">
        <v>20000</v>
      </c>
      <c r="N477" s="35">
        <v>0</v>
      </c>
      <c r="O477" s="396">
        <f t="shared" si="81"/>
        <v>0</v>
      </c>
      <c r="P477" s="35"/>
      <c r="Q477" s="37">
        <f t="shared" si="83"/>
        <v>20000</v>
      </c>
      <c r="R477" s="37">
        <f t="shared" si="84"/>
        <v>0</v>
      </c>
      <c r="S477" s="450">
        <f t="shared" si="85"/>
        <v>0</v>
      </c>
    </row>
    <row r="478" spans="2:19" s="288" customFormat="1" ht="24" x14ac:dyDescent="0.2">
      <c r="B478" s="6">
        <f t="shared" si="82"/>
        <v>108</v>
      </c>
      <c r="C478" s="32"/>
      <c r="D478" s="32"/>
      <c r="E478" s="32"/>
      <c r="F478" s="33"/>
      <c r="G478" s="33"/>
      <c r="H478" s="34" t="s">
        <v>291</v>
      </c>
      <c r="I478" s="35"/>
      <c r="J478" s="35"/>
      <c r="K478" s="36"/>
      <c r="L478" s="35"/>
      <c r="M478" s="35">
        <v>14000</v>
      </c>
      <c r="N478" s="35">
        <v>0</v>
      </c>
      <c r="O478" s="396">
        <f t="shared" si="81"/>
        <v>0</v>
      </c>
      <c r="P478" s="35"/>
      <c r="Q478" s="37">
        <f t="shared" si="83"/>
        <v>14000</v>
      </c>
      <c r="R478" s="37">
        <f t="shared" si="84"/>
        <v>0</v>
      </c>
      <c r="S478" s="450">
        <f t="shared" si="85"/>
        <v>0</v>
      </c>
    </row>
    <row r="479" spans="2:19" s="288" customFormat="1" ht="24" x14ac:dyDescent="0.2">
      <c r="B479" s="6">
        <f t="shared" si="82"/>
        <v>109</v>
      </c>
      <c r="C479" s="32"/>
      <c r="D479" s="32"/>
      <c r="E479" s="32"/>
      <c r="F479" s="33"/>
      <c r="G479" s="33"/>
      <c r="H479" s="34" t="s">
        <v>378</v>
      </c>
      <c r="I479" s="35"/>
      <c r="J479" s="35"/>
      <c r="K479" s="36"/>
      <c r="L479" s="35"/>
      <c r="M479" s="35">
        <f>25000-21000</f>
        <v>4000</v>
      </c>
      <c r="N479" s="35">
        <v>0</v>
      </c>
      <c r="O479" s="396">
        <f t="shared" si="81"/>
        <v>0</v>
      </c>
      <c r="P479" s="35"/>
      <c r="Q479" s="37">
        <f t="shared" si="83"/>
        <v>4000</v>
      </c>
      <c r="R479" s="37">
        <f t="shared" si="84"/>
        <v>0</v>
      </c>
      <c r="S479" s="450">
        <f t="shared" si="85"/>
        <v>0</v>
      </c>
    </row>
    <row r="480" spans="2:19" s="288" customFormat="1" x14ac:dyDescent="0.2">
      <c r="B480" s="6">
        <f t="shared" si="82"/>
        <v>110</v>
      </c>
      <c r="C480" s="32"/>
      <c r="D480" s="32"/>
      <c r="E480" s="32"/>
      <c r="F480" s="33"/>
      <c r="G480" s="33"/>
      <c r="H480" s="34" t="s">
        <v>422</v>
      </c>
      <c r="I480" s="35"/>
      <c r="J480" s="35"/>
      <c r="K480" s="36"/>
      <c r="L480" s="35"/>
      <c r="M480" s="35">
        <v>24000</v>
      </c>
      <c r="N480" s="35">
        <v>0</v>
      </c>
      <c r="O480" s="396">
        <f t="shared" si="81"/>
        <v>0</v>
      </c>
      <c r="P480" s="35"/>
      <c r="Q480" s="37">
        <f t="shared" si="83"/>
        <v>24000</v>
      </c>
      <c r="R480" s="37">
        <f t="shared" si="84"/>
        <v>0</v>
      </c>
      <c r="S480" s="450">
        <f t="shared" si="85"/>
        <v>0</v>
      </c>
    </row>
    <row r="481" spans="2:19" s="288" customFormat="1" ht="36" x14ac:dyDescent="0.2">
      <c r="B481" s="6">
        <f t="shared" si="82"/>
        <v>111</v>
      </c>
      <c r="C481" s="32"/>
      <c r="D481" s="32"/>
      <c r="E481" s="32"/>
      <c r="F481" s="33"/>
      <c r="G481" s="33"/>
      <c r="H481" s="34" t="s">
        <v>566</v>
      </c>
      <c r="I481" s="35"/>
      <c r="J481" s="35"/>
      <c r="K481" s="36"/>
      <c r="L481" s="35"/>
      <c r="M481" s="35">
        <f>15000-1000</f>
        <v>14000</v>
      </c>
      <c r="N481" s="35">
        <v>13967</v>
      </c>
      <c r="O481" s="396">
        <f t="shared" ref="O481:O494" si="86">N481/M481*100</f>
        <v>99.76428571428572</v>
      </c>
      <c r="P481" s="35"/>
      <c r="Q481" s="37">
        <f t="shared" si="83"/>
        <v>14000</v>
      </c>
      <c r="R481" s="37">
        <f t="shared" si="84"/>
        <v>13967</v>
      </c>
      <c r="S481" s="450">
        <f t="shared" si="85"/>
        <v>99.76428571428572</v>
      </c>
    </row>
    <row r="482" spans="2:19" s="288" customFormat="1" x14ac:dyDescent="0.2">
      <c r="B482" s="6">
        <f t="shared" si="82"/>
        <v>112</v>
      </c>
      <c r="C482" s="32"/>
      <c r="D482" s="32"/>
      <c r="E482" s="32"/>
      <c r="F482" s="33"/>
      <c r="G482" s="33"/>
      <c r="H482" s="34" t="s">
        <v>688</v>
      </c>
      <c r="I482" s="35"/>
      <c r="J482" s="35"/>
      <c r="K482" s="36"/>
      <c r="L482" s="35"/>
      <c r="M482" s="35">
        <f>30000+5000</f>
        <v>35000</v>
      </c>
      <c r="N482" s="35">
        <v>34010</v>
      </c>
      <c r="O482" s="396">
        <f t="shared" si="86"/>
        <v>97.171428571428578</v>
      </c>
      <c r="P482" s="35"/>
      <c r="Q482" s="37">
        <f t="shared" si="83"/>
        <v>35000</v>
      </c>
      <c r="R482" s="37">
        <f t="shared" si="84"/>
        <v>34010</v>
      </c>
      <c r="S482" s="450">
        <f t="shared" si="85"/>
        <v>97.171428571428578</v>
      </c>
    </row>
    <row r="483" spans="2:19" s="288" customFormat="1" x14ac:dyDescent="0.2">
      <c r="B483" s="6">
        <f t="shared" si="82"/>
        <v>113</v>
      </c>
      <c r="C483" s="32"/>
      <c r="D483" s="32"/>
      <c r="E483" s="32"/>
      <c r="F483" s="33"/>
      <c r="G483" s="33"/>
      <c r="H483" s="34" t="s">
        <v>568</v>
      </c>
      <c r="I483" s="35"/>
      <c r="J483" s="35"/>
      <c r="K483" s="36"/>
      <c r="L483" s="35"/>
      <c r="M483" s="35">
        <f>20000+18000-1180</f>
        <v>36820</v>
      </c>
      <c r="N483" s="35">
        <v>33312</v>
      </c>
      <c r="O483" s="396">
        <f t="shared" si="86"/>
        <v>90.472569255839218</v>
      </c>
      <c r="P483" s="35"/>
      <c r="Q483" s="37">
        <f t="shared" si="83"/>
        <v>36820</v>
      </c>
      <c r="R483" s="37">
        <f t="shared" si="84"/>
        <v>33312</v>
      </c>
      <c r="S483" s="450">
        <f t="shared" si="85"/>
        <v>90.472569255839218</v>
      </c>
    </row>
    <row r="484" spans="2:19" s="288" customFormat="1" x14ac:dyDescent="0.2">
      <c r="B484" s="6">
        <f t="shared" si="82"/>
        <v>114</v>
      </c>
      <c r="C484" s="32"/>
      <c r="D484" s="32"/>
      <c r="E484" s="32"/>
      <c r="F484" s="33"/>
      <c r="G484" s="33"/>
      <c r="H484" s="34" t="s">
        <v>569</v>
      </c>
      <c r="I484" s="35"/>
      <c r="J484" s="35"/>
      <c r="K484" s="36"/>
      <c r="L484" s="35"/>
      <c r="M484" s="35">
        <f>10000-300</f>
        <v>9700</v>
      </c>
      <c r="N484" s="35">
        <v>9622</v>
      </c>
      <c r="O484" s="396">
        <f t="shared" si="86"/>
        <v>99.19587628865979</v>
      </c>
      <c r="P484" s="35"/>
      <c r="Q484" s="37">
        <f t="shared" si="83"/>
        <v>9700</v>
      </c>
      <c r="R484" s="37">
        <f t="shared" si="84"/>
        <v>9622</v>
      </c>
      <c r="S484" s="450">
        <f t="shared" si="85"/>
        <v>99.19587628865979</v>
      </c>
    </row>
    <row r="485" spans="2:19" s="288" customFormat="1" ht="24" x14ac:dyDescent="0.2">
      <c r="B485" s="6">
        <f t="shared" si="82"/>
        <v>115</v>
      </c>
      <c r="C485" s="32"/>
      <c r="D485" s="32"/>
      <c r="E485" s="32"/>
      <c r="F485" s="33"/>
      <c r="G485" s="33"/>
      <c r="H485" s="34" t="s">
        <v>699</v>
      </c>
      <c r="I485" s="35"/>
      <c r="J485" s="35"/>
      <c r="K485" s="36"/>
      <c r="L485" s="35"/>
      <c r="M485" s="35">
        <f>70000+32000</f>
        <v>102000</v>
      </c>
      <c r="N485" s="35">
        <v>100363</v>
      </c>
      <c r="O485" s="396">
        <f t="shared" si="86"/>
        <v>98.395098039215696</v>
      </c>
      <c r="P485" s="35"/>
      <c r="Q485" s="37">
        <f t="shared" si="83"/>
        <v>102000</v>
      </c>
      <c r="R485" s="37">
        <f t="shared" si="84"/>
        <v>100363</v>
      </c>
      <c r="S485" s="450">
        <f t="shared" si="85"/>
        <v>98.395098039215696</v>
      </c>
    </row>
    <row r="486" spans="2:19" s="288" customFormat="1" ht="24" x14ac:dyDescent="0.2">
      <c r="B486" s="6">
        <f t="shared" si="82"/>
        <v>116</v>
      </c>
      <c r="C486" s="32"/>
      <c r="D486" s="32"/>
      <c r="E486" s="32"/>
      <c r="F486" s="33"/>
      <c r="G486" s="33"/>
      <c r="H486" s="34" t="s">
        <v>635</v>
      </c>
      <c r="I486" s="35"/>
      <c r="J486" s="35"/>
      <c r="K486" s="36"/>
      <c r="L486" s="35"/>
      <c r="M486" s="35">
        <f>41000-3500-3400</f>
        <v>34100</v>
      </c>
      <c r="N486" s="35">
        <v>34051</v>
      </c>
      <c r="O486" s="396">
        <f t="shared" si="86"/>
        <v>99.856304985337246</v>
      </c>
      <c r="P486" s="35"/>
      <c r="Q486" s="37">
        <f t="shared" si="83"/>
        <v>34100</v>
      </c>
      <c r="R486" s="37">
        <f t="shared" si="84"/>
        <v>34051</v>
      </c>
      <c r="S486" s="450">
        <f t="shared" si="85"/>
        <v>99.856304985337246</v>
      </c>
    </row>
    <row r="487" spans="2:19" s="288" customFormat="1" ht="24" x14ac:dyDescent="0.2">
      <c r="B487" s="6">
        <f t="shared" si="82"/>
        <v>117</v>
      </c>
      <c r="C487" s="32"/>
      <c r="D487" s="32"/>
      <c r="E487" s="32"/>
      <c r="F487" s="33"/>
      <c r="G487" s="33"/>
      <c r="H487" s="34" t="s">
        <v>697</v>
      </c>
      <c r="I487" s="35"/>
      <c r="J487" s="35"/>
      <c r="K487" s="36"/>
      <c r="L487" s="35"/>
      <c r="M487" s="35">
        <f>85000-5000-4255</f>
        <v>75745</v>
      </c>
      <c r="N487" s="35">
        <v>70257</v>
      </c>
      <c r="O487" s="396">
        <f t="shared" si="86"/>
        <v>92.754637269786784</v>
      </c>
      <c r="P487" s="35"/>
      <c r="Q487" s="37">
        <f t="shared" si="83"/>
        <v>75745</v>
      </c>
      <c r="R487" s="37">
        <f t="shared" si="84"/>
        <v>70257</v>
      </c>
      <c r="S487" s="450">
        <f t="shared" si="85"/>
        <v>92.754637269786784</v>
      </c>
    </row>
    <row r="488" spans="2:19" s="288" customFormat="1" x14ac:dyDescent="0.2">
      <c r="B488" s="6"/>
      <c r="C488" s="32"/>
      <c r="D488" s="32"/>
      <c r="E488" s="32"/>
      <c r="F488" s="33"/>
      <c r="G488" s="33"/>
      <c r="H488" s="34" t="s">
        <v>744</v>
      </c>
      <c r="I488" s="35"/>
      <c r="J488" s="35"/>
      <c r="K488" s="36"/>
      <c r="L488" s="35"/>
      <c r="M488" s="35">
        <v>35000</v>
      </c>
      <c r="N488" s="35"/>
      <c r="O488" s="396">
        <f t="shared" si="86"/>
        <v>0</v>
      </c>
      <c r="P488" s="35"/>
      <c r="Q488" s="37">
        <f t="shared" si="83"/>
        <v>35000</v>
      </c>
      <c r="R488" s="37">
        <f t="shared" si="84"/>
        <v>0</v>
      </c>
      <c r="S488" s="450">
        <f t="shared" si="85"/>
        <v>0</v>
      </c>
    </row>
    <row r="489" spans="2:19" s="288" customFormat="1" ht="24" x14ac:dyDescent="0.2">
      <c r="B489" s="6">
        <f>B487+1</f>
        <v>118</v>
      </c>
      <c r="C489" s="32"/>
      <c r="D489" s="32"/>
      <c r="E489" s="32"/>
      <c r="F489" s="33"/>
      <c r="G489" s="33"/>
      <c r="H489" s="34" t="s">
        <v>572</v>
      </c>
      <c r="I489" s="35"/>
      <c r="J489" s="35"/>
      <c r="K489" s="36"/>
      <c r="L489" s="35"/>
      <c r="M489" s="35">
        <f>15000-1270</f>
        <v>13730</v>
      </c>
      <c r="N489" s="35">
        <v>13722</v>
      </c>
      <c r="O489" s="396">
        <f t="shared" si="86"/>
        <v>99.941733430444273</v>
      </c>
      <c r="P489" s="35"/>
      <c r="Q489" s="37">
        <f t="shared" si="83"/>
        <v>13730</v>
      </c>
      <c r="R489" s="37">
        <f t="shared" si="84"/>
        <v>13722</v>
      </c>
      <c r="S489" s="450">
        <f t="shared" si="85"/>
        <v>99.941733430444273</v>
      </c>
    </row>
    <row r="490" spans="2:19" s="288" customFormat="1" ht="24" x14ac:dyDescent="0.2">
      <c r="B490" s="6">
        <f>B489+1</f>
        <v>119</v>
      </c>
      <c r="C490" s="32"/>
      <c r="D490" s="32"/>
      <c r="E490" s="32"/>
      <c r="F490" s="33"/>
      <c r="G490" s="33"/>
      <c r="H490" s="34" t="s">
        <v>687</v>
      </c>
      <c r="I490" s="35"/>
      <c r="J490" s="35"/>
      <c r="K490" s="36"/>
      <c r="L490" s="35"/>
      <c r="M490" s="35">
        <f>45000-15000</f>
        <v>30000</v>
      </c>
      <c r="N490" s="35">
        <v>28984</v>
      </c>
      <c r="O490" s="396">
        <f t="shared" si="86"/>
        <v>96.61333333333333</v>
      </c>
      <c r="P490" s="35"/>
      <c r="Q490" s="37">
        <f t="shared" si="83"/>
        <v>30000</v>
      </c>
      <c r="R490" s="37">
        <f t="shared" si="84"/>
        <v>28984</v>
      </c>
      <c r="S490" s="450">
        <f t="shared" si="85"/>
        <v>96.61333333333333</v>
      </c>
    </row>
    <row r="491" spans="2:19" s="288" customFormat="1" ht="24" x14ac:dyDescent="0.2">
      <c r="B491" s="6">
        <f>B490+1</f>
        <v>120</v>
      </c>
      <c r="C491" s="32"/>
      <c r="D491" s="32"/>
      <c r="E491" s="32"/>
      <c r="F491" s="33"/>
      <c r="G491" s="33"/>
      <c r="H491" s="34" t="s">
        <v>724</v>
      </c>
      <c r="I491" s="35"/>
      <c r="J491" s="35"/>
      <c r="K491" s="36"/>
      <c r="L491" s="35"/>
      <c r="M491" s="35">
        <f>27500-1000+1000</f>
        <v>27500</v>
      </c>
      <c r="N491" s="35">
        <v>27395</v>
      </c>
      <c r="O491" s="396">
        <f t="shared" si="86"/>
        <v>99.61818181818181</v>
      </c>
      <c r="P491" s="35"/>
      <c r="Q491" s="37">
        <f t="shared" si="83"/>
        <v>27500</v>
      </c>
      <c r="R491" s="37">
        <f t="shared" si="84"/>
        <v>27395</v>
      </c>
      <c r="S491" s="450">
        <f t="shared" si="85"/>
        <v>99.61818181818181</v>
      </c>
    </row>
    <row r="492" spans="2:19" s="288" customFormat="1" ht="24" x14ac:dyDescent="0.2">
      <c r="B492" s="6">
        <f>B491+1</f>
        <v>121</v>
      </c>
      <c r="C492" s="32"/>
      <c r="D492" s="32"/>
      <c r="E492" s="32"/>
      <c r="F492" s="33"/>
      <c r="G492" s="33"/>
      <c r="H492" s="34" t="s">
        <v>603</v>
      </c>
      <c r="I492" s="35"/>
      <c r="J492" s="35"/>
      <c r="K492" s="36"/>
      <c r="L492" s="35"/>
      <c r="M492" s="35">
        <f>50000-3680</f>
        <v>46320</v>
      </c>
      <c r="N492" s="35">
        <v>46108</v>
      </c>
      <c r="O492" s="396">
        <f t="shared" si="86"/>
        <v>99.542314335060439</v>
      </c>
      <c r="P492" s="35"/>
      <c r="Q492" s="37">
        <f t="shared" si="83"/>
        <v>46320</v>
      </c>
      <c r="R492" s="37">
        <f t="shared" si="84"/>
        <v>46108</v>
      </c>
      <c r="S492" s="450">
        <f t="shared" si="85"/>
        <v>99.542314335060439</v>
      </c>
    </row>
    <row r="493" spans="2:19" x14ac:dyDescent="0.2">
      <c r="B493" s="6">
        <f>B492+1</f>
        <v>122</v>
      </c>
      <c r="C493" s="32"/>
      <c r="D493" s="32"/>
      <c r="E493" s="32"/>
      <c r="F493" s="33"/>
      <c r="G493" s="33"/>
      <c r="H493" s="34" t="s">
        <v>288</v>
      </c>
      <c r="I493" s="35"/>
      <c r="J493" s="35"/>
      <c r="K493" s="36"/>
      <c r="L493" s="35"/>
      <c r="M493" s="35">
        <v>560000</v>
      </c>
      <c r="N493" s="35">
        <v>0</v>
      </c>
      <c r="O493" s="396">
        <f t="shared" si="86"/>
        <v>0</v>
      </c>
      <c r="P493" s="35"/>
      <c r="Q493" s="37">
        <f t="shared" si="83"/>
        <v>560000</v>
      </c>
      <c r="R493" s="37">
        <f t="shared" si="84"/>
        <v>0</v>
      </c>
      <c r="S493" s="450">
        <f t="shared" si="85"/>
        <v>0</v>
      </c>
    </row>
    <row r="494" spans="2:19" x14ac:dyDescent="0.2">
      <c r="B494" s="159">
        <f>B493+1</f>
        <v>123</v>
      </c>
      <c r="C494" s="360"/>
      <c r="D494" s="360"/>
      <c r="E494" s="360"/>
      <c r="F494" s="327"/>
      <c r="G494" s="327"/>
      <c r="H494" s="328" t="s">
        <v>530</v>
      </c>
      <c r="I494" s="329"/>
      <c r="J494" s="329"/>
      <c r="K494" s="461"/>
      <c r="L494" s="329"/>
      <c r="M494" s="329">
        <v>1850000</v>
      </c>
      <c r="N494" s="329">
        <v>0</v>
      </c>
      <c r="O494" s="417">
        <f t="shared" si="86"/>
        <v>0</v>
      </c>
      <c r="P494" s="329"/>
      <c r="Q494" s="330">
        <f t="shared" si="83"/>
        <v>1850000</v>
      </c>
      <c r="R494" s="330">
        <f t="shared" si="84"/>
        <v>0</v>
      </c>
      <c r="S494" s="463">
        <f t="shared" si="85"/>
        <v>0</v>
      </c>
    </row>
    <row r="497" spans="2:19" ht="27.75" x14ac:dyDescent="0.4">
      <c r="B497" s="648" t="s">
        <v>20</v>
      </c>
      <c r="C497" s="649"/>
      <c r="D497" s="649"/>
      <c r="E497" s="649"/>
      <c r="F497" s="649"/>
      <c r="G497" s="649"/>
      <c r="H497" s="649"/>
      <c r="I497" s="649"/>
      <c r="J497" s="649"/>
      <c r="K497" s="649"/>
      <c r="L497" s="649"/>
      <c r="M497" s="649"/>
      <c r="N497" s="649"/>
      <c r="O497" s="649"/>
      <c r="P497" s="649"/>
      <c r="Q497" s="649"/>
      <c r="R497" s="3"/>
      <c r="S497" s="154"/>
    </row>
    <row r="498" spans="2:19" x14ac:dyDescent="0.2">
      <c r="B498" s="631" t="s">
        <v>432</v>
      </c>
      <c r="C498" s="632"/>
      <c r="D498" s="632"/>
      <c r="E498" s="632"/>
      <c r="F498" s="632"/>
      <c r="G498" s="632"/>
      <c r="H498" s="632"/>
      <c r="I498" s="632"/>
      <c r="J498" s="632"/>
      <c r="K498" s="632"/>
      <c r="L498" s="632"/>
      <c r="M498" s="632"/>
      <c r="N498" s="632"/>
      <c r="O498" s="632"/>
      <c r="P498" s="632"/>
      <c r="Q498" s="624" t="s">
        <v>761</v>
      </c>
      <c r="R498" s="624" t="s">
        <v>757</v>
      </c>
      <c r="S498" s="641" t="s">
        <v>758</v>
      </c>
    </row>
    <row r="499" spans="2:19" x14ac:dyDescent="0.2">
      <c r="B499" s="633"/>
      <c r="C499" s="634" t="s">
        <v>111</v>
      </c>
      <c r="D499" s="634" t="s">
        <v>112</v>
      </c>
      <c r="E499" s="634"/>
      <c r="F499" s="634" t="s">
        <v>113</v>
      </c>
      <c r="G499" s="627" t="s">
        <v>114</v>
      </c>
      <c r="H499" s="628" t="s">
        <v>115</v>
      </c>
      <c r="I499" s="626" t="s">
        <v>759</v>
      </c>
      <c r="J499" s="626" t="s">
        <v>757</v>
      </c>
      <c r="K499" s="643" t="s">
        <v>758</v>
      </c>
      <c r="L499" s="310"/>
      <c r="M499" s="626" t="s">
        <v>760</v>
      </c>
      <c r="N499" s="626" t="s">
        <v>757</v>
      </c>
      <c r="O499" s="643" t="s">
        <v>758</v>
      </c>
      <c r="P499" s="310"/>
      <c r="Q499" s="625"/>
      <c r="R499" s="625"/>
      <c r="S499" s="642"/>
    </row>
    <row r="500" spans="2:19" x14ac:dyDescent="0.2">
      <c r="B500" s="633"/>
      <c r="C500" s="634"/>
      <c r="D500" s="634"/>
      <c r="E500" s="634"/>
      <c r="F500" s="634"/>
      <c r="G500" s="627"/>
      <c r="H500" s="628"/>
      <c r="I500" s="626"/>
      <c r="J500" s="626"/>
      <c r="K500" s="643"/>
      <c r="L500" s="310"/>
      <c r="M500" s="626"/>
      <c r="N500" s="626"/>
      <c r="O500" s="643"/>
      <c r="P500" s="310"/>
      <c r="Q500" s="625"/>
      <c r="R500" s="625"/>
      <c r="S500" s="642"/>
    </row>
    <row r="501" spans="2:19" x14ac:dyDescent="0.2">
      <c r="B501" s="633"/>
      <c r="C501" s="634"/>
      <c r="D501" s="634"/>
      <c r="E501" s="634"/>
      <c r="F501" s="634"/>
      <c r="G501" s="627"/>
      <c r="H501" s="628"/>
      <c r="I501" s="626"/>
      <c r="J501" s="626"/>
      <c r="K501" s="643"/>
      <c r="L501" s="310"/>
      <c r="M501" s="626"/>
      <c r="N501" s="626"/>
      <c r="O501" s="643"/>
      <c r="P501" s="310"/>
      <c r="Q501" s="625"/>
      <c r="R501" s="625"/>
      <c r="S501" s="642"/>
    </row>
    <row r="502" spans="2:19" x14ac:dyDescent="0.2">
      <c r="B502" s="633"/>
      <c r="C502" s="634"/>
      <c r="D502" s="634"/>
      <c r="E502" s="634"/>
      <c r="F502" s="634"/>
      <c r="G502" s="627"/>
      <c r="H502" s="628"/>
      <c r="I502" s="626"/>
      <c r="J502" s="626"/>
      <c r="K502" s="643"/>
      <c r="L502" s="310"/>
      <c r="M502" s="626"/>
      <c r="N502" s="626"/>
      <c r="O502" s="643"/>
      <c r="P502" s="310"/>
      <c r="Q502" s="625"/>
      <c r="R502" s="625"/>
      <c r="S502" s="642"/>
    </row>
    <row r="503" spans="2:19" ht="15.75" x14ac:dyDescent="0.2">
      <c r="B503" s="6">
        <v>1</v>
      </c>
      <c r="C503" s="635" t="s">
        <v>20</v>
      </c>
      <c r="D503" s="636"/>
      <c r="E503" s="636"/>
      <c r="F503" s="636"/>
      <c r="G503" s="636"/>
      <c r="H503" s="636"/>
      <c r="I503" s="7">
        <f>I504+I727+I945+I1054+I1379</f>
        <v>37495847</v>
      </c>
      <c r="J503" s="7">
        <f>J504+J727+J945+J1054+J1379</f>
        <v>36027729</v>
      </c>
      <c r="K503" s="399">
        <f t="shared" ref="K503:K516" si="87">J503/I503*100</f>
        <v>96.084585047512064</v>
      </c>
      <c r="L503" s="311"/>
      <c r="M503" s="7">
        <f>M1379+M1054+M945+M727+M504</f>
        <v>2689942</v>
      </c>
      <c r="N503" s="7">
        <f>N1379+N1054+N945+N727+N504</f>
        <v>709361</v>
      </c>
      <c r="O503" s="399">
        <f>N503/M503*100</f>
        <v>26.370865988932103</v>
      </c>
      <c r="P503" s="311"/>
      <c r="Q503" s="8">
        <f t="shared" ref="Q503:Q550" si="88">I503+M503</f>
        <v>40185789</v>
      </c>
      <c r="R503" s="8">
        <f t="shared" ref="R503:R550" si="89">J503+N503</f>
        <v>36737090</v>
      </c>
      <c r="S503" s="445">
        <f t="shared" ref="S503:S566" si="90">R503/Q503*100</f>
        <v>91.418113005072513</v>
      </c>
    </row>
    <row r="504" spans="2:19" ht="15" x14ac:dyDescent="0.2">
      <c r="B504" s="6">
        <f t="shared" ref="B504:B567" si="91">B503+1</f>
        <v>2</v>
      </c>
      <c r="C504" s="9">
        <v>1</v>
      </c>
      <c r="D504" s="637" t="s">
        <v>185</v>
      </c>
      <c r="E504" s="638"/>
      <c r="F504" s="638"/>
      <c r="G504" s="638"/>
      <c r="H504" s="638"/>
      <c r="I504" s="10">
        <f>I505+I520</f>
        <v>7022150</v>
      </c>
      <c r="J504" s="10">
        <f>J505+J520</f>
        <v>6746405</v>
      </c>
      <c r="K504" s="395">
        <f t="shared" si="87"/>
        <v>96.073211196001225</v>
      </c>
      <c r="L504" s="312"/>
      <c r="M504" s="10">
        <f>M505+M520</f>
        <v>250293</v>
      </c>
      <c r="N504" s="10">
        <f>N505+N520</f>
        <v>237095</v>
      </c>
      <c r="O504" s="395">
        <f>N504/M504*100</f>
        <v>94.726979979464062</v>
      </c>
      <c r="P504" s="312"/>
      <c r="Q504" s="31">
        <f t="shared" si="88"/>
        <v>7272443</v>
      </c>
      <c r="R504" s="31">
        <f t="shared" si="89"/>
        <v>6983500</v>
      </c>
      <c r="S504" s="449">
        <f t="shared" si="90"/>
        <v>96.026878450611434</v>
      </c>
    </row>
    <row r="505" spans="2:19" ht="15" x14ac:dyDescent="0.25">
      <c r="B505" s="6">
        <f t="shared" si="91"/>
        <v>3</v>
      </c>
      <c r="C505" s="97"/>
      <c r="D505" s="97"/>
      <c r="E505" s="97">
        <v>3</v>
      </c>
      <c r="F505" s="98"/>
      <c r="G505" s="98"/>
      <c r="H505" s="97" t="s">
        <v>8</v>
      </c>
      <c r="I505" s="99">
        <f>I506+I507+I508+I516</f>
        <v>842956</v>
      </c>
      <c r="J505" s="99">
        <f>J506+J507+J508+J516</f>
        <v>819042</v>
      </c>
      <c r="K505" s="414">
        <f t="shared" si="87"/>
        <v>97.163078499945428</v>
      </c>
      <c r="L505" s="313"/>
      <c r="M505" s="99">
        <f>M517</f>
        <v>15000</v>
      </c>
      <c r="N505" s="99">
        <f>N517</f>
        <v>14706</v>
      </c>
      <c r="O505" s="414">
        <f>N505/M505*100</f>
        <v>98.04</v>
      </c>
      <c r="P505" s="313"/>
      <c r="Q505" s="100">
        <f t="shared" si="88"/>
        <v>857956</v>
      </c>
      <c r="R505" s="100">
        <f t="shared" si="89"/>
        <v>833748</v>
      </c>
      <c r="S505" s="464">
        <f t="shared" si="90"/>
        <v>97.178410081635889</v>
      </c>
    </row>
    <row r="506" spans="2:19" x14ac:dyDescent="0.2">
      <c r="B506" s="6">
        <f t="shared" si="91"/>
        <v>4</v>
      </c>
      <c r="C506" s="12"/>
      <c r="D506" s="12"/>
      <c r="E506" s="12"/>
      <c r="F506" s="13" t="s">
        <v>184</v>
      </c>
      <c r="G506" s="14">
        <v>610</v>
      </c>
      <c r="H506" s="12" t="s">
        <v>128</v>
      </c>
      <c r="I506" s="15">
        <f>491011-36101-1003+3167+20000-1000+6604+161</f>
        <v>482839</v>
      </c>
      <c r="J506" s="15">
        <v>482839</v>
      </c>
      <c r="K506" s="397">
        <f t="shared" si="87"/>
        <v>100</v>
      </c>
      <c r="L506" s="15"/>
      <c r="M506" s="15"/>
      <c r="N506" s="15"/>
      <c r="O506" s="397"/>
      <c r="P506" s="15"/>
      <c r="Q506" s="16">
        <f t="shared" si="88"/>
        <v>482839</v>
      </c>
      <c r="R506" s="16">
        <f t="shared" si="89"/>
        <v>482839</v>
      </c>
      <c r="S506" s="448">
        <f t="shared" si="90"/>
        <v>100</v>
      </c>
    </row>
    <row r="507" spans="2:19" x14ac:dyDescent="0.2">
      <c r="B507" s="6">
        <f t="shared" si="91"/>
        <v>5</v>
      </c>
      <c r="C507" s="12"/>
      <c r="D507" s="12"/>
      <c r="E507" s="12"/>
      <c r="F507" s="13" t="s">
        <v>184</v>
      </c>
      <c r="G507" s="14">
        <v>620</v>
      </c>
      <c r="H507" s="12" t="s">
        <v>121</v>
      </c>
      <c r="I507" s="15">
        <f>187790-13700-1964+1138+7190-3141+8</f>
        <v>177321</v>
      </c>
      <c r="J507" s="15">
        <v>177321</v>
      </c>
      <c r="K507" s="397">
        <f t="shared" si="87"/>
        <v>100</v>
      </c>
      <c r="L507" s="15"/>
      <c r="M507" s="15"/>
      <c r="N507" s="15"/>
      <c r="O507" s="397"/>
      <c r="P507" s="15"/>
      <c r="Q507" s="16">
        <f t="shared" si="88"/>
        <v>177321</v>
      </c>
      <c r="R507" s="16">
        <f t="shared" si="89"/>
        <v>177321</v>
      </c>
      <c r="S507" s="448">
        <f t="shared" si="90"/>
        <v>100</v>
      </c>
    </row>
    <row r="508" spans="2:19" x14ac:dyDescent="0.2">
      <c r="B508" s="6">
        <f t="shared" si="91"/>
        <v>6</v>
      </c>
      <c r="C508" s="12"/>
      <c r="D508" s="12"/>
      <c r="E508" s="12"/>
      <c r="F508" s="13" t="s">
        <v>184</v>
      </c>
      <c r="G508" s="14">
        <v>630</v>
      </c>
      <c r="H508" s="12" t="s">
        <v>118</v>
      </c>
      <c r="I508" s="15">
        <f>SUM(I509:I515)</f>
        <v>165119</v>
      </c>
      <c r="J508" s="15">
        <f>SUM(J509:J515)</f>
        <v>150347</v>
      </c>
      <c r="K508" s="397">
        <f t="shared" si="87"/>
        <v>91.053724889322254</v>
      </c>
      <c r="L508" s="15"/>
      <c r="M508" s="15"/>
      <c r="N508" s="15"/>
      <c r="O508" s="397"/>
      <c r="P508" s="15"/>
      <c r="Q508" s="16">
        <f t="shared" si="88"/>
        <v>165119</v>
      </c>
      <c r="R508" s="16">
        <f t="shared" si="89"/>
        <v>150347</v>
      </c>
      <c r="S508" s="448">
        <f t="shared" si="90"/>
        <v>91.053724889322254</v>
      </c>
    </row>
    <row r="509" spans="2:19" x14ac:dyDescent="0.2">
      <c r="B509" s="6">
        <f t="shared" si="91"/>
        <v>7</v>
      </c>
      <c r="C509" s="17"/>
      <c r="D509" s="17"/>
      <c r="E509" s="17"/>
      <c r="F509" s="18"/>
      <c r="G509" s="19">
        <v>632</v>
      </c>
      <c r="H509" s="17" t="s">
        <v>131</v>
      </c>
      <c r="I509" s="20">
        <f>44884-9890</f>
        <v>34994</v>
      </c>
      <c r="J509" s="20">
        <v>30838</v>
      </c>
      <c r="K509" s="397">
        <f t="shared" si="87"/>
        <v>88.123678344859115</v>
      </c>
      <c r="L509" s="20"/>
      <c r="M509" s="20"/>
      <c r="N509" s="20"/>
      <c r="O509" s="397"/>
      <c r="P509" s="20"/>
      <c r="Q509" s="21">
        <f t="shared" si="88"/>
        <v>34994</v>
      </c>
      <c r="R509" s="21">
        <f t="shared" si="89"/>
        <v>30838</v>
      </c>
      <c r="S509" s="448">
        <f t="shared" si="90"/>
        <v>88.123678344859115</v>
      </c>
    </row>
    <row r="510" spans="2:19" x14ac:dyDescent="0.2">
      <c r="B510" s="6">
        <f t="shared" si="91"/>
        <v>8</v>
      </c>
      <c r="C510" s="17"/>
      <c r="D510" s="17"/>
      <c r="E510" s="17"/>
      <c r="F510" s="18"/>
      <c r="G510" s="19">
        <v>633</v>
      </c>
      <c r="H510" s="17" t="s">
        <v>122</v>
      </c>
      <c r="I510" s="20">
        <f>53580+455+3444-2358</f>
        <v>55121</v>
      </c>
      <c r="J510" s="20">
        <v>50964</v>
      </c>
      <c r="K510" s="397">
        <f t="shared" si="87"/>
        <v>92.458409680521044</v>
      </c>
      <c r="L510" s="20"/>
      <c r="M510" s="20"/>
      <c r="N510" s="20"/>
      <c r="O510" s="397"/>
      <c r="P510" s="20"/>
      <c r="Q510" s="21">
        <f t="shared" si="88"/>
        <v>55121</v>
      </c>
      <c r="R510" s="21">
        <f t="shared" si="89"/>
        <v>50964</v>
      </c>
      <c r="S510" s="448">
        <f t="shared" si="90"/>
        <v>92.458409680521044</v>
      </c>
    </row>
    <row r="511" spans="2:19" x14ac:dyDescent="0.2">
      <c r="B511" s="6">
        <f t="shared" si="91"/>
        <v>9</v>
      </c>
      <c r="C511" s="17"/>
      <c r="D511" s="17"/>
      <c r="E511" s="17"/>
      <c r="F511" s="18"/>
      <c r="G511" s="19">
        <v>634</v>
      </c>
      <c r="H511" s="17" t="s">
        <v>491</v>
      </c>
      <c r="I511" s="20">
        <f>600+470-27</f>
        <v>1043</v>
      </c>
      <c r="J511" s="20">
        <v>971</v>
      </c>
      <c r="K511" s="397">
        <f t="shared" si="87"/>
        <v>93.096836049856179</v>
      </c>
      <c r="L511" s="20"/>
      <c r="M511" s="20"/>
      <c r="N511" s="20"/>
      <c r="O511" s="397"/>
      <c r="P511" s="20"/>
      <c r="Q511" s="21">
        <f t="shared" si="88"/>
        <v>1043</v>
      </c>
      <c r="R511" s="21">
        <f t="shared" si="89"/>
        <v>971</v>
      </c>
      <c r="S511" s="448">
        <f t="shared" si="90"/>
        <v>93.096836049856179</v>
      </c>
    </row>
    <row r="512" spans="2:19" x14ac:dyDescent="0.2">
      <c r="B512" s="6">
        <f t="shared" si="91"/>
        <v>10</v>
      </c>
      <c r="C512" s="17"/>
      <c r="D512" s="17"/>
      <c r="E512" s="17"/>
      <c r="F512" s="18"/>
      <c r="G512" s="19">
        <v>635</v>
      </c>
      <c r="H512" s="17" t="s">
        <v>130</v>
      </c>
      <c r="I512" s="20">
        <f>14000+8349</f>
        <v>22349</v>
      </c>
      <c r="J512" s="20">
        <v>21959</v>
      </c>
      <c r="K512" s="397">
        <f t="shared" si="87"/>
        <v>98.254955478992343</v>
      </c>
      <c r="L512" s="20"/>
      <c r="M512" s="20"/>
      <c r="N512" s="20"/>
      <c r="O512" s="397"/>
      <c r="P512" s="20"/>
      <c r="Q512" s="21">
        <f t="shared" si="88"/>
        <v>22349</v>
      </c>
      <c r="R512" s="21">
        <f t="shared" si="89"/>
        <v>21959</v>
      </c>
      <c r="S512" s="448">
        <f t="shared" si="90"/>
        <v>98.254955478992343</v>
      </c>
    </row>
    <row r="513" spans="2:19" x14ac:dyDescent="0.2">
      <c r="B513" s="6">
        <f t="shared" si="91"/>
        <v>11</v>
      </c>
      <c r="C513" s="17"/>
      <c r="D513" s="17"/>
      <c r="E513" s="17"/>
      <c r="F513" s="18"/>
      <c r="G513" s="19">
        <v>636</v>
      </c>
      <c r="H513" s="17" t="s">
        <v>123</v>
      </c>
      <c r="I513" s="20">
        <f>14000+705-494</f>
        <v>14211</v>
      </c>
      <c r="J513" s="20">
        <v>14103</v>
      </c>
      <c r="K513" s="397">
        <f t="shared" si="87"/>
        <v>99.240025332488912</v>
      </c>
      <c r="L513" s="20"/>
      <c r="M513" s="20"/>
      <c r="N513" s="20"/>
      <c r="O513" s="397"/>
      <c r="P513" s="20"/>
      <c r="Q513" s="21">
        <f t="shared" si="88"/>
        <v>14211</v>
      </c>
      <c r="R513" s="21">
        <f t="shared" si="89"/>
        <v>14103</v>
      </c>
      <c r="S513" s="448">
        <f t="shared" si="90"/>
        <v>99.240025332488912</v>
      </c>
    </row>
    <row r="514" spans="2:19" x14ac:dyDescent="0.2">
      <c r="B514" s="6">
        <f t="shared" si="91"/>
        <v>12</v>
      </c>
      <c r="C514" s="17"/>
      <c r="D514" s="17"/>
      <c r="E514" s="17"/>
      <c r="F514" s="18"/>
      <c r="G514" s="19">
        <v>637</v>
      </c>
      <c r="H514" s="17" t="s">
        <v>119</v>
      </c>
      <c r="I514" s="20">
        <f>23798+12502+250-798</f>
        <v>35752</v>
      </c>
      <c r="J514" s="20">
        <v>29863</v>
      </c>
      <c r="K514" s="397">
        <f t="shared" si="87"/>
        <v>83.528194226896403</v>
      </c>
      <c r="L514" s="20"/>
      <c r="M514" s="20"/>
      <c r="N514" s="20"/>
      <c r="O514" s="397"/>
      <c r="P514" s="20"/>
      <c r="Q514" s="21">
        <f t="shared" si="88"/>
        <v>35752</v>
      </c>
      <c r="R514" s="21">
        <f t="shared" si="89"/>
        <v>29863</v>
      </c>
      <c r="S514" s="448">
        <f t="shared" si="90"/>
        <v>83.528194226896403</v>
      </c>
    </row>
    <row r="515" spans="2:19" x14ac:dyDescent="0.2">
      <c r="B515" s="6">
        <f t="shared" si="91"/>
        <v>13</v>
      </c>
      <c r="C515" s="17"/>
      <c r="D515" s="17"/>
      <c r="E515" s="17"/>
      <c r="F515" s="18"/>
      <c r="G515" s="19">
        <v>630</v>
      </c>
      <c r="H515" s="17" t="s">
        <v>647</v>
      </c>
      <c r="I515" s="20">
        <v>1649</v>
      </c>
      <c r="J515" s="20">
        <v>1649</v>
      </c>
      <c r="K515" s="397">
        <f t="shared" si="87"/>
        <v>100</v>
      </c>
      <c r="L515" s="20"/>
      <c r="M515" s="20"/>
      <c r="N515" s="20"/>
      <c r="O515" s="397"/>
      <c r="P515" s="20"/>
      <c r="Q515" s="21">
        <f t="shared" si="88"/>
        <v>1649</v>
      </c>
      <c r="R515" s="21">
        <f t="shared" si="89"/>
        <v>1649</v>
      </c>
      <c r="S515" s="448">
        <f t="shared" si="90"/>
        <v>100</v>
      </c>
    </row>
    <row r="516" spans="2:19" x14ac:dyDescent="0.2">
      <c r="B516" s="6">
        <f t="shared" si="91"/>
        <v>14</v>
      </c>
      <c r="C516" s="12"/>
      <c r="D516" s="12"/>
      <c r="E516" s="12"/>
      <c r="F516" s="13" t="s">
        <v>184</v>
      </c>
      <c r="G516" s="14">
        <v>640</v>
      </c>
      <c r="H516" s="12" t="s">
        <v>126</v>
      </c>
      <c r="I516" s="15">
        <f>11579+480+1000+4787-169</f>
        <v>17677</v>
      </c>
      <c r="J516" s="15">
        <v>8535</v>
      </c>
      <c r="K516" s="397">
        <f t="shared" si="87"/>
        <v>48.283079708095265</v>
      </c>
      <c r="L516" s="15"/>
      <c r="M516" s="15"/>
      <c r="N516" s="15"/>
      <c r="O516" s="397"/>
      <c r="P516" s="15"/>
      <c r="Q516" s="16">
        <f t="shared" si="88"/>
        <v>17677</v>
      </c>
      <c r="R516" s="16">
        <f t="shared" si="89"/>
        <v>8535</v>
      </c>
      <c r="S516" s="448">
        <f t="shared" si="90"/>
        <v>48.283079708095265</v>
      </c>
    </row>
    <row r="517" spans="2:19" x14ac:dyDescent="0.2">
      <c r="B517" s="6">
        <f t="shared" si="91"/>
        <v>15</v>
      </c>
      <c r="C517" s="12"/>
      <c r="D517" s="12"/>
      <c r="E517" s="12"/>
      <c r="F517" s="13" t="s">
        <v>184</v>
      </c>
      <c r="G517" s="14">
        <v>710</v>
      </c>
      <c r="H517" s="12" t="s">
        <v>172</v>
      </c>
      <c r="I517" s="15"/>
      <c r="J517" s="15"/>
      <c r="K517" s="397"/>
      <c r="L517" s="15"/>
      <c r="M517" s="15">
        <f>M518</f>
        <v>15000</v>
      </c>
      <c r="N517" s="15">
        <f>N518</f>
        <v>14706</v>
      </c>
      <c r="O517" s="397">
        <f>N517/M517*100</f>
        <v>98.04</v>
      </c>
      <c r="P517" s="15"/>
      <c r="Q517" s="16">
        <f t="shared" si="88"/>
        <v>15000</v>
      </c>
      <c r="R517" s="16">
        <f t="shared" si="89"/>
        <v>14706</v>
      </c>
      <c r="S517" s="448">
        <f t="shared" si="90"/>
        <v>98.04</v>
      </c>
    </row>
    <row r="518" spans="2:19" x14ac:dyDescent="0.2">
      <c r="B518" s="6">
        <f t="shared" si="91"/>
        <v>16</v>
      </c>
      <c r="C518" s="17"/>
      <c r="D518" s="17"/>
      <c r="E518" s="17"/>
      <c r="F518" s="18"/>
      <c r="G518" s="19">
        <v>717</v>
      </c>
      <c r="H518" s="17" t="s">
        <v>179</v>
      </c>
      <c r="I518" s="20"/>
      <c r="J518" s="20"/>
      <c r="K518" s="397"/>
      <c r="L518" s="20"/>
      <c r="M518" s="20">
        <f>M519</f>
        <v>15000</v>
      </c>
      <c r="N518" s="20">
        <f>N519</f>
        <v>14706</v>
      </c>
      <c r="O518" s="397">
        <f>N518/M518*100</f>
        <v>98.04</v>
      </c>
      <c r="P518" s="20"/>
      <c r="Q518" s="21">
        <f t="shared" si="88"/>
        <v>15000</v>
      </c>
      <c r="R518" s="21">
        <f t="shared" si="89"/>
        <v>14706</v>
      </c>
      <c r="S518" s="448">
        <f t="shared" si="90"/>
        <v>98.04</v>
      </c>
    </row>
    <row r="519" spans="2:19" x14ac:dyDescent="0.2">
      <c r="B519" s="6">
        <f t="shared" si="91"/>
        <v>17</v>
      </c>
      <c r="C519" s="1"/>
      <c r="D519" s="1"/>
      <c r="E519" s="1"/>
      <c r="F519" s="101"/>
      <c r="G519" s="23"/>
      <c r="H519" s="1" t="s">
        <v>335</v>
      </c>
      <c r="I519" s="24"/>
      <c r="J519" s="24"/>
      <c r="K519" s="397"/>
      <c r="L519" s="24"/>
      <c r="M519" s="24">
        <f>15000</f>
        <v>15000</v>
      </c>
      <c r="N519" s="24">
        <v>14706</v>
      </c>
      <c r="O519" s="397">
        <f>N519/M519*100</f>
        <v>98.04</v>
      </c>
      <c r="P519" s="24"/>
      <c r="Q519" s="26">
        <f t="shared" si="88"/>
        <v>15000</v>
      </c>
      <c r="R519" s="26">
        <f t="shared" si="89"/>
        <v>14706</v>
      </c>
      <c r="S519" s="448">
        <f t="shared" si="90"/>
        <v>98.04</v>
      </c>
    </row>
    <row r="520" spans="2:19" ht="15" x14ac:dyDescent="0.25">
      <c r="B520" s="6">
        <f t="shared" si="91"/>
        <v>18</v>
      </c>
      <c r="C520" s="97"/>
      <c r="D520" s="97"/>
      <c r="E520" s="97">
        <v>4</v>
      </c>
      <c r="F520" s="98"/>
      <c r="G520" s="98"/>
      <c r="H520" s="97" t="s">
        <v>81</v>
      </c>
      <c r="I520" s="99">
        <f>I521+I525+I539+I555+I571+I585+I596+I610+I626+I640+I655+I666+I677+I691+I705+I716</f>
        <v>6179194</v>
      </c>
      <c r="J520" s="99">
        <f>J521+J525+J539+J555+J571+J585+J596+J610+J626+J640+J655+J666+J677+J691+J705+J716</f>
        <v>5927363</v>
      </c>
      <c r="K520" s="414">
        <f t="shared" ref="K520:K535" si="92">J520/I520*100</f>
        <v>95.924533199637366</v>
      </c>
      <c r="L520" s="313"/>
      <c r="M520" s="99">
        <f>M521+M525+M539+M555+M571+M585+M596+M610+M626+M640+M655+M666+M677+M691+M705+M716</f>
        <v>235293</v>
      </c>
      <c r="N520" s="99">
        <f>N521+N525+N539+N555+N571+N585+N596+N610+N626+N640+N655+N666+N677+N691+N705+N716</f>
        <v>222389</v>
      </c>
      <c r="O520" s="414">
        <f>N520/M520*100</f>
        <v>94.515773949926256</v>
      </c>
      <c r="P520" s="313"/>
      <c r="Q520" s="100">
        <f t="shared" si="88"/>
        <v>6414487</v>
      </c>
      <c r="R520" s="100">
        <f t="shared" si="89"/>
        <v>6149752</v>
      </c>
      <c r="S520" s="464">
        <f t="shared" si="90"/>
        <v>95.87285779829314</v>
      </c>
    </row>
    <row r="521" spans="2:19" x14ac:dyDescent="0.2">
      <c r="B521" s="6">
        <f t="shared" si="91"/>
        <v>19</v>
      </c>
      <c r="C521" s="12"/>
      <c r="D521" s="12"/>
      <c r="E521" s="12"/>
      <c r="F521" s="13" t="s">
        <v>184</v>
      </c>
      <c r="G521" s="14">
        <v>630</v>
      </c>
      <c r="H521" s="12" t="s">
        <v>118</v>
      </c>
      <c r="I521" s="15">
        <f>SUM(I522:I524)</f>
        <v>20700</v>
      </c>
      <c r="J521" s="15">
        <f>SUM(J522:J524)</f>
        <v>7337</v>
      </c>
      <c r="K521" s="397">
        <f t="shared" si="92"/>
        <v>35.444444444444443</v>
      </c>
      <c r="L521" s="15"/>
      <c r="M521" s="15"/>
      <c r="N521" s="15"/>
      <c r="O521" s="397"/>
      <c r="P521" s="15"/>
      <c r="Q521" s="16">
        <f t="shared" si="88"/>
        <v>20700</v>
      </c>
      <c r="R521" s="16">
        <f t="shared" si="89"/>
        <v>7337</v>
      </c>
      <c r="S521" s="448">
        <f t="shared" si="90"/>
        <v>35.444444444444443</v>
      </c>
    </row>
    <row r="522" spans="2:19" x14ac:dyDescent="0.2">
      <c r="B522" s="6">
        <f t="shared" si="91"/>
        <v>20</v>
      </c>
      <c r="C522" s="17"/>
      <c r="D522" s="17"/>
      <c r="E522" s="17"/>
      <c r="F522" s="18"/>
      <c r="G522" s="19">
        <v>637</v>
      </c>
      <c r="H522" s="17" t="s">
        <v>496</v>
      </c>
      <c r="I522" s="20">
        <v>16013</v>
      </c>
      <c r="J522" s="20">
        <v>4965</v>
      </c>
      <c r="K522" s="397">
        <f t="shared" si="92"/>
        <v>31.0060575782177</v>
      </c>
      <c r="L522" s="20"/>
      <c r="M522" s="20"/>
      <c r="N522" s="20"/>
      <c r="O522" s="397"/>
      <c r="P522" s="20"/>
      <c r="Q522" s="21">
        <f t="shared" si="88"/>
        <v>16013</v>
      </c>
      <c r="R522" s="21">
        <f t="shared" si="89"/>
        <v>4965</v>
      </c>
      <c r="S522" s="448">
        <f t="shared" si="90"/>
        <v>31.0060575782177</v>
      </c>
    </row>
    <row r="523" spans="2:19" x14ac:dyDescent="0.2">
      <c r="B523" s="6">
        <f t="shared" si="91"/>
        <v>21</v>
      </c>
      <c r="C523" s="17"/>
      <c r="D523" s="17"/>
      <c r="E523" s="17"/>
      <c r="F523" s="18"/>
      <c r="G523" s="19">
        <v>637</v>
      </c>
      <c r="H523" s="17" t="s">
        <v>417</v>
      </c>
      <c r="I523" s="20">
        <v>2315</v>
      </c>
      <c r="J523" s="20">
        <v>0</v>
      </c>
      <c r="K523" s="397">
        <f t="shared" si="92"/>
        <v>0</v>
      </c>
      <c r="L523" s="20"/>
      <c r="M523" s="20"/>
      <c r="N523" s="20"/>
      <c r="O523" s="397"/>
      <c r="P523" s="20"/>
      <c r="Q523" s="21">
        <f t="shared" si="88"/>
        <v>2315</v>
      </c>
      <c r="R523" s="21">
        <f t="shared" si="89"/>
        <v>0</v>
      </c>
      <c r="S523" s="448">
        <f t="shared" si="90"/>
        <v>0</v>
      </c>
    </row>
    <row r="524" spans="2:19" x14ac:dyDescent="0.2">
      <c r="B524" s="6">
        <f t="shared" si="91"/>
        <v>22</v>
      </c>
      <c r="C524" s="17"/>
      <c r="D524" s="17"/>
      <c r="E524" s="17"/>
      <c r="F524" s="18"/>
      <c r="G524" s="19">
        <v>630</v>
      </c>
      <c r="H524" s="17" t="s">
        <v>647</v>
      </c>
      <c r="I524" s="20">
        <v>2372</v>
      </c>
      <c r="J524" s="20">
        <v>2372</v>
      </c>
      <c r="K524" s="397">
        <f t="shared" si="92"/>
        <v>100</v>
      </c>
      <c r="L524" s="20"/>
      <c r="M524" s="20"/>
      <c r="N524" s="20"/>
      <c r="O524" s="397"/>
      <c r="P524" s="20"/>
      <c r="Q524" s="21">
        <f t="shared" si="88"/>
        <v>2372</v>
      </c>
      <c r="R524" s="21">
        <f t="shared" si="89"/>
        <v>2372</v>
      </c>
      <c r="S524" s="448">
        <f t="shared" si="90"/>
        <v>100</v>
      </c>
    </row>
    <row r="525" spans="2:19" x14ac:dyDescent="0.2">
      <c r="B525" s="6">
        <f t="shared" si="91"/>
        <v>23</v>
      </c>
      <c r="C525" s="107"/>
      <c r="D525" s="107"/>
      <c r="E525" s="107" t="s">
        <v>89</v>
      </c>
      <c r="F525" s="108"/>
      <c r="G525" s="108"/>
      <c r="H525" s="107" t="s">
        <v>65</v>
      </c>
      <c r="I525" s="109">
        <f>I526+I527+I528+I535</f>
        <v>293940</v>
      </c>
      <c r="J525" s="109">
        <f>J526+J527+J528+J535</f>
        <v>274248</v>
      </c>
      <c r="K525" s="415">
        <f t="shared" si="92"/>
        <v>93.300673606858538</v>
      </c>
      <c r="L525" s="15"/>
      <c r="M525" s="109">
        <f>M536</f>
        <v>4144</v>
      </c>
      <c r="N525" s="109">
        <f>N536</f>
        <v>3818</v>
      </c>
      <c r="O525" s="415">
        <f>N525/M525*100</f>
        <v>92.133204633204642</v>
      </c>
      <c r="P525" s="15"/>
      <c r="Q525" s="110">
        <f t="shared" si="88"/>
        <v>298084</v>
      </c>
      <c r="R525" s="110">
        <f t="shared" si="89"/>
        <v>278066</v>
      </c>
      <c r="S525" s="467">
        <f t="shared" si="90"/>
        <v>93.284443311281379</v>
      </c>
    </row>
    <row r="526" spans="2:19" x14ac:dyDescent="0.2">
      <c r="B526" s="6">
        <f t="shared" si="91"/>
        <v>24</v>
      </c>
      <c r="C526" s="12"/>
      <c r="D526" s="12"/>
      <c r="E526" s="12"/>
      <c r="F526" s="13" t="s">
        <v>184</v>
      </c>
      <c r="G526" s="14">
        <v>610</v>
      </c>
      <c r="H526" s="12" t="s">
        <v>128</v>
      </c>
      <c r="I526" s="15">
        <f>164812-11773+13204-12081+1900+7800+3366+1806</f>
        <v>169034</v>
      </c>
      <c r="J526" s="15">
        <v>165014</v>
      </c>
      <c r="K526" s="397">
        <f t="shared" si="92"/>
        <v>97.62178023356249</v>
      </c>
      <c r="L526" s="15"/>
      <c r="M526" s="15"/>
      <c r="N526" s="15"/>
      <c r="O526" s="397"/>
      <c r="P526" s="15"/>
      <c r="Q526" s="16">
        <f t="shared" si="88"/>
        <v>169034</v>
      </c>
      <c r="R526" s="16">
        <f t="shared" si="89"/>
        <v>165014</v>
      </c>
      <c r="S526" s="448">
        <f t="shared" si="90"/>
        <v>97.62178023356249</v>
      </c>
    </row>
    <row r="527" spans="2:19" x14ac:dyDescent="0.2">
      <c r="B527" s="6">
        <f t="shared" si="91"/>
        <v>25</v>
      </c>
      <c r="C527" s="12"/>
      <c r="D527" s="12"/>
      <c r="E527" s="12"/>
      <c r="F527" s="13" t="s">
        <v>184</v>
      </c>
      <c r="G527" s="14">
        <v>620</v>
      </c>
      <c r="H527" s="12" t="s">
        <v>121</v>
      </c>
      <c r="I527" s="15">
        <f>62677-4468+4880-4585+683+2804-351+649</f>
        <v>62289</v>
      </c>
      <c r="J527" s="15">
        <v>61753</v>
      </c>
      <c r="K527" s="397">
        <f t="shared" si="92"/>
        <v>99.139494934900213</v>
      </c>
      <c r="L527" s="15"/>
      <c r="M527" s="15"/>
      <c r="N527" s="15"/>
      <c r="O527" s="397"/>
      <c r="P527" s="15"/>
      <c r="Q527" s="16">
        <f t="shared" si="88"/>
        <v>62289</v>
      </c>
      <c r="R527" s="16">
        <f t="shared" si="89"/>
        <v>61753</v>
      </c>
      <c r="S527" s="448">
        <f t="shared" si="90"/>
        <v>99.139494934900213</v>
      </c>
    </row>
    <row r="528" spans="2:19" x14ac:dyDescent="0.2">
      <c r="B528" s="6">
        <f t="shared" si="91"/>
        <v>26</v>
      </c>
      <c r="C528" s="12"/>
      <c r="D528" s="12"/>
      <c r="E528" s="12"/>
      <c r="F528" s="13" t="s">
        <v>184</v>
      </c>
      <c r="G528" s="14">
        <v>630</v>
      </c>
      <c r="H528" s="12" t="s">
        <v>118</v>
      </c>
      <c r="I528" s="15">
        <f>SUM(I529:I534)</f>
        <v>61346</v>
      </c>
      <c r="J528" s="15">
        <f>SUM(J529:J534)</f>
        <v>47058</v>
      </c>
      <c r="K528" s="397">
        <f t="shared" si="92"/>
        <v>76.709157891305054</v>
      </c>
      <c r="L528" s="15"/>
      <c r="M528" s="15"/>
      <c r="N528" s="15"/>
      <c r="O528" s="397"/>
      <c r="P528" s="15"/>
      <c r="Q528" s="16">
        <f t="shared" si="88"/>
        <v>61346</v>
      </c>
      <c r="R528" s="16">
        <f t="shared" si="89"/>
        <v>47058</v>
      </c>
      <c r="S528" s="448">
        <f t="shared" si="90"/>
        <v>76.709157891305054</v>
      </c>
    </row>
    <row r="529" spans="2:19" x14ac:dyDescent="0.2">
      <c r="B529" s="6">
        <f t="shared" si="91"/>
        <v>27</v>
      </c>
      <c r="C529" s="17"/>
      <c r="D529" s="17"/>
      <c r="E529" s="17"/>
      <c r="F529" s="18"/>
      <c r="G529" s="19">
        <v>632</v>
      </c>
      <c r="H529" s="17" t="s">
        <v>131</v>
      </c>
      <c r="I529" s="20">
        <f>22095-5956</f>
        <v>16139</v>
      </c>
      <c r="J529" s="20">
        <v>15658</v>
      </c>
      <c r="K529" s="397">
        <f t="shared" si="92"/>
        <v>97.019641861329703</v>
      </c>
      <c r="L529" s="20"/>
      <c r="M529" s="20"/>
      <c r="N529" s="20"/>
      <c r="O529" s="397"/>
      <c r="P529" s="20"/>
      <c r="Q529" s="21">
        <f t="shared" si="88"/>
        <v>16139</v>
      </c>
      <c r="R529" s="21">
        <f t="shared" si="89"/>
        <v>15658</v>
      </c>
      <c r="S529" s="448">
        <f t="shared" si="90"/>
        <v>97.019641861329703</v>
      </c>
    </row>
    <row r="530" spans="2:19" x14ac:dyDescent="0.2">
      <c r="B530" s="6">
        <f t="shared" si="91"/>
        <v>28</v>
      </c>
      <c r="C530" s="17"/>
      <c r="D530" s="17"/>
      <c r="E530" s="17"/>
      <c r="F530" s="18"/>
      <c r="G530" s="19">
        <v>633</v>
      </c>
      <c r="H530" s="17" t="s">
        <v>122</v>
      </c>
      <c r="I530" s="20">
        <f>20515+177+1722+2865</f>
        <v>25279</v>
      </c>
      <c r="J530" s="20">
        <v>16136</v>
      </c>
      <c r="K530" s="397">
        <f t="shared" si="92"/>
        <v>63.831638909766994</v>
      </c>
      <c r="L530" s="20"/>
      <c r="M530" s="20"/>
      <c r="N530" s="20"/>
      <c r="O530" s="397"/>
      <c r="P530" s="20"/>
      <c r="Q530" s="21">
        <f t="shared" si="88"/>
        <v>25279</v>
      </c>
      <c r="R530" s="21">
        <f t="shared" si="89"/>
        <v>16136</v>
      </c>
      <c r="S530" s="448">
        <f t="shared" si="90"/>
        <v>63.831638909766994</v>
      </c>
    </row>
    <row r="531" spans="2:19" x14ac:dyDescent="0.2">
      <c r="B531" s="6">
        <f t="shared" si="91"/>
        <v>29</v>
      </c>
      <c r="C531" s="17"/>
      <c r="D531" s="17"/>
      <c r="E531" s="17"/>
      <c r="F531" s="18"/>
      <c r="G531" s="19">
        <v>634</v>
      </c>
      <c r="H531" s="17" t="s">
        <v>129</v>
      </c>
      <c r="I531" s="20">
        <f>300+183+70-370</f>
        <v>183</v>
      </c>
      <c r="J531" s="20">
        <v>157</v>
      </c>
      <c r="K531" s="397">
        <f t="shared" si="92"/>
        <v>85.792349726775953</v>
      </c>
      <c r="L531" s="20"/>
      <c r="M531" s="20"/>
      <c r="N531" s="20"/>
      <c r="O531" s="397"/>
      <c r="P531" s="20"/>
      <c r="Q531" s="21">
        <f t="shared" si="88"/>
        <v>183</v>
      </c>
      <c r="R531" s="21">
        <f t="shared" si="89"/>
        <v>157</v>
      </c>
      <c r="S531" s="448">
        <f t="shared" si="90"/>
        <v>85.792349726775953</v>
      </c>
    </row>
    <row r="532" spans="2:19" x14ac:dyDescent="0.2">
      <c r="B532" s="6">
        <f t="shared" si="91"/>
        <v>30</v>
      </c>
      <c r="C532" s="17"/>
      <c r="D532" s="17"/>
      <c r="E532" s="17"/>
      <c r="F532" s="18"/>
      <c r="G532" s="19">
        <v>635</v>
      </c>
      <c r="H532" s="17" t="s">
        <v>130</v>
      </c>
      <c r="I532" s="20">
        <f>5580+1408</f>
        <v>6988</v>
      </c>
      <c r="J532" s="20">
        <v>5122</v>
      </c>
      <c r="K532" s="397">
        <f t="shared" si="92"/>
        <v>73.297080709788204</v>
      </c>
      <c r="L532" s="20"/>
      <c r="M532" s="20"/>
      <c r="N532" s="20"/>
      <c r="O532" s="397"/>
      <c r="P532" s="20"/>
      <c r="Q532" s="21">
        <f t="shared" si="88"/>
        <v>6988</v>
      </c>
      <c r="R532" s="21">
        <f t="shared" si="89"/>
        <v>5122</v>
      </c>
      <c r="S532" s="448">
        <f t="shared" si="90"/>
        <v>73.297080709788204</v>
      </c>
    </row>
    <row r="533" spans="2:19" x14ac:dyDescent="0.2">
      <c r="B533" s="6">
        <f t="shared" si="91"/>
        <v>31</v>
      </c>
      <c r="C533" s="17"/>
      <c r="D533" s="17"/>
      <c r="E533" s="17"/>
      <c r="F533" s="18"/>
      <c r="G533" s="19">
        <v>636</v>
      </c>
      <c r="H533" s="17" t="s">
        <v>123</v>
      </c>
      <c r="I533" s="20">
        <f>275-154</f>
        <v>121</v>
      </c>
      <c r="J533" s="20">
        <v>121</v>
      </c>
      <c r="K533" s="397">
        <f t="shared" si="92"/>
        <v>100</v>
      </c>
      <c r="L533" s="20"/>
      <c r="M533" s="20"/>
      <c r="N533" s="20"/>
      <c r="O533" s="397"/>
      <c r="P533" s="20"/>
      <c r="Q533" s="21">
        <f t="shared" si="88"/>
        <v>121</v>
      </c>
      <c r="R533" s="21">
        <f t="shared" si="89"/>
        <v>121</v>
      </c>
      <c r="S533" s="448">
        <f t="shared" si="90"/>
        <v>100</v>
      </c>
    </row>
    <row r="534" spans="2:19" x14ac:dyDescent="0.2">
      <c r="B534" s="6">
        <f t="shared" si="91"/>
        <v>32</v>
      </c>
      <c r="C534" s="17"/>
      <c r="D534" s="17"/>
      <c r="E534" s="17"/>
      <c r="F534" s="18"/>
      <c r="G534" s="19">
        <v>637</v>
      </c>
      <c r="H534" s="17" t="s">
        <v>119</v>
      </c>
      <c r="I534" s="20">
        <f>8210+4699-70-478+275</f>
        <v>12636</v>
      </c>
      <c r="J534" s="20">
        <v>9864</v>
      </c>
      <c r="K534" s="397">
        <f t="shared" si="92"/>
        <v>78.06267806267806</v>
      </c>
      <c r="L534" s="20"/>
      <c r="M534" s="20"/>
      <c r="N534" s="20"/>
      <c r="O534" s="397"/>
      <c r="P534" s="20"/>
      <c r="Q534" s="21">
        <f t="shared" si="88"/>
        <v>12636</v>
      </c>
      <c r="R534" s="21">
        <f t="shared" si="89"/>
        <v>9864</v>
      </c>
      <c r="S534" s="448">
        <f t="shared" si="90"/>
        <v>78.06267806267806</v>
      </c>
    </row>
    <row r="535" spans="2:19" x14ac:dyDescent="0.2">
      <c r="B535" s="6">
        <f t="shared" si="91"/>
        <v>33</v>
      </c>
      <c r="C535" s="12"/>
      <c r="D535" s="12"/>
      <c r="E535" s="12"/>
      <c r="F535" s="13"/>
      <c r="G535" s="14">
        <v>640</v>
      </c>
      <c r="H535" s="12" t="s">
        <v>126</v>
      </c>
      <c r="I535" s="15">
        <f>1284+187-200</f>
        <v>1271</v>
      </c>
      <c r="J535" s="15">
        <v>423</v>
      </c>
      <c r="K535" s="397">
        <f t="shared" si="92"/>
        <v>33.280881195908734</v>
      </c>
      <c r="L535" s="15"/>
      <c r="M535" s="15"/>
      <c r="N535" s="15"/>
      <c r="O535" s="397"/>
      <c r="P535" s="15"/>
      <c r="Q535" s="16">
        <f t="shared" si="88"/>
        <v>1271</v>
      </c>
      <c r="R535" s="16">
        <f t="shared" si="89"/>
        <v>423</v>
      </c>
      <c r="S535" s="448">
        <f t="shared" si="90"/>
        <v>33.280881195908734</v>
      </c>
    </row>
    <row r="536" spans="2:19" x14ac:dyDescent="0.2">
      <c r="B536" s="6">
        <f t="shared" si="91"/>
        <v>34</v>
      </c>
      <c r="C536" s="12"/>
      <c r="D536" s="12"/>
      <c r="E536" s="12"/>
      <c r="F536" s="13" t="s">
        <v>184</v>
      </c>
      <c r="G536" s="14">
        <v>710</v>
      </c>
      <c r="H536" s="12" t="s">
        <v>172</v>
      </c>
      <c r="I536" s="15"/>
      <c r="J536" s="15"/>
      <c r="K536" s="397"/>
      <c r="L536" s="15"/>
      <c r="M536" s="15">
        <f>M537</f>
        <v>4144</v>
      </c>
      <c r="N536" s="15">
        <f>N537</f>
        <v>3818</v>
      </c>
      <c r="O536" s="397">
        <f>N536/M536*100</f>
        <v>92.133204633204642</v>
      </c>
      <c r="P536" s="15"/>
      <c r="Q536" s="16">
        <f t="shared" si="88"/>
        <v>4144</v>
      </c>
      <c r="R536" s="16">
        <f t="shared" si="89"/>
        <v>3818</v>
      </c>
      <c r="S536" s="448">
        <f t="shared" si="90"/>
        <v>92.133204633204642</v>
      </c>
    </row>
    <row r="537" spans="2:19" x14ac:dyDescent="0.2">
      <c r="B537" s="6">
        <f t="shared" si="91"/>
        <v>35</v>
      </c>
      <c r="C537" s="17"/>
      <c r="D537" s="17"/>
      <c r="E537" s="17"/>
      <c r="F537" s="18"/>
      <c r="G537" s="19">
        <v>717</v>
      </c>
      <c r="H537" s="17" t="s">
        <v>179</v>
      </c>
      <c r="I537" s="20"/>
      <c r="J537" s="20"/>
      <c r="K537" s="397"/>
      <c r="L537" s="20"/>
      <c r="M537" s="20">
        <f>SUM(M538:M538)</f>
        <v>4144</v>
      </c>
      <c r="N537" s="20">
        <f>SUM(N538:N538)</f>
        <v>3818</v>
      </c>
      <c r="O537" s="397">
        <f>N537/M537*100</f>
        <v>92.133204633204642</v>
      </c>
      <c r="P537" s="20"/>
      <c r="Q537" s="21">
        <f t="shared" si="88"/>
        <v>4144</v>
      </c>
      <c r="R537" s="21">
        <f t="shared" si="89"/>
        <v>3818</v>
      </c>
      <c r="S537" s="448">
        <f t="shared" si="90"/>
        <v>92.133204633204642</v>
      </c>
    </row>
    <row r="538" spans="2:19" x14ac:dyDescent="0.2">
      <c r="B538" s="6">
        <f t="shared" si="91"/>
        <v>36</v>
      </c>
      <c r="C538" s="1"/>
      <c r="D538" s="1"/>
      <c r="E538" s="1"/>
      <c r="F538" s="101"/>
      <c r="G538" s="23"/>
      <c r="H538" s="1" t="s">
        <v>582</v>
      </c>
      <c r="I538" s="24"/>
      <c r="J538" s="24"/>
      <c r="K538" s="397"/>
      <c r="L538" s="24"/>
      <c r="M538" s="24">
        <v>4144</v>
      </c>
      <c r="N538" s="24">
        <v>3818</v>
      </c>
      <c r="O538" s="397">
        <f>N538/M538*100</f>
        <v>92.133204633204642</v>
      </c>
      <c r="P538" s="24"/>
      <c r="Q538" s="26">
        <f t="shared" si="88"/>
        <v>4144</v>
      </c>
      <c r="R538" s="26">
        <f t="shared" si="89"/>
        <v>3818</v>
      </c>
      <c r="S538" s="448">
        <f t="shared" si="90"/>
        <v>92.133204633204642</v>
      </c>
    </row>
    <row r="539" spans="2:19" x14ac:dyDescent="0.2">
      <c r="B539" s="6">
        <f t="shared" si="91"/>
        <v>37</v>
      </c>
      <c r="C539" s="107"/>
      <c r="D539" s="107"/>
      <c r="E539" s="107" t="s">
        <v>88</v>
      </c>
      <c r="F539" s="108"/>
      <c r="G539" s="108"/>
      <c r="H539" s="107" t="s">
        <v>224</v>
      </c>
      <c r="I539" s="109">
        <f>I540+I541+I542+I549</f>
        <v>542021</v>
      </c>
      <c r="J539" s="109">
        <f>J540+J541+J542+J549</f>
        <v>530573</v>
      </c>
      <c r="K539" s="415">
        <f t="shared" ref="K539:K549" si="93">J539/I539*100</f>
        <v>97.887904712179051</v>
      </c>
      <c r="L539" s="15"/>
      <c r="M539" s="109">
        <f>M550</f>
        <v>20000</v>
      </c>
      <c r="N539" s="109">
        <f>N550</f>
        <v>17281</v>
      </c>
      <c r="O539" s="415">
        <f>N539/M539*100</f>
        <v>86.405000000000001</v>
      </c>
      <c r="P539" s="15"/>
      <c r="Q539" s="110">
        <f t="shared" si="88"/>
        <v>562021</v>
      </c>
      <c r="R539" s="110">
        <f t="shared" si="89"/>
        <v>547854</v>
      </c>
      <c r="S539" s="467">
        <f t="shared" si="90"/>
        <v>97.479275685428121</v>
      </c>
    </row>
    <row r="540" spans="2:19" x14ac:dyDescent="0.2">
      <c r="B540" s="6">
        <f t="shared" si="91"/>
        <v>38</v>
      </c>
      <c r="C540" s="12"/>
      <c r="D540" s="12"/>
      <c r="E540" s="12"/>
      <c r="F540" s="13" t="s">
        <v>184</v>
      </c>
      <c r="G540" s="14">
        <v>610</v>
      </c>
      <c r="H540" s="12" t="s">
        <v>128</v>
      </c>
      <c r="I540" s="15">
        <f>269591-19257+37916+100+633+13200+16788-836</f>
        <v>318135</v>
      </c>
      <c r="J540" s="15">
        <v>314726</v>
      </c>
      <c r="K540" s="397">
        <f t="shared" si="93"/>
        <v>98.928442327942548</v>
      </c>
      <c r="L540" s="15"/>
      <c r="M540" s="15"/>
      <c r="N540" s="15"/>
      <c r="O540" s="397"/>
      <c r="P540" s="15"/>
      <c r="Q540" s="16">
        <f t="shared" si="88"/>
        <v>318135</v>
      </c>
      <c r="R540" s="16">
        <f t="shared" si="89"/>
        <v>314726</v>
      </c>
      <c r="S540" s="448">
        <f t="shared" si="90"/>
        <v>98.928442327942548</v>
      </c>
    </row>
    <row r="541" spans="2:19" x14ac:dyDescent="0.2">
      <c r="B541" s="6">
        <f t="shared" si="91"/>
        <v>39</v>
      </c>
      <c r="C541" s="12"/>
      <c r="D541" s="12"/>
      <c r="E541" s="12"/>
      <c r="F541" s="13" t="s">
        <v>184</v>
      </c>
      <c r="G541" s="14">
        <v>620</v>
      </c>
      <c r="H541" s="12" t="s">
        <v>121</v>
      </c>
      <c r="I541" s="15">
        <f>103116-7308+13283+35+228+4745+3131-301</f>
        <v>116929</v>
      </c>
      <c r="J541" s="15">
        <v>116425</v>
      </c>
      <c r="K541" s="397">
        <f t="shared" si="93"/>
        <v>99.568969203533769</v>
      </c>
      <c r="L541" s="15"/>
      <c r="M541" s="15"/>
      <c r="N541" s="15"/>
      <c r="O541" s="397"/>
      <c r="P541" s="15"/>
      <c r="Q541" s="16">
        <f t="shared" si="88"/>
        <v>116929</v>
      </c>
      <c r="R541" s="16">
        <f t="shared" si="89"/>
        <v>116425</v>
      </c>
      <c r="S541" s="448">
        <f t="shared" si="90"/>
        <v>99.568969203533769</v>
      </c>
    </row>
    <row r="542" spans="2:19" x14ac:dyDescent="0.2">
      <c r="B542" s="6">
        <f t="shared" si="91"/>
        <v>40</v>
      </c>
      <c r="C542" s="12"/>
      <c r="D542" s="12"/>
      <c r="E542" s="12"/>
      <c r="F542" s="13" t="s">
        <v>184</v>
      </c>
      <c r="G542" s="14">
        <v>630</v>
      </c>
      <c r="H542" s="12" t="s">
        <v>118</v>
      </c>
      <c r="I542" s="15">
        <f>SUM(I543:I548)</f>
        <v>101998</v>
      </c>
      <c r="J542" s="15">
        <f>SUM(J543:J548)</f>
        <v>97967</v>
      </c>
      <c r="K542" s="397">
        <f t="shared" si="93"/>
        <v>96.047961724739707</v>
      </c>
      <c r="L542" s="15"/>
      <c r="M542" s="15"/>
      <c r="N542" s="15"/>
      <c r="O542" s="397"/>
      <c r="P542" s="15"/>
      <c r="Q542" s="16">
        <f t="shared" si="88"/>
        <v>101998</v>
      </c>
      <c r="R542" s="16">
        <f t="shared" si="89"/>
        <v>97967</v>
      </c>
      <c r="S542" s="448">
        <f t="shared" si="90"/>
        <v>96.047961724739707</v>
      </c>
    </row>
    <row r="543" spans="2:19" x14ac:dyDescent="0.2">
      <c r="B543" s="6">
        <f t="shared" si="91"/>
        <v>41</v>
      </c>
      <c r="C543" s="17"/>
      <c r="D543" s="17"/>
      <c r="E543" s="17"/>
      <c r="F543" s="18"/>
      <c r="G543" s="19">
        <v>632</v>
      </c>
      <c r="H543" s="17" t="s">
        <v>131</v>
      </c>
      <c r="I543" s="20">
        <f>51626-15423-3891</f>
        <v>32312</v>
      </c>
      <c r="J543" s="20">
        <v>32300</v>
      </c>
      <c r="K543" s="397">
        <f t="shared" si="93"/>
        <v>99.962862094577858</v>
      </c>
      <c r="L543" s="20"/>
      <c r="M543" s="20"/>
      <c r="N543" s="20"/>
      <c r="O543" s="397"/>
      <c r="P543" s="20"/>
      <c r="Q543" s="21">
        <f t="shared" si="88"/>
        <v>32312</v>
      </c>
      <c r="R543" s="21">
        <f t="shared" si="89"/>
        <v>32300</v>
      </c>
      <c r="S543" s="448">
        <f t="shared" si="90"/>
        <v>99.962862094577858</v>
      </c>
    </row>
    <row r="544" spans="2:19" x14ac:dyDescent="0.2">
      <c r="B544" s="6">
        <f t="shared" si="91"/>
        <v>42</v>
      </c>
      <c r="C544" s="17"/>
      <c r="D544" s="17"/>
      <c r="E544" s="17"/>
      <c r="F544" s="18"/>
      <c r="G544" s="19">
        <v>633</v>
      </c>
      <c r="H544" s="17" t="s">
        <v>122</v>
      </c>
      <c r="I544" s="20">
        <f>31376+2160-3000+574+3854</f>
        <v>34964</v>
      </c>
      <c r="J544" s="20">
        <v>34466</v>
      </c>
      <c r="K544" s="397">
        <f t="shared" si="93"/>
        <v>98.575677840064074</v>
      </c>
      <c r="L544" s="20"/>
      <c r="M544" s="20"/>
      <c r="N544" s="20"/>
      <c r="O544" s="397"/>
      <c r="P544" s="20"/>
      <c r="Q544" s="21">
        <f t="shared" si="88"/>
        <v>34964</v>
      </c>
      <c r="R544" s="21">
        <f t="shared" si="89"/>
        <v>34466</v>
      </c>
      <c r="S544" s="448">
        <f t="shared" si="90"/>
        <v>98.575677840064074</v>
      </c>
    </row>
    <row r="545" spans="2:19" x14ac:dyDescent="0.2">
      <c r="B545" s="6">
        <f t="shared" si="91"/>
        <v>43</v>
      </c>
      <c r="C545" s="17"/>
      <c r="D545" s="17"/>
      <c r="E545" s="17"/>
      <c r="F545" s="18"/>
      <c r="G545" s="19">
        <v>634</v>
      </c>
      <c r="H545" s="17" t="s">
        <v>129</v>
      </c>
      <c r="I545" s="20">
        <f>200+329+200-134</f>
        <v>595</v>
      </c>
      <c r="J545" s="20">
        <v>547</v>
      </c>
      <c r="K545" s="397">
        <f t="shared" si="93"/>
        <v>91.932773109243698</v>
      </c>
      <c r="L545" s="20"/>
      <c r="M545" s="20"/>
      <c r="N545" s="20"/>
      <c r="O545" s="397"/>
      <c r="P545" s="20"/>
      <c r="Q545" s="21">
        <f t="shared" si="88"/>
        <v>595</v>
      </c>
      <c r="R545" s="21">
        <f t="shared" si="89"/>
        <v>547</v>
      </c>
      <c r="S545" s="448">
        <f t="shared" si="90"/>
        <v>91.932773109243698</v>
      </c>
    </row>
    <row r="546" spans="2:19" x14ac:dyDescent="0.2">
      <c r="B546" s="6">
        <f t="shared" si="91"/>
        <v>44</v>
      </c>
      <c r="C546" s="17"/>
      <c r="D546" s="17"/>
      <c r="E546" s="17"/>
      <c r="F546" s="18"/>
      <c r="G546" s="19">
        <v>635</v>
      </c>
      <c r="H546" s="17" t="s">
        <v>130</v>
      </c>
      <c r="I546" s="20">
        <f>4000+6241+3000+200+100</f>
        <v>13541</v>
      </c>
      <c r="J546" s="20">
        <v>13538</v>
      </c>
      <c r="K546" s="397">
        <f t="shared" si="93"/>
        <v>99.977845063141572</v>
      </c>
      <c r="L546" s="20"/>
      <c r="M546" s="20"/>
      <c r="N546" s="20"/>
      <c r="O546" s="397"/>
      <c r="P546" s="20"/>
      <c r="Q546" s="21">
        <f t="shared" si="88"/>
        <v>13541</v>
      </c>
      <c r="R546" s="21">
        <f t="shared" si="89"/>
        <v>13538</v>
      </c>
      <c r="S546" s="448">
        <f t="shared" si="90"/>
        <v>99.977845063141572</v>
      </c>
    </row>
    <row r="547" spans="2:19" x14ac:dyDescent="0.2">
      <c r="B547" s="6">
        <f t="shared" si="91"/>
        <v>45</v>
      </c>
      <c r="C547" s="17"/>
      <c r="D547" s="17"/>
      <c r="E547" s="17"/>
      <c r="F547" s="18"/>
      <c r="G547" s="19">
        <v>636</v>
      </c>
      <c r="H547" s="17" t="s">
        <v>123</v>
      </c>
      <c r="I547" s="20">
        <f>493-276</f>
        <v>217</v>
      </c>
      <c r="J547" s="20">
        <v>217</v>
      </c>
      <c r="K547" s="397">
        <f t="shared" si="93"/>
        <v>100</v>
      </c>
      <c r="L547" s="20"/>
      <c r="M547" s="20"/>
      <c r="N547" s="20"/>
      <c r="O547" s="397"/>
      <c r="P547" s="20"/>
      <c r="Q547" s="21">
        <f t="shared" si="88"/>
        <v>217</v>
      </c>
      <c r="R547" s="21">
        <f t="shared" si="89"/>
        <v>217</v>
      </c>
      <c r="S547" s="448">
        <f t="shared" si="90"/>
        <v>100</v>
      </c>
    </row>
    <row r="548" spans="2:19" x14ac:dyDescent="0.2">
      <c r="B548" s="6">
        <f t="shared" si="91"/>
        <v>46</v>
      </c>
      <c r="C548" s="17"/>
      <c r="D548" s="17"/>
      <c r="E548" s="17"/>
      <c r="F548" s="18"/>
      <c r="G548" s="19">
        <v>637</v>
      </c>
      <c r="H548" s="17" t="s">
        <v>119</v>
      </c>
      <c r="I548" s="20">
        <f>10080+8091-200+2253+145</f>
        <v>20369</v>
      </c>
      <c r="J548" s="20">
        <v>16899</v>
      </c>
      <c r="K548" s="397">
        <f t="shared" si="93"/>
        <v>82.964308508026903</v>
      </c>
      <c r="L548" s="20"/>
      <c r="M548" s="20"/>
      <c r="N548" s="20"/>
      <c r="O548" s="397"/>
      <c r="P548" s="20"/>
      <c r="Q548" s="21">
        <f t="shared" si="88"/>
        <v>20369</v>
      </c>
      <c r="R548" s="21">
        <f t="shared" si="89"/>
        <v>16899</v>
      </c>
      <c r="S548" s="448">
        <f t="shared" si="90"/>
        <v>82.964308508026903</v>
      </c>
    </row>
    <row r="549" spans="2:19" x14ac:dyDescent="0.2">
      <c r="B549" s="6">
        <f t="shared" si="91"/>
        <v>47</v>
      </c>
      <c r="C549" s="12"/>
      <c r="D549" s="12"/>
      <c r="E549" s="12"/>
      <c r="F549" s="13" t="s">
        <v>184</v>
      </c>
      <c r="G549" s="14">
        <v>640</v>
      </c>
      <c r="H549" s="12" t="s">
        <v>126</v>
      </c>
      <c r="I549" s="15">
        <f>3933+336+690</f>
        <v>4959</v>
      </c>
      <c r="J549" s="15">
        <v>1455</v>
      </c>
      <c r="K549" s="397">
        <f t="shared" si="93"/>
        <v>29.340592861464003</v>
      </c>
      <c r="L549" s="15"/>
      <c r="M549" s="15"/>
      <c r="N549" s="15"/>
      <c r="O549" s="397"/>
      <c r="P549" s="15"/>
      <c r="Q549" s="16">
        <f t="shared" si="88"/>
        <v>4959</v>
      </c>
      <c r="R549" s="16">
        <f t="shared" si="89"/>
        <v>1455</v>
      </c>
      <c r="S549" s="448">
        <f t="shared" si="90"/>
        <v>29.340592861464003</v>
      </c>
    </row>
    <row r="550" spans="2:19" x14ac:dyDescent="0.2">
      <c r="B550" s="6">
        <f t="shared" si="91"/>
        <v>48</v>
      </c>
      <c r="C550" s="12"/>
      <c r="D550" s="12"/>
      <c r="E550" s="12"/>
      <c r="F550" s="13" t="s">
        <v>184</v>
      </c>
      <c r="G550" s="14">
        <v>710</v>
      </c>
      <c r="H550" s="12" t="s">
        <v>172</v>
      </c>
      <c r="I550" s="15"/>
      <c r="J550" s="15"/>
      <c r="K550" s="397"/>
      <c r="L550" s="15"/>
      <c r="M550" s="15">
        <f>M553+M551</f>
        <v>20000</v>
      </c>
      <c r="N550" s="15">
        <f>N553+N551</f>
        <v>17281</v>
      </c>
      <c r="O550" s="397">
        <f t="shared" ref="O550:O555" si="94">N550/M550*100</f>
        <v>86.405000000000001</v>
      </c>
      <c r="P550" s="15"/>
      <c r="Q550" s="16">
        <f t="shared" si="88"/>
        <v>20000</v>
      </c>
      <c r="R550" s="16">
        <f t="shared" si="89"/>
        <v>17281</v>
      </c>
      <c r="S550" s="448">
        <f t="shared" si="90"/>
        <v>86.405000000000001</v>
      </c>
    </row>
    <row r="551" spans="2:19" x14ac:dyDescent="0.2">
      <c r="B551" s="6">
        <f t="shared" si="91"/>
        <v>49</v>
      </c>
      <c r="C551" s="12"/>
      <c r="D551" s="12"/>
      <c r="E551" s="12"/>
      <c r="F551" s="13"/>
      <c r="G551" s="19">
        <v>716</v>
      </c>
      <c r="H551" s="17" t="s">
        <v>213</v>
      </c>
      <c r="I551" s="20"/>
      <c r="J551" s="20"/>
      <c r="K551" s="397"/>
      <c r="L551" s="20"/>
      <c r="M551" s="20">
        <f>M552</f>
        <v>1500</v>
      </c>
      <c r="N551" s="20">
        <f>N552</f>
        <v>1270</v>
      </c>
      <c r="O551" s="397">
        <f t="shared" si="94"/>
        <v>84.666666666666671</v>
      </c>
      <c r="P551" s="20"/>
      <c r="Q551" s="21">
        <f>M551+I551</f>
        <v>1500</v>
      </c>
      <c r="R551" s="21">
        <f>N551+J551</f>
        <v>1270</v>
      </c>
      <c r="S551" s="448">
        <f t="shared" si="90"/>
        <v>84.666666666666671</v>
      </c>
    </row>
    <row r="552" spans="2:19" ht="36" x14ac:dyDescent="0.2">
      <c r="B552" s="6">
        <f t="shared" si="91"/>
        <v>50</v>
      </c>
      <c r="C552" s="12"/>
      <c r="D552" s="12"/>
      <c r="E552" s="12"/>
      <c r="F552" s="13"/>
      <c r="G552" s="19"/>
      <c r="H552" s="34" t="s">
        <v>598</v>
      </c>
      <c r="I552" s="24"/>
      <c r="J552" s="24"/>
      <c r="K552" s="397"/>
      <c r="L552" s="24"/>
      <c r="M552" s="24">
        <v>1500</v>
      </c>
      <c r="N552" s="24">
        <v>1270</v>
      </c>
      <c r="O552" s="397">
        <f t="shared" si="94"/>
        <v>84.666666666666671</v>
      </c>
      <c r="P552" s="24"/>
      <c r="Q552" s="26">
        <f>M552+I552</f>
        <v>1500</v>
      </c>
      <c r="R552" s="26">
        <f>N552+J552</f>
        <v>1270</v>
      </c>
      <c r="S552" s="448">
        <f t="shared" si="90"/>
        <v>84.666666666666671</v>
      </c>
    </row>
    <row r="553" spans="2:19" x14ac:dyDescent="0.2">
      <c r="B553" s="6">
        <f t="shared" si="91"/>
        <v>51</v>
      </c>
      <c r="C553" s="17"/>
      <c r="D553" s="17"/>
      <c r="E553" s="17"/>
      <c r="F553" s="18"/>
      <c r="G553" s="19">
        <v>717</v>
      </c>
      <c r="H553" s="17" t="s">
        <v>179</v>
      </c>
      <c r="I553" s="20"/>
      <c r="J553" s="20"/>
      <c r="K553" s="397"/>
      <c r="L553" s="20"/>
      <c r="M553" s="20">
        <f>M554</f>
        <v>18500</v>
      </c>
      <c r="N553" s="20">
        <f>N554</f>
        <v>16011</v>
      </c>
      <c r="O553" s="397">
        <f t="shared" si="94"/>
        <v>86.545945945945945</v>
      </c>
      <c r="P553" s="20"/>
      <c r="Q553" s="21">
        <f t="shared" ref="Q553:Q616" si="95">I553+M553</f>
        <v>18500</v>
      </c>
      <c r="R553" s="21">
        <f t="shared" ref="R553:R616" si="96">J553+N553</f>
        <v>16011</v>
      </c>
      <c r="S553" s="448">
        <f t="shared" si="90"/>
        <v>86.545945945945945</v>
      </c>
    </row>
    <row r="554" spans="2:19" ht="36" x14ac:dyDescent="0.2">
      <c r="B554" s="6">
        <f t="shared" si="91"/>
        <v>52</v>
      </c>
      <c r="C554" s="59"/>
      <c r="D554" s="59"/>
      <c r="E554" s="59"/>
      <c r="F554" s="308"/>
      <c r="G554" s="33"/>
      <c r="H554" s="34" t="s">
        <v>598</v>
      </c>
      <c r="I554" s="35"/>
      <c r="J554" s="35"/>
      <c r="K554" s="396"/>
      <c r="L554" s="35"/>
      <c r="M554" s="35">
        <f>20000-1500</f>
        <v>18500</v>
      </c>
      <c r="N554" s="35">
        <v>16011</v>
      </c>
      <c r="O554" s="396">
        <f t="shared" si="94"/>
        <v>86.545945945945945</v>
      </c>
      <c r="P554" s="35"/>
      <c r="Q554" s="37">
        <f t="shared" si="95"/>
        <v>18500</v>
      </c>
      <c r="R554" s="37">
        <f t="shared" si="96"/>
        <v>16011</v>
      </c>
      <c r="S554" s="450">
        <f t="shared" si="90"/>
        <v>86.545945945945945</v>
      </c>
    </row>
    <row r="555" spans="2:19" x14ac:dyDescent="0.2">
      <c r="B555" s="6">
        <f t="shared" si="91"/>
        <v>53</v>
      </c>
      <c r="C555" s="107"/>
      <c r="D555" s="107"/>
      <c r="E555" s="107" t="s">
        <v>84</v>
      </c>
      <c r="F555" s="108"/>
      <c r="G555" s="108"/>
      <c r="H555" s="107" t="s">
        <v>64</v>
      </c>
      <c r="I555" s="109">
        <f>I556+I557+I558+I565</f>
        <v>298797</v>
      </c>
      <c r="J555" s="109">
        <f>J556+J557+J558+J565</f>
        <v>288136</v>
      </c>
      <c r="K555" s="415">
        <f t="shared" ref="K555:K565" si="97">J555/I555*100</f>
        <v>96.432025756617364</v>
      </c>
      <c r="L555" s="15"/>
      <c r="M555" s="109">
        <f>M566</f>
        <v>26582</v>
      </c>
      <c r="N555" s="109">
        <f>N566</f>
        <v>26380</v>
      </c>
      <c r="O555" s="415">
        <f t="shared" si="94"/>
        <v>99.240087277104806</v>
      </c>
      <c r="P555" s="15"/>
      <c r="Q555" s="110">
        <f t="shared" si="95"/>
        <v>325379</v>
      </c>
      <c r="R555" s="110">
        <f t="shared" si="96"/>
        <v>314516</v>
      </c>
      <c r="S555" s="467">
        <f t="shared" si="90"/>
        <v>96.6614317457488</v>
      </c>
    </row>
    <row r="556" spans="2:19" x14ac:dyDescent="0.2">
      <c r="B556" s="6">
        <f t="shared" si="91"/>
        <v>54</v>
      </c>
      <c r="C556" s="12"/>
      <c r="D556" s="12"/>
      <c r="E556" s="12"/>
      <c r="F556" s="13" t="s">
        <v>184</v>
      </c>
      <c r="G556" s="14">
        <v>610</v>
      </c>
      <c r="H556" s="12" t="s">
        <v>128</v>
      </c>
      <c r="I556" s="15">
        <f>157451-11247+4875+7000+8536</f>
        <v>166615</v>
      </c>
      <c r="J556" s="15">
        <v>163311</v>
      </c>
      <c r="K556" s="397">
        <f t="shared" si="97"/>
        <v>98.016985265432282</v>
      </c>
      <c r="L556" s="15"/>
      <c r="M556" s="15"/>
      <c r="N556" s="15"/>
      <c r="O556" s="397"/>
      <c r="P556" s="15"/>
      <c r="Q556" s="16">
        <f t="shared" si="95"/>
        <v>166615</v>
      </c>
      <c r="R556" s="16">
        <f t="shared" si="96"/>
        <v>163311</v>
      </c>
      <c r="S556" s="448">
        <f t="shared" si="90"/>
        <v>98.016985265432282</v>
      </c>
    </row>
    <row r="557" spans="2:19" x14ac:dyDescent="0.2">
      <c r="B557" s="6">
        <f t="shared" si="91"/>
        <v>55</v>
      </c>
      <c r="C557" s="12"/>
      <c r="D557" s="12"/>
      <c r="E557" s="12"/>
      <c r="F557" s="13" t="s">
        <v>184</v>
      </c>
      <c r="G557" s="14">
        <v>620</v>
      </c>
      <c r="H557" s="12" t="s">
        <v>121</v>
      </c>
      <c r="I557" s="15">
        <f>59584-4268+1868+2516+1953</f>
        <v>61653</v>
      </c>
      <c r="J557" s="15">
        <v>61074</v>
      </c>
      <c r="K557" s="397">
        <f t="shared" si="97"/>
        <v>99.060872950221395</v>
      </c>
      <c r="L557" s="15"/>
      <c r="M557" s="15"/>
      <c r="N557" s="15"/>
      <c r="O557" s="397"/>
      <c r="P557" s="15"/>
      <c r="Q557" s="16">
        <f t="shared" si="95"/>
        <v>61653</v>
      </c>
      <c r="R557" s="16">
        <f t="shared" si="96"/>
        <v>61074</v>
      </c>
      <c r="S557" s="448">
        <f t="shared" si="90"/>
        <v>99.060872950221395</v>
      </c>
    </row>
    <row r="558" spans="2:19" x14ac:dyDescent="0.2">
      <c r="B558" s="6">
        <f t="shared" si="91"/>
        <v>56</v>
      </c>
      <c r="C558" s="12"/>
      <c r="D558" s="12"/>
      <c r="E558" s="12"/>
      <c r="F558" s="13" t="s">
        <v>184</v>
      </c>
      <c r="G558" s="14">
        <v>630</v>
      </c>
      <c r="H558" s="12" t="s">
        <v>118</v>
      </c>
      <c r="I558" s="15">
        <f>SUM(I559:I564)</f>
        <v>70011</v>
      </c>
      <c r="J558" s="15">
        <f>SUM(J559:J564)</f>
        <v>63262</v>
      </c>
      <c r="K558" s="397">
        <f t="shared" si="97"/>
        <v>90.360086272157233</v>
      </c>
      <c r="L558" s="15"/>
      <c r="M558" s="15"/>
      <c r="N558" s="15"/>
      <c r="O558" s="397"/>
      <c r="P558" s="15"/>
      <c r="Q558" s="16">
        <f t="shared" si="95"/>
        <v>70011</v>
      </c>
      <c r="R558" s="16">
        <f t="shared" si="96"/>
        <v>63262</v>
      </c>
      <c r="S558" s="448">
        <f t="shared" si="90"/>
        <v>90.360086272157233</v>
      </c>
    </row>
    <row r="559" spans="2:19" x14ac:dyDescent="0.2">
      <c r="B559" s="6">
        <f t="shared" si="91"/>
        <v>57</v>
      </c>
      <c r="C559" s="17"/>
      <c r="D559" s="17"/>
      <c r="E559" s="17"/>
      <c r="F559" s="18"/>
      <c r="G559" s="19">
        <v>632</v>
      </c>
      <c r="H559" s="17" t="s">
        <v>131</v>
      </c>
      <c r="I559" s="20">
        <f>29090-8461</f>
        <v>20629</v>
      </c>
      <c r="J559" s="20">
        <v>20182</v>
      </c>
      <c r="K559" s="397">
        <f t="shared" si="97"/>
        <v>97.833147510785793</v>
      </c>
      <c r="L559" s="20"/>
      <c r="M559" s="20"/>
      <c r="N559" s="20"/>
      <c r="O559" s="397"/>
      <c r="P559" s="20"/>
      <c r="Q559" s="21">
        <f t="shared" si="95"/>
        <v>20629</v>
      </c>
      <c r="R559" s="21">
        <f t="shared" si="96"/>
        <v>20182</v>
      </c>
      <c r="S559" s="448">
        <f t="shared" si="90"/>
        <v>97.833147510785793</v>
      </c>
    </row>
    <row r="560" spans="2:19" x14ac:dyDescent="0.2">
      <c r="B560" s="6">
        <f t="shared" si="91"/>
        <v>58</v>
      </c>
      <c r="C560" s="17"/>
      <c r="D560" s="17"/>
      <c r="E560" s="17"/>
      <c r="F560" s="18"/>
      <c r="G560" s="19">
        <v>633</v>
      </c>
      <c r="H560" s="17" t="s">
        <v>122</v>
      </c>
      <c r="I560" s="20">
        <f>20684+159-1000+1238</f>
        <v>21081</v>
      </c>
      <c r="J560" s="20">
        <v>19805</v>
      </c>
      <c r="K560" s="397">
        <f t="shared" si="97"/>
        <v>93.947156207011048</v>
      </c>
      <c r="L560" s="20"/>
      <c r="M560" s="20"/>
      <c r="N560" s="20"/>
      <c r="O560" s="397"/>
      <c r="P560" s="20"/>
      <c r="Q560" s="21">
        <f t="shared" si="95"/>
        <v>21081</v>
      </c>
      <c r="R560" s="21">
        <f t="shared" si="96"/>
        <v>19805</v>
      </c>
      <c r="S560" s="448">
        <f t="shared" si="90"/>
        <v>93.947156207011048</v>
      </c>
    </row>
    <row r="561" spans="2:19" x14ac:dyDescent="0.2">
      <c r="B561" s="6">
        <f t="shared" si="91"/>
        <v>59</v>
      </c>
      <c r="C561" s="17"/>
      <c r="D561" s="17"/>
      <c r="E561" s="17"/>
      <c r="F561" s="18"/>
      <c r="G561" s="19">
        <v>634</v>
      </c>
      <c r="H561" s="17" t="s">
        <v>129</v>
      </c>
      <c r="I561" s="20">
        <f>200+164-200</f>
        <v>164</v>
      </c>
      <c r="J561" s="20">
        <v>141</v>
      </c>
      <c r="K561" s="397">
        <f t="shared" si="97"/>
        <v>85.975609756097555</v>
      </c>
      <c r="L561" s="20"/>
      <c r="M561" s="20"/>
      <c r="N561" s="20"/>
      <c r="O561" s="397"/>
      <c r="P561" s="20"/>
      <c r="Q561" s="21">
        <f t="shared" si="95"/>
        <v>164</v>
      </c>
      <c r="R561" s="21">
        <f t="shared" si="96"/>
        <v>141</v>
      </c>
      <c r="S561" s="448">
        <f t="shared" si="90"/>
        <v>85.975609756097555</v>
      </c>
    </row>
    <row r="562" spans="2:19" x14ac:dyDescent="0.2">
      <c r="B562" s="6">
        <f t="shared" si="91"/>
        <v>60</v>
      </c>
      <c r="C562" s="17"/>
      <c r="D562" s="17"/>
      <c r="E562" s="17"/>
      <c r="F562" s="18"/>
      <c r="G562" s="19">
        <v>635</v>
      </c>
      <c r="H562" s="17" t="s">
        <v>130</v>
      </c>
      <c r="I562" s="20">
        <f>5000+3000+7237+1000</f>
        <v>16237</v>
      </c>
      <c r="J562" s="20">
        <v>15546</v>
      </c>
      <c r="K562" s="397">
        <f t="shared" si="97"/>
        <v>95.744287737882615</v>
      </c>
      <c r="L562" s="20"/>
      <c r="M562" s="20"/>
      <c r="N562" s="20"/>
      <c r="O562" s="397"/>
      <c r="P562" s="20"/>
      <c r="Q562" s="21">
        <f t="shared" si="95"/>
        <v>16237</v>
      </c>
      <c r="R562" s="21">
        <f t="shared" si="96"/>
        <v>15546</v>
      </c>
      <c r="S562" s="448">
        <f t="shared" si="90"/>
        <v>95.744287737882615</v>
      </c>
    </row>
    <row r="563" spans="2:19" x14ac:dyDescent="0.2">
      <c r="B563" s="6">
        <f t="shared" si="91"/>
        <v>61</v>
      </c>
      <c r="C563" s="17"/>
      <c r="D563" s="17"/>
      <c r="E563" s="17"/>
      <c r="F563" s="18"/>
      <c r="G563" s="19">
        <v>636</v>
      </c>
      <c r="H563" s="17" t="s">
        <v>123</v>
      </c>
      <c r="I563" s="20">
        <f>247-138</f>
        <v>109</v>
      </c>
      <c r="J563" s="20">
        <v>109</v>
      </c>
      <c r="K563" s="397">
        <f t="shared" si="97"/>
        <v>100</v>
      </c>
      <c r="L563" s="20"/>
      <c r="M563" s="20"/>
      <c r="N563" s="20"/>
      <c r="O563" s="397"/>
      <c r="P563" s="20"/>
      <c r="Q563" s="21">
        <f t="shared" si="95"/>
        <v>109</v>
      </c>
      <c r="R563" s="21">
        <f t="shared" si="96"/>
        <v>109</v>
      </c>
      <c r="S563" s="448">
        <f t="shared" si="90"/>
        <v>100</v>
      </c>
    </row>
    <row r="564" spans="2:19" x14ac:dyDescent="0.2">
      <c r="B564" s="6">
        <f t="shared" si="91"/>
        <v>62</v>
      </c>
      <c r="C564" s="17"/>
      <c r="D564" s="17"/>
      <c r="E564" s="17"/>
      <c r="F564" s="18"/>
      <c r="G564" s="19">
        <v>637</v>
      </c>
      <c r="H564" s="17" t="s">
        <v>119</v>
      </c>
      <c r="I564" s="20">
        <f>7650+4421-280</f>
        <v>11791</v>
      </c>
      <c r="J564" s="20">
        <v>7479</v>
      </c>
      <c r="K564" s="397">
        <f t="shared" si="97"/>
        <v>63.429734543295737</v>
      </c>
      <c r="L564" s="20"/>
      <c r="M564" s="20"/>
      <c r="N564" s="20"/>
      <c r="O564" s="397"/>
      <c r="P564" s="20"/>
      <c r="Q564" s="21">
        <f t="shared" si="95"/>
        <v>11791</v>
      </c>
      <c r="R564" s="21">
        <f t="shared" si="96"/>
        <v>7479</v>
      </c>
      <c r="S564" s="448">
        <f t="shared" si="90"/>
        <v>63.429734543295737</v>
      </c>
    </row>
    <row r="565" spans="2:19" x14ac:dyDescent="0.2">
      <c r="B565" s="6">
        <f t="shared" si="91"/>
        <v>63</v>
      </c>
      <c r="C565" s="12"/>
      <c r="D565" s="12"/>
      <c r="E565" s="12"/>
      <c r="F565" s="13" t="s">
        <v>184</v>
      </c>
      <c r="G565" s="14">
        <v>640</v>
      </c>
      <c r="H565" s="12" t="s">
        <v>126</v>
      </c>
      <c r="I565" s="15">
        <f>450+168-100</f>
        <v>518</v>
      </c>
      <c r="J565" s="15">
        <v>489</v>
      </c>
      <c r="K565" s="397">
        <f t="shared" si="97"/>
        <v>94.401544401544399</v>
      </c>
      <c r="L565" s="15"/>
      <c r="M565" s="15"/>
      <c r="N565" s="15"/>
      <c r="O565" s="397"/>
      <c r="P565" s="15"/>
      <c r="Q565" s="16">
        <f t="shared" si="95"/>
        <v>518</v>
      </c>
      <c r="R565" s="16">
        <f t="shared" si="96"/>
        <v>489</v>
      </c>
      <c r="S565" s="448">
        <f t="shared" si="90"/>
        <v>94.401544401544399</v>
      </c>
    </row>
    <row r="566" spans="2:19" x14ac:dyDescent="0.2">
      <c r="B566" s="6">
        <f t="shared" si="91"/>
        <v>64</v>
      </c>
      <c r="C566" s="12"/>
      <c r="D566" s="12"/>
      <c r="E566" s="12"/>
      <c r="F566" s="13" t="s">
        <v>184</v>
      </c>
      <c r="G566" s="14">
        <v>710</v>
      </c>
      <c r="H566" s="12" t="s">
        <v>172</v>
      </c>
      <c r="I566" s="15"/>
      <c r="J566" s="15"/>
      <c r="K566" s="397"/>
      <c r="L566" s="15"/>
      <c r="M566" s="15">
        <f>M567</f>
        <v>26582</v>
      </c>
      <c r="N566" s="15">
        <f>N567</f>
        <v>26380</v>
      </c>
      <c r="O566" s="397">
        <f t="shared" ref="O566:O571" si="98">N566/M566*100</f>
        <v>99.240087277104806</v>
      </c>
      <c r="P566" s="15"/>
      <c r="Q566" s="16">
        <f t="shared" si="95"/>
        <v>26582</v>
      </c>
      <c r="R566" s="16">
        <f t="shared" si="96"/>
        <v>26380</v>
      </c>
      <c r="S566" s="448">
        <f t="shared" si="90"/>
        <v>99.240087277104806</v>
      </c>
    </row>
    <row r="567" spans="2:19" x14ac:dyDescent="0.2">
      <c r="B567" s="6">
        <f t="shared" si="91"/>
        <v>65</v>
      </c>
      <c r="C567" s="17"/>
      <c r="D567" s="17"/>
      <c r="E567" s="17"/>
      <c r="F567" s="18"/>
      <c r="G567" s="19">
        <v>717</v>
      </c>
      <c r="H567" s="17" t="s">
        <v>179</v>
      </c>
      <c r="I567" s="20"/>
      <c r="J567" s="20"/>
      <c r="K567" s="397"/>
      <c r="L567" s="20"/>
      <c r="M567" s="20">
        <f>SUM(M568:M570)</f>
        <v>26582</v>
      </c>
      <c r="N567" s="20">
        <f>SUM(N568:N570)</f>
        <v>26380</v>
      </c>
      <c r="O567" s="397">
        <f t="shared" si="98"/>
        <v>99.240087277104806</v>
      </c>
      <c r="P567" s="20"/>
      <c r="Q567" s="21">
        <f t="shared" si="95"/>
        <v>26582</v>
      </c>
      <c r="R567" s="21">
        <f t="shared" si="96"/>
        <v>26380</v>
      </c>
      <c r="S567" s="448">
        <f t="shared" ref="S567:S630" si="99">R567/Q567*100</f>
        <v>99.240087277104806</v>
      </c>
    </row>
    <row r="568" spans="2:19" x14ac:dyDescent="0.2">
      <c r="B568" s="6">
        <f t="shared" ref="B568:B631" si="100">B567+1</f>
        <v>66</v>
      </c>
      <c r="C568" s="17"/>
      <c r="D568" s="17"/>
      <c r="E568" s="17"/>
      <c r="F568" s="18"/>
      <c r="G568" s="19"/>
      <c r="H568" s="1" t="s">
        <v>581</v>
      </c>
      <c r="I568" s="20"/>
      <c r="J568" s="20"/>
      <c r="K568" s="397"/>
      <c r="L568" s="20"/>
      <c r="M568" s="24">
        <v>4482</v>
      </c>
      <c r="N568" s="24">
        <v>4482</v>
      </c>
      <c r="O568" s="397">
        <f t="shared" si="98"/>
        <v>100</v>
      </c>
      <c r="P568" s="24"/>
      <c r="Q568" s="21">
        <f t="shared" si="95"/>
        <v>4482</v>
      </c>
      <c r="R568" s="21">
        <f t="shared" si="96"/>
        <v>4482</v>
      </c>
      <c r="S568" s="448">
        <f t="shared" si="99"/>
        <v>100</v>
      </c>
    </row>
    <row r="569" spans="2:19" x14ac:dyDescent="0.2">
      <c r="B569" s="6">
        <f t="shared" si="100"/>
        <v>67</v>
      </c>
      <c r="C569" s="1"/>
      <c r="D569" s="1"/>
      <c r="E569" s="1"/>
      <c r="F569" s="101"/>
      <c r="G569" s="23"/>
      <c r="H569" s="1" t="s">
        <v>477</v>
      </c>
      <c r="I569" s="24"/>
      <c r="J569" s="24"/>
      <c r="K569" s="397"/>
      <c r="L569" s="24"/>
      <c r="M569" s="24">
        <f>6450+14550</f>
        <v>21000</v>
      </c>
      <c r="N569" s="24">
        <v>20826</v>
      </c>
      <c r="O569" s="397">
        <f t="shared" si="98"/>
        <v>99.171428571428564</v>
      </c>
      <c r="P569" s="24"/>
      <c r="Q569" s="26">
        <f t="shared" si="95"/>
        <v>21000</v>
      </c>
      <c r="R569" s="26">
        <f t="shared" si="96"/>
        <v>20826</v>
      </c>
      <c r="S569" s="448">
        <f t="shared" si="99"/>
        <v>99.171428571428564</v>
      </c>
    </row>
    <row r="570" spans="2:19" x14ac:dyDescent="0.2">
      <c r="B570" s="6">
        <f t="shared" si="100"/>
        <v>68</v>
      </c>
      <c r="C570" s="1"/>
      <c r="D570" s="1"/>
      <c r="E570" s="1"/>
      <c r="F570" s="101"/>
      <c r="G570" s="23"/>
      <c r="H570" s="1" t="s">
        <v>725</v>
      </c>
      <c r="I570" s="24"/>
      <c r="J570" s="24"/>
      <c r="K570" s="397"/>
      <c r="L570" s="24"/>
      <c r="M570" s="294">
        <v>1100</v>
      </c>
      <c r="N570" s="294">
        <v>1072</v>
      </c>
      <c r="O570" s="398">
        <f t="shared" si="98"/>
        <v>97.454545454545453</v>
      </c>
      <c r="P570" s="24"/>
      <c r="Q570" s="26">
        <f t="shared" si="95"/>
        <v>1100</v>
      </c>
      <c r="R570" s="26">
        <f t="shared" si="96"/>
        <v>1072</v>
      </c>
      <c r="S570" s="448">
        <f t="shared" si="99"/>
        <v>97.454545454545453</v>
      </c>
    </row>
    <row r="571" spans="2:19" x14ac:dyDescent="0.2">
      <c r="B571" s="6">
        <f t="shared" si="100"/>
        <v>69</v>
      </c>
      <c r="C571" s="107"/>
      <c r="D571" s="107"/>
      <c r="E571" s="107" t="s">
        <v>92</v>
      </c>
      <c r="F571" s="108"/>
      <c r="G571" s="108"/>
      <c r="H571" s="107" t="s">
        <v>525</v>
      </c>
      <c r="I571" s="109">
        <f>I572+I573+I574+I581</f>
        <v>325963</v>
      </c>
      <c r="J571" s="109">
        <f>J572+J573+J574+J581</f>
        <v>313726</v>
      </c>
      <c r="K571" s="415">
        <f t="shared" ref="K571:K581" si="101">J571/I571*100</f>
        <v>96.245892938769131</v>
      </c>
      <c r="L571" s="15"/>
      <c r="M571" s="109">
        <f>M582</f>
        <v>13750</v>
      </c>
      <c r="N571" s="109">
        <f>N582</f>
        <v>13747</v>
      </c>
      <c r="O571" s="415">
        <f t="shared" si="98"/>
        <v>99.978181818181824</v>
      </c>
      <c r="P571" s="15"/>
      <c r="Q571" s="110">
        <f t="shared" si="95"/>
        <v>339713</v>
      </c>
      <c r="R571" s="110">
        <f t="shared" si="96"/>
        <v>327473</v>
      </c>
      <c r="S571" s="467">
        <f t="shared" si="99"/>
        <v>96.396958609178924</v>
      </c>
    </row>
    <row r="572" spans="2:19" x14ac:dyDescent="0.2">
      <c r="B572" s="6">
        <f t="shared" si="100"/>
        <v>70</v>
      </c>
      <c r="C572" s="12"/>
      <c r="D572" s="12"/>
      <c r="E572" s="12"/>
      <c r="F572" s="13" t="s">
        <v>184</v>
      </c>
      <c r="G572" s="14">
        <v>610</v>
      </c>
      <c r="H572" s="12" t="s">
        <v>128</v>
      </c>
      <c r="I572" s="15">
        <f>203885-14564-29654+100+1689+7500+6594+786</f>
        <v>176336</v>
      </c>
      <c r="J572" s="15">
        <v>173359</v>
      </c>
      <c r="K572" s="397">
        <f t="shared" si="101"/>
        <v>98.311745758098184</v>
      </c>
      <c r="L572" s="15"/>
      <c r="M572" s="15"/>
      <c r="N572" s="15"/>
      <c r="O572" s="397"/>
      <c r="P572" s="15"/>
      <c r="Q572" s="16">
        <f t="shared" si="95"/>
        <v>176336</v>
      </c>
      <c r="R572" s="16">
        <f t="shared" si="96"/>
        <v>173359</v>
      </c>
      <c r="S572" s="448">
        <f t="shared" si="99"/>
        <v>98.311745758098184</v>
      </c>
    </row>
    <row r="573" spans="2:19" x14ac:dyDescent="0.2">
      <c r="B573" s="6">
        <f t="shared" si="100"/>
        <v>71</v>
      </c>
      <c r="C573" s="12"/>
      <c r="D573" s="12"/>
      <c r="E573" s="12"/>
      <c r="F573" s="13" t="s">
        <v>184</v>
      </c>
      <c r="G573" s="14">
        <v>620</v>
      </c>
      <c r="H573" s="12" t="s">
        <v>121</v>
      </c>
      <c r="I573" s="15">
        <f>77989-5527-11868+35+607+2876+1134+283</f>
        <v>65529</v>
      </c>
      <c r="J573" s="15">
        <v>64588</v>
      </c>
      <c r="K573" s="397">
        <f t="shared" si="101"/>
        <v>98.56399456729082</v>
      </c>
      <c r="L573" s="15"/>
      <c r="M573" s="15"/>
      <c r="N573" s="15"/>
      <c r="O573" s="397"/>
      <c r="P573" s="15"/>
      <c r="Q573" s="16">
        <f t="shared" si="95"/>
        <v>65529</v>
      </c>
      <c r="R573" s="16">
        <f t="shared" si="96"/>
        <v>64588</v>
      </c>
      <c r="S573" s="448">
        <f t="shared" si="99"/>
        <v>98.56399456729082</v>
      </c>
    </row>
    <row r="574" spans="2:19" x14ac:dyDescent="0.2">
      <c r="B574" s="6">
        <f t="shared" si="100"/>
        <v>72</v>
      </c>
      <c r="C574" s="12"/>
      <c r="D574" s="12"/>
      <c r="E574" s="12"/>
      <c r="F574" s="13" t="s">
        <v>184</v>
      </c>
      <c r="G574" s="14">
        <v>630</v>
      </c>
      <c r="H574" s="12" t="s">
        <v>118</v>
      </c>
      <c r="I574" s="15">
        <f>SUM(I575:I580)</f>
        <v>78557</v>
      </c>
      <c r="J574" s="15">
        <f>SUM(J575:J580)</f>
        <v>71792</v>
      </c>
      <c r="K574" s="397">
        <f t="shared" si="101"/>
        <v>91.38841860050664</v>
      </c>
      <c r="L574" s="15"/>
      <c r="M574" s="15"/>
      <c r="N574" s="15"/>
      <c r="O574" s="397"/>
      <c r="P574" s="15"/>
      <c r="Q574" s="16">
        <f t="shared" si="95"/>
        <v>78557</v>
      </c>
      <c r="R574" s="16">
        <f t="shared" si="96"/>
        <v>71792</v>
      </c>
      <c r="S574" s="448">
        <f t="shared" si="99"/>
        <v>91.38841860050664</v>
      </c>
    </row>
    <row r="575" spans="2:19" x14ac:dyDescent="0.2">
      <c r="B575" s="6">
        <f t="shared" si="100"/>
        <v>73</v>
      </c>
      <c r="C575" s="17"/>
      <c r="D575" s="17"/>
      <c r="E575" s="17"/>
      <c r="F575" s="18"/>
      <c r="G575" s="19">
        <v>632</v>
      </c>
      <c r="H575" s="17" t="s">
        <v>131</v>
      </c>
      <c r="I575" s="20">
        <f>47390-13956-3500</f>
        <v>29934</v>
      </c>
      <c r="J575" s="20">
        <v>29462</v>
      </c>
      <c r="K575" s="397">
        <f t="shared" si="101"/>
        <v>98.423197701610206</v>
      </c>
      <c r="L575" s="20"/>
      <c r="M575" s="20"/>
      <c r="N575" s="20"/>
      <c r="O575" s="397"/>
      <c r="P575" s="20"/>
      <c r="Q575" s="21">
        <f t="shared" si="95"/>
        <v>29934</v>
      </c>
      <c r="R575" s="21">
        <f t="shared" si="96"/>
        <v>29462</v>
      </c>
      <c r="S575" s="448">
        <f t="shared" si="99"/>
        <v>98.423197701610206</v>
      </c>
    </row>
    <row r="576" spans="2:19" x14ac:dyDescent="0.2">
      <c r="B576" s="6">
        <f t="shared" si="100"/>
        <v>74</v>
      </c>
      <c r="C576" s="17"/>
      <c r="D576" s="17"/>
      <c r="E576" s="17"/>
      <c r="F576" s="18"/>
      <c r="G576" s="19">
        <v>633</v>
      </c>
      <c r="H576" s="17" t="s">
        <v>122</v>
      </c>
      <c r="I576" s="20">
        <f>24763+182-14000+1148+2462</f>
        <v>14555</v>
      </c>
      <c r="J576" s="20">
        <v>13142</v>
      </c>
      <c r="K576" s="397">
        <f t="shared" si="101"/>
        <v>90.291995877705261</v>
      </c>
      <c r="L576" s="20"/>
      <c r="M576" s="20"/>
      <c r="N576" s="20"/>
      <c r="O576" s="397"/>
      <c r="P576" s="20"/>
      <c r="Q576" s="21">
        <f t="shared" si="95"/>
        <v>14555</v>
      </c>
      <c r="R576" s="21">
        <f t="shared" si="96"/>
        <v>13142</v>
      </c>
      <c r="S576" s="448">
        <f t="shared" si="99"/>
        <v>90.291995877705261</v>
      </c>
    </row>
    <row r="577" spans="2:19" x14ac:dyDescent="0.2">
      <c r="B577" s="6">
        <f t="shared" si="100"/>
        <v>75</v>
      </c>
      <c r="C577" s="17"/>
      <c r="D577" s="17"/>
      <c r="E577" s="17"/>
      <c r="F577" s="18"/>
      <c r="G577" s="19">
        <v>634</v>
      </c>
      <c r="H577" s="17" t="s">
        <v>129</v>
      </c>
      <c r="I577" s="20">
        <f>200+188-200</f>
        <v>188</v>
      </c>
      <c r="J577" s="20">
        <v>161</v>
      </c>
      <c r="K577" s="397">
        <f t="shared" si="101"/>
        <v>85.638297872340431</v>
      </c>
      <c r="L577" s="20"/>
      <c r="M577" s="20"/>
      <c r="N577" s="20"/>
      <c r="O577" s="397"/>
      <c r="P577" s="20"/>
      <c r="Q577" s="21">
        <f t="shared" si="95"/>
        <v>188</v>
      </c>
      <c r="R577" s="21">
        <f t="shared" si="96"/>
        <v>161</v>
      </c>
      <c r="S577" s="448">
        <f t="shared" si="99"/>
        <v>85.638297872340431</v>
      </c>
    </row>
    <row r="578" spans="2:19" x14ac:dyDescent="0.2">
      <c r="B578" s="6">
        <f t="shared" si="100"/>
        <v>76</v>
      </c>
      <c r="C578" s="17"/>
      <c r="D578" s="17"/>
      <c r="E578" s="17"/>
      <c r="F578" s="18"/>
      <c r="G578" s="19">
        <v>635</v>
      </c>
      <c r="H578" s="17" t="s">
        <v>130</v>
      </c>
      <c r="I578" s="20">
        <f>2500+3984+14000-400</f>
        <v>20084</v>
      </c>
      <c r="J578" s="20">
        <v>18287</v>
      </c>
      <c r="K578" s="397">
        <f t="shared" si="101"/>
        <v>91.052579167496518</v>
      </c>
      <c r="L578" s="20"/>
      <c r="M578" s="20"/>
      <c r="N578" s="20"/>
      <c r="O578" s="397"/>
      <c r="P578" s="20"/>
      <c r="Q578" s="21">
        <f t="shared" si="95"/>
        <v>20084</v>
      </c>
      <c r="R578" s="21">
        <f t="shared" si="96"/>
        <v>18287</v>
      </c>
      <c r="S578" s="448">
        <f t="shared" si="99"/>
        <v>91.052579167496518</v>
      </c>
    </row>
    <row r="579" spans="2:19" x14ac:dyDescent="0.2">
      <c r="B579" s="6">
        <f t="shared" si="100"/>
        <v>77</v>
      </c>
      <c r="C579" s="17"/>
      <c r="D579" s="17"/>
      <c r="E579" s="17"/>
      <c r="F579" s="18"/>
      <c r="G579" s="19">
        <v>636</v>
      </c>
      <c r="H579" s="17" t="s">
        <v>123</v>
      </c>
      <c r="I579" s="20">
        <f>282-158</f>
        <v>124</v>
      </c>
      <c r="J579" s="20">
        <v>124</v>
      </c>
      <c r="K579" s="397">
        <f t="shared" si="101"/>
        <v>100</v>
      </c>
      <c r="L579" s="20"/>
      <c r="M579" s="20"/>
      <c r="N579" s="20"/>
      <c r="O579" s="397"/>
      <c r="P579" s="20"/>
      <c r="Q579" s="21">
        <f t="shared" si="95"/>
        <v>124</v>
      </c>
      <c r="R579" s="21">
        <f t="shared" si="96"/>
        <v>124</v>
      </c>
      <c r="S579" s="448">
        <f t="shared" si="99"/>
        <v>100</v>
      </c>
    </row>
    <row r="580" spans="2:19" x14ac:dyDescent="0.2">
      <c r="B580" s="6">
        <f t="shared" si="100"/>
        <v>78</v>
      </c>
      <c r="C580" s="17"/>
      <c r="D580" s="17"/>
      <c r="E580" s="17"/>
      <c r="F580" s="18"/>
      <c r="G580" s="19">
        <v>637</v>
      </c>
      <c r="H580" s="17" t="s">
        <v>119</v>
      </c>
      <c r="I580" s="20">
        <f>8723+5631-682</f>
        <v>13672</v>
      </c>
      <c r="J580" s="20">
        <v>10616</v>
      </c>
      <c r="K580" s="397">
        <f t="shared" si="101"/>
        <v>77.647747220596841</v>
      </c>
      <c r="L580" s="20"/>
      <c r="M580" s="20"/>
      <c r="N580" s="20"/>
      <c r="O580" s="397"/>
      <c r="P580" s="20"/>
      <c r="Q580" s="21">
        <f t="shared" si="95"/>
        <v>13672</v>
      </c>
      <c r="R580" s="21">
        <f t="shared" si="96"/>
        <v>10616</v>
      </c>
      <c r="S580" s="448">
        <f t="shared" si="99"/>
        <v>77.647747220596841</v>
      </c>
    </row>
    <row r="581" spans="2:19" x14ac:dyDescent="0.2">
      <c r="B581" s="6">
        <f t="shared" si="100"/>
        <v>79</v>
      </c>
      <c r="C581" s="12"/>
      <c r="D581" s="12"/>
      <c r="E581" s="12"/>
      <c r="F581" s="13" t="s">
        <v>184</v>
      </c>
      <c r="G581" s="14">
        <v>640</v>
      </c>
      <c r="H581" s="12" t="s">
        <v>126</v>
      </c>
      <c r="I581" s="15">
        <f>2933+192+500+1916</f>
        <v>5541</v>
      </c>
      <c r="J581" s="15">
        <v>3987</v>
      </c>
      <c r="K581" s="397">
        <f t="shared" si="101"/>
        <v>71.954520844612887</v>
      </c>
      <c r="L581" s="15"/>
      <c r="M581" s="15"/>
      <c r="N581" s="15"/>
      <c r="O581" s="397"/>
      <c r="P581" s="15"/>
      <c r="Q581" s="16">
        <f t="shared" si="95"/>
        <v>5541</v>
      </c>
      <c r="R581" s="16">
        <f t="shared" si="96"/>
        <v>3987</v>
      </c>
      <c r="S581" s="448">
        <f t="shared" si="99"/>
        <v>71.954520844612887</v>
      </c>
    </row>
    <row r="582" spans="2:19" x14ac:dyDescent="0.2">
      <c r="B582" s="6">
        <f t="shared" si="100"/>
        <v>80</v>
      </c>
      <c r="C582" s="12"/>
      <c r="D582" s="12"/>
      <c r="E582" s="12"/>
      <c r="F582" s="13" t="s">
        <v>184</v>
      </c>
      <c r="G582" s="14">
        <v>710</v>
      </c>
      <c r="H582" s="12" t="s">
        <v>172</v>
      </c>
      <c r="I582" s="15"/>
      <c r="J582" s="15"/>
      <c r="K582" s="397"/>
      <c r="L582" s="15"/>
      <c r="M582" s="15">
        <f>M583</f>
        <v>13750</v>
      </c>
      <c r="N582" s="15">
        <f>N583</f>
        <v>13747</v>
      </c>
      <c r="O582" s="397">
        <f>N582/M582*100</f>
        <v>99.978181818181824</v>
      </c>
      <c r="P582" s="15"/>
      <c r="Q582" s="16">
        <f t="shared" si="95"/>
        <v>13750</v>
      </c>
      <c r="R582" s="16">
        <f t="shared" si="96"/>
        <v>13747</v>
      </c>
      <c r="S582" s="448">
        <f t="shared" si="99"/>
        <v>99.978181818181824</v>
      </c>
    </row>
    <row r="583" spans="2:19" x14ac:dyDescent="0.2">
      <c r="B583" s="6">
        <f t="shared" si="100"/>
        <v>81</v>
      </c>
      <c r="C583" s="17"/>
      <c r="D583" s="17"/>
      <c r="E583" s="17"/>
      <c r="F583" s="18"/>
      <c r="G583" s="19">
        <v>717</v>
      </c>
      <c r="H583" s="17" t="s">
        <v>179</v>
      </c>
      <c r="I583" s="20"/>
      <c r="J583" s="20"/>
      <c r="K583" s="397"/>
      <c r="L583" s="20"/>
      <c r="M583" s="20">
        <f>M584</f>
        <v>13750</v>
      </c>
      <c r="N583" s="20">
        <f>N584</f>
        <v>13747</v>
      </c>
      <c r="O583" s="397">
        <f>N583/M583*100</f>
        <v>99.978181818181824</v>
      </c>
      <c r="P583" s="20"/>
      <c r="Q583" s="21">
        <f t="shared" si="95"/>
        <v>13750</v>
      </c>
      <c r="R583" s="21">
        <f t="shared" si="96"/>
        <v>13747</v>
      </c>
      <c r="S583" s="448">
        <f t="shared" si="99"/>
        <v>99.978181818181824</v>
      </c>
    </row>
    <row r="584" spans="2:19" x14ac:dyDescent="0.2">
      <c r="B584" s="6">
        <f t="shared" si="100"/>
        <v>82</v>
      </c>
      <c r="C584" s="1"/>
      <c r="D584" s="1"/>
      <c r="E584" s="1"/>
      <c r="F584" s="101"/>
      <c r="G584" s="23"/>
      <c r="H584" s="1" t="s">
        <v>583</v>
      </c>
      <c r="I584" s="24"/>
      <c r="J584" s="24"/>
      <c r="K584" s="397"/>
      <c r="L584" s="24"/>
      <c r="M584" s="24">
        <v>13750</v>
      </c>
      <c r="N584" s="24">
        <v>13747</v>
      </c>
      <c r="O584" s="397">
        <f>N584/M584*100</f>
        <v>99.978181818181824</v>
      </c>
      <c r="P584" s="24"/>
      <c r="Q584" s="26">
        <f t="shared" si="95"/>
        <v>13750</v>
      </c>
      <c r="R584" s="26">
        <f t="shared" si="96"/>
        <v>13747</v>
      </c>
      <c r="S584" s="448">
        <f t="shared" si="99"/>
        <v>99.978181818181824</v>
      </c>
    </row>
    <row r="585" spans="2:19" x14ac:dyDescent="0.2">
      <c r="B585" s="6">
        <f t="shared" si="100"/>
        <v>83</v>
      </c>
      <c r="C585" s="107"/>
      <c r="D585" s="107"/>
      <c r="E585" s="107" t="s">
        <v>94</v>
      </c>
      <c r="F585" s="108"/>
      <c r="G585" s="108"/>
      <c r="H585" s="107" t="s">
        <v>95</v>
      </c>
      <c r="I585" s="109">
        <f>I586+I587+I588+I595</f>
        <v>355803</v>
      </c>
      <c r="J585" s="109">
        <f>J586+J587+J588+J595</f>
        <v>339357</v>
      </c>
      <c r="K585" s="415">
        <f t="shared" ref="K585:K606" si="102">J585/I585*100</f>
        <v>95.3777792767346</v>
      </c>
      <c r="L585" s="15"/>
      <c r="M585" s="109"/>
      <c r="N585" s="109"/>
      <c r="O585" s="415"/>
      <c r="P585" s="15"/>
      <c r="Q585" s="110">
        <f t="shared" si="95"/>
        <v>355803</v>
      </c>
      <c r="R585" s="110">
        <f t="shared" si="96"/>
        <v>339357</v>
      </c>
      <c r="S585" s="467">
        <f t="shared" si="99"/>
        <v>95.3777792767346</v>
      </c>
    </row>
    <row r="586" spans="2:19" x14ac:dyDescent="0.2">
      <c r="B586" s="6">
        <f t="shared" si="100"/>
        <v>84</v>
      </c>
      <c r="C586" s="12"/>
      <c r="D586" s="12"/>
      <c r="E586" s="12"/>
      <c r="F586" s="13" t="s">
        <v>184</v>
      </c>
      <c r="G586" s="14">
        <v>610</v>
      </c>
      <c r="H586" s="12" t="s">
        <v>128</v>
      </c>
      <c r="I586" s="15">
        <f>214666-15830-807-13851+1900+7500+4562</f>
        <v>198140</v>
      </c>
      <c r="J586" s="15">
        <v>194953</v>
      </c>
      <c r="K586" s="397">
        <f t="shared" si="102"/>
        <v>98.391541334410022</v>
      </c>
      <c r="L586" s="15"/>
      <c r="M586" s="15"/>
      <c r="N586" s="15"/>
      <c r="O586" s="397"/>
      <c r="P586" s="15"/>
      <c r="Q586" s="16">
        <f t="shared" si="95"/>
        <v>198140</v>
      </c>
      <c r="R586" s="16">
        <f t="shared" si="96"/>
        <v>194953</v>
      </c>
      <c r="S586" s="448">
        <f t="shared" si="99"/>
        <v>98.391541334410022</v>
      </c>
    </row>
    <row r="587" spans="2:19" x14ac:dyDescent="0.2">
      <c r="B587" s="6">
        <f t="shared" si="100"/>
        <v>85</v>
      </c>
      <c r="C587" s="12"/>
      <c r="D587" s="12"/>
      <c r="E587" s="12"/>
      <c r="F587" s="13" t="s">
        <v>184</v>
      </c>
      <c r="G587" s="14">
        <v>620</v>
      </c>
      <c r="H587" s="12" t="s">
        <v>121</v>
      </c>
      <c r="I587" s="15">
        <f>82279-6007-1120-5257+683+3235-599</f>
        <v>73214</v>
      </c>
      <c r="J587" s="15">
        <v>72219</v>
      </c>
      <c r="K587" s="397">
        <f t="shared" si="102"/>
        <v>98.640970306225583</v>
      </c>
      <c r="L587" s="15"/>
      <c r="M587" s="15"/>
      <c r="N587" s="15"/>
      <c r="O587" s="397"/>
      <c r="P587" s="15"/>
      <c r="Q587" s="16">
        <f t="shared" si="95"/>
        <v>73214</v>
      </c>
      <c r="R587" s="16">
        <f t="shared" si="96"/>
        <v>72219</v>
      </c>
      <c r="S587" s="448">
        <f t="shared" si="99"/>
        <v>98.640970306225583</v>
      </c>
    </row>
    <row r="588" spans="2:19" x14ac:dyDescent="0.2">
      <c r="B588" s="6">
        <f t="shared" si="100"/>
        <v>86</v>
      </c>
      <c r="C588" s="12"/>
      <c r="D588" s="12"/>
      <c r="E588" s="12"/>
      <c r="F588" s="13" t="s">
        <v>184</v>
      </c>
      <c r="G588" s="14">
        <v>630</v>
      </c>
      <c r="H588" s="12" t="s">
        <v>118</v>
      </c>
      <c r="I588" s="15">
        <f>SUM(I589:I594)</f>
        <v>78380</v>
      </c>
      <c r="J588" s="15">
        <f>SUM(J589:J594)</f>
        <v>68254</v>
      </c>
      <c r="K588" s="397">
        <f t="shared" si="102"/>
        <v>87.080887981627967</v>
      </c>
      <c r="L588" s="15"/>
      <c r="M588" s="15"/>
      <c r="N588" s="15"/>
      <c r="O588" s="397"/>
      <c r="P588" s="15"/>
      <c r="Q588" s="16">
        <f t="shared" si="95"/>
        <v>78380</v>
      </c>
      <c r="R588" s="16">
        <f t="shared" si="96"/>
        <v>68254</v>
      </c>
      <c r="S588" s="448">
        <f t="shared" si="99"/>
        <v>87.080887981627967</v>
      </c>
    </row>
    <row r="589" spans="2:19" x14ac:dyDescent="0.2">
      <c r="B589" s="6">
        <f t="shared" si="100"/>
        <v>87</v>
      </c>
      <c r="C589" s="17"/>
      <c r="D589" s="17"/>
      <c r="E589" s="17"/>
      <c r="F589" s="18"/>
      <c r="G589" s="19">
        <v>632</v>
      </c>
      <c r="H589" s="17" t="s">
        <v>131</v>
      </c>
      <c r="I589" s="20">
        <f>39500-11750</f>
        <v>27750</v>
      </c>
      <c r="J589" s="20">
        <v>27703</v>
      </c>
      <c r="K589" s="397">
        <f t="shared" si="102"/>
        <v>99.830630630630637</v>
      </c>
      <c r="L589" s="20"/>
      <c r="M589" s="20"/>
      <c r="N589" s="20"/>
      <c r="O589" s="397"/>
      <c r="P589" s="20"/>
      <c r="Q589" s="21">
        <f t="shared" si="95"/>
        <v>27750</v>
      </c>
      <c r="R589" s="21">
        <f t="shared" si="96"/>
        <v>27703</v>
      </c>
      <c r="S589" s="448">
        <f t="shared" si="99"/>
        <v>99.830630630630637</v>
      </c>
    </row>
    <row r="590" spans="2:19" x14ac:dyDescent="0.2">
      <c r="B590" s="6">
        <f t="shared" si="100"/>
        <v>88</v>
      </c>
      <c r="C590" s="17"/>
      <c r="D590" s="17"/>
      <c r="E590" s="17"/>
      <c r="F590" s="18"/>
      <c r="G590" s="19">
        <v>633</v>
      </c>
      <c r="H590" s="17" t="s">
        <v>122</v>
      </c>
      <c r="I590" s="20">
        <f>23945+205+1722+464</f>
        <v>26336</v>
      </c>
      <c r="J590" s="20">
        <v>21580</v>
      </c>
      <c r="K590" s="397">
        <f t="shared" si="102"/>
        <v>81.941069258809236</v>
      </c>
      <c r="L590" s="20"/>
      <c r="M590" s="20"/>
      <c r="N590" s="20"/>
      <c r="O590" s="397"/>
      <c r="P590" s="20"/>
      <c r="Q590" s="21">
        <f t="shared" si="95"/>
        <v>26336</v>
      </c>
      <c r="R590" s="21">
        <f t="shared" si="96"/>
        <v>21580</v>
      </c>
      <c r="S590" s="448">
        <f t="shared" si="99"/>
        <v>81.941069258809236</v>
      </c>
    </row>
    <row r="591" spans="2:19" x14ac:dyDescent="0.2">
      <c r="B591" s="6">
        <f t="shared" si="100"/>
        <v>89</v>
      </c>
      <c r="C591" s="17"/>
      <c r="D591" s="17"/>
      <c r="E591" s="17"/>
      <c r="F591" s="18"/>
      <c r="G591" s="19">
        <v>634</v>
      </c>
      <c r="H591" s="17" t="s">
        <v>129</v>
      </c>
      <c r="I591" s="20">
        <f>90+211+310-300</f>
        <v>311</v>
      </c>
      <c r="J591" s="20">
        <v>295</v>
      </c>
      <c r="K591" s="397">
        <f t="shared" si="102"/>
        <v>94.855305466237937</v>
      </c>
      <c r="L591" s="20"/>
      <c r="M591" s="20"/>
      <c r="N591" s="20"/>
      <c r="O591" s="397"/>
      <c r="P591" s="20"/>
      <c r="Q591" s="21">
        <f t="shared" si="95"/>
        <v>311</v>
      </c>
      <c r="R591" s="21">
        <f t="shared" si="96"/>
        <v>295</v>
      </c>
      <c r="S591" s="448">
        <f t="shared" si="99"/>
        <v>94.855305466237937</v>
      </c>
    </row>
    <row r="592" spans="2:19" x14ac:dyDescent="0.2">
      <c r="B592" s="6">
        <f t="shared" si="100"/>
        <v>90</v>
      </c>
      <c r="C592" s="17"/>
      <c r="D592" s="17"/>
      <c r="E592" s="17"/>
      <c r="F592" s="18"/>
      <c r="G592" s="19">
        <v>635</v>
      </c>
      <c r="H592" s="17" t="s">
        <v>130</v>
      </c>
      <c r="I592" s="20">
        <f>4800+5263</f>
        <v>10063</v>
      </c>
      <c r="J592" s="20">
        <v>8272</v>
      </c>
      <c r="K592" s="397">
        <f t="shared" si="102"/>
        <v>82.202126602404846</v>
      </c>
      <c r="L592" s="20"/>
      <c r="M592" s="20"/>
      <c r="N592" s="20"/>
      <c r="O592" s="397"/>
      <c r="P592" s="20"/>
      <c r="Q592" s="21">
        <f t="shared" si="95"/>
        <v>10063</v>
      </c>
      <c r="R592" s="21">
        <f t="shared" si="96"/>
        <v>8272</v>
      </c>
      <c r="S592" s="448">
        <f t="shared" si="99"/>
        <v>82.202126602404846</v>
      </c>
    </row>
    <row r="593" spans="2:19" x14ac:dyDescent="0.2">
      <c r="B593" s="6">
        <f t="shared" si="100"/>
        <v>91</v>
      </c>
      <c r="C593" s="17"/>
      <c r="D593" s="17"/>
      <c r="E593" s="17"/>
      <c r="F593" s="18"/>
      <c r="G593" s="19">
        <v>636</v>
      </c>
      <c r="H593" s="17" t="s">
        <v>123</v>
      </c>
      <c r="I593" s="20">
        <f>317-177</f>
        <v>140</v>
      </c>
      <c r="J593" s="20">
        <v>140</v>
      </c>
      <c r="K593" s="397">
        <f t="shared" si="102"/>
        <v>100</v>
      </c>
      <c r="L593" s="20"/>
      <c r="M593" s="20"/>
      <c r="N593" s="20"/>
      <c r="O593" s="397"/>
      <c r="P593" s="20"/>
      <c r="Q593" s="21">
        <f t="shared" si="95"/>
        <v>140</v>
      </c>
      <c r="R593" s="21">
        <f t="shared" si="96"/>
        <v>140</v>
      </c>
      <c r="S593" s="448">
        <f t="shared" si="99"/>
        <v>100</v>
      </c>
    </row>
    <row r="594" spans="2:19" x14ac:dyDescent="0.2">
      <c r="B594" s="6">
        <f t="shared" si="100"/>
        <v>92</v>
      </c>
      <c r="C594" s="17"/>
      <c r="D594" s="17"/>
      <c r="E594" s="17"/>
      <c r="F594" s="18"/>
      <c r="G594" s="19">
        <v>637</v>
      </c>
      <c r="H594" s="17" t="s">
        <v>119</v>
      </c>
      <c r="I594" s="20">
        <f>7345+4441-310+2029+275</f>
        <v>13780</v>
      </c>
      <c r="J594" s="20">
        <v>10264</v>
      </c>
      <c r="K594" s="397">
        <f t="shared" si="102"/>
        <v>74.484760522496373</v>
      </c>
      <c r="L594" s="20"/>
      <c r="M594" s="20"/>
      <c r="N594" s="20"/>
      <c r="O594" s="397"/>
      <c r="P594" s="20"/>
      <c r="Q594" s="21">
        <f t="shared" si="95"/>
        <v>13780</v>
      </c>
      <c r="R594" s="21">
        <f t="shared" si="96"/>
        <v>10264</v>
      </c>
      <c r="S594" s="448">
        <f t="shared" si="99"/>
        <v>74.484760522496373</v>
      </c>
    </row>
    <row r="595" spans="2:19" x14ac:dyDescent="0.2">
      <c r="B595" s="6">
        <f t="shared" si="100"/>
        <v>93</v>
      </c>
      <c r="C595" s="12"/>
      <c r="D595" s="12"/>
      <c r="E595" s="12"/>
      <c r="F595" s="13" t="s">
        <v>184</v>
      </c>
      <c r="G595" s="14">
        <v>640</v>
      </c>
      <c r="H595" s="12" t="s">
        <v>126</v>
      </c>
      <c r="I595" s="15">
        <f>3183+216+1500+1170</f>
        <v>6069</v>
      </c>
      <c r="J595" s="15">
        <v>3931</v>
      </c>
      <c r="K595" s="397">
        <f t="shared" si="102"/>
        <v>64.771791069368916</v>
      </c>
      <c r="L595" s="15"/>
      <c r="M595" s="15"/>
      <c r="N595" s="15"/>
      <c r="O595" s="397"/>
      <c r="P595" s="15"/>
      <c r="Q595" s="16">
        <f t="shared" si="95"/>
        <v>6069</v>
      </c>
      <c r="R595" s="16">
        <f t="shared" si="96"/>
        <v>3931</v>
      </c>
      <c r="S595" s="448">
        <f t="shared" si="99"/>
        <v>64.771791069368916</v>
      </c>
    </row>
    <row r="596" spans="2:19" x14ac:dyDescent="0.2">
      <c r="B596" s="6">
        <f t="shared" si="100"/>
        <v>94</v>
      </c>
      <c r="C596" s="107"/>
      <c r="D596" s="107"/>
      <c r="E596" s="107" t="s">
        <v>82</v>
      </c>
      <c r="F596" s="108"/>
      <c r="G596" s="108"/>
      <c r="H596" s="107" t="s">
        <v>83</v>
      </c>
      <c r="I596" s="109">
        <f>I597+I598+I599+I606</f>
        <v>604212</v>
      </c>
      <c r="J596" s="109">
        <f>J597+J598+J599+J606</f>
        <v>591278</v>
      </c>
      <c r="K596" s="415">
        <f t="shared" si="102"/>
        <v>97.859360621768516</v>
      </c>
      <c r="L596" s="15"/>
      <c r="M596" s="109">
        <f>M607</f>
        <v>18000</v>
      </c>
      <c r="N596" s="109">
        <f>N607</f>
        <v>17950</v>
      </c>
      <c r="O596" s="415">
        <f>N596/M596*100</f>
        <v>99.722222222222229</v>
      </c>
      <c r="P596" s="15"/>
      <c r="Q596" s="110">
        <f t="shared" si="95"/>
        <v>622212</v>
      </c>
      <c r="R596" s="110">
        <f t="shared" si="96"/>
        <v>609228</v>
      </c>
      <c r="S596" s="467">
        <f t="shared" si="99"/>
        <v>97.913251431987817</v>
      </c>
    </row>
    <row r="597" spans="2:19" x14ac:dyDescent="0.2">
      <c r="B597" s="6">
        <f t="shared" si="100"/>
        <v>95</v>
      </c>
      <c r="C597" s="12"/>
      <c r="D597" s="12"/>
      <c r="E597" s="12"/>
      <c r="F597" s="13" t="s">
        <v>184</v>
      </c>
      <c r="G597" s="14">
        <v>610</v>
      </c>
      <c r="H597" s="12" t="s">
        <v>128</v>
      </c>
      <c r="I597" s="15">
        <f>327964-23426-125-4151+1689+13173+25044+882</f>
        <v>341050</v>
      </c>
      <c r="J597" s="15">
        <v>338065</v>
      </c>
      <c r="K597" s="397">
        <f t="shared" si="102"/>
        <v>99.12476176513708</v>
      </c>
      <c r="L597" s="15"/>
      <c r="M597" s="15"/>
      <c r="N597" s="15"/>
      <c r="O597" s="397"/>
      <c r="P597" s="15"/>
      <c r="Q597" s="16">
        <f t="shared" si="95"/>
        <v>341050</v>
      </c>
      <c r="R597" s="16">
        <f t="shared" si="96"/>
        <v>338065</v>
      </c>
      <c r="S597" s="448">
        <f t="shared" si="99"/>
        <v>99.12476176513708</v>
      </c>
    </row>
    <row r="598" spans="2:19" x14ac:dyDescent="0.2">
      <c r="B598" s="6">
        <f t="shared" si="100"/>
        <v>96</v>
      </c>
      <c r="C598" s="12"/>
      <c r="D598" s="12"/>
      <c r="E598" s="12"/>
      <c r="F598" s="13" t="s">
        <v>184</v>
      </c>
      <c r="G598" s="14">
        <v>620</v>
      </c>
      <c r="H598" s="12" t="s">
        <v>121</v>
      </c>
      <c r="I598" s="15">
        <f>125596-8890-1181-1575+607+5321+6121+317</f>
        <v>126316</v>
      </c>
      <c r="J598" s="15">
        <v>126264</v>
      </c>
      <c r="K598" s="397">
        <f t="shared" si="102"/>
        <v>99.958833401944318</v>
      </c>
      <c r="L598" s="15"/>
      <c r="M598" s="15"/>
      <c r="N598" s="15"/>
      <c r="O598" s="397"/>
      <c r="P598" s="15"/>
      <c r="Q598" s="16">
        <f t="shared" si="95"/>
        <v>126316</v>
      </c>
      <c r="R598" s="16">
        <f t="shared" si="96"/>
        <v>126264</v>
      </c>
      <c r="S598" s="448">
        <f t="shared" si="99"/>
        <v>99.958833401944318</v>
      </c>
    </row>
    <row r="599" spans="2:19" x14ac:dyDescent="0.2">
      <c r="B599" s="6">
        <f t="shared" si="100"/>
        <v>97</v>
      </c>
      <c r="C599" s="12"/>
      <c r="D599" s="12"/>
      <c r="E599" s="12"/>
      <c r="F599" s="13" t="s">
        <v>184</v>
      </c>
      <c r="G599" s="14">
        <v>630</v>
      </c>
      <c r="H599" s="12" t="s">
        <v>118</v>
      </c>
      <c r="I599" s="15">
        <f>SUM(I600:I605)</f>
        <v>122637</v>
      </c>
      <c r="J599" s="15">
        <f>SUM(J600:J605)</f>
        <v>114796</v>
      </c>
      <c r="K599" s="397">
        <f t="shared" si="102"/>
        <v>93.606334140593788</v>
      </c>
      <c r="L599" s="15"/>
      <c r="M599" s="15"/>
      <c r="N599" s="15"/>
      <c r="O599" s="397"/>
      <c r="P599" s="15"/>
      <c r="Q599" s="16">
        <f t="shared" si="95"/>
        <v>122637</v>
      </c>
      <c r="R599" s="16">
        <f t="shared" si="96"/>
        <v>114796</v>
      </c>
      <c r="S599" s="448">
        <f t="shared" si="99"/>
        <v>93.606334140593788</v>
      </c>
    </row>
    <row r="600" spans="2:19" x14ac:dyDescent="0.2">
      <c r="B600" s="6">
        <f t="shared" si="100"/>
        <v>98</v>
      </c>
      <c r="C600" s="17"/>
      <c r="D600" s="17"/>
      <c r="E600" s="17"/>
      <c r="F600" s="18"/>
      <c r="G600" s="19">
        <v>632</v>
      </c>
      <c r="H600" s="17" t="s">
        <v>131</v>
      </c>
      <c r="I600" s="20">
        <f>51070-14923</f>
        <v>36147</v>
      </c>
      <c r="J600" s="20">
        <v>36147</v>
      </c>
      <c r="K600" s="397">
        <f t="shared" si="102"/>
        <v>100</v>
      </c>
      <c r="L600" s="20"/>
      <c r="M600" s="20"/>
      <c r="N600" s="20"/>
      <c r="O600" s="397"/>
      <c r="P600" s="20"/>
      <c r="Q600" s="21">
        <f t="shared" si="95"/>
        <v>36147</v>
      </c>
      <c r="R600" s="21">
        <f t="shared" si="96"/>
        <v>36147</v>
      </c>
      <c r="S600" s="448">
        <f t="shared" si="99"/>
        <v>100</v>
      </c>
    </row>
    <row r="601" spans="2:19" x14ac:dyDescent="0.2">
      <c r="B601" s="6">
        <f t="shared" si="100"/>
        <v>99</v>
      </c>
      <c r="C601" s="17"/>
      <c r="D601" s="17"/>
      <c r="E601" s="17"/>
      <c r="F601" s="18"/>
      <c r="G601" s="19">
        <v>633</v>
      </c>
      <c r="H601" s="17" t="s">
        <v>122</v>
      </c>
      <c r="I601" s="20">
        <f>36449+544+1172+3747-300</f>
        <v>41612</v>
      </c>
      <c r="J601" s="20">
        <v>37665</v>
      </c>
      <c r="K601" s="397">
        <f t="shared" si="102"/>
        <v>90.514755359031057</v>
      </c>
      <c r="L601" s="20"/>
      <c r="M601" s="20"/>
      <c r="N601" s="20"/>
      <c r="O601" s="397"/>
      <c r="P601" s="20"/>
      <c r="Q601" s="21">
        <f t="shared" si="95"/>
        <v>41612</v>
      </c>
      <c r="R601" s="21">
        <f t="shared" si="96"/>
        <v>37665</v>
      </c>
      <c r="S601" s="448">
        <f t="shared" si="99"/>
        <v>90.514755359031057</v>
      </c>
    </row>
    <row r="602" spans="2:19" x14ac:dyDescent="0.2">
      <c r="B602" s="6">
        <f t="shared" si="100"/>
        <v>100</v>
      </c>
      <c r="C602" s="17"/>
      <c r="D602" s="17"/>
      <c r="E602" s="17"/>
      <c r="F602" s="18"/>
      <c r="G602" s="19">
        <v>634</v>
      </c>
      <c r="H602" s="17" t="s">
        <v>129</v>
      </c>
      <c r="I602" s="20">
        <f>600+329-600</f>
        <v>329</v>
      </c>
      <c r="J602" s="20">
        <v>281</v>
      </c>
      <c r="K602" s="397">
        <f t="shared" si="102"/>
        <v>85.410334346504555</v>
      </c>
      <c r="L602" s="20"/>
      <c r="M602" s="20"/>
      <c r="N602" s="20"/>
      <c r="O602" s="397"/>
      <c r="P602" s="20"/>
      <c r="Q602" s="21">
        <f t="shared" si="95"/>
        <v>329</v>
      </c>
      <c r="R602" s="21">
        <f t="shared" si="96"/>
        <v>281</v>
      </c>
      <c r="S602" s="448">
        <f t="shared" si="99"/>
        <v>85.410334346504555</v>
      </c>
    </row>
    <row r="603" spans="2:19" x14ac:dyDescent="0.2">
      <c r="B603" s="6">
        <f t="shared" si="100"/>
        <v>101</v>
      </c>
      <c r="C603" s="17"/>
      <c r="D603" s="17"/>
      <c r="E603" s="17"/>
      <c r="F603" s="18"/>
      <c r="G603" s="19">
        <v>635</v>
      </c>
      <c r="H603" s="17" t="s">
        <v>130</v>
      </c>
      <c r="I603" s="20">
        <f>12000+6960+550+3610+300</f>
        <v>23420</v>
      </c>
      <c r="J603" s="20">
        <v>22842</v>
      </c>
      <c r="K603" s="397">
        <f t="shared" si="102"/>
        <v>97.532023911187011</v>
      </c>
      <c r="L603" s="20"/>
      <c r="M603" s="20"/>
      <c r="N603" s="20"/>
      <c r="O603" s="397"/>
      <c r="P603" s="20"/>
      <c r="Q603" s="21">
        <f t="shared" si="95"/>
        <v>23420</v>
      </c>
      <c r="R603" s="21">
        <f t="shared" si="96"/>
        <v>22842</v>
      </c>
      <c r="S603" s="448">
        <f t="shared" si="99"/>
        <v>97.532023911187011</v>
      </c>
    </row>
    <row r="604" spans="2:19" x14ac:dyDescent="0.2">
      <c r="B604" s="6">
        <f t="shared" si="100"/>
        <v>102</v>
      </c>
      <c r="C604" s="17"/>
      <c r="D604" s="17"/>
      <c r="E604" s="17"/>
      <c r="F604" s="18"/>
      <c r="G604" s="19">
        <v>636</v>
      </c>
      <c r="H604" s="17" t="s">
        <v>123</v>
      </c>
      <c r="I604" s="20">
        <f>493-276</f>
        <v>217</v>
      </c>
      <c r="J604" s="20">
        <v>217</v>
      </c>
      <c r="K604" s="397">
        <f t="shared" si="102"/>
        <v>100</v>
      </c>
      <c r="L604" s="20"/>
      <c r="M604" s="20"/>
      <c r="N604" s="20"/>
      <c r="O604" s="397"/>
      <c r="P604" s="20"/>
      <c r="Q604" s="21">
        <f t="shared" si="95"/>
        <v>217</v>
      </c>
      <c r="R604" s="21">
        <f t="shared" si="96"/>
        <v>217</v>
      </c>
      <c r="S604" s="448">
        <f t="shared" si="99"/>
        <v>100</v>
      </c>
    </row>
    <row r="605" spans="2:19" x14ac:dyDescent="0.2">
      <c r="B605" s="6">
        <f t="shared" si="100"/>
        <v>103</v>
      </c>
      <c r="C605" s="17"/>
      <c r="D605" s="17"/>
      <c r="E605" s="17"/>
      <c r="F605" s="18"/>
      <c r="G605" s="19">
        <v>637</v>
      </c>
      <c r="H605" s="17" t="s">
        <v>119</v>
      </c>
      <c r="I605" s="20">
        <f>12830+9291-1804+595</f>
        <v>20912</v>
      </c>
      <c r="J605" s="20">
        <v>17644</v>
      </c>
      <c r="K605" s="397">
        <f t="shared" si="102"/>
        <v>84.372609028309114</v>
      </c>
      <c r="L605" s="20"/>
      <c r="M605" s="20"/>
      <c r="N605" s="20"/>
      <c r="O605" s="397"/>
      <c r="P605" s="20"/>
      <c r="Q605" s="21">
        <f t="shared" si="95"/>
        <v>20912</v>
      </c>
      <c r="R605" s="21">
        <f t="shared" si="96"/>
        <v>17644</v>
      </c>
      <c r="S605" s="448">
        <f t="shared" si="99"/>
        <v>84.372609028309114</v>
      </c>
    </row>
    <row r="606" spans="2:19" x14ac:dyDescent="0.2">
      <c r="B606" s="6">
        <f t="shared" si="100"/>
        <v>104</v>
      </c>
      <c r="C606" s="12"/>
      <c r="D606" s="12"/>
      <c r="E606" s="12"/>
      <c r="F606" s="13" t="s">
        <v>184</v>
      </c>
      <c r="G606" s="14">
        <v>640</v>
      </c>
      <c r="H606" s="12" t="s">
        <v>126</v>
      </c>
      <c r="I606" s="15">
        <f>4850+336+1627+7396</f>
        <v>14209</v>
      </c>
      <c r="J606" s="15">
        <v>12153</v>
      </c>
      <c r="K606" s="397">
        <f t="shared" si="102"/>
        <v>85.530297698641704</v>
      </c>
      <c r="L606" s="15"/>
      <c r="M606" s="15"/>
      <c r="N606" s="15"/>
      <c r="O606" s="397"/>
      <c r="P606" s="15"/>
      <c r="Q606" s="16">
        <f t="shared" si="95"/>
        <v>14209</v>
      </c>
      <c r="R606" s="16">
        <f t="shared" si="96"/>
        <v>12153</v>
      </c>
      <c r="S606" s="448">
        <f t="shared" si="99"/>
        <v>85.530297698641704</v>
      </c>
    </row>
    <row r="607" spans="2:19" x14ac:dyDescent="0.2">
      <c r="B607" s="6">
        <f t="shared" si="100"/>
        <v>105</v>
      </c>
      <c r="C607" s="12"/>
      <c r="D607" s="12"/>
      <c r="E607" s="12"/>
      <c r="F607" s="13" t="s">
        <v>184</v>
      </c>
      <c r="G607" s="14">
        <v>710</v>
      </c>
      <c r="H607" s="12" t="s">
        <v>172</v>
      </c>
      <c r="I607" s="15"/>
      <c r="J607" s="15"/>
      <c r="K607" s="397"/>
      <c r="L607" s="15"/>
      <c r="M607" s="15">
        <f>M608</f>
        <v>18000</v>
      </c>
      <c r="N607" s="15">
        <f>N608</f>
        <v>17950</v>
      </c>
      <c r="O607" s="397">
        <f>N607/M607*100</f>
        <v>99.722222222222229</v>
      </c>
      <c r="P607" s="15"/>
      <c r="Q607" s="16">
        <f t="shared" si="95"/>
        <v>18000</v>
      </c>
      <c r="R607" s="16">
        <f t="shared" si="96"/>
        <v>17950</v>
      </c>
      <c r="S607" s="448">
        <f t="shared" si="99"/>
        <v>99.722222222222229</v>
      </c>
    </row>
    <row r="608" spans="2:19" x14ac:dyDescent="0.2">
      <c r="B608" s="6">
        <f t="shared" si="100"/>
        <v>106</v>
      </c>
      <c r="C608" s="17"/>
      <c r="D608" s="17"/>
      <c r="E608" s="17"/>
      <c r="F608" s="18"/>
      <c r="G608" s="19">
        <v>717</v>
      </c>
      <c r="H608" s="17" t="s">
        <v>179</v>
      </c>
      <c r="I608" s="20"/>
      <c r="J608" s="20"/>
      <c r="K608" s="397"/>
      <c r="L608" s="20"/>
      <c r="M608" s="20">
        <f>M609</f>
        <v>18000</v>
      </c>
      <c r="N608" s="20">
        <f>N609</f>
        <v>17950</v>
      </c>
      <c r="O608" s="397">
        <f>N608/M608*100</f>
        <v>99.722222222222229</v>
      </c>
      <c r="P608" s="20"/>
      <c r="Q608" s="21">
        <f t="shared" si="95"/>
        <v>18000</v>
      </c>
      <c r="R608" s="21">
        <f t="shared" si="96"/>
        <v>17950</v>
      </c>
      <c r="S608" s="448">
        <f t="shared" si="99"/>
        <v>99.722222222222229</v>
      </c>
    </row>
    <row r="609" spans="2:19" x14ac:dyDescent="0.2">
      <c r="B609" s="6">
        <f t="shared" si="100"/>
        <v>107</v>
      </c>
      <c r="C609" s="1"/>
      <c r="D609" s="1"/>
      <c r="E609" s="1"/>
      <c r="F609" s="101"/>
      <c r="G609" s="23"/>
      <c r="H609" s="1" t="s">
        <v>335</v>
      </c>
      <c r="I609" s="24"/>
      <c r="J609" s="24"/>
      <c r="K609" s="397"/>
      <c r="L609" s="24"/>
      <c r="M609" s="24">
        <v>18000</v>
      </c>
      <c r="N609" s="24">
        <v>17950</v>
      </c>
      <c r="O609" s="397">
        <f>N609/M609*100</f>
        <v>99.722222222222229</v>
      </c>
      <c r="P609" s="24"/>
      <c r="Q609" s="26">
        <f t="shared" si="95"/>
        <v>18000</v>
      </c>
      <c r="R609" s="26">
        <f t="shared" si="96"/>
        <v>17950</v>
      </c>
      <c r="S609" s="448">
        <f t="shared" si="99"/>
        <v>99.722222222222229</v>
      </c>
    </row>
    <row r="610" spans="2:19" x14ac:dyDescent="0.2">
      <c r="B610" s="6">
        <f t="shared" si="100"/>
        <v>108</v>
      </c>
      <c r="C610" s="107"/>
      <c r="D610" s="107"/>
      <c r="E610" s="107" t="s">
        <v>80</v>
      </c>
      <c r="F610" s="108"/>
      <c r="G610" s="108"/>
      <c r="H610" s="107" t="s">
        <v>458</v>
      </c>
      <c r="I610" s="109">
        <f>I611+I612+I613+I620</f>
        <v>577982</v>
      </c>
      <c r="J610" s="109">
        <f>J611+J612+J613+J620</f>
        <v>566350</v>
      </c>
      <c r="K610" s="415">
        <f t="shared" ref="K610:K620" si="103">J610/I610*100</f>
        <v>97.987480578979969</v>
      </c>
      <c r="L610" s="15"/>
      <c r="M610" s="109">
        <f>M621</f>
        <v>36000</v>
      </c>
      <c r="N610" s="109">
        <f>N621</f>
        <v>35985</v>
      </c>
      <c r="O610" s="415">
        <f>N610/M610*100</f>
        <v>99.958333333333343</v>
      </c>
      <c r="P610" s="15"/>
      <c r="Q610" s="110">
        <f t="shared" si="95"/>
        <v>613982</v>
      </c>
      <c r="R610" s="110">
        <f t="shared" si="96"/>
        <v>602335</v>
      </c>
      <c r="S610" s="467">
        <f t="shared" si="99"/>
        <v>98.103038851301832</v>
      </c>
    </row>
    <row r="611" spans="2:19" x14ac:dyDescent="0.2">
      <c r="B611" s="6">
        <f t="shared" si="100"/>
        <v>109</v>
      </c>
      <c r="C611" s="12"/>
      <c r="D611" s="12"/>
      <c r="E611" s="12"/>
      <c r="F611" s="13" t="s">
        <v>184</v>
      </c>
      <c r="G611" s="14">
        <v>610</v>
      </c>
      <c r="H611" s="12" t="s">
        <v>128</v>
      </c>
      <c r="I611" s="15">
        <f>280273-20020+19611+100+3800+13455+29314</f>
        <v>326533</v>
      </c>
      <c r="J611" s="15">
        <v>324970</v>
      </c>
      <c r="K611" s="397">
        <f t="shared" si="103"/>
        <v>99.521334750239646</v>
      </c>
      <c r="L611" s="15"/>
      <c r="M611" s="15"/>
      <c r="N611" s="15"/>
      <c r="O611" s="397"/>
      <c r="P611" s="15"/>
      <c r="Q611" s="16">
        <f t="shared" si="95"/>
        <v>326533</v>
      </c>
      <c r="R611" s="16">
        <f t="shared" si="96"/>
        <v>324970</v>
      </c>
      <c r="S611" s="448">
        <f t="shared" si="99"/>
        <v>99.521334750239646</v>
      </c>
    </row>
    <row r="612" spans="2:19" x14ac:dyDescent="0.2">
      <c r="B612" s="6">
        <f t="shared" si="100"/>
        <v>110</v>
      </c>
      <c r="C612" s="12"/>
      <c r="D612" s="12"/>
      <c r="E612" s="12"/>
      <c r="F612" s="13" t="s">
        <v>184</v>
      </c>
      <c r="G612" s="14">
        <v>620</v>
      </c>
      <c r="H612" s="12" t="s">
        <v>121</v>
      </c>
      <c r="I612" s="15">
        <f>105916-7598+7590+35+1366+5321+8965</f>
        <v>121595</v>
      </c>
      <c r="J612" s="15">
        <v>121594</v>
      </c>
      <c r="K612" s="397">
        <f t="shared" si="103"/>
        <v>99.999177597763065</v>
      </c>
      <c r="L612" s="15"/>
      <c r="M612" s="15"/>
      <c r="N612" s="15"/>
      <c r="O612" s="397"/>
      <c r="P612" s="15"/>
      <c r="Q612" s="16">
        <f t="shared" si="95"/>
        <v>121595</v>
      </c>
      <c r="R612" s="16">
        <f t="shared" si="96"/>
        <v>121594</v>
      </c>
      <c r="S612" s="448">
        <f t="shared" si="99"/>
        <v>99.999177597763065</v>
      </c>
    </row>
    <row r="613" spans="2:19" x14ac:dyDescent="0.2">
      <c r="B613" s="6">
        <f t="shared" si="100"/>
        <v>111</v>
      </c>
      <c r="C613" s="12"/>
      <c r="D613" s="12"/>
      <c r="E613" s="12"/>
      <c r="F613" s="13" t="s">
        <v>184</v>
      </c>
      <c r="G613" s="14">
        <v>630</v>
      </c>
      <c r="H613" s="12" t="s">
        <v>118</v>
      </c>
      <c r="I613" s="15">
        <f>SUM(I614:I619)</f>
        <v>125886</v>
      </c>
      <c r="J613" s="15">
        <f>SUM(J614:J619)</f>
        <v>115879</v>
      </c>
      <c r="K613" s="397">
        <f t="shared" si="103"/>
        <v>92.050744324229868</v>
      </c>
      <c r="L613" s="15"/>
      <c r="M613" s="15"/>
      <c r="N613" s="15"/>
      <c r="O613" s="397"/>
      <c r="P613" s="15"/>
      <c r="Q613" s="16">
        <f t="shared" si="95"/>
        <v>125886</v>
      </c>
      <c r="R613" s="16">
        <f t="shared" si="96"/>
        <v>115879</v>
      </c>
      <c r="S613" s="448">
        <f t="shared" si="99"/>
        <v>92.050744324229868</v>
      </c>
    </row>
    <row r="614" spans="2:19" x14ac:dyDescent="0.2">
      <c r="B614" s="6">
        <f t="shared" si="100"/>
        <v>112</v>
      </c>
      <c r="C614" s="17"/>
      <c r="D614" s="17"/>
      <c r="E614" s="17"/>
      <c r="F614" s="18"/>
      <c r="G614" s="19">
        <v>632</v>
      </c>
      <c r="H614" s="17" t="s">
        <v>131</v>
      </c>
      <c r="I614" s="20">
        <f>67240-19927-8000</f>
        <v>39313</v>
      </c>
      <c r="J614" s="20">
        <v>39260</v>
      </c>
      <c r="K614" s="397">
        <f t="shared" si="103"/>
        <v>99.86518454455269</v>
      </c>
      <c r="L614" s="20"/>
      <c r="M614" s="20"/>
      <c r="N614" s="20"/>
      <c r="O614" s="397"/>
      <c r="P614" s="20"/>
      <c r="Q614" s="21">
        <f t="shared" si="95"/>
        <v>39313</v>
      </c>
      <c r="R614" s="21">
        <f t="shared" si="96"/>
        <v>39260</v>
      </c>
      <c r="S614" s="448">
        <f t="shared" si="99"/>
        <v>99.86518454455269</v>
      </c>
    </row>
    <row r="615" spans="2:19" x14ac:dyDescent="0.2">
      <c r="B615" s="6">
        <f t="shared" si="100"/>
        <v>113</v>
      </c>
      <c r="C615" s="17"/>
      <c r="D615" s="17"/>
      <c r="E615" s="17"/>
      <c r="F615" s="18"/>
      <c r="G615" s="19">
        <v>633</v>
      </c>
      <c r="H615" s="17" t="s">
        <v>122</v>
      </c>
      <c r="I615" s="20">
        <f>36308+300+3444+7682-200</f>
        <v>47534</v>
      </c>
      <c r="J615" s="20">
        <v>41044</v>
      </c>
      <c r="K615" s="397">
        <f t="shared" si="103"/>
        <v>86.346615054487316</v>
      </c>
      <c r="L615" s="20"/>
      <c r="M615" s="20"/>
      <c r="N615" s="20"/>
      <c r="O615" s="397"/>
      <c r="P615" s="20"/>
      <c r="Q615" s="21">
        <f t="shared" si="95"/>
        <v>47534</v>
      </c>
      <c r="R615" s="21">
        <f t="shared" si="96"/>
        <v>41044</v>
      </c>
      <c r="S615" s="448">
        <f t="shared" si="99"/>
        <v>86.346615054487316</v>
      </c>
    </row>
    <row r="616" spans="2:19" x14ac:dyDescent="0.2">
      <c r="B616" s="6">
        <f t="shared" si="100"/>
        <v>114</v>
      </c>
      <c r="C616" s="17"/>
      <c r="D616" s="17"/>
      <c r="E616" s="17"/>
      <c r="F616" s="18"/>
      <c r="G616" s="19">
        <v>634</v>
      </c>
      <c r="H616" s="17" t="s">
        <v>129</v>
      </c>
      <c r="I616" s="20">
        <f>400+310+90+260</f>
        <v>1060</v>
      </c>
      <c r="J616" s="20">
        <v>1015</v>
      </c>
      <c r="K616" s="397">
        <f t="shared" si="103"/>
        <v>95.754716981132077</v>
      </c>
      <c r="L616" s="20"/>
      <c r="M616" s="20"/>
      <c r="N616" s="20"/>
      <c r="O616" s="397"/>
      <c r="P616" s="20"/>
      <c r="Q616" s="21">
        <f t="shared" si="95"/>
        <v>1060</v>
      </c>
      <c r="R616" s="21">
        <f t="shared" si="96"/>
        <v>1015</v>
      </c>
      <c r="S616" s="448">
        <f t="shared" si="99"/>
        <v>95.754716981132077</v>
      </c>
    </row>
    <row r="617" spans="2:19" x14ac:dyDescent="0.2">
      <c r="B617" s="6">
        <f t="shared" si="100"/>
        <v>115</v>
      </c>
      <c r="C617" s="17"/>
      <c r="D617" s="17"/>
      <c r="E617" s="17"/>
      <c r="F617" s="18"/>
      <c r="G617" s="19">
        <v>635</v>
      </c>
      <c r="H617" s="17" t="s">
        <v>130</v>
      </c>
      <c r="I617" s="20">
        <f>7800+7441+200+200</f>
        <v>15641</v>
      </c>
      <c r="J617" s="20">
        <v>15513</v>
      </c>
      <c r="K617" s="397">
        <f t="shared" si="103"/>
        <v>99.181638002685247</v>
      </c>
      <c r="L617" s="20"/>
      <c r="M617" s="20"/>
      <c r="N617" s="20"/>
      <c r="O617" s="397"/>
      <c r="P617" s="20"/>
      <c r="Q617" s="21">
        <f t="shared" ref="Q617:Q680" si="104">I617+M617</f>
        <v>15641</v>
      </c>
      <c r="R617" s="21">
        <f t="shared" ref="R617:R680" si="105">J617+N617</f>
        <v>15513</v>
      </c>
      <c r="S617" s="448">
        <f t="shared" si="99"/>
        <v>99.181638002685247</v>
      </c>
    </row>
    <row r="618" spans="2:19" x14ac:dyDescent="0.2">
      <c r="B618" s="6">
        <f t="shared" si="100"/>
        <v>116</v>
      </c>
      <c r="C618" s="17"/>
      <c r="D618" s="17"/>
      <c r="E618" s="17"/>
      <c r="F618" s="18"/>
      <c r="G618" s="19">
        <v>636</v>
      </c>
      <c r="H618" s="17" t="s">
        <v>123</v>
      </c>
      <c r="I618" s="20">
        <f>465-260</f>
        <v>205</v>
      </c>
      <c r="J618" s="20">
        <v>205</v>
      </c>
      <c r="K618" s="397">
        <f t="shared" si="103"/>
        <v>100</v>
      </c>
      <c r="L618" s="20"/>
      <c r="M618" s="20"/>
      <c r="N618" s="20"/>
      <c r="O618" s="397"/>
      <c r="P618" s="20"/>
      <c r="Q618" s="21">
        <f t="shared" si="104"/>
        <v>205</v>
      </c>
      <c r="R618" s="21">
        <f t="shared" si="105"/>
        <v>205</v>
      </c>
      <c r="S618" s="448">
        <f t="shared" si="99"/>
        <v>100</v>
      </c>
    </row>
    <row r="619" spans="2:19" x14ac:dyDescent="0.2">
      <c r="B619" s="6">
        <f t="shared" si="100"/>
        <v>117</v>
      </c>
      <c r="C619" s="17"/>
      <c r="D619" s="17"/>
      <c r="E619" s="17"/>
      <c r="F619" s="18"/>
      <c r="G619" s="19">
        <v>637</v>
      </c>
      <c r="H619" s="17" t="s">
        <v>119</v>
      </c>
      <c r="I619" s="20">
        <f>11730+8713-1090+2480+300</f>
        <v>22133</v>
      </c>
      <c r="J619" s="20">
        <v>18842</v>
      </c>
      <c r="K619" s="397">
        <f t="shared" si="103"/>
        <v>85.13080016265306</v>
      </c>
      <c r="L619" s="20"/>
      <c r="M619" s="20"/>
      <c r="N619" s="20"/>
      <c r="O619" s="397"/>
      <c r="P619" s="20"/>
      <c r="Q619" s="21">
        <f t="shared" si="104"/>
        <v>22133</v>
      </c>
      <c r="R619" s="21">
        <f t="shared" si="105"/>
        <v>18842</v>
      </c>
      <c r="S619" s="448">
        <f t="shared" si="99"/>
        <v>85.13080016265306</v>
      </c>
    </row>
    <row r="620" spans="2:19" x14ac:dyDescent="0.2">
      <c r="B620" s="6">
        <f t="shared" si="100"/>
        <v>118</v>
      </c>
      <c r="C620" s="12"/>
      <c r="D620" s="12"/>
      <c r="E620" s="12"/>
      <c r="F620" s="13" t="s">
        <v>184</v>
      </c>
      <c r="G620" s="14">
        <v>640</v>
      </c>
      <c r="H620" s="12" t="s">
        <v>126</v>
      </c>
      <c r="I620" s="15">
        <f>1206+317+1000+1345+100</f>
        <v>3968</v>
      </c>
      <c r="J620" s="15">
        <v>3907</v>
      </c>
      <c r="K620" s="397">
        <f t="shared" si="103"/>
        <v>98.462701612903231</v>
      </c>
      <c r="L620" s="15"/>
      <c r="M620" s="15"/>
      <c r="N620" s="15"/>
      <c r="O620" s="397"/>
      <c r="P620" s="15"/>
      <c r="Q620" s="16">
        <f t="shared" si="104"/>
        <v>3968</v>
      </c>
      <c r="R620" s="16">
        <f t="shared" si="105"/>
        <v>3907</v>
      </c>
      <c r="S620" s="448">
        <f t="shared" si="99"/>
        <v>98.462701612903231</v>
      </c>
    </row>
    <row r="621" spans="2:19" x14ac:dyDescent="0.2">
      <c r="B621" s="6">
        <f t="shared" si="100"/>
        <v>119</v>
      </c>
      <c r="C621" s="12"/>
      <c r="D621" s="12"/>
      <c r="E621" s="12"/>
      <c r="F621" s="13" t="s">
        <v>184</v>
      </c>
      <c r="G621" s="14">
        <v>710</v>
      </c>
      <c r="H621" s="12" t="s">
        <v>172</v>
      </c>
      <c r="I621" s="15"/>
      <c r="J621" s="15"/>
      <c r="K621" s="397"/>
      <c r="L621" s="15"/>
      <c r="M621" s="15">
        <f>M622</f>
        <v>36000</v>
      </c>
      <c r="N621" s="15">
        <f>N622</f>
        <v>35985</v>
      </c>
      <c r="O621" s="397">
        <f t="shared" ref="O621:O626" si="106">N621/M621*100</f>
        <v>99.958333333333343</v>
      </c>
      <c r="P621" s="15"/>
      <c r="Q621" s="16">
        <f t="shared" si="104"/>
        <v>36000</v>
      </c>
      <c r="R621" s="16">
        <f t="shared" si="105"/>
        <v>35985</v>
      </c>
      <c r="S621" s="448">
        <f t="shared" si="99"/>
        <v>99.958333333333343</v>
      </c>
    </row>
    <row r="622" spans="2:19" x14ac:dyDescent="0.2">
      <c r="B622" s="6">
        <f t="shared" si="100"/>
        <v>120</v>
      </c>
      <c r="C622" s="12"/>
      <c r="D622" s="12"/>
      <c r="E622" s="12"/>
      <c r="F622" s="13"/>
      <c r="G622" s="19">
        <v>717</v>
      </c>
      <c r="H622" s="17" t="s">
        <v>179</v>
      </c>
      <c r="I622" s="20"/>
      <c r="J622" s="20"/>
      <c r="K622" s="397"/>
      <c r="L622" s="20"/>
      <c r="M622" s="20">
        <f>SUM(M623:M625)</f>
        <v>36000</v>
      </c>
      <c r="N622" s="20">
        <f>SUM(N623:N625)</f>
        <v>35985</v>
      </c>
      <c r="O622" s="397">
        <f t="shared" si="106"/>
        <v>99.958333333333343</v>
      </c>
      <c r="P622" s="20"/>
      <c r="Q622" s="16">
        <f t="shared" si="104"/>
        <v>36000</v>
      </c>
      <c r="R622" s="16">
        <f t="shared" si="105"/>
        <v>35985</v>
      </c>
      <c r="S622" s="448">
        <f t="shared" si="99"/>
        <v>99.958333333333343</v>
      </c>
    </row>
    <row r="623" spans="2:19" x14ac:dyDescent="0.2">
      <c r="B623" s="6">
        <f t="shared" si="100"/>
        <v>121</v>
      </c>
      <c r="C623" s="1"/>
      <c r="D623" s="1"/>
      <c r="E623" s="1"/>
      <c r="F623" s="101"/>
      <c r="G623" s="23"/>
      <c r="H623" s="1" t="s">
        <v>560</v>
      </c>
      <c r="I623" s="24"/>
      <c r="J623" s="24"/>
      <c r="K623" s="397"/>
      <c r="L623" s="24"/>
      <c r="M623" s="24">
        <v>14500</v>
      </c>
      <c r="N623" s="24">
        <v>14492</v>
      </c>
      <c r="O623" s="397">
        <f t="shared" si="106"/>
        <v>99.944827586206898</v>
      </c>
      <c r="P623" s="24"/>
      <c r="Q623" s="26">
        <f t="shared" si="104"/>
        <v>14500</v>
      </c>
      <c r="R623" s="26">
        <f t="shared" si="105"/>
        <v>14492</v>
      </c>
      <c r="S623" s="448">
        <f t="shared" si="99"/>
        <v>99.944827586206898</v>
      </c>
    </row>
    <row r="624" spans="2:19" x14ac:dyDescent="0.2">
      <c r="B624" s="6">
        <f t="shared" si="100"/>
        <v>122</v>
      </c>
      <c r="C624" s="1"/>
      <c r="D624" s="1"/>
      <c r="E624" s="1"/>
      <c r="F624" s="101"/>
      <c r="G624" s="23"/>
      <c r="H624" s="1" t="s">
        <v>736</v>
      </c>
      <c r="I624" s="24"/>
      <c r="J624" s="24"/>
      <c r="K624" s="397"/>
      <c r="L624" s="24"/>
      <c r="M624" s="24">
        <v>3500</v>
      </c>
      <c r="N624" s="24">
        <v>3498</v>
      </c>
      <c r="O624" s="397">
        <f t="shared" si="106"/>
        <v>99.94285714285715</v>
      </c>
      <c r="P624" s="24"/>
      <c r="Q624" s="26">
        <f t="shared" si="104"/>
        <v>3500</v>
      </c>
      <c r="R624" s="26">
        <f t="shared" si="105"/>
        <v>3498</v>
      </c>
      <c r="S624" s="448">
        <f t="shared" si="99"/>
        <v>99.94285714285715</v>
      </c>
    </row>
    <row r="625" spans="2:19" x14ac:dyDescent="0.2">
      <c r="B625" s="6">
        <f t="shared" si="100"/>
        <v>123</v>
      </c>
      <c r="C625" s="1"/>
      <c r="D625" s="1"/>
      <c r="E625" s="1"/>
      <c r="F625" s="101"/>
      <c r="G625" s="23"/>
      <c r="H625" s="1" t="s">
        <v>574</v>
      </c>
      <c r="I625" s="24"/>
      <c r="J625" s="24"/>
      <c r="K625" s="397"/>
      <c r="L625" s="24"/>
      <c r="M625" s="24">
        <v>18000</v>
      </c>
      <c r="N625" s="24">
        <v>17995</v>
      </c>
      <c r="O625" s="397">
        <f t="shared" si="106"/>
        <v>99.972222222222214</v>
      </c>
      <c r="P625" s="24"/>
      <c r="Q625" s="26">
        <f t="shared" si="104"/>
        <v>18000</v>
      </c>
      <c r="R625" s="26">
        <f t="shared" si="105"/>
        <v>17995</v>
      </c>
      <c r="S625" s="448">
        <f t="shared" si="99"/>
        <v>99.972222222222214</v>
      </c>
    </row>
    <row r="626" spans="2:19" x14ac:dyDescent="0.2">
      <c r="B626" s="6">
        <f t="shared" si="100"/>
        <v>124</v>
      </c>
      <c r="C626" s="107"/>
      <c r="D626" s="107"/>
      <c r="E626" s="107" t="s">
        <v>98</v>
      </c>
      <c r="F626" s="108"/>
      <c r="G626" s="108"/>
      <c r="H626" s="107" t="s">
        <v>99</v>
      </c>
      <c r="I626" s="109">
        <f>I627+I628+I629+I636</f>
        <v>342750</v>
      </c>
      <c r="J626" s="109">
        <f>J627+J628+J629+J636</f>
        <v>313254</v>
      </c>
      <c r="K626" s="415">
        <f t="shared" ref="K626:K636" si="107">J626/I626*100</f>
        <v>91.394310722100656</v>
      </c>
      <c r="L626" s="15"/>
      <c r="M626" s="109">
        <f>M637</f>
        <v>29000</v>
      </c>
      <c r="N626" s="109">
        <f>N637</f>
        <v>28993</v>
      </c>
      <c r="O626" s="415">
        <f t="shared" si="106"/>
        <v>99.975862068965512</v>
      </c>
      <c r="P626" s="15"/>
      <c r="Q626" s="110">
        <f t="shared" si="104"/>
        <v>371750</v>
      </c>
      <c r="R626" s="110">
        <f t="shared" si="105"/>
        <v>342247</v>
      </c>
      <c r="S626" s="467">
        <f t="shared" si="99"/>
        <v>92.063752521856088</v>
      </c>
    </row>
    <row r="627" spans="2:19" x14ac:dyDescent="0.2">
      <c r="B627" s="6">
        <f t="shared" si="100"/>
        <v>125</v>
      </c>
      <c r="C627" s="12"/>
      <c r="D627" s="12"/>
      <c r="E627" s="12"/>
      <c r="F627" s="13" t="s">
        <v>184</v>
      </c>
      <c r="G627" s="14">
        <v>610</v>
      </c>
      <c r="H627" s="12" t="s">
        <v>128</v>
      </c>
      <c r="I627" s="15">
        <f>221711-15837-2910-12844+633+8940+4413-1476</f>
        <v>202630</v>
      </c>
      <c r="J627" s="15">
        <v>195173</v>
      </c>
      <c r="K627" s="397">
        <f t="shared" si="107"/>
        <v>96.319893401766763</v>
      </c>
      <c r="L627" s="15"/>
      <c r="M627" s="15"/>
      <c r="N627" s="15"/>
      <c r="O627" s="397"/>
      <c r="P627" s="15"/>
      <c r="Q627" s="16">
        <f t="shared" si="104"/>
        <v>202630</v>
      </c>
      <c r="R627" s="16">
        <f t="shared" si="105"/>
        <v>195173</v>
      </c>
      <c r="S627" s="448">
        <f t="shared" si="99"/>
        <v>96.319893401766763</v>
      </c>
    </row>
    <row r="628" spans="2:19" x14ac:dyDescent="0.2">
      <c r="B628" s="6">
        <f t="shared" si="100"/>
        <v>126</v>
      </c>
      <c r="C628" s="12"/>
      <c r="D628" s="12"/>
      <c r="E628" s="12"/>
      <c r="F628" s="13" t="s">
        <v>184</v>
      </c>
      <c r="G628" s="14">
        <v>620</v>
      </c>
      <c r="H628" s="12" t="s">
        <v>121</v>
      </c>
      <c r="I628" s="15">
        <f>83970-6010-936-4874+228+3523+1587-2038</f>
        <v>75450</v>
      </c>
      <c r="J628" s="15">
        <v>73941</v>
      </c>
      <c r="K628" s="397">
        <f t="shared" si="107"/>
        <v>98</v>
      </c>
      <c r="L628" s="15"/>
      <c r="M628" s="15"/>
      <c r="N628" s="15"/>
      <c r="O628" s="397"/>
      <c r="P628" s="15"/>
      <c r="Q628" s="16">
        <f t="shared" si="104"/>
        <v>75450</v>
      </c>
      <c r="R628" s="16">
        <f t="shared" si="105"/>
        <v>73941</v>
      </c>
      <c r="S628" s="448">
        <f t="shared" si="99"/>
        <v>98</v>
      </c>
    </row>
    <row r="629" spans="2:19" x14ac:dyDescent="0.2">
      <c r="B629" s="6">
        <f t="shared" si="100"/>
        <v>127</v>
      </c>
      <c r="C629" s="12"/>
      <c r="D629" s="12"/>
      <c r="E629" s="12"/>
      <c r="F629" s="13" t="s">
        <v>184</v>
      </c>
      <c r="G629" s="14">
        <v>630</v>
      </c>
      <c r="H629" s="12" t="s">
        <v>118</v>
      </c>
      <c r="I629" s="15">
        <f>SUM(I630:I635)</f>
        <v>62488</v>
      </c>
      <c r="J629" s="15">
        <f>SUM(J630:J635)</f>
        <v>41958</v>
      </c>
      <c r="K629" s="397">
        <f t="shared" si="107"/>
        <v>67.145691972858785</v>
      </c>
      <c r="L629" s="15"/>
      <c r="M629" s="15"/>
      <c r="N629" s="15"/>
      <c r="O629" s="397"/>
      <c r="P629" s="15"/>
      <c r="Q629" s="16">
        <f t="shared" si="104"/>
        <v>62488</v>
      </c>
      <c r="R629" s="16">
        <f t="shared" si="105"/>
        <v>41958</v>
      </c>
      <c r="S629" s="448">
        <f t="shared" si="99"/>
        <v>67.145691972858785</v>
      </c>
    </row>
    <row r="630" spans="2:19" x14ac:dyDescent="0.2">
      <c r="B630" s="6">
        <f t="shared" si="100"/>
        <v>128</v>
      </c>
      <c r="C630" s="17"/>
      <c r="D630" s="17"/>
      <c r="E630" s="17"/>
      <c r="F630" s="18"/>
      <c r="G630" s="19">
        <v>632</v>
      </c>
      <c r="H630" s="17" t="s">
        <v>131</v>
      </c>
      <c r="I630" s="20">
        <f>17462-5250</f>
        <v>12212</v>
      </c>
      <c r="J630" s="20">
        <v>12212</v>
      </c>
      <c r="K630" s="397">
        <f t="shared" si="107"/>
        <v>100</v>
      </c>
      <c r="L630" s="20"/>
      <c r="M630" s="20"/>
      <c r="N630" s="20"/>
      <c r="O630" s="397"/>
      <c r="P630" s="20"/>
      <c r="Q630" s="21">
        <f t="shared" si="104"/>
        <v>12212</v>
      </c>
      <c r="R630" s="21">
        <f t="shared" si="105"/>
        <v>12212</v>
      </c>
      <c r="S630" s="448">
        <f t="shared" si="99"/>
        <v>100</v>
      </c>
    </row>
    <row r="631" spans="2:19" x14ac:dyDescent="0.2">
      <c r="B631" s="6">
        <f t="shared" si="100"/>
        <v>129</v>
      </c>
      <c r="C631" s="17"/>
      <c r="D631" s="17"/>
      <c r="E631" s="17"/>
      <c r="F631" s="18"/>
      <c r="G631" s="19">
        <v>633</v>
      </c>
      <c r="H631" s="17" t="s">
        <v>122</v>
      </c>
      <c r="I631" s="20">
        <f>24475+205+1148+2351</f>
        <v>28179</v>
      </c>
      <c r="J631" s="20">
        <v>13474</v>
      </c>
      <c r="K631" s="397">
        <f t="shared" si="107"/>
        <v>47.815749316867176</v>
      </c>
      <c r="L631" s="20"/>
      <c r="M631" s="20"/>
      <c r="N631" s="20"/>
      <c r="O631" s="397"/>
      <c r="P631" s="20"/>
      <c r="Q631" s="21">
        <f t="shared" si="104"/>
        <v>28179</v>
      </c>
      <c r="R631" s="21">
        <f t="shared" si="105"/>
        <v>13474</v>
      </c>
      <c r="S631" s="448">
        <f t="shared" ref="S631:S694" si="108">R631/Q631*100</f>
        <v>47.815749316867176</v>
      </c>
    </row>
    <row r="632" spans="2:19" x14ac:dyDescent="0.2">
      <c r="B632" s="6">
        <f t="shared" ref="B632:B695" si="109">B631+1</f>
        <v>130</v>
      </c>
      <c r="C632" s="17"/>
      <c r="D632" s="17"/>
      <c r="E632" s="17"/>
      <c r="F632" s="18"/>
      <c r="G632" s="19">
        <v>634</v>
      </c>
      <c r="H632" s="17" t="s">
        <v>129</v>
      </c>
      <c r="I632" s="20">
        <f>350+211-239</f>
        <v>322</v>
      </c>
      <c r="J632" s="20">
        <v>304</v>
      </c>
      <c r="K632" s="397">
        <f t="shared" si="107"/>
        <v>94.409937888198755</v>
      </c>
      <c r="L632" s="20"/>
      <c r="M632" s="20"/>
      <c r="N632" s="20"/>
      <c r="O632" s="397"/>
      <c r="P632" s="20"/>
      <c r="Q632" s="21">
        <f t="shared" si="104"/>
        <v>322</v>
      </c>
      <c r="R632" s="21">
        <f t="shared" si="105"/>
        <v>304</v>
      </c>
      <c r="S632" s="448">
        <f t="shared" si="108"/>
        <v>94.409937888198755</v>
      </c>
    </row>
    <row r="633" spans="2:19" x14ac:dyDescent="0.2">
      <c r="B633" s="6">
        <f t="shared" si="109"/>
        <v>131</v>
      </c>
      <c r="C633" s="17"/>
      <c r="D633" s="17"/>
      <c r="E633" s="17"/>
      <c r="F633" s="18"/>
      <c r="G633" s="19">
        <v>635</v>
      </c>
      <c r="H633" s="17" t="s">
        <v>130</v>
      </c>
      <c r="I633" s="20">
        <f>4000+4520</f>
        <v>8520</v>
      </c>
      <c r="J633" s="20">
        <v>5363</v>
      </c>
      <c r="K633" s="397">
        <f t="shared" si="107"/>
        <v>62.946009389671367</v>
      </c>
      <c r="L633" s="20"/>
      <c r="M633" s="20"/>
      <c r="N633" s="20"/>
      <c r="O633" s="397"/>
      <c r="P633" s="20"/>
      <c r="Q633" s="21">
        <f t="shared" si="104"/>
        <v>8520</v>
      </c>
      <c r="R633" s="21">
        <f t="shared" si="105"/>
        <v>5363</v>
      </c>
      <c r="S633" s="448">
        <f t="shared" si="108"/>
        <v>62.946009389671367</v>
      </c>
    </row>
    <row r="634" spans="2:19" x14ac:dyDescent="0.2">
      <c r="B634" s="6">
        <f t="shared" si="109"/>
        <v>132</v>
      </c>
      <c r="C634" s="17"/>
      <c r="D634" s="17"/>
      <c r="E634" s="17"/>
      <c r="F634" s="18"/>
      <c r="G634" s="19">
        <v>636</v>
      </c>
      <c r="H634" s="17" t="s">
        <v>123</v>
      </c>
      <c r="I634" s="20">
        <f>317-177</f>
        <v>140</v>
      </c>
      <c r="J634" s="20">
        <v>140</v>
      </c>
      <c r="K634" s="397">
        <f t="shared" si="107"/>
        <v>100</v>
      </c>
      <c r="L634" s="20"/>
      <c r="M634" s="20"/>
      <c r="N634" s="20"/>
      <c r="O634" s="397"/>
      <c r="P634" s="20"/>
      <c r="Q634" s="21">
        <f t="shared" si="104"/>
        <v>140</v>
      </c>
      <c r="R634" s="21">
        <f t="shared" si="105"/>
        <v>140</v>
      </c>
      <c r="S634" s="448">
        <f t="shared" si="108"/>
        <v>100</v>
      </c>
    </row>
    <row r="635" spans="2:19" x14ac:dyDescent="0.2">
      <c r="B635" s="6">
        <f t="shared" si="109"/>
        <v>133</v>
      </c>
      <c r="C635" s="17"/>
      <c r="D635" s="17"/>
      <c r="E635" s="17"/>
      <c r="F635" s="18"/>
      <c r="G635" s="19">
        <v>637</v>
      </c>
      <c r="H635" s="17" t="s">
        <v>119</v>
      </c>
      <c r="I635" s="20">
        <f>9160+4591-636</f>
        <v>13115</v>
      </c>
      <c r="J635" s="20">
        <v>10465</v>
      </c>
      <c r="K635" s="397">
        <f t="shared" si="107"/>
        <v>79.794128860083873</v>
      </c>
      <c r="L635" s="20"/>
      <c r="M635" s="20"/>
      <c r="N635" s="20"/>
      <c r="O635" s="397"/>
      <c r="P635" s="20"/>
      <c r="Q635" s="21">
        <f t="shared" si="104"/>
        <v>13115</v>
      </c>
      <c r="R635" s="21">
        <f t="shared" si="105"/>
        <v>10465</v>
      </c>
      <c r="S635" s="448">
        <f t="shared" si="108"/>
        <v>79.794128860083873</v>
      </c>
    </row>
    <row r="636" spans="2:19" x14ac:dyDescent="0.2">
      <c r="B636" s="6">
        <f t="shared" si="109"/>
        <v>134</v>
      </c>
      <c r="C636" s="12"/>
      <c r="D636" s="12"/>
      <c r="E636" s="12"/>
      <c r="F636" s="13" t="s">
        <v>184</v>
      </c>
      <c r="G636" s="14">
        <v>640</v>
      </c>
      <c r="H636" s="12" t="s">
        <v>126</v>
      </c>
      <c r="I636" s="15">
        <f>1206+216+860-100</f>
        <v>2182</v>
      </c>
      <c r="J636" s="15">
        <v>2182</v>
      </c>
      <c r="K636" s="397">
        <f t="shared" si="107"/>
        <v>100</v>
      </c>
      <c r="L636" s="15"/>
      <c r="M636" s="15"/>
      <c r="N636" s="15"/>
      <c r="O636" s="397"/>
      <c r="P636" s="15"/>
      <c r="Q636" s="16">
        <f t="shared" si="104"/>
        <v>2182</v>
      </c>
      <c r="R636" s="16">
        <f t="shared" si="105"/>
        <v>2182</v>
      </c>
      <c r="S636" s="448">
        <f t="shared" si="108"/>
        <v>100</v>
      </c>
    </row>
    <row r="637" spans="2:19" x14ac:dyDescent="0.2">
      <c r="B637" s="6">
        <f t="shared" si="109"/>
        <v>135</v>
      </c>
      <c r="C637" s="12"/>
      <c r="D637" s="12"/>
      <c r="E637" s="12"/>
      <c r="F637" s="13" t="s">
        <v>184</v>
      </c>
      <c r="G637" s="14">
        <v>710</v>
      </c>
      <c r="H637" s="12" t="s">
        <v>172</v>
      </c>
      <c r="I637" s="15"/>
      <c r="J637" s="15"/>
      <c r="K637" s="397"/>
      <c r="L637" s="15"/>
      <c r="M637" s="15">
        <f>M638</f>
        <v>29000</v>
      </c>
      <c r="N637" s="15">
        <f>N638</f>
        <v>28993</v>
      </c>
      <c r="O637" s="397">
        <f>N637/M637*100</f>
        <v>99.975862068965512</v>
      </c>
      <c r="P637" s="15"/>
      <c r="Q637" s="21">
        <f t="shared" si="104"/>
        <v>29000</v>
      </c>
      <c r="R637" s="21">
        <f t="shared" si="105"/>
        <v>28993</v>
      </c>
      <c r="S637" s="448">
        <f t="shared" si="108"/>
        <v>99.975862068965512</v>
      </c>
    </row>
    <row r="638" spans="2:19" x14ac:dyDescent="0.2">
      <c r="B638" s="6">
        <f t="shared" si="109"/>
        <v>136</v>
      </c>
      <c r="C638" s="12"/>
      <c r="D638" s="12"/>
      <c r="E638" s="12"/>
      <c r="F638" s="13"/>
      <c r="G638" s="19">
        <v>717</v>
      </c>
      <c r="H638" s="17" t="s">
        <v>179</v>
      </c>
      <c r="I638" s="20"/>
      <c r="J638" s="20"/>
      <c r="K638" s="397"/>
      <c r="L638" s="20"/>
      <c r="M638" s="20">
        <f>M639</f>
        <v>29000</v>
      </c>
      <c r="N638" s="20">
        <f>N639</f>
        <v>28993</v>
      </c>
      <c r="O638" s="397">
        <f>N638/M638*100</f>
        <v>99.975862068965512</v>
      </c>
      <c r="P638" s="20"/>
      <c r="Q638" s="21">
        <f t="shared" si="104"/>
        <v>29000</v>
      </c>
      <c r="R638" s="21">
        <f t="shared" si="105"/>
        <v>28993</v>
      </c>
      <c r="S638" s="448">
        <f t="shared" si="108"/>
        <v>99.975862068965512</v>
      </c>
    </row>
    <row r="639" spans="2:19" x14ac:dyDescent="0.2">
      <c r="B639" s="6">
        <f t="shared" si="109"/>
        <v>137</v>
      </c>
      <c r="C639" s="111"/>
      <c r="D639" s="111"/>
      <c r="E639" s="111"/>
      <c r="F639" s="309"/>
      <c r="G639" s="23"/>
      <c r="H639" s="1" t="s">
        <v>599</v>
      </c>
      <c r="I639" s="24"/>
      <c r="J639" s="24"/>
      <c r="K639" s="397"/>
      <c r="L639" s="24"/>
      <c r="M639" s="24">
        <f>10000+15500+3500</f>
        <v>29000</v>
      </c>
      <c r="N639" s="24">
        <v>28993</v>
      </c>
      <c r="O639" s="397">
        <f>N639/M639*100</f>
        <v>99.975862068965512</v>
      </c>
      <c r="P639" s="24"/>
      <c r="Q639" s="26">
        <f t="shared" si="104"/>
        <v>29000</v>
      </c>
      <c r="R639" s="26">
        <f t="shared" si="105"/>
        <v>28993</v>
      </c>
      <c r="S639" s="448">
        <f t="shared" si="108"/>
        <v>99.975862068965512</v>
      </c>
    </row>
    <row r="640" spans="2:19" x14ac:dyDescent="0.2">
      <c r="B640" s="6">
        <f t="shared" si="109"/>
        <v>138</v>
      </c>
      <c r="C640" s="107"/>
      <c r="D640" s="107"/>
      <c r="E640" s="107" t="s">
        <v>97</v>
      </c>
      <c r="F640" s="108"/>
      <c r="G640" s="108"/>
      <c r="H640" s="107" t="s">
        <v>60</v>
      </c>
      <c r="I640" s="109">
        <f>I641+I642+I643+I650</f>
        <v>525632</v>
      </c>
      <c r="J640" s="109">
        <f>J641+J642+J643+J650</f>
        <v>517923</v>
      </c>
      <c r="K640" s="415">
        <f t="shared" ref="K640:K650" si="110">J640/I640*100</f>
        <v>98.533384573237555</v>
      </c>
      <c r="L640" s="15"/>
      <c r="M640" s="109">
        <f>M651</f>
        <v>29574</v>
      </c>
      <c r="N640" s="109">
        <f>N651</f>
        <v>19999</v>
      </c>
      <c r="O640" s="415">
        <f>N640/M640*100</f>
        <v>67.623588287008857</v>
      </c>
      <c r="P640" s="15"/>
      <c r="Q640" s="110">
        <f t="shared" si="104"/>
        <v>555206</v>
      </c>
      <c r="R640" s="110">
        <f t="shared" si="105"/>
        <v>537922</v>
      </c>
      <c r="S640" s="467">
        <f t="shared" si="108"/>
        <v>96.886921250851032</v>
      </c>
    </row>
    <row r="641" spans="2:19" x14ac:dyDescent="0.2">
      <c r="B641" s="6">
        <f t="shared" si="109"/>
        <v>139</v>
      </c>
      <c r="C641" s="12"/>
      <c r="D641" s="12"/>
      <c r="E641" s="12"/>
      <c r="F641" s="13" t="s">
        <v>184</v>
      </c>
      <c r="G641" s="14">
        <v>610</v>
      </c>
      <c r="H641" s="12" t="s">
        <v>128</v>
      </c>
      <c r="I641" s="15">
        <f>276192-19728+13975+11600+14259</f>
        <v>296298</v>
      </c>
      <c r="J641" s="15">
        <v>292971</v>
      </c>
      <c r="K641" s="397">
        <f t="shared" si="110"/>
        <v>98.877143956422259</v>
      </c>
      <c r="L641" s="15"/>
      <c r="M641" s="15"/>
      <c r="N641" s="15"/>
      <c r="O641" s="397"/>
      <c r="P641" s="15"/>
      <c r="Q641" s="16">
        <f t="shared" si="104"/>
        <v>296298</v>
      </c>
      <c r="R641" s="16">
        <f t="shared" si="105"/>
        <v>292971</v>
      </c>
      <c r="S641" s="448">
        <f t="shared" si="108"/>
        <v>98.877143956422259</v>
      </c>
    </row>
    <row r="642" spans="2:19" x14ac:dyDescent="0.2">
      <c r="B642" s="6">
        <f t="shared" si="109"/>
        <v>140</v>
      </c>
      <c r="C642" s="12"/>
      <c r="D642" s="12"/>
      <c r="E642" s="12"/>
      <c r="F642" s="13" t="s">
        <v>184</v>
      </c>
      <c r="G642" s="14">
        <v>620</v>
      </c>
      <c r="H642" s="12" t="s">
        <v>121</v>
      </c>
      <c r="I642" s="15">
        <f>107241-7487+2516+4314+3341</f>
        <v>109925</v>
      </c>
      <c r="J642" s="15">
        <v>109826</v>
      </c>
      <c r="K642" s="397">
        <f t="shared" si="110"/>
        <v>99.909938594496253</v>
      </c>
      <c r="L642" s="15"/>
      <c r="M642" s="15"/>
      <c r="N642" s="15"/>
      <c r="O642" s="397"/>
      <c r="P642" s="15"/>
      <c r="Q642" s="16">
        <f t="shared" si="104"/>
        <v>109925</v>
      </c>
      <c r="R642" s="16">
        <f t="shared" si="105"/>
        <v>109826</v>
      </c>
      <c r="S642" s="448">
        <f t="shared" si="108"/>
        <v>99.909938594496253</v>
      </c>
    </row>
    <row r="643" spans="2:19" x14ac:dyDescent="0.2">
      <c r="B643" s="6">
        <f t="shared" si="109"/>
        <v>141</v>
      </c>
      <c r="C643" s="12"/>
      <c r="D643" s="12"/>
      <c r="E643" s="12"/>
      <c r="F643" s="13" t="s">
        <v>184</v>
      </c>
      <c r="G643" s="14">
        <v>630</v>
      </c>
      <c r="H643" s="12" t="s">
        <v>118</v>
      </c>
      <c r="I643" s="15">
        <f>SUM(I644:I649)</f>
        <v>110579</v>
      </c>
      <c r="J643" s="15">
        <f>SUM(J644:J649)</f>
        <v>107986</v>
      </c>
      <c r="K643" s="397">
        <f t="shared" si="110"/>
        <v>97.655070130856672</v>
      </c>
      <c r="L643" s="15"/>
      <c r="M643" s="15"/>
      <c r="N643" s="15"/>
      <c r="O643" s="397"/>
      <c r="P643" s="15"/>
      <c r="Q643" s="16">
        <f t="shared" si="104"/>
        <v>110579</v>
      </c>
      <c r="R643" s="16">
        <f t="shared" si="105"/>
        <v>107986</v>
      </c>
      <c r="S643" s="448">
        <f t="shared" si="108"/>
        <v>97.655070130856672</v>
      </c>
    </row>
    <row r="644" spans="2:19" x14ac:dyDescent="0.2">
      <c r="B644" s="6">
        <f t="shared" si="109"/>
        <v>142</v>
      </c>
      <c r="C644" s="17"/>
      <c r="D644" s="17"/>
      <c r="E644" s="17"/>
      <c r="F644" s="18"/>
      <c r="G644" s="19">
        <v>632</v>
      </c>
      <c r="H644" s="17" t="s">
        <v>131</v>
      </c>
      <c r="I644" s="20">
        <f>44120-12934+1000</f>
        <v>32186</v>
      </c>
      <c r="J644" s="20">
        <v>32125</v>
      </c>
      <c r="K644" s="397">
        <f t="shared" si="110"/>
        <v>99.810476604734973</v>
      </c>
      <c r="L644" s="20"/>
      <c r="M644" s="20"/>
      <c r="N644" s="20"/>
      <c r="O644" s="397"/>
      <c r="P644" s="20"/>
      <c r="Q644" s="21">
        <f t="shared" si="104"/>
        <v>32186</v>
      </c>
      <c r="R644" s="21">
        <f t="shared" si="105"/>
        <v>32125</v>
      </c>
      <c r="S644" s="448">
        <f t="shared" si="108"/>
        <v>99.810476604734973</v>
      </c>
    </row>
    <row r="645" spans="2:19" x14ac:dyDescent="0.2">
      <c r="B645" s="6">
        <f t="shared" si="109"/>
        <v>143</v>
      </c>
      <c r="C645" s="17"/>
      <c r="D645" s="17"/>
      <c r="E645" s="17"/>
      <c r="F645" s="18"/>
      <c r="G645" s="19">
        <v>633</v>
      </c>
      <c r="H645" s="17" t="s">
        <v>122</v>
      </c>
      <c r="I645" s="20">
        <f>37887+273+1237</f>
        <v>39397</v>
      </c>
      <c r="J645" s="20">
        <v>37694</v>
      </c>
      <c r="K645" s="397">
        <f t="shared" si="110"/>
        <v>95.677335837754143</v>
      </c>
      <c r="L645" s="20"/>
      <c r="M645" s="20"/>
      <c r="N645" s="20"/>
      <c r="O645" s="397"/>
      <c r="P645" s="20"/>
      <c r="Q645" s="21">
        <f t="shared" si="104"/>
        <v>39397</v>
      </c>
      <c r="R645" s="21">
        <f t="shared" si="105"/>
        <v>37694</v>
      </c>
      <c r="S645" s="448">
        <f t="shared" si="108"/>
        <v>95.677335837754143</v>
      </c>
    </row>
    <row r="646" spans="2:19" x14ac:dyDescent="0.2">
      <c r="B646" s="6">
        <f t="shared" si="109"/>
        <v>144</v>
      </c>
      <c r="C646" s="17"/>
      <c r="D646" s="17"/>
      <c r="E646" s="17"/>
      <c r="F646" s="18"/>
      <c r="G646" s="19">
        <v>634</v>
      </c>
      <c r="H646" s="17" t="s">
        <v>129</v>
      </c>
      <c r="I646" s="20">
        <f>100+282-100</f>
        <v>282</v>
      </c>
      <c r="J646" s="20">
        <v>282</v>
      </c>
      <c r="K646" s="397">
        <f t="shared" si="110"/>
        <v>100</v>
      </c>
      <c r="L646" s="20"/>
      <c r="M646" s="20"/>
      <c r="N646" s="20"/>
      <c r="O646" s="397"/>
      <c r="P646" s="20"/>
      <c r="Q646" s="21">
        <f t="shared" si="104"/>
        <v>282</v>
      </c>
      <c r="R646" s="21">
        <f t="shared" si="105"/>
        <v>282</v>
      </c>
      <c r="S646" s="448">
        <f t="shared" si="108"/>
        <v>100</v>
      </c>
    </row>
    <row r="647" spans="2:19" x14ac:dyDescent="0.2">
      <c r="B647" s="6">
        <f t="shared" si="109"/>
        <v>145</v>
      </c>
      <c r="C647" s="17"/>
      <c r="D647" s="17"/>
      <c r="E647" s="17"/>
      <c r="F647" s="18"/>
      <c r="G647" s="19">
        <v>635</v>
      </c>
      <c r="H647" s="17" t="s">
        <v>130</v>
      </c>
      <c r="I647" s="20">
        <f>10500+5574+3500</f>
        <v>19574</v>
      </c>
      <c r="J647" s="20">
        <v>19574</v>
      </c>
      <c r="K647" s="397">
        <f t="shared" si="110"/>
        <v>100</v>
      </c>
      <c r="L647" s="20"/>
      <c r="M647" s="20"/>
      <c r="N647" s="20"/>
      <c r="O647" s="397"/>
      <c r="P647" s="20"/>
      <c r="Q647" s="21">
        <f t="shared" si="104"/>
        <v>19574</v>
      </c>
      <c r="R647" s="21">
        <f t="shared" si="105"/>
        <v>19574</v>
      </c>
      <c r="S647" s="448">
        <f t="shared" si="108"/>
        <v>100</v>
      </c>
    </row>
    <row r="648" spans="2:19" x14ac:dyDescent="0.2">
      <c r="B648" s="6">
        <f t="shared" si="109"/>
        <v>146</v>
      </c>
      <c r="C648" s="17"/>
      <c r="D648" s="17"/>
      <c r="E648" s="17"/>
      <c r="F648" s="18"/>
      <c r="G648" s="19">
        <v>636</v>
      </c>
      <c r="H648" s="17" t="s">
        <v>123</v>
      </c>
      <c r="I648" s="20">
        <f>423-237</f>
        <v>186</v>
      </c>
      <c r="J648" s="20">
        <v>186</v>
      </c>
      <c r="K648" s="397">
        <f t="shared" si="110"/>
        <v>100</v>
      </c>
      <c r="L648" s="20"/>
      <c r="M648" s="20"/>
      <c r="N648" s="20"/>
      <c r="O648" s="397"/>
      <c r="P648" s="20"/>
      <c r="Q648" s="21">
        <f t="shared" si="104"/>
        <v>186</v>
      </c>
      <c r="R648" s="21">
        <f t="shared" si="105"/>
        <v>186</v>
      </c>
      <c r="S648" s="448">
        <f t="shared" si="108"/>
        <v>100</v>
      </c>
    </row>
    <row r="649" spans="2:19" x14ac:dyDescent="0.2">
      <c r="B649" s="6">
        <f t="shared" si="109"/>
        <v>147</v>
      </c>
      <c r="C649" s="17"/>
      <c r="D649" s="17"/>
      <c r="E649" s="17"/>
      <c r="F649" s="18"/>
      <c r="G649" s="19">
        <v>637</v>
      </c>
      <c r="H649" s="17" t="s">
        <v>119</v>
      </c>
      <c r="I649" s="20">
        <f>11660+8221-2202+1275</f>
        <v>18954</v>
      </c>
      <c r="J649" s="20">
        <v>18125</v>
      </c>
      <c r="K649" s="397">
        <f t="shared" si="110"/>
        <v>95.626253033660447</v>
      </c>
      <c r="L649" s="20"/>
      <c r="M649" s="20"/>
      <c r="N649" s="20"/>
      <c r="O649" s="397"/>
      <c r="P649" s="20"/>
      <c r="Q649" s="21">
        <f t="shared" si="104"/>
        <v>18954</v>
      </c>
      <c r="R649" s="21">
        <f t="shared" si="105"/>
        <v>18125</v>
      </c>
      <c r="S649" s="448">
        <f t="shared" si="108"/>
        <v>95.626253033660447</v>
      </c>
    </row>
    <row r="650" spans="2:19" x14ac:dyDescent="0.2">
      <c r="B650" s="6">
        <f t="shared" si="109"/>
        <v>148</v>
      </c>
      <c r="C650" s="12"/>
      <c r="D650" s="12"/>
      <c r="E650" s="12"/>
      <c r="F650" s="13" t="s">
        <v>184</v>
      </c>
      <c r="G650" s="14">
        <v>640</v>
      </c>
      <c r="H650" s="12" t="s">
        <v>126</v>
      </c>
      <c r="I650" s="15">
        <f>8442+288+400+700-1000</f>
        <v>8830</v>
      </c>
      <c r="J650" s="15">
        <v>7140</v>
      </c>
      <c r="K650" s="397">
        <f t="shared" si="110"/>
        <v>80.860702151755376</v>
      </c>
      <c r="L650" s="15"/>
      <c r="M650" s="15"/>
      <c r="N650" s="15"/>
      <c r="O650" s="397"/>
      <c r="P650" s="15"/>
      <c r="Q650" s="16">
        <f t="shared" si="104"/>
        <v>8830</v>
      </c>
      <c r="R650" s="16">
        <f t="shared" si="105"/>
        <v>7140</v>
      </c>
      <c r="S650" s="448">
        <f t="shared" si="108"/>
        <v>80.860702151755376</v>
      </c>
    </row>
    <row r="651" spans="2:19" x14ac:dyDescent="0.2">
      <c r="B651" s="6">
        <f t="shared" si="109"/>
        <v>149</v>
      </c>
      <c r="C651" s="12"/>
      <c r="D651" s="12"/>
      <c r="E651" s="12"/>
      <c r="F651" s="13" t="s">
        <v>184</v>
      </c>
      <c r="G651" s="14">
        <v>710</v>
      </c>
      <c r="H651" s="12" t="s">
        <v>172</v>
      </c>
      <c r="I651" s="15"/>
      <c r="J651" s="15"/>
      <c r="K651" s="397"/>
      <c r="L651" s="15"/>
      <c r="M651" s="15">
        <f>M652</f>
        <v>29574</v>
      </c>
      <c r="N651" s="15">
        <f>N652</f>
        <v>19999</v>
      </c>
      <c r="O651" s="397">
        <f>N651/M651*100</f>
        <v>67.623588287008857</v>
      </c>
      <c r="P651" s="15"/>
      <c r="Q651" s="16">
        <f t="shared" si="104"/>
        <v>29574</v>
      </c>
      <c r="R651" s="16">
        <f t="shared" si="105"/>
        <v>19999</v>
      </c>
      <c r="S651" s="448">
        <f t="shared" si="108"/>
        <v>67.623588287008857</v>
      </c>
    </row>
    <row r="652" spans="2:19" x14ac:dyDescent="0.2">
      <c r="B652" s="6">
        <f t="shared" si="109"/>
        <v>150</v>
      </c>
      <c r="C652" s="17"/>
      <c r="D652" s="17"/>
      <c r="E652" s="17"/>
      <c r="F652" s="18"/>
      <c r="G652" s="19">
        <v>717</v>
      </c>
      <c r="H652" s="17" t="s">
        <v>179</v>
      </c>
      <c r="I652" s="20"/>
      <c r="J652" s="20"/>
      <c r="K652" s="397"/>
      <c r="L652" s="20"/>
      <c r="M652" s="20">
        <f>M653+M654</f>
        <v>29574</v>
      </c>
      <c r="N652" s="20">
        <f>N653+N654</f>
        <v>19999</v>
      </c>
      <c r="O652" s="397">
        <f>N652/M652*100</f>
        <v>67.623588287008857</v>
      </c>
      <c r="P652" s="20"/>
      <c r="Q652" s="21">
        <f t="shared" si="104"/>
        <v>29574</v>
      </c>
      <c r="R652" s="21">
        <f t="shared" si="105"/>
        <v>19999</v>
      </c>
      <c r="S652" s="448">
        <f t="shared" si="108"/>
        <v>67.623588287008857</v>
      </c>
    </row>
    <row r="653" spans="2:19" x14ac:dyDescent="0.2">
      <c r="B653" s="6">
        <f t="shared" si="109"/>
        <v>151</v>
      </c>
      <c r="C653" s="1"/>
      <c r="D653" s="1"/>
      <c r="E653" s="1"/>
      <c r="F653" s="101"/>
      <c r="G653" s="23"/>
      <c r="H653" s="1" t="s">
        <v>584</v>
      </c>
      <c r="I653" s="24"/>
      <c r="J653" s="24"/>
      <c r="K653" s="397"/>
      <c r="L653" s="24"/>
      <c r="M653" s="24">
        <f>15000+5000</f>
        <v>20000</v>
      </c>
      <c r="N653" s="24">
        <v>19999</v>
      </c>
      <c r="O653" s="397">
        <f>N653/M653*100</f>
        <v>99.995000000000005</v>
      </c>
      <c r="P653" s="24"/>
      <c r="Q653" s="26">
        <f t="shared" si="104"/>
        <v>20000</v>
      </c>
      <c r="R653" s="26">
        <f t="shared" si="105"/>
        <v>19999</v>
      </c>
      <c r="S653" s="448">
        <f t="shared" si="108"/>
        <v>99.995000000000005</v>
      </c>
    </row>
    <row r="654" spans="2:19" x14ac:dyDescent="0.2">
      <c r="B654" s="6">
        <f t="shared" si="109"/>
        <v>152</v>
      </c>
      <c r="C654" s="1"/>
      <c r="D654" s="1"/>
      <c r="E654" s="1"/>
      <c r="F654" s="101"/>
      <c r="G654" s="23"/>
      <c r="H654" s="1" t="s">
        <v>585</v>
      </c>
      <c r="I654" s="24"/>
      <c r="J654" s="24"/>
      <c r="K654" s="397"/>
      <c r="L654" s="24"/>
      <c r="M654" s="24">
        <f>20000-10426</f>
        <v>9574</v>
      </c>
      <c r="N654" s="24"/>
      <c r="O654" s="397">
        <f>N654/M654*100</f>
        <v>0</v>
      </c>
      <c r="P654" s="24"/>
      <c r="Q654" s="26">
        <f t="shared" si="104"/>
        <v>9574</v>
      </c>
      <c r="R654" s="26">
        <f t="shared" si="105"/>
        <v>0</v>
      </c>
      <c r="S654" s="448">
        <f t="shared" si="108"/>
        <v>0</v>
      </c>
    </row>
    <row r="655" spans="2:19" x14ac:dyDescent="0.2">
      <c r="B655" s="6">
        <f t="shared" si="109"/>
        <v>153</v>
      </c>
      <c r="C655" s="107"/>
      <c r="D655" s="107"/>
      <c r="E655" s="107" t="s">
        <v>93</v>
      </c>
      <c r="F655" s="108"/>
      <c r="G655" s="108"/>
      <c r="H655" s="107" t="s">
        <v>66</v>
      </c>
      <c r="I655" s="109">
        <f>I656+I657+I658+I665</f>
        <v>548349</v>
      </c>
      <c r="J655" s="109">
        <f>J656+J657+J658+J665</f>
        <v>531259</v>
      </c>
      <c r="K655" s="415">
        <f t="shared" ref="K655:K687" si="111">J655/I655*100</f>
        <v>96.883371721294282</v>
      </c>
      <c r="L655" s="15"/>
      <c r="M655" s="109"/>
      <c r="N655" s="109"/>
      <c r="O655" s="415"/>
      <c r="P655" s="15"/>
      <c r="Q655" s="110">
        <f t="shared" si="104"/>
        <v>548349</v>
      </c>
      <c r="R655" s="110">
        <f t="shared" si="105"/>
        <v>531259</v>
      </c>
      <c r="S655" s="467">
        <f t="shared" si="108"/>
        <v>96.883371721294282</v>
      </c>
    </row>
    <row r="656" spans="2:19" x14ac:dyDescent="0.2">
      <c r="B656" s="6">
        <f t="shared" si="109"/>
        <v>154</v>
      </c>
      <c r="C656" s="12"/>
      <c r="D656" s="12"/>
      <c r="E656" s="12"/>
      <c r="F656" s="13" t="s">
        <v>184</v>
      </c>
      <c r="G656" s="14">
        <v>610</v>
      </c>
      <c r="H656" s="12" t="s">
        <v>128</v>
      </c>
      <c r="I656" s="15">
        <f>292880-22017+25703-21786+3800+13000+28441-875</f>
        <v>319146</v>
      </c>
      <c r="J656" s="15">
        <v>314782</v>
      </c>
      <c r="K656" s="397">
        <f t="shared" si="111"/>
        <v>98.632600753260263</v>
      </c>
      <c r="L656" s="15"/>
      <c r="M656" s="15"/>
      <c r="N656" s="15"/>
      <c r="O656" s="397"/>
      <c r="P656" s="15"/>
      <c r="Q656" s="16">
        <f t="shared" si="104"/>
        <v>319146</v>
      </c>
      <c r="R656" s="16">
        <f t="shared" si="105"/>
        <v>314782</v>
      </c>
      <c r="S656" s="448">
        <f t="shared" si="108"/>
        <v>98.632600753260263</v>
      </c>
    </row>
    <row r="657" spans="2:19" x14ac:dyDescent="0.2">
      <c r="B657" s="6">
        <f t="shared" si="109"/>
        <v>155</v>
      </c>
      <c r="C657" s="12"/>
      <c r="D657" s="12"/>
      <c r="E657" s="12"/>
      <c r="F657" s="13" t="s">
        <v>184</v>
      </c>
      <c r="G657" s="14">
        <v>620</v>
      </c>
      <c r="H657" s="12" t="s">
        <v>121</v>
      </c>
      <c r="I657" s="15">
        <f>110701-8355+10200-8268+1366+5033+9517-315</f>
        <v>119879</v>
      </c>
      <c r="J657" s="15">
        <v>119878</v>
      </c>
      <c r="K657" s="397">
        <f t="shared" si="111"/>
        <v>99.999165825540757</v>
      </c>
      <c r="L657" s="15"/>
      <c r="M657" s="15"/>
      <c r="N657" s="15"/>
      <c r="O657" s="397"/>
      <c r="P657" s="15"/>
      <c r="Q657" s="16">
        <f t="shared" si="104"/>
        <v>119879</v>
      </c>
      <c r="R657" s="16">
        <f t="shared" si="105"/>
        <v>119878</v>
      </c>
      <c r="S657" s="448">
        <f t="shared" si="108"/>
        <v>99.999165825540757</v>
      </c>
    </row>
    <row r="658" spans="2:19" x14ac:dyDescent="0.2">
      <c r="B658" s="6">
        <f t="shared" si="109"/>
        <v>156</v>
      </c>
      <c r="C658" s="12"/>
      <c r="D658" s="12"/>
      <c r="E658" s="12"/>
      <c r="F658" s="13" t="s">
        <v>184</v>
      </c>
      <c r="G658" s="14">
        <v>630</v>
      </c>
      <c r="H658" s="12" t="s">
        <v>118</v>
      </c>
      <c r="I658" s="15">
        <f>SUM(I659:I664)</f>
        <v>106388</v>
      </c>
      <c r="J658" s="15">
        <f>SUM(J659:J664)</f>
        <v>93663</v>
      </c>
      <c r="K658" s="397">
        <f t="shared" si="111"/>
        <v>88.039064556152951</v>
      </c>
      <c r="L658" s="15"/>
      <c r="M658" s="15"/>
      <c r="N658" s="15"/>
      <c r="O658" s="397"/>
      <c r="P658" s="15"/>
      <c r="Q658" s="16">
        <f t="shared" si="104"/>
        <v>106388</v>
      </c>
      <c r="R658" s="16">
        <f t="shared" si="105"/>
        <v>93663</v>
      </c>
      <c r="S658" s="448">
        <f t="shared" si="108"/>
        <v>88.039064556152951</v>
      </c>
    </row>
    <row r="659" spans="2:19" x14ac:dyDescent="0.2">
      <c r="B659" s="6">
        <f t="shared" si="109"/>
        <v>157</v>
      </c>
      <c r="C659" s="17"/>
      <c r="D659" s="17"/>
      <c r="E659" s="17"/>
      <c r="F659" s="18"/>
      <c r="G659" s="19">
        <v>632</v>
      </c>
      <c r="H659" s="17" t="s">
        <v>131</v>
      </c>
      <c r="I659" s="20">
        <f>29553-8423</f>
        <v>21130</v>
      </c>
      <c r="J659" s="20">
        <v>17836</v>
      </c>
      <c r="K659" s="397">
        <f t="shared" si="111"/>
        <v>84.410790345480365</v>
      </c>
      <c r="L659" s="20"/>
      <c r="M659" s="20"/>
      <c r="N659" s="20"/>
      <c r="O659" s="397"/>
      <c r="P659" s="20"/>
      <c r="Q659" s="21">
        <f t="shared" si="104"/>
        <v>21130</v>
      </c>
      <c r="R659" s="21">
        <f t="shared" si="105"/>
        <v>17836</v>
      </c>
      <c r="S659" s="448">
        <f t="shared" si="108"/>
        <v>84.410790345480365</v>
      </c>
    </row>
    <row r="660" spans="2:19" x14ac:dyDescent="0.2">
      <c r="B660" s="6">
        <f t="shared" si="109"/>
        <v>158</v>
      </c>
      <c r="C660" s="17"/>
      <c r="D660" s="17"/>
      <c r="E660" s="17"/>
      <c r="F660" s="18"/>
      <c r="G660" s="19">
        <v>633</v>
      </c>
      <c r="H660" s="17" t="s">
        <v>122</v>
      </c>
      <c r="I660" s="20">
        <f>35008+318+3444+3849</f>
        <v>42619</v>
      </c>
      <c r="J660" s="20">
        <v>37307</v>
      </c>
      <c r="K660" s="397">
        <f t="shared" si="111"/>
        <v>87.536075459302182</v>
      </c>
      <c r="L660" s="20"/>
      <c r="M660" s="20"/>
      <c r="N660" s="20"/>
      <c r="O660" s="397"/>
      <c r="P660" s="20"/>
      <c r="Q660" s="21">
        <f t="shared" si="104"/>
        <v>42619</v>
      </c>
      <c r="R660" s="21">
        <f t="shared" si="105"/>
        <v>37307</v>
      </c>
      <c r="S660" s="448">
        <f t="shared" si="108"/>
        <v>87.536075459302182</v>
      </c>
    </row>
    <row r="661" spans="2:19" x14ac:dyDescent="0.2">
      <c r="B661" s="6">
        <f t="shared" si="109"/>
        <v>159</v>
      </c>
      <c r="C661" s="17"/>
      <c r="D661" s="17"/>
      <c r="E661" s="17"/>
      <c r="F661" s="18"/>
      <c r="G661" s="19">
        <v>634</v>
      </c>
      <c r="H661" s="17" t="s">
        <v>129</v>
      </c>
      <c r="I661" s="20">
        <f>500+329-192</f>
        <v>637</v>
      </c>
      <c r="J661" s="20">
        <v>556</v>
      </c>
      <c r="K661" s="397">
        <f t="shared" si="111"/>
        <v>87.284144427001578</v>
      </c>
      <c r="L661" s="20"/>
      <c r="M661" s="20"/>
      <c r="N661" s="20"/>
      <c r="O661" s="397"/>
      <c r="P661" s="20"/>
      <c r="Q661" s="21">
        <f t="shared" si="104"/>
        <v>637</v>
      </c>
      <c r="R661" s="21">
        <f t="shared" si="105"/>
        <v>556</v>
      </c>
      <c r="S661" s="448">
        <f t="shared" si="108"/>
        <v>87.284144427001578</v>
      </c>
    </row>
    <row r="662" spans="2:19" x14ac:dyDescent="0.2">
      <c r="B662" s="6">
        <f t="shared" si="109"/>
        <v>160</v>
      </c>
      <c r="C662" s="17"/>
      <c r="D662" s="17"/>
      <c r="E662" s="17"/>
      <c r="F662" s="18"/>
      <c r="G662" s="19">
        <v>635</v>
      </c>
      <c r="H662" s="17" t="s">
        <v>130</v>
      </c>
      <c r="I662" s="20">
        <f>8200+11074</f>
        <v>19274</v>
      </c>
      <c r="J662" s="20">
        <v>18719</v>
      </c>
      <c r="K662" s="397">
        <f t="shared" si="111"/>
        <v>97.120473176299683</v>
      </c>
      <c r="L662" s="20"/>
      <c r="M662" s="20"/>
      <c r="N662" s="20"/>
      <c r="O662" s="397"/>
      <c r="P662" s="20"/>
      <c r="Q662" s="21">
        <f t="shared" si="104"/>
        <v>19274</v>
      </c>
      <c r="R662" s="21">
        <f t="shared" si="105"/>
        <v>18719</v>
      </c>
      <c r="S662" s="448">
        <f t="shared" si="108"/>
        <v>97.120473176299683</v>
      </c>
    </row>
    <row r="663" spans="2:19" x14ac:dyDescent="0.2">
      <c r="B663" s="6">
        <f t="shared" si="109"/>
        <v>161</v>
      </c>
      <c r="C663" s="17"/>
      <c r="D663" s="17"/>
      <c r="E663" s="17"/>
      <c r="F663" s="18"/>
      <c r="G663" s="19">
        <v>636</v>
      </c>
      <c r="H663" s="17" t="s">
        <v>123</v>
      </c>
      <c r="I663" s="20">
        <f>494-277</f>
        <v>217</v>
      </c>
      <c r="J663" s="20">
        <v>217</v>
      </c>
      <c r="K663" s="397">
        <f t="shared" si="111"/>
        <v>100</v>
      </c>
      <c r="L663" s="20"/>
      <c r="M663" s="20"/>
      <c r="N663" s="20"/>
      <c r="O663" s="397"/>
      <c r="P663" s="20"/>
      <c r="Q663" s="21">
        <f t="shared" si="104"/>
        <v>217</v>
      </c>
      <c r="R663" s="21">
        <f t="shared" si="105"/>
        <v>217</v>
      </c>
      <c r="S663" s="448">
        <f t="shared" si="108"/>
        <v>100</v>
      </c>
    </row>
    <row r="664" spans="2:19" x14ac:dyDescent="0.2">
      <c r="B664" s="6">
        <f t="shared" si="109"/>
        <v>162</v>
      </c>
      <c r="C664" s="17"/>
      <c r="D664" s="17"/>
      <c r="E664" s="17"/>
      <c r="F664" s="18"/>
      <c r="G664" s="19">
        <v>637</v>
      </c>
      <c r="H664" s="17" t="s">
        <v>119</v>
      </c>
      <c r="I664" s="20">
        <f>15450+8991-2314+384</f>
        <v>22511</v>
      </c>
      <c r="J664" s="20">
        <v>19028</v>
      </c>
      <c r="K664" s="397">
        <f t="shared" si="111"/>
        <v>84.527564301896845</v>
      </c>
      <c r="L664" s="20"/>
      <c r="M664" s="20"/>
      <c r="N664" s="20"/>
      <c r="O664" s="397"/>
      <c r="P664" s="20"/>
      <c r="Q664" s="21">
        <f t="shared" si="104"/>
        <v>22511</v>
      </c>
      <c r="R664" s="21">
        <f t="shared" si="105"/>
        <v>19028</v>
      </c>
      <c r="S664" s="448">
        <f t="shared" si="108"/>
        <v>84.527564301896845</v>
      </c>
    </row>
    <row r="665" spans="2:19" x14ac:dyDescent="0.2">
      <c r="B665" s="6">
        <f t="shared" si="109"/>
        <v>163</v>
      </c>
      <c r="C665" s="12"/>
      <c r="D665" s="12"/>
      <c r="E665" s="12"/>
      <c r="F665" s="13" t="s">
        <v>184</v>
      </c>
      <c r="G665" s="14">
        <v>640</v>
      </c>
      <c r="H665" s="12" t="s">
        <v>126</v>
      </c>
      <c r="I665" s="15">
        <f>450+336+1000+1150</f>
        <v>2936</v>
      </c>
      <c r="J665" s="15">
        <v>2936</v>
      </c>
      <c r="K665" s="397">
        <f t="shared" si="111"/>
        <v>100</v>
      </c>
      <c r="L665" s="15"/>
      <c r="M665" s="15"/>
      <c r="N665" s="15"/>
      <c r="O665" s="397"/>
      <c r="P665" s="15"/>
      <c r="Q665" s="16">
        <f t="shared" si="104"/>
        <v>2936</v>
      </c>
      <c r="R665" s="16">
        <f t="shared" si="105"/>
        <v>2936</v>
      </c>
      <c r="S665" s="448">
        <f t="shared" si="108"/>
        <v>100</v>
      </c>
    </row>
    <row r="666" spans="2:19" x14ac:dyDescent="0.2">
      <c r="B666" s="6">
        <f t="shared" si="109"/>
        <v>164</v>
      </c>
      <c r="C666" s="107"/>
      <c r="D666" s="107"/>
      <c r="E666" s="107" t="s">
        <v>96</v>
      </c>
      <c r="F666" s="108"/>
      <c r="G666" s="108"/>
      <c r="H666" s="107" t="s">
        <v>67</v>
      </c>
      <c r="I666" s="109">
        <f>I667+I668+I669+I676</f>
        <v>455411</v>
      </c>
      <c r="J666" s="109">
        <f>J667+J668+J669+J676</f>
        <v>438199</v>
      </c>
      <c r="K666" s="415">
        <f t="shared" si="111"/>
        <v>96.220556815711518</v>
      </c>
      <c r="L666" s="15"/>
      <c r="M666" s="109"/>
      <c r="N666" s="109"/>
      <c r="O666" s="415"/>
      <c r="P666" s="15"/>
      <c r="Q666" s="110">
        <f t="shared" si="104"/>
        <v>455411</v>
      </c>
      <c r="R666" s="110">
        <f t="shared" si="105"/>
        <v>438199</v>
      </c>
      <c r="S666" s="467">
        <f t="shared" si="108"/>
        <v>96.220556815711518</v>
      </c>
    </row>
    <row r="667" spans="2:19" x14ac:dyDescent="0.2">
      <c r="B667" s="6">
        <f t="shared" si="109"/>
        <v>165</v>
      </c>
      <c r="C667" s="12"/>
      <c r="D667" s="12"/>
      <c r="E667" s="12"/>
      <c r="F667" s="13" t="s">
        <v>184</v>
      </c>
      <c r="G667" s="14">
        <v>610</v>
      </c>
      <c r="H667" s="12" t="s">
        <v>128</v>
      </c>
      <c r="I667" s="15">
        <f>263573-18828+13026+100-18895+633+12400+24177</f>
        <v>276186</v>
      </c>
      <c r="J667" s="15">
        <v>271526</v>
      </c>
      <c r="K667" s="397">
        <f t="shared" si="111"/>
        <v>98.312731275299981</v>
      </c>
      <c r="L667" s="15"/>
      <c r="M667" s="15"/>
      <c r="N667" s="15"/>
      <c r="O667" s="397"/>
      <c r="P667" s="15"/>
      <c r="Q667" s="16">
        <f t="shared" si="104"/>
        <v>276186</v>
      </c>
      <c r="R667" s="16">
        <f t="shared" si="105"/>
        <v>271526</v>
      </c>
      <c r="S667" s="448">
        <f t="shared" si="108"/>
        <v>98.312731275299981</v>
      </c>
    </row>
    <row r="668" spans="2:19" x14ac:dyDescent="0.2">
      <c r="B668" s="6">
        <f t="shared" si="109"/>
        <v>166</v>
      </c>
      <c r="C668" s="12"/>
      <c r="D668" s="12"/>
      <c r="E668" s="12"/>
      <c r="F668" s="13" t="s">
        <v>184</v>
      </c>
      <c r="G668" s="14">
        <v>620</v>
      </c>
      <c r="H668" s="12" t="s">
        <v>121</v>
      </c>
      <c r="I668" s="15">
        <f>99745-7145+5224+35-7171+228+4458+6137</f>
        <v>101511</v>
      </c>
      <c r="J668" s="15">
        <v>100664</v>
      </c>
      <c r="K668" s="397">
        <f t="shared" si="111"/>
        <v>99.165607668134498</v>
      </c>
      <c r="L668" s="15"/>
      <c r="M668" s="15"/>
      <c r="N668" s="15"/>
      <c r="O668" s="397"/>
      <c r="P668" s="15"/>
      <c r="Q668" s="16">
        <f t="shared" si="104"/>
        <v>101511</v>
      </c>
      <c r="R668" s="16">
        <f t="shared" si="105"/>
        <v>100664</v>
      </c>
      <c r="S668" s="448">
        <f t="shared" si="108"/>
        <v>99.165607668134498</v>
      </c>
    </row>
    <row r="669" spans="2:19" x14ac:dyDescent="0.2">
      <c r="B669" s="6">
        <f t="shared" si="109"/>
        <v>167</v>
      </c>
      <c r="C669" s="12"/>
      <c r="D669" s="12"/>
      <c r="E669" s="12"/>
      <c r="F669" s="13" t="s">
        <v>184</v>
      </c>
      <c r="G669" s="14">
        <v>630</v>
      </c>
      <c r="H669" s="12" t="s">
        <v>118</v>
      </c>
      <c r="I669" s="15">
        <f>SUM(I670:I675)</f>
        <v>74971</v>
      </c>
      <c r="J669" s="15">
        <f>SUM(J670:J675)</f>
        <v>63307</v>
      </c>
      <c r="K669" s="397">
        <f t="shared" si="111"/>
        <v>84.441984233903781</v>
      </c>
      <c r="L669" s="15"/>
      <c r="M669" s="15"/>
      <c r="N669" s="15"/>
      <c r="O669" s="397"/>
      <c r="P669" s="15"/>
      <c r="Q669" s="16">
        <f t="shared" si="104"/>
        <v>74971</v>
      </c>
      <c r="R669" s="16">
        <f t="shared" si="105"/>
        <v>63307</v>
      </c>
      <c r="S669" s="448">
        <f t="shared" si="108"/>
        <v>84.441984233903781</v>
      </c>
    </row>
    <row r="670" spans="2:19" x14ac:dyDescent="0.2">
      <c r="B670" s="6">
        <f t="shared" si="109"/>
        <v>168</v>
      </c>
      <c r="C670" s="17"/>
      <c r="D670" s="17"/>
      <c r="E670" s="17"/>
      <c r="F670" s="18"/>
      <c r="G670" s="19">
        <v>632</v>
      </c>
      <c r="H670" s="17" t="s">
        <v>131</v>
      </c>
      <c r="I670" s="20">
        <f>23268-6433</f>
        <v>16835</v>
      </c>
      <c r="J670" s="20">
        <v>16308</v>
      </c>
      <c r="K670" s="397">
        <f t="shared" si="111"/>
        <v>96.869616869616877</v>
      </c>
      <c r="L670" s="20"/>
      <c r="M670" s="20"/>
      <c r="N670" s="20"/>
      <c r="O670" s="397"/>
      <c r="P670" s="20"/>
      <c r="Q670" s="21">
        <f t="shared" si="104"/>
        <v>16835</v>
      </c>
      <c r="R670" s="21">
        <f t="shared" si="105"/>
        <v>16308</v>
      </c>
      <c r="S670" s="448">
        <f t="shared" si="108"/>
        <v>96.869616869616877</v>
      </c>
    </row>
    <row r="671" spans="2:19" x14ac:dyDescent="0.2">
      <c r="B671" s="6">
        <f t="shared" si="109"/>
        <v>169</v>
      </c>
      <c r="C671" s="17"/>
      <c r="D671" s="17"/>
      <c r="E671" s="17"/>
      <c r="F671" s="18"/>
      <c r="G671" s="19">
        <v>633</v>
      </c>
      <c r="H671" s="17" t="s">
        <v>122</v>
      </c>
      <c r="I671" s="20">
        <f>24489+5685+574+2328</f>
        <v>33076</v>
      </c>
      <c r="J671" s="20">
        <v>26612</v>
      </c>
      <c r="K671" s="397">
        <f t="shared" si="111"/>
        <v>80.457129036159145</v>
      </c>
      <c r="L671" s="20"/>
      <c r="M671" s="20"/>
      <c r="N671" s="20"/>
      <c r="O671" s="397"/>
      <c r="P671" s="20"/>
      <c r="Q671" s="21">
        <f t="shared" si="104"/>
        <v>33076</v>
      </c>
      <c r="R671" s="21">
        <f t="shared" si="105"/>
        <v>26612</v>
      </c>
      <c r="S671" s="448">
        <f t="shared" si="108"/>
        <v>80.457129036159145</v>
      </c>
    </row>
    <row r="672" spans="2:19" x14ac:dyDescent="0.2">
      <c r="B672" s="6">
        <f t="shared" si="109"/>
        <v>170</v>
      </c>
      <c r="C672" s="17"/>
      <c r="D672" s="17"/>
      <c r="E672" s="17"/>
      <c r="F672" s="18"/>
      <c r="G672" s="19">
        <v>634</v>
      </c>
      <c r="H672" s="17" t="s">
        <v>129</v>
      </c>
      <c r="I672" s="20">
        <f>310+287-310</f>
        <v>287</v>
      </c>
      <c r="J672" s="20">
        <v>245</v>
      </c>
      <c r="K672" s="397">
        <f t="shared" si="111"/>
        <v>85.365853658536579</v>
      </c>
      <c r="L672" s="20"/>
      <c r="M672" s="20"/>
      <c r="N672" s="20"/>
      <c r="O672" s="397"/>
      <c r="P672" s="20"/>
      <c r="Q672" s="21">
        <f t="shared" si="104"/>
        <v>287</v>
      </c>
      <c r="R672" s="21">
        <f t="shared" si="105"/>
        <v>245</v>
      </c>
      <c r="S672" s="448">
        <f t="shared" si="108"/>
        <v>85.365853658536579</v>
      </c>
    </row>
    <row r="673" spans="2:19" x14ac:dyDescent="0.2">
      <c r="B673" s="6">
        <f t="shared" si="109"/>
        <v>171</v>
      </c>
      <c r="C673" s="17"/>
      <c r="D673" s="17"/>
      <c r="E673" s="17"/>
      <c r="F673" s="18"/>
      <c r="G673" s="19">
        <v>635</v>
      </c>
      <c r="H673" s="17" t="s">
        <v>130</v>
      </c>
      <c r="I673" s="20">
        <f>3400+2376+1000</f>
        <v>6776</v>
      </c>
      <c r="J673" s="20">
        <v>5928</v>
      </c>
      <c r="K673" s="397">
        <f t="shared" si="111"/>
        <v>87.485242030696568</v>
      </c>
      <c r="L673" s="20"/>
      <c r="M673" s="20"/>
      <c r="N673" s="20"/>
      <c r="O673" s="397"/>
      <c r="P673" s="20"/>
      <c r="Q673" s="21">
        <f t="shared" si="104"/>
        <v>6776</v>
      </c>
      <c r="R673" s="21">
        <f t="shared" si="105"/>
        <v>5928</v>
      </c>
      <c r="S673" s="448">
        <f t="shared" si="108"/>
        <v>87.485242030696568</v>
      </c>
    </row>
    <row r="674" spans="2:19" x14ac:dyDescent="0.2">
      <c r="B674" s="6">
        <f t="shared" si="109"/>
        <v>172</v>
      </c>
      <c r="C674" s="17"/>
      <c r="D674" s="17"/>
      <c r="E674" s="17"/>
      <c r="F674" s="18"/>
      <c r="G674" s="19">
        <v>636</v>
      </c>
      <c r="H674" s="17" t="s">
        <v>123</v>
      </c>
      <c r="I674" s="20">
        <f>430-241</f>
        <v>189</v>
      </c>
      <c r="J674" s="20">
        <v>189</v>
      </c>
      <c r="K674" s="397">
        <f t="shared" si="111"/>
        <v>100</v>
      </c>
      <c r="L674" s="20"/>
      <c r="M674" s="20"/>
      <c r="N674" s="20"/>
      <c r="O674" s="397"/>
      <c r="P674" s="20"/>
      <c r="Q674" s="21">
        <f t="shared" si="104"/>
        <v>189</v>
      </c>
      <c r="R674" s="21">
        <f t="shared" si="105"/>
        <v>189</v>
      </c>
      <c r="S674" s="448">
        <f t="shared" si="108"/>
        <v>100</v>
      </c>
    </row>
    <row r="675" spans="2:19" x14ac:dyDescent="0.2">
      <c r="B675" s="6">
        <f t="shared" si="109"/>
        <v>173</v>
      </c>
      <c r="C675" s="17"/>
      <c r="D675" s="17"/>
      <c r="E675" s="17"/>
      <c r="F675" s="18"/>
      <c r="G675" s="19">
        <v>637</v>
      </c>
      <c r="H675" s="17" t="s">
        <v>119</v>
      </c>
      <c r="I675" s="20">
        <f>12340+6602-1134</f>
        <v>17808</v>
      </c>
      <c r="J675" s="20">
        <v>14025</v>
      </c>
      <c r="K675" s="397">
        <f t="shared" si="111"/>
        <v>78.756738544474388</v>
      </c>
      <c r="L675" s="20"/>
      <c r="M675" s="20"/>
      <c r="N675" s="20"/>
      <c r="O675" s="397"/>
      <c r="P675" s="20"/>
      <c r="Q675" s="21">
        <f t="shared" si="104"/>
        <v>17808</v>
      </c>
      <c r="R675" s="21">
        <f t="shared" si="105"/>
        <v>14025</v>
      </c>
      <c r="S675" s="448">
        <f t="shared" si="108"/>
        <v>78.756738544474388</v>
      </c>
    </row>
    <row r="676" spans="2:19" x14ac:dyDescent="0.2">
      <c r="B676" s="6">
        <f t="shared" si="109"/>
        <v>174</v>
      </c>
      <c r="C676" s="12"/>
      <c r="D676" s="12"/>
      <c r="E676" s="12"/>
      <c r="F676" s="13" t="s">
        <v>184</v>
      </c>
      <c r="G676" s="14">
        <v>640</v>
      </c>
      <c r="H676" s="12" t="s">
        <v>126</v>
      </c>
      <c r="I676" s="15">
        <f>450+293+2000</f>
        <v>2743</v>
      </c>
      <c r="J676" s="15">
        <v>2702</v>
      </c>
      <c r="K676" s="397">
        <f t="shared" si="111"/>
        <v>98.505286183011293</v>
      </c>
      <c r="L676" s="15"/>
      <c r="M676" s="15"/>
      <c r="N676" s="15"/>
      <c r="O676" s="397"/>
      <c r="P676" s="15"/>
      <c r="Q676" s="16">
        <f t="shared" si="104"/>
        <v>2743</v>
      </c>
      <c r="R676" s="16">
        <f t="shared" si="105"/>
        <v>2702</v>
      </c>
      <c r="S676" s="448">
        <f t="shared" si="108"/>
        <v>98.505286183011293</v>
      </c>
    </row>
    <row r="677" spans="2:19" x14ac:dyDescent="0.2">
      <c r="B677" s="6">
        <f t="shared" si="109"/>
        <v>175</v>
      </c>
      <c r="C677" s="107"/>
      <c r="D677" s="107"/>
      <c r="E677" s="107" t="s">
        <v>90</v>
      </c>
      <c r="F677" s="108"/>
      <c r="G677" s="108"/>
      <c r="H677" s="107" t="s">
        <v>91</v>
      </c>
      <c r="I677" s="109">
        <f>I678+I679+I680+I687</f>
        <v>168964</v>
      </c>
      <c r="J677" s="109">
        <f>J678+J679+J680+J687</f>
        <v>158022</v>
      </c>
      <c r="K677" s="415">
        <f t="shared" si="111"/>
        <v>93.524064297720216</v>
      </c>
      <c r="L677" s="15"/>
      <c r="M677" s="109">
        <f>M688</f>
        <v>48243</v>
      </c>
      <c r="N677" s="109">
        <f>N688</f>
        <v>48242</v>
      </c>
      <c r="O677" s="415">
        <f>N677/M677*100</f>
        <v>99.997927160417049</v>
      </c>
      <c r="P677" s="15"/>
      <c r="Q677" s="110">
        <f t="shared" si="104"/>
        <v>217207</v>
      </c>
      <c r="R677" s="110">
        <f t="shared" si="105"/>
        <v>206264</v>
      </c>
      <c r="S677" s="467">
        <f t="shared" si="108"/>
        <v>94.961948740141892</v>
      </c>
    </row>
    <row r="678" spans="2:19" x14ac:dyDescent="0.2">
      <c r="B678" s="6">
        <f t="shared" si="109"/>
        <v>176</v>
      </c>
      <c r="C678" s="12"/>
      <c r="D678" s="12"/>
      <c r="E678" s="12"/>
      <c r="F678" s="13" t="s">
        <v>184</v>
      </c>
      <c r="G678" s="14">
        <v>610</v>
      </c>
      <c r="H678" s="12" t="s">
        <v>128</v>
      </c>
      <c r="I678" s="15">
        <f>91420-6531+2209+100-5843+4000+11853</f>
        <v>97208</v>
      </c>
      <c r="J678" s="15">
        <v>96210</v>
      </c>
      <c r="K678" s="397">
        <f t="shared" si="111"/>
        <v>98.973335527940094</v>
      </c>
      <c r="L678" s="15"/>
      <c r="M678" s="15"/>
      <c r="N678" s="15"/>
      <c r="O678" s="397"/>
      <c r="P678" s="15"/>
      <c r="Q678" s="16">
        <f t="shared" si="104"/>
        <v>97208</v>
      </c>
      <c r="R678" s="16">
        <f t="shared" si="105"/>
        <v>96210</v>
      </c>
      <c r="S678" s="448">
        <f t="shared" si="108"/>
        <v>98.973335527940094</v>
      </c>
    </row>
    <row r="679" spans="2:19" x14ac:dyDescent="0.2">
      <c r="B679" s="6">
        <f t="shared" si="109"/>
        <v>177</v>
      </c>
      <c r="C679" s="12"/>
      <c r="D679" s="12"/>
      <c r="E679" s="12"/>
      <c r="F679" s="13" t="s">
        <v>184</v>
      </c>
      <c r="G679" s="14">
        <v>620</v>
      </c>
      <c r="H679" s="12" t="s">
        <v>121</v>
      </c>
      <c r="I679" s="15">
        <f>34801-2479+731+35-2217+1438+3556</f>
        <v>35865</v>
      </c>
      <c r="J679" s="15">
        <v>35864</v>
      </c>
      <c r="K679" s="397">
        <f t="shared" si="111"/>
        <v>99.997211766346012</v>
      </c>
      <c r="L679" s="15"/>
      <c r="M679" s="15"/>
      <c r="N679" s="15"/>
      <c r="O679" s="397"/>
      <c r="P679" s="15"/>
      <c r="Q679" s="16">
        <f t="shared" si="104"/>
        <v>35865</v>
      </c>
      <c r="R679" s="16">
        <f t="shared" si="105"/>
        <v>35864</v>
      </c>
      <c r="S679" s="448">
        <f t="shared" si="108"/>
        <v>99.997211766346012</v>
      </c>
    </row>
    <row r="680" spans="2:19" x14ac:dyDescent="0.2">
      <c r="B680" s="6">
        <f t="shared" si="109"/>
        <v>178</v>
      </c>
      <c r="C680" s="12"/>
      <c r="D680" s="12"/>
      <c r="E680" s="12"/>
      <c r="F680" s="13" t="s">
        <v>184</v>
      </c>
      <c r="G680" s="14">
        <v>630</v>
      </c>
      <c r="H680" s="12" t="s">
        <v>118</v>
      </c>
      <c r="I680" s="15">
        <f>SUM(I681:I686)</f>
        <v>35545</v>
      </c>
      <c r="J680" s="15">
        <f>SUM(J681:J686)</f>
        <v>25621</v>
      </c>
      <c r="K680" s="397">
        <f t="shared" si="111"/>
        <v>72.080461386974264</v>
      </c>
      <c r="L680" s="15"/>
      <c r="M680" s="15"/>
      <c r="N680" s="15"/>
      <c r="O680" s="397"/>
      <c r="P680" s="15"/>
      <c r="Q680" s="16">
        <f t="shared" si="104"/>
        <v>35545</v>
      </c>
      <c r="R680" s="16">
        <f t="shared" si="105"/>
        <v>25621</v>
      </c>
      <c r="S680" s="448">
        <f t="shared" si="108"/>
        <v>72.080461386974264</v>
      </c>
    </row>
    <row r="681" spans="2:19" x14ac:dyDescent="0.2">
      <c r="B681" s="6">
        <f t="shared" si="109"/>
        <v>179</v>
      </c>
      <c r="C681" s="17"/>
      <c r="D681" s="17"/>
      <c r="E681" s="17"/>
      <c r="F681" s="18"/>
      <c r="G681" s="19">
        <v>632</v>
      </c>
      <c r="H681" s="17" t="s">
        <v>131</v>
      </c>
      <c r="I681" s="20">
        <f>11382-3378+500</f>
        <v>8504</v>
      </c>
      <c r="J681" s="20">
        <v>8248</v>
      </c>
      <c r="K681" s="397">
        <f t="shared" si="111"/>
        <v>96.98965192850423</v>
      </c>
      <c r="L681" s="20"/>
      <c r="M681" s="20"/>
      <c r="N681" s="20"/>
      <c r="O681" s="397"/>
      <c r="P681" s="20"/>
      <c r="Q681" s="21">
        <f t="shared" ref="Q681:Q744" si="112">I681+M681</f>
        <v>8504</v>
      </c>
      <c r="R681" s="21">
        <f t="shared" ref="R681:R744" si="113">J681+N681</f>
        <v>8248</v>
      </c>
      <c r="S681" s="448">
        <f t="shared" si="108"/>
        <v>96.98965192850423</v>
      </c>
    </row>
    <row r="682" spans="2:19" x14ac:dyDescent="0.2">
      <c r="B682" s="6">
        <f t="shared" si="109"/>
        <v>180</v>
      </c>
      <c r="C682" s="17"/>
      <c r="D682" s="17"/>
      <c r="E682" s="17"/>
      <c r="F682" s="18"/>
      <c r="G682" s="19">
        <v>633</v>
      </c>
      <c r="H682" s="17" t="s">
        <v>122</v>
      </c>
      <c r="I682" s="20">
        <f>15305+91+1279</f>
        <v>16675</v>
      </c>
      <c r="J682" s="20">
        <v>9484</v>
      </c>
      <c r="K682" s="397">
        <f t="shared" si="111"/>
        <v>56.875562218890551</v>
      </c>
      <c r="L682" s="20"/>
      <c r="M682" s="20"/>
      <c r="N682" s="20"/>
      <c r="O682" s="397"/>
      <c r="P682" s="20"/>
      <c r="Q682" s="21">
        <f t="shared" si="112"/>
        <v>16675</v>
      </c>
      <c r="R682" s="21">
        <f t="shared" si="113"/>
        <v>9484</v>
      </c>
      <c r="S682" s="448">
        <f t="shared" si="108"/>
        <v>56.875562218890551</v>
      </c>
    </row>
    <row r="683" spans="2:19" x14ac:dyDescent="0.2">
      <c r="B683" s="6">
        <f t="shared" si="109"/>
        <v>181</v>
      </c>
      <c r="C683" s="17"/>
      <c r="D683" s="17"/>
      <c r="E683" s="17"/>
      <c r="F683" s="18"/>
      <c r="G683" s="19">
        <v>634</v>
      </c>
      <c r="H683" s="17" t="s">
        <v>129</v>
      </c>
      <c r="I683" s="20">
        <f>200+94-200</f>
        <v>94</v>
      </c>
      <c r="J683" s="20">
        <v>88</v>
      </c>
      <c r="K683" s="397">
        <f t="shared" si="111"/>
        <v>93.61702127659575</v>
      </c>
      <c r="L683" s="20"/>
      <c r="M683" s="20"/>
      <c r="N683" s="20"/>
      <c r="O683" s="397"/>
      <c r="P683" s="20"/>
      <c r="Q683" s="21">
        <f t="shared" si="112"/>
        <v>94</v>
      </c>
      <c r="R683" s="21">
        <f t="shared" si="113"/>
        <v>88</v>
      </c>
      <c r="S683" s="448">
        <f t="shared" si="108"/>
        <v>93.61702127659575</v>
      </c>
    </row>
    <row r="684" spans="2:19" x14ac:dyDescent="0.2">
      <c r="B684" s="6">
        <f t="shared" si="109"/>
        <v>182</v>
      </c>
      <c r="C684" s="17"/>
      <c r="D684" s="17"/>
      <c r="E684" s="17"/>
      <c r="F684" s="18"/>
      <c r="G684" s="19">
        <v>635</v>
      </c>
      <c r="H684" s="17" t="s">
        <v>130</v>
      </c>
      <c r="I684" s="20">
        <f>3000+270</f>
        <v>3270</v>
      </c>
      <c r="J684" s="20">
        <v>800</v>
      </c>
      <c r="K684" s="397">
        <f t="shared" si="111"/>
        <v>24.464831804281346</v>
      </c>
      <c r="L684" s="20"/>
      <c r="M684" s="20"/>
      <c r="N684" s="20"/>
      <c r="O684" s="397"/>
      <c r="P684" s="20"/>
      <c r="Q684" s="21">
        <f t="shared" si="112"/>
        <v>3270</v>
      </c>
      <c r="R684" s="21">
        <f t="shared" si="113"/>
        <v>800</v>
      </c>
      <c r="S684" s="448">
        <f t="shared" si="108"/>
        <v>24.464831804281346</v>
      </c>
    </row>
    <row r="685" spans="2:19" x14ac:dyDescent="0.2">
      <c r="B685" s="6">
        <f t="shared" si="109"/>
        <v>183</v>
      </c>
      <c r="C685" s="17"/>
      <c r="D685" s="17"/>
      <c r="E685" s="17"/>
      <c r="F685" s="18"/>
      <c r="G685" s="19">
        <v>636</v>
      </c>
      <c r="H685" s="17" t="s">
        <v>123</v>
      </c>
      <c r="I685" s="20">
        <f>141-79</f>
        <v>62</v>
      </c>
      <c r="J685" s="20">
        <v>62</v>
      </c>
      <c r="K685" s="397">
        <f t="shared" si="111"/>
        <v>100</v>
      </c>
      <c r="L685" s="20"/>
      <c r="M685" s="20"/>
      <c r="N685" s="20"/>
      <c r="O685" s="397"/>
      <c r="P685" s="20"/>
      <c r="Q685" s="21">
        <f t="shared" si="112"/>
        <v>62</v>
      </c>
      <c r="R685" s="21">
        <f t="shared" si="113"/>
        <v>62</v>
      </c>
      <c r="S685" s="448">
        <f t="shared" si="108"/>
        <v>100</v>
      </c>
    </row>
    <row r="686" spans="2:19" x14ac:dyDescent="0.2">
      <c r="B686" s="6">
        <f t="shared" si="109"/>
        <v>184</v>
      </c>
      <c r="C686" s="17"/>
      <c r="D686" s="17"/>
      <c r="E686" s="17"/>
      <c r="F686" s="18"/>
      <c r="G686" s="19">
        <v>637</v>
      </c>
      <c r="H686" s="17" t="s">
        <v>119</v>
      </c>
      <c r="I686" s="20">
        <f>5280+3190+200-1750+20</f>
        <v>6940</v>
      </c>
      <c r="J686" s="20">
        <v>6939</v>
      </c>
      <c r="K686" s="397">
        <f t="shared" si="111"/>
        <v>99.985590778097986</v>
      </c>
      <c r="L686" s="20"/>
      <c r="M686" s="20"/>
      <c r="N686" s="20"/>
      <c r="O686" s="397"/>
      <c r="P686" s="20"/>
      <c r="Q686" s="21">
        <f t="shared" si="112"/>
        <v>6940</v>
      </c>
      <c r="R686" s="21">
        <f t="shared" si="113"/>
        <v>6939</v>
      </c>
      <c r="S686" s="448">
        <f t="shared" si="108"/>
        <v>99.985590778097986</v>
      </c>
    </row>
    <row r="687" spans="2:19" x14ac:dyDescent="0.2">
      <c r="B687" s="6">
        <f t="shared" si="109"/>
        <v>185</v>
      </c>
      <c r="C687" s="12"/>
      <c r="D687" s="12"/>
      <c r="E687" s="12"/>
      <c r="F687" s="13" t="s">
        <v>184</v>
      </c>
      <c r="G687" s="14">
        <v>640</v>
      </c>
      <c r="H687" s="12" t="s">
        <v>126</v>
      </c>
      <c r="I687" s="15">
        <f>450+96-200</f>
        <v>346</v>
      </c>
      <c r="J687" s="15">
        <v>327</v>
      </c>
      <c r="K687" s="397">
        <f t="shared" si="111"/>
        <v>94.50867052023122</v>
      </c>
      <c r="L687" s="15"/>
      <c r="M687" s="15"/>
      <c r="N687" s="15"/>
      <c r="O687" s="397"/>
      <c r="P687" s="15"/>
      <c r="Q687" s="16">
        <f t="shared" si="112"/>
        <v>346</v>
      </c>
      <c r="R687" s="16">
        <f t="shared" si="113"/>
        <v>327</v>
      </c>
      <c r="S687" s="448">
        <f t="shared" si="108"/>
        <v>94.50867052023122</v>
      </c>
    </row>
    <row r="688" spans="2:19" x14ac:dyDescent="0.2">
      <c r="B688" s="6">
        <f t="shared" si="109"/>
        <v>186</v>
      </c>
      <c r="C688" s="12"/>
      <c r="D688" s="12"/>
      <c r="E688" s="12"/>
      <c r="F688" s="13" t="s">
        <v>184</v>
      </c>
      <c r="G688" s="14">
        <v>710</v>
      </c>
      <c r="H688" s="12" t="s">
        <v>172</v>
      </c>
      <c r="I688" s="15"/>
      <c r="J688" s="15"/>
      <c r="K688" s="397"/>
      <c r="L688" s="15"/>
      <c r="M688" s="15">
        <f>M689</f>
        <v>48243</v>
      </c>
      <c r="N688" s="15">
        <f>N689</f>
        <v>48242</v>
      </c>
      <c r="O688" s="397">
        <f>N688/M688*100</f>
        <v>99.997927160417049</v>
      </c>
      <c r="P688" s="15"/>
      <c r="Q688" s="16">
        <f t="shared" si="112"/>
        <v>48243</v>
      </c>
      <c r="R688" s="16">
        <f t="shared" si="113"/>
        <v>48242</v>
      </c>
      <c r="S688" s="448">
        <f t="shared" si="108"/>
        <v>99.997927160417049</v>
      </c>
    </row>
    <row r="689" spans="2:19" x14ac:dyDescent="0.2">
      <c r="B689" s="6">
        <f t="shared" si="109"/>
        <v>187</v>
      </c>
      <c r="C689" s="12"/>
      <c r="D689" s="12"/>
      <c r="E689" s="12"/>
      <c r="F689" s="18"/>
      <c r="G689" s="19">
        <v>717</v>
      </c>
      <c r="H689" s="17" t="s">
        <v>179</v>
      </c>
      <c r="I689" s="20"/>
      <c r="J689" s="20"/>
      <c r="K689" s="397"/>
      <c r="L689" s="15"/>
      <c r="M689" s="20">
        <f>M690</f>
        <v>48243</v>
      </c>
      <c r="N689" s="20">
        <f>N690</f>
        <v>48242</v>
      </c>
      <c r="O689" s="397">
        <f>N689/M689*100</f>
        <v>99.997927160417049</v>
      </c>
      <c r="P689" s="15"/>
      <c r="Q689" s="21">
        <f t="shared" si="112"/>
        <v>48243</v>
      </c>
      <c r="R689" s="21">
        <f t="shared" si="113"/>
        <v>48242</v>
      </c>
      <c r="S689" s="448">
        <f t="shared" si="108"/>
        <v>99.997927160417049</v>
      </c>
    </row>
    <row r="690" spans="2:19" x14ac:dyDescent="0.2">
      <c r="B690" s="6">
        <f t="shared" si="109"/>
        <v>188</v>
      </c>
      <c r="C690" s="12"/>
      <c r="D690" s="12"/>
      <c r="E690" s="12"/>
      <c r="F690" s="101"/>
      <c r="G690" s="23"/>
      <c r="H690" s="1" t="s">
        <v>576</v>
      </c>
      <c r="I690" s="24"/>
      <c r="J690" s="24"/>
      <c r="K690" s="397"/>
      <c r="L690" s="15"/>
      <c r="M690" s="294">
        <f>48500-257</f>
        <v>48243</v>
      </c>
      <c r="N690" s="294">
        <v>48242</v>
      </c>
      <c r="O690" s="398">
        <f>N690/M690*100</f>
        <v>99.997927160417049</v>
      </c>
      <c r="P690" s="15"/>
      <c r="Q690" s="26">
        <f t="shared" si="112"/>
        <v>48243</v>
      </c>
      <c r="R690" s="26">
        <f t="shared" si="113"/>
        <v>48242</v>
      </c>
      <c r="S690" s="448">
        <f t="shared" si="108"/>
        <v>99.997927160417049</v>
      </c>
    </row>
    <row r="691" spans="2:19" x14ac:dyDescent="0.2">
      <c r="B691" s="6">
        <f t="shared" si="109"/>
        <v>189</v>
      </c>
      <c r="C691" s="107"/>
      <c r="D691" s="107"/>
      <c r="E691" s="107" t="s">
        <v>85</v>
      </c>
      <c r="F691" s="108"/>
      <c r="G691" s="108"/>
      <c r="H691" s="107" t="s">
        <v>193</v>
      </c>
      <c r="I691" s="109">
        <f>I692+I693+I694+I701</f>
        <v>196702</v>
      </c>
      <c r="J691" s="109">
        <f>J692+J693+J694+J701</f>
        <v>183998</v>
      </c>
      <c r="K691" s="415">
        <f t="shared" ref="K691:K701" si="114">J691/I691*100</f>
        <v>93.541499323850303</v>
      </c>
      <c r="L691" s="15"/>
      <c r="M691" s="109">
        <f>M702</f>
        <v>10000</v>
      </c>
      <c r="N691" s="109">
        <f>N702</f>
        <v>9994</v>
      </c>
      <c r="O691" s="415">
        <f>N691/M691*100</f>
        <v>99.94</v>
      </c>
      <c r="P691" s="15"/>
      <c r="Q691" s="110">
        <f t="shared" si="112"/>
        <v>206702</v>
      </c>
      <c r="R691" s="110">
        <f t="shared" si="113"/>
        <v>193992</v>
      </c>
      <c r="S691" s="467">
        <f t="shared" si="108"/>
        <v>93.851051271879328</v>
      </c>
    </row>
    <row r="692" spans="2:19" x14ac:dyDescent="0.2">
      <c r="B692" s="6">
        <f t="shared" si="109"/>
        <v>190</v>
      </c>
      <c r="C692" s="12"/>
      <c r="D692" s="12"/>
      <c r="E692" s="12"/>
      <c r="F692" s="13" t="s">
        <v>184</v>
      </c>
      <c r="G692" s="14">
        <v>610</v>
      </c>
      <c r="H692" s="12" t="s">
        <v>128</v>
      </c>
      <c r="I692" s="15">
        <f>116421-8317+7553-8287+1267+4900-3071</f>
        <v>110466</v>
      </c>
      <c r="J692" s="15">
        <v>108991</v>
      </c>
      <c r="K692" s="397">
        <f t="shared" si="114"/>
        <v>98.664747524125076</v>
      </c>
      <c r="L692" s="15"/>
      <c r="M692" s="15"/>
      <c r="N692" s="15"/>
      <c r="O692" s="397"/>
      <c r="P692" s="15"/>
      <c r="Q692" s="16">
        <f t="shared" si="112"/>
        <v>110466</v>
      </c>
      <c r="R692" s="16">
        <f t="shared" si="113"/>
        <v>108991</v>
      </c>
      <c r="S692" s="448">
        <f t="shared" si="108"/>
        <v>98.664747524125076</v>
      </c>
    </row>
    <row r="693" spans="2:19" x14ac:dyDescent="0.2">
      <c r="B693" s="6">
        <f t="shared" si="109"/>
        <v>191</v>
      </c>
      <c r="C693" s="12"/>
      <c r="D693" s="12"/>
      <c r="E693" s="12"/>
      <c r="F693" s="13" t="s">
        <v>184</v>
      </c>
      <c r="G693" s="14">
        <v>620</v>
      </c>
      <c r="H693" s="12" t="s">
        <v>121</v>
      </c>
      <c r="I693" s="15">
        <f>45226-3156+1822-3145+455+1869-2333</f>
        <v>40738</v>
      </c>
      <c r="J693" s="15">
        <v>40572</v>
      </c>
      <c r="K693" s="397">
        <f t="shared" si="114"/>
        <v>99.592518042122833</v>
      </c>
      <c r="L693" s="15"/>
      <c r="M693" s="15"/>
      <c r="N693" s="15"/>
      <c r="O693" s="397"/>
      <c r="P693" s="15"/>
      <c r="Q693" s="16">
        <f t="shared" si="112"/>
        <v>40738</v>
      </c>
      <c r="R693" s="16">
        <f t="shared" si="113"/>
        <v>40572</v>
      </c>
      <c r="S693" s="448">
        <f t="shared" si="108"/>
        <v>99.592518042122833</v>
      </c>
    </row>
    <row r="694" spans="2:19" x14ac:dyDescent="0.2">
      <c r="B694" s="6">
        <f t="shared" si="109"/>
        <v>192</v>
      </c>
      <c r="C694" s="12"/>
      <c r="D694" s="12"/>
      <c r="E694" s="12"/>
      <c r="F694" s="13" t="s">
        <v>184</v>
      </c>
      <c r="G694" s="14">
        <v>630</v>
      </c>
      <c r="H694" s="12" t="s">
        <v>118</v>
      </c>
      <c r="I694" s="15">
        <f>SUM(I695:I700)</f>
        <v>42160</v>
      </c>
      <c r="J694" s="15">
        <f>SUM(J695:J700)</f>
        <v>33705</v>
      </c>
      <c r="K694" s="397">
        <f t="shared" si="114"/>
        <v>79.945445920303598</v>
      </c>
      <c r="L694" s="15"/>
      <c r="M694" s="15"/>
      <c r="N694" s="15"/>
      <c r="O694" s="397"/>
      <c r="P694" s="15"/>
      <c r="Q694" s="16">
        <f t="shared" si="112"/>
        <v>42160</v>
      </c>
      <c r="R694" s="16">
        <f t="shared" si="113"/>
        <v>33705</v>
      </c>
      <c r="S694" s="448">
        <f t="shared" si="108"/>
        <v>79.945445920303598</v>
      </c>
    </row>
    <row r="695" spans="2:19" x14ac:dyDescent="0.2">
      <c r="B695" s="6">
        <f t="shared" si="109"/>
        <v>193</v>
      </c>
      <c r="C695" s="17"/>
      <c r="D695" s="17"/>
      <c r="E695" s="17"/>
      <c r="F695" s="18"/>
      <c r="G695" s="19">
        <v>632</v>
      </c>
      <c r="H695" s="17" t="s">
        <v>131</v>
      </c>
      <c r="I695" s="20">
        <f>13060-3871</f>
        <v>9189</v>
      </c>
      <c r="J695" s="20">
        <v>7543</v>
      </c>
      <c r="K695" s="397">
        <f t="shared" si="114"/>
        <v>82.087278267493744</v>
      </c>
      <c r="L695" s="20"/>
      <c r="M695" s="20"/>
      <c r="N695" s="20"/>
      <c r="O695" s="397"/>
      <c r="P695" s="20"/>
      <c r="Q695" s="21">
        <f t="shared" si="112"/>
        <v>9189</v>
      </c>
      <c r="R695" s="21">
        <f t="shared" si="113"/>
        <v>7543</v>
      </c>
      <c r="S695" s="448">
        <f t="shared" ref="S695:S758" si="115">R695/Q695*100</f>
        <v>82.087278267493744</v>
      </c>
    </row>
    <row r="696" spans="2:19" x14ac:dyDescent="0.2">
      <c r="B696" s="6">
        <f t="shared" ref="B696:B759" si="116">B695+1</f>
        <v>194</v>
      </c>
      <c r="C696" s="17"/>
      <c r="D696" s="17"/>
      <c r="E696" s="17"/>
      <c r="F696" s="18"/>
      <c r="G696" s="19">
        <v>633</v>
      </c>
      <c r="H696" s="17" t="s">
        <v>122</v>
      </c>
      <c r="I696" s="20">
        <f>12589+118+1148+2321</f>
        <v>16176</v>
      </c>
      <c r="J696" s="20">
        <v>11165</v>
      </c>
      <c r="K696" s="397">
        <f t="shared" si="114"/>
        <v>69.022007912957477</v>
      </c>
      <c r="L696" s="20"/>
      <c r="M696" s="20"/>
      <c r="N696" s="20"/>
      <c r="O696" s="397"/>
      <c r="P696" s="20"/>
      <c r="Q696" s="21">
        <f t="shared" si="112"/>
        <v>16176</v>
      </c>
      <c r="R696" s="21">
        <f t="shared" si="113"/>
        <v>11165</v>
      </c>
      <c r="S696" s="448">
        <f t="shared" si="115"/>
        <v>69.022007912957477</v>
      </c>
    </row>
    <row r="697" spans="2:19" x14ac:dyDescent="0.2">
      <c r="B697" s="6">
        <f t="shared" si="116"/>
        <v>195</v>
      </c>
      <c r="C697" s="17"/>
      <c r="D697" s="17"/>
      <c r="E697" s="17"/>
      <c r="F697" s="18"/>
      <c r="G697" s="19">
        <v>634</v>
      </c>
      <c r="H697" s="17" t="s">
        <v>129</v>
      </c>
      <c r="I697" s="20">
        <f>500+122-300-165</f>
        <v>157</v>
      </c>
      <c r="J697" s="20">
        <v>157</v>
      </c>
      <c r="K697" s="397">
        <f t="shared" si="114"/>
        <v>100</v>
      </c>
      <c r="L697" s="20"/>
      <c r="M697" s="20"/>
      <c r="N697" s="20"/>
      <c r="O697" s="397"/>
      <c r="P697" s="20"/>
      <c r="Q697" s="21">
        <f t="shared" si="112"/>
        <v>157</v>
      </c>
      <c r="R697" s="21">
        <f t="shared" si="113"/>
        <v>157</v>
      </c>
      <c r="S697" s="448">
        <f t="shared" si="115"/>
        <v>100</v>
      </c>
    </row>
    <row r="698" spans="2:19" x14ac:dyDescent="0.2">
      <c r="B698" s="6">
        <f t="shared" si="116"/>
        <v>196</v>
      </c>
      <c r="C698" s="17"/>
      <c r="D698" s="17"/>
      <c r="E698" s="17"/>
      <c r="F698" s="18"/>
      <c r="G698" s="19">
        <v>635</v>
      </c>
      <c r="H698" s="17" t="s">
        <v>130</v>
      </c>
      <c r="I698" s="20">
        <f>3000+2814+3000</f>
        <v>8814</v>
      </c>
      <c r="J698" s="20">
        <v>8814</v>
      </c>
      <c r="K698" s="397">
        <f t="shared" si="114"/>
        <v>100</v>
      </c>
      <c r="L698" s="20"/>
      <c r="M698" s="20"/>
      <c r="N698" s="20"/>
      <c r="O698" s="397"/>
      <c r="P698" s="20"/>
      <c r="Q698" s="21">
        <f t="shared" si="112"/>
        <v>8814</v>
      </c>
      <c r="R698" s="21">
        <f t="shared" si="113"/>
        <v>8814</v>
      </c>
      <c r="S698" s="448">
        <f t="shared" si="115"/>
        <v>100</v>
      </c>
    </row>
    <row r="699" spans="2:19" x14ac:dyDescent="0.2">
      <c r="B699" s="6">
        <f t="shared" si="116"/>
        <v>197</v>
      </c>
      <c r="C699" s="17"/>
      <c r="D699" s="17"/>
      <c r="E699" s="17"/>
      <c r="F699" s="18"/>
      <c r="G699" s="19">
        <v>636</v>
      </c>
      <c r="H699" s="17" t="s">
        <v>123</v>
      </c>
      <c r="I699" s="20">
        <f>183-102</f>
        <v>81</v>
      </c>
      <c r="J699" s="20">
        <v>81</v>
      </c>
      <c r="K699" s="397">
        <f t="shared" si="114"/>
        <v>100</v>
      </c>
      <c r="L699" s="20"/>
      <c r="M699" s="20"/>
      <c r="N699" s="20"/>
      <c r="O699" s="397"/>
      <c r="P699" s="20"/>
      <c r="Q699" s="21">
        <f t="shared" si="112"/>
        <v>81</v>
      </c>
      <c r="R699" s="21">
        <f t="shared" si="113"/>
        <v>81</v>
      </c>
      <c r="S699" s="448">
        <f t="shared" si="115"/>
        <v>100</v>
      </c>
    </row>
    <row r="700" spans="2:19" x14ac:dyDescent="0.2">
      <c r="B700" s="6">
        <f t="shared" si="116"/>
        <v>198</v>
      </c>
      <c r="C700" s="17"/>
      <c r="D700" s="17"/>
      <c r="E700" s="17"/>
      <c r="F700" s="18"/>
      <c r="G700" s="19">
        <v>637</v>
      </c>
      <c r="H700" s="17" t="s">
        <v>119</v>
      </c>
      <c r="I700" s="20">
        <f>5370+2633+300-560</f>
        <v>7743</v>
      </c>
      <c r="J700" s="20">
        <v>5945</v>
      </c>
      <c r="K700" s="397">
        <f t="shared" si="114"/>
        <v>76.779026217228463</v>
      </c>
      <c r="L700" s="20"/>
      <c r="M700" s="20"/>
      <c r="N700" s="20"/>
      <c r="O700" s="397"/>
      <c r="P700" s="20"/>
      <c r="Q700" s="21">
        <f t="shared" si="112"/>
        <v>7743</v>
      </c>
      <c r="R700" s="21">
        <f t="shared" si="113"/>
        <v>5945</v>
      </c>
      <c r="S700" s="448">
        <f t="shared" si="115"/>
        <v>76.779026217228463</v>
      </c>
    </row>
    <row r="701" spans="2:19" x14ac:dyDescent="0.2">
      <c r="B701" s="6">
        <f t="shared" si="116"/>
        <v>199</v>
      </c>
      <c r="C701" s="12"/>
      <c r="D701" s="12"/>
      <c r="E701" s="12"/>
      <c r="F701" s="13" t="s">
        <v>184</v>
      </c>
      <c r="G701" s="14">
        <v>640</v>
      </c>
      <c r="H701" s="12" t="s">
        <v>126</v>
      </c>
      <c r="I701" s="15">
        <f>3058+125+300-145</f>
        <v>3338</v>
      </c>
      <c r="J701" s="15">
        <v>730</v>
      </c>
      <c r="K701" s="397">
        <f t="shared" si="114"/>
        <v>21.869382863990413</v>
      </c>
      <c r="L701" s="15"/>
      <c r="M701" s="15"/>
      <c r="N701" s="15"/>
      <c r="O701" s="397"/>
      <c r="P701" s="15"/>
      <c r="Q701" s="16">
        <f t="shared" si="112"/>
        <v>3338</v>
      </c>
      <c r="R701" s="16">
        <f t="shared" si="113"/>
        <v>730</v>
      </c>
      <c r="S701" s="448">
        <f t="shared" si="115"/>
        <v>21.869382863990413</v>
      </c>
    </row>
    <row r="702" spans="2:19" x14ac:dyDescent="0.2">
      <c r="B702" s="6">
        <f t="shared" si="116"/>
        <v>200</v>
      </c>
      <c r="C702" s="12"/>
      <c r="D702" s="12"/>
      <c r="E702" s="12"/>
      <c r="F702" s="13" t="s">
        <v>184</v>
      </c>
      <c r="G702" s="14">
        <v>710</v>
      </c>
      <c r="H702" s="12" t="s">
        <v>172</v>
      </c>
      <c r="I702" s="15"/>
      <c r="J702" s="15"/>
      <c r="K702" s="397"/>
      <c r="L702" s="15"/>
      <c r="M702" s="15">
        <f>M703</f>
        <v>10000</v>
      </c>
      <c r="N702" s="15">
        <f>N703</f>
        <v>9994</v>
      </c>
      <c r="O702" s="397">
        <f>N702/M702*100</f>
        <v>99.94</v>
      </c>
      <c r="P702" s="15"/>
      <c r="Q702" s="16">
        <f t="shared" si="112"/>
        <v>10000</v>
      </c>
      <c r="R702" s="16">
        <f t="shared" si="113"/>
        <v>9994</v>
      </c>
      <c r="S702" s="448">
        <f t="shared" si="115"/>
        <v>99.94</v>
      </c>
    </row>
    <row r="703" spans="2:19" x14ac:dyDescent="0.2">
      <c r="B703" s="6">
        <f t="shared" si="116"/>
        <v>201</v>
      </c>
      <c r="C703" s="12"/>
      <c r="D703" s="12"/>
      <c r="E703" s="12"/>
      <c r="F703" s="13"/>
      <c r="G703" s="19">
        <v>713</v>
      </c>
      <c r="H703" s="17" t="s">
        <v>216</v>
      </c>
      <c r="I703" s="20"/>
      <c r="J703" s="20"/>
      <c r="K703" s="397"/>
      <c r="L703" s="20"/>
      <c r="M703" s="20">
        <f>M704</f>
        <v>10000</v>
      </c>
      <c r="N703" s="20">
        <f>N704</f>
        <v>9994</v>
      </c>
      <c r="O703" s="397">
        <f>N703/M703*100</f>
        <v>99.94</v>
      </c>
      <c r="P703" s="20"/>
      <c r="Q703" s="16">
        <f t="shared" si="112"/>
        <v>10000</v>
      </c>
      <c r="R703" s="16">
        <f t="shared" si="113"/>
        <v>9994</v>
      </c>
      <c r="S703" s="448">
        <f t="shared" si="115"/>
        <v>99.94</v>
      </c>
    </row>
    <row r="704" spans="2:19" x14ac:dyDescent="0.2">
      <c r="B704" s="6">
        <f t="shared" si="116"/>
        <v>202</v>
      </c>
      <c r="C704" s="12"/>
      <c r="D704" s="12"/>
      <c r="E704" s="12"/>
      <c r="F704" s="13"/>
      <c r="G704" s="19"/>
      <c r="H704" s="1" t="s">
        <v>478</v>
      </c>
      <c r="I704" s="20"/>
      <c r="J704" s="20"/>
      <c r="K704" s="397"/>
      <c r="L704" s="20"/>
      <c r="M704" s="24">
        <v>10000</v>
      </c>
      <c r="N704" s="24">
        <v>9994</v>
      </c>
      <c r="O704" s="397">
        <f>N704/M704*100</f>
        <v>99.94</v>
      </c>
      <c r="P704" s="20"/>
      <c r="Q704" s="16">
        <f t="shared" si="112"/>
        <v>10000</v>
      </c>
      <c r="R704" s="16">
        <f t="shared" si="113"/>
        <v>9994</v>
      </c>
      <c r="S704" s="448">
        <f t="shared" si="115"/>
        <v>99.94</v>
      </c>
    </row>
    <row r="705" spans="2:19" x14ac:dyDescent="0.2">
      <c r="B705" s="6">
        <f t="shared" si="116"/>
        <v>203</v>
      </c>
      <c r="C705" s="107"/>
      <c r="D705" s="107"/>
      <c r="E705" s="107" t="s">
        <v>100</v>
      </c>
      <c r="F705" s="108"/>
      <c r="G705" s="108"/>
      <c r="H705" s="107" t="s">
        <v>68</v>
      </c>
      <c r="I705" s="109">
        <f>I706+I707+I708+I715</f>
        <v>237074</v>
      </c>
      <c r="J705" s="109">
        <f>J706+J707+J708+J715</f>
        <v>219673</v>
      </c>
      <c r="K705" s="415">
        <f t="shared" ref="K705:K736" si="117">J705/I705*100</f>
        <v>92.660097691016304</v>
      </c>
      <c r="L705" s="15"/>
      <c r="M705" s="109"/>
      <c r="N705" s="109"/>
      <c r="O705" s="415"/>
      <c r="P705" s="15"/>
      <c r="Q705" s="110">
        <f t="shared" si="112"/>
        <v>237074</v>
      </c>
      <c r="R705" s="110">
        <f t="shared" si="113"/>
        <v>219673</v>
      </c>
      <c r="S705" s="467">
        <f t="shared" si="115"/>
        <v>92.660097691016304</v>
      </c>
    </row>
    <row r="706" spans="2:19" x14ac:dyDescent="0.2">
      <c r="B706" s="6">
        <f t="shared" si="116"/>
        <v>204</v>
      </c>
      <c r="C706" s="12"/>
      <c r="D706" s="12"/>
      <c r="E706" s="12"/>
      <c r="F706" s="13" t="s">
        <v>184</v>
      </c>
      <c r="G706" s="14">
        <v>610</v>
      </c>
      <c r="H706" s="12" t="s">
        <v>128</v>
      </c>
      <c r="I706" s="15">
        <f>138358-9884-12264-1627+633+4800+7950-1992</f>
        <v>125974</v>
      </c>
      <c r="J706" s="15">
        <v>123411</v>
      </c>
      <c r="K706" s="397">
        <f t="shared" si="117"/>
        <v>97.965453188753244</v>
      </c>
      <c r="L706" s="15"/>
      <c r="M706" s="15"/>
      <c r="N706" s="15"/>
      <c r="O706" s="397"/>
      <c r="P706" s="15"/>
      <c r="Q706" s="16">
        <f t="shared" si="112"/>
        <v>125974</v>
      </c>
      <c r="R706" s="16">
        <f t="shared" si="113"/>
        <v>123411</v>
      </c>
      <c r="S706" s="448">
        <f t="shared" si="115"/>
        <v>97.965453188753244</v>
      </c>
    </row>
    <row r="707" spans="2:19" x14ac:dyDescent="0.2">
      <c r="B707" s="6">
        <f t="shared" si="116"/>
        <v>205</v>
      </c>
      <c r="C707" s="12"/>
      <c r="D707" s="12"/>
      <c r="E707" s="12"/>
      <c r="F707" s="13" t="s">
        <v>184</v>
      </c>
      <c r="G707" s="14">
        <v>620</v>
      </c>
      <c r="H707" s="12" t="s">
        <v>121</v>
      </c>
      <c r="I707" s="15">
        <f>53663-3751-5810-618+228+1726+2076-716</f>
        <v>46798</v>
      </c>
      <c r="J707" s="15">
        <v>46288</v>
      </c>
      <c r="K707" s="397">
        <f t="shared" si="117"/>
        <v>98.910209838027257</v>
      </c>
      <c r="L707" s="15"/>
      <c r="M707" s="15"/>
      <c r="N707" s="15"/>
      <c r="O707" s="397"/>
      <c r="P707" s="15"/>
      <c r="Q707" s="16">
        <f t="shared" si="112"/>
        <v>46798</v>
      </c>
      <c r="R707" s="16">
        <f t="shared" si="113"/>
        <v>46288</v>
      </c>
      <c r="S707" s="448">
        <f t="shared" si="115"/>
        <v>98.910209838027257</v>
      </c>
    </row>
    <row r="708" spans="2:19" x14ac:dyDescent="0.2">
      <c r="B708" s="6">
        <f t="shared" si="116"/>
        <v>206</v>
      </c>
      <c r="C708" s="12"/>
      <c r="D708" s="12"/>
      <c r="E708" s="12"/>
      <c r="F708" s="13" t="s">
        <v>184</v>
      </c>
      <c r="G708" s="14">
        <v>630</v>
      </c>
      <c r="H708" s="12" t="s">
        <v>118</v>
      </c>
      <c r="I708" s="15">
        <f>SUM(I709:I714)</f>
        <v>61083</v>
      </c>
      <c r="J708" s="15">
        <f>SUM(J709:J714)</f>
        <v>49609</v>
      </c>
      <c r="K708" s="397">
        <f t="shared" si="117"/>
        <v>81.215722868883319</v>
      </c>
      <c r="L708" s="15"/>
      <c r="M708" s="15"/>
      <c r="N708" s="15"/>
      <c r="O708" s="397"/>
      <c r="P708" s="15"/>
      <c r="Q708" s="16">
        <f t="shared" si="112"/>
        <v>61083</v>
      </c>
      <c r="R708" s="16">
        <f t="shared" si="113"/>
        <v>49609</v>
      </c>
      <c r="S708" s="448">
        <f t="shared" si="115"/>
        <v>81.215722868883319</v>
      </c>
    </row>
    <row r="709" spans="2:19" x14ac:dyDescent="0.2">
      <c r="B709" s="6">
        <f t="shared" si="116"/>
        <v>207</v>
      </c>
      <c r="C709" s="17"/>
      <c r="D709" s="17"/>
      <c r="E709" s="17"/>
      <c r="F709" s="18"/>
      <c r="G709" s="19">
        <v>632</v>
      </c>
      <c r="H709" s="17" t="s">
        <v>131</v>
      </c>
      <c r="I709" s="20">
        <f>630+26</f>
        <v>656</v>
      </c>
      <c r="J709" s="20">
        <v>511</v>
      </c>
      <c r="K709" s="397">
        <f t="shared" si="117"/>
        <v>77.896341463414629</v>
      </c>
      <c r="L709" s="20"/>
      <c r="M709" s="20"/>
      <c r="N709" s="20"/>
      <c r="O709" s="397"/>
      <c r="P709" s="20"/>
      <c r="Q709" s="21">
        <f t="shared" si="112"/>
        <v>656</v>
      </c>
      <c r="R709" s="21">
        <f t="shared" si="113"/>
        <v>511</v>
      </c>
      <c r="S709" s="448">
        <f t="shared" si="115"/>
        <v>77.896341463414629</v>
      </c>
    </row>
    <row r="710" spans="2:19" x14ac:dyDescent="0.2">
      <c r="B710" s="6">
        <f t="shared" si="116"/>
        <v>208</v>
      </c>
      <c r="C710" s="17"/>
      <c r="D710" s="17"/>
      <c r="E710" s="17"/>
      <c r="F710" s="18"/>
      <c r="G710" s="19">
        <v>633</v>
      </c>
      <c r="H710" s="17" t="s">
        <v>122</v>
      </c>
      <c r="I710" s="20">
        <f>13719+109+574+2162</f>
        <v>16564</v>
      </c>
      <c r="J710" s="20">
        <v>16433</v>
      </c>
      <c r="K710" s="397">
        <f t="shared" si="117"/>
        <v>99.209128229896166</v>
      </c>
      <c r="L710" s="20"/>
      <c r="M710" s="20"/>
      <c r="N710" s="20"/>
      <c r="O710" s="397"/>
      <c r="P710" s="20"/>
      <c r="Q710" s="21">
        <f t="shared" si="112"/>
        <v>16564</v>
      </c>
      <c r="R710" s="21">
        <f t="shared" si="113"/>
        <v>16433</v>
      </c>
      <c r="S710" s="448">
        <f t="shared" si="115"/>
        <v>99.209128229896166</v>
      </c>
    </row>
    <row r="711" spans="2:19" x14ac:dyDescent="0.2">
      <c r="B711" s="6">
        <f t="shared" si="116"/>
        <v>209</v>
      </c>
      <c r="C711" s="17"/>
      <c r="D711" s="17"/>
      <c r="E711" s="17"/>
      <c r="F711" s="18"/>
      <c r="G711" s="19">
        <v>634</v>
      </c>
      <c r="H711" s="17" t="s">
        <v>129</v>
      </c>
      <c r="I711" s="20">
        <f>300+113-252</f>
        <v>161</v>
      </c>
      <c r="J711" s="20">
        <v>161</v>
      </c>
      <c r="K711" s="397">
        <f t="shared" si="117"/>
        <v>100</v>
      </c>
      <c r="L711" s="20"/>
      <c r="M711" s="20"/>
      <c r="N711" s="20"/>
      <c r="O711" s="397"/>
      <c r="P711" s="20"/>
      <c r="Q711" s="21">
        <f t="shared" si="112"/>
        <v>161</v>
      </c>
      <c r="R711" s="21">
        <f t="shared" si="113"/>
        <v>161</v>
      </c>
      <c r="S711" s="448">
        <f t="shared" si="115"/>
        <v>100</v>
      </c>
    </row>
    <row r="712" spans="2:19" x14ac:dyDescent="0.2">
      <c r="B712" s="6">
        <f t="shared" si="116"/>
        <v>210</v>
      </c>
      <c r="C712" s="17"/>
      <c r="D712" s="17"/>
      <c r="E712" s="17"/>
      <c r="F712" s="18"/>
      <c r="G712" s="19">
        <v>635</v>
      </c>
      <c r="H712" s="17" t="s">
        <v>130</v>
      </c>
      <c r="I712" s="20">
        <f>1700+4633+1070</f>
        <v>7403</v>
      </c>
      <c r="J712" s="20">
        <v>7002</v>
      </c>
      <c r="K712" s="397">
        <f t="shared" si="117"/>
        <v>94.583277049844668</v>
      </c>
      <c r="L712" s="20"/>
      <c r="M712" s="20"/>
      <c r="N712" s="20"/>
      <c r="O712" s="397"/>
      <c r="P712" s="20"/>
      <c r="Q712" s="21">
        <f t="shared" si="112"/>
        <v>7403</v>
      </c>
      <c r="R712" s="21">
        <f t="shared" si="113"/>
        <v>7002</v>
      </c>
      <c r="S712" s="448">
        <f t="shared" si="115"/>
        <v>94.583277049844668</v>
      </c>
    </row>
    <row r="713" spans="2:19" x14ac:dyDescent="0.2">
      <c r="B713" s="6">
        <f t="shared" si="116"/>
        <v>211</v>
      </c>
      <c r="C713" s="17"/>
      <c r="D713" s="17"/>
      <c r="E713" s="17"/>
      <c r="F713" s="18"/>
      <c r="G713" s="19">
        <v>636</v>
      </c>
      <c r="H713" s="17" t="s">
        <v>123</v>
      </c>
      <c r="I713" s="20">
        <f>28000+169-645</f>
        <v>27524</v>
      </c>
      <c r="J713" s="20">
        <v>19419</v>
      </c>
      <c r="K713" s="397">
        <f t="shared" si="117"/>
        <v>70.552971951751204</v>
      </c>
      <c r="L713" s="20"/>
      <c r="M713" s="20"/>
      <c r="N713" s="20"/>
      <c r="O713" s="397"/>
      <c r="P713" s="20"/>
      <c r="Q713" s="21">
        <f t="shared" si="112"/>
        <v>27524</v>
      </c>
      <c r="R713" s="21">
        <f t="shared" si="113"/>
        <v>19419</v>
      </c>
      <c r="S713" s="448">
        <f t="shared" si="115"/>
        <v>70.552971951751204</v>
      </c>
    </row>
    <row r="714" spans="2:19" x14ac:dyDescent="0.2">
      <c r="B714" s="6">
        <f t="shared" si="116"/>
        <v>212</v>
      </c>
      <c r="C714" s="17"/>
      <c r="D714" s="17"/>
      <c r="E714" s="17"/>
      <c r="F714" s="18"/>
      <c r="G714" s="19">
        <v>637</v>
      </c>
      <c r="H714" s="17" t="s">
        <v>119</v>
      </c>
      <c r="I714" s="20">
        <f>6754+2719-698</f>
        <v>8775</v>
      </c>
      <c r="J714" s="20">
        <v>6083</v>
      </c>
      <c r="K714" s="397">
        <f t="shared" si="117"/>
        <v>69.321937321937327</v>
      </c>
      <c r="L714" s="20"/>
      <c r="M714" s="20"/>
      <c r="N714" s="20"/>
      <c r="O714" s="397"/>
      <c r="P714" s="20"/>
      <c r="Q714" s="21">
        <f t="shared" si="112"/>
        <v>8775</v>
      </c>
      <c r="R714" s="21">
        <f t="shared" si="113"/>
        <v>6083</v>
      </c>
      <c r="S714" s="448">
        <f t="shared" si="115"/>
        <v>69.321937321937327</v>
      </c>
    </row>
    <row r="715" spans="2:19" x14ac:dyDescent="0.2">
      <c r="B715" s="6">
        <f t="shared" si="116"/>
        <v>213</v>
      </c>
      <c r="C715" s="12"/>
      <c r="D715" s="12"/>
      <c r="E715" s="12"/>
      <c r="F715" s="13" t="s">
        <v>184</v>
      </c>
      <c r="G715" s="14">
        <v>640</v>
      </c>
      <c r="H715" s="12" t="s">
        <v>126</v>
      </c>
      <c r="I715" s="15">
        <f>3904+115-800</f>
        <v>3219</v>
      </c>
      <c r="J715" s="15">
        <v>365</v>
      </c>
      <c r="K715" s="397">
        <f t="shared" si="117"/>
        <v>11.338925132028582</v>
      </c>
      <c r="L715" s="15"/>
      <c r="M715" s="15"/>
      <c r="N715" s="15"/>
      <c r="O715" s="397"/>
      <c r="P715" s="15"/>
      <c r="Q715" s="16">
        <f t="shared" si="112"/>
        <v>3219</v>
      </c>
      <c r="R715" s="16">
        <f t="shared" si="113"/>
        <v>365</v>
      </c>
      <c r="S715" s="448">
        <f t="shared" si="115"/>
        <v>11.338925132028582</v>
      </c>
    </row>
    <row r="716" spans="2:19" x14ac:dyDescent="0.2">
      <c r="B716" s="6">
        <f t="shared" si="116"/>
        <v>214</v>
      </c>
      <c r="C716" s="107"/>
      <c r="D716" s="107"/>
      <c r="E716" s="107" t="s">
        <v>101</v>
      </c>
      <c r="F716" s="108"/>
      <c r="G716" s="108"/>
      <c r="H716" s="107" t="s">
        <v>102</v>
      </c>
      <c r="I716" s="109">
        <f>I717+I718+I719+I726</f>
        <v>684894</v>
      </c>
      <c r="J716" s="109">
        <f>J717+J718+J719+J726</f>
        <v>654030</v>
      </c>
      <c r="K716" s="415">
        <f t="shared" si="117"/>
        <v>95.493609230041429</v>
      </c>
      <c r="L716" s="15"/>
      <c r="M716" s="109"/>
      <c r="N716" s="109"/>
      <c r="O716" s="415"/>
      <c r="P716" s="15"/>
      <c r="Q716" s="110">
        <f t="shared" si="112"/>
        <v>684894</v>
      </c>
      <c r="R716" s="110">
        <f t="shared" si="113"/>
        <v>654030</v>
      </c>
      <c r="S716" s="467">
        <f t="shared" si="115"/>
        <v>95.493609230041429</v>
      </c>
    </row>
    <row r="717" spans="2:19" x14ac:dyDescent="0.2">
      <c r="B717" s="6">
        <f t="shared" si="116"/>
        <v>215</v>
      </c>
      <c r="C717" s="12"/>
      <c r="D717" s="12"/>
      <c r="E717" s="12"/>
      <c r="F717" s="13" t="s">
        <v>184</v>
      </c>
      <c r="G717" s="14">
        <v>610</v>
      </c>
      <c r="H717" s="12" t="s">
        <v>128</v>
      </c>
      <c r="I717" s="15">
        <f>381269-27234+10946-26672+1267+18100+29104-830</f>
        <v>385950</v>
      </c>
      <c r="J717" s="15">
        <v>381271</v>
      </c>
      <c r="K717" s="397">
        <f t="shared" si="117"/>
        <v>98.787666796217124</v>
      </c>
      <c r="L717" s="15"/>
      <c r="M717" s="15"/>
      <c r="N717" s="15"/>
      <c r="O717" s="397"/>
      <c r="P717" s="15"/>
      <c r="Q717" s="16">
        <f t="shared" si="112"/>
        <v>385950</v>
      </c>
      <c r="R717" s="16">
        <f t="shared" si="113"/>
        <v>381271</v>
      </c>
      <c r="S717" s="448">
        <f t="shared" si="115"/>
        <v>98.787666796217124</v>
      </c>
    </row>
    <row r="718" spans="2:19" x14ac:dyDescent="0.2">
      <c r="B718" s="6">
        <f t="shared" si="116"/>
        <v>216</v>
      </c>
      <c r="C718" s="12"/>
      <c r="D718" s="12"/>
      <c r="E718" s="12"/>
      <c r="F718" s="13" t="s">
        <v>184</v>
      </c>
      <c r="G718" s="14">
        <v>620</v>
      </c>
      <c r="H718" s="12" t="s">
        <v>121</v>
      </c>
      <c r="I718" s="15">
        <f>146934-10335+1911-10122+455+6759+7028-298</f>
        <v>142332</v>
      </c>
      <c r="J718" s="15">
        <v>141769</v>
      </c>
      <c r="K718" s="397">
        <f t="shared" si="117"/>
        <v>99.604445943287516</v>
      </c>
      <c r="L718" s="15"/>
      <c r="M718" s="15"/>
      <c r="N718" s="15"/>
      <c r="O718" s="397"/>
      <c r="P718" s="15"/>
      <c r="Q718" s="16">
        <f t="shared" si="112"/>
        <v>142332</v>
      </c>
      <c r="R718" s="16">
        <f t="shared" si="113"/>
        <v>141769</v>
      </c>
      <c r="S718" s="448">
        <f t="shared" si="115"/>
        <v>99.604445943287516</v>
      </c>
    </row>
    <row r="719" spans="2:19" x14ac:dyDescent="0.2">
      <c r="B719" s="6">
        <f t="shared" si="116"/>
        <v>217</v>
      </c>
      <c r="C719" s="12"/>
      <c r="D719" s="12"/>
      <c r="E719" s="12"/>
      <c r="F719" s="13" t="s">
        <v>184</v>
      </c>
      <c r="G719" s="14">
        <v>630</v>
      </c>
      <c r="H719" s="12" t="s">
        <v>118</v>
      </c>
      <c r="I719" s="15">
        <f>SUM(I720:I725)</f>
        <v>145127</v>
      </c>
      <c r="J719" s="15">
        <f>SUM(J720:J725)</f>
        <v>126205</v>
      </c>
      <c r="K719" s="397">
        <f t="shared" si="117"/>
        <v>86.961764523486323</v>
      </c>
      <c r="L719" s="15"/>
      <c r="M719" s="15"/>
      <c r="N719" s="15"/>
      <c r="O719" s="397"/>
      <c r="P719" s="15"/>
      <c r="Q719" s="16">
        <f t="shared" si="112"/>
        <v>145127</v>
      </c>
      <c r="R719" s="16">
        <f t="shared" si="113"/>
        <v>126205</v>
      </c>
      <c r="S719" s="448">
        <f t="shared" si="115"/>
        <v>86.961764523486323</v>
      </c>
    </row>
    <row r="720" spans="2:19" x14ac:dyDescent="0.2">
      <c r="B720" s="6">
        <f t="shared" si="116"/>
        <v>218</v>
      </c>
      <c r="C720" s="17"/>
      <c r="D720" s="17"/>
      <c r="E720" s="17"/>
      <c r="F720" s="18"/>
      <c r="G720" s="19">
        <v>632</v>
      </c>
      <c r="H720" s="17" t="s">
        <v>131</v>
      </c>
      <c r="I720" s="20">
        <f>25771+99</f>
        <v>25870</v>
      </c>
      <c r="J720" s="20">
        <v>25399</v>
      </c>
      <c r="K720" s="397">
        <f t="shared" si="117"/>
        <v>98.179358330112095</v>
      </c>
      <c r="L720" s="20"/>
      <c r="M720" s="20"/>
      <c r="N720" s="20"/>
      <c r="O720" s="397"/>
      <c r="P720" s="20"/>
      <c r="Q720" s="21">
        <f t="shared" si="112"/>
        <v>25870</v>
      </c>
      <c r="R720" s="21">
        <f t="shared" si="113"/>
        <v>25399</v>
      </c>
      <c r="S720" s="448">
        <f t="shared" si="115"/>
        <v>98.179358330112095</v>
      </c>
    </row>
    <row r="721" spans="2:19" x14ac:dyDescent="0.2">
      <c r="B721" s="6">
        <f t="shared" si="116"/>
        <v>219</v>
      </c>
      <c r="C721" s="17"/>
      <c r="D721" s="17"/>
      <c r="E721" s="17"/>
      <c r="F721" s="18"/>
      <c r="G721" s="19">
        <v>633</v>
      </c>
      <c r="H721" s="17" t="s">
        <v>122</v>
      </c>
      <c r="I721" s="20">
        <f>45482+409+1165+4329</f>
        <v>51385</v>
      </c>
      <c r="J721" s="20">
        <v>42455</v>
      </c>
      <c r="K721" s="397">
        <f t="shared" si="117"/>
        <v>82.621387564464328</v>
      </c>
      <c r="L721" s="20"/>
      <c r="M721" s="20"/>
      <c r="N721" s="20"/>
      <c r="O721" s="397"/>
      <c r="P721" s="20"/>
      <c r="Q721" s="21">
        <f t="shared" si="112"/>
        <v>51385</v>
      </c>
      <c r="R721" s="21">
        <f t="shared" si="113"/>
        <v>42455</v>
      </c>
      <c r="S721" s="448">
        <f t="shared" si="115"/>
        <v>82.621387564464328</v>
      </c>
    </row>
    <row r="722" spans="2:19" x14ac:dyDescent="0.2">
      <c r="B722" s="6">
        <f t="shared" si="116"/>
        <v>220</v>
      </c>
      <c r="C722" s="17"/>
      <c r="D722" s="17"/>
      <c r="E722" s="17"/>
      <c r="F722" s="18"/>
      <c r="G722" s="19">
        <v>634</v>
      </c>
      <c r="H722" s="17" t="s">
        <v>129</v>
      </c>
      <c r="I722" s="20">
        <f>800+423</f>
        <v>1223</v>
      </c>
      <c r="J722" s="20">
        <v>1066</v>
      </c>
      <c r="K722" s="397">
        <f t="shared" si="117"/>
        <v>87.162714636140635</v>
      </c>
      <c r="L722" s="20"/>
      <c r="M722" s="20"/>
      <c r="N722" s="20"/>
      <c r="O722" s="397"/>
      <c r="P722" s="20"/>
      <c r="Q722" s="21">
        <f t="shared" si="112"/>
        <v>1223</v>
      </c>
      <c r="R722" s="21">
        <f t="shared" si="113"/>
        <v>1066</v>
      </c>
      <c r="S722" s="448">
        <f t="shared" si="115"/>
        <v>87.162714636140635</v>
      </c>
    </row>
    <row r="723" spans="2:19" x14ac:dyDescent="0.2">
      <c r="B723" s="6">
        <f t="shared" si="116"/>
        <v>221</v>
      </c>
      <c r="C723" s="17"/>
      <c r="D723" s="17"/>
      <c r="E723" s="17"/>
      <c r="F723" s="18"/>
      <c r="G723" s="19">
        <v>635</v>
      </c>
      <c r="H723" s="17" t="s">
        <v>130</v>
      </c>
      <c r="I723" s="20">
        <f>11000+5000+6259</f>
        <v>22259</v>
      </c>
      <c r="J723" s="20">
        <v>21354</v>
      </c>
      <c r="K723" s="397">
        <f t="shared" si="117"/>
        <v>95.934228851251177</v>
      </c>
      <c r="L723" s="20"/>
      <c r="M723" s="20"/>
      <c r="N723" s="20"/>
      <c r="O723" s="397"/>
      <c r="P723" s="20"/>
      <c r="Q723" s="21">
        <f t="shared" si="112"/>
        <v>22259</v>
      </c>
      <c r="R723" s="21">
        <f t="shared" si="113"/>
        <v>21354</v>
      </c>
      <c r="S723" s="448">
        <f t="shared" si="115"/>
        <v>95.934228851251177</v>
      </c>
    </row>
    <row r="724" spans="2:19" x14ac:dyDescent="0.2">
      <c r="B724" s="6">
        <f t="shared" si="116"/>
        <v>222</v>
      </c>
      <c r="C724" s="17"/>
      <c r="D724" s="17"/>
      <c r="E724" s="17"/>
      <c r="F724" s="18"/>
      <c r="G724" s="19">
        <v>636</v>
      </c>
      <c r="H724" s="17" t="s">
        <v>123</v>
      </c>
      <c r="I724" s="20">
        <f>10000+634-355</f>
        <v>10279</v>
      </c>
      <c r="J724" s="20">
        <v>4540</v>
      </c>
      <c r="K724" s="397">
        <f t="shared" si="117"/>
        <v>44.167720595388651</v>
      </c>
      <c r="L724" s="20"/>
      <c r="M724" s="20"/>
      <c r="N724" s="20"/>
      <c r="O724" s="397"/>
      <c r="P724" s="20"/>
      <c r="Q724" s="21">
        <f t="shared" si="112"/>
        <v>10279</v>
      </c>
      <c r="R724" s="21">
        <f t="shared" si="113"/>
        <v>4540</v>
      </c>
      <c r="S724" s="448">
        <f t="shared" si="115"/>
        <v>44.167720595388651</v>
      </c>
    </row>
    <row r="725" spans="2:19" x14ac:dyDescent="0.2">
      <c r="B725" s="6">
        <f t="shared" si="116"/>
        <v>223</v>
      </c>
      <c r="C725" s="17"/>
      <c r="D725" s="17"/>
      <c r="E725" s="17"/>
      <c r="F725" s="18"/>
      <c r="G725" s="19">
        <v>637</v>
      </c>
      <c r="H725" s="17" t="s">
        <v>119</v>
      </c>
      <c r="I725" s="20">
        <f>24890+10232-1721+710</f>
        <v>34111</v>
      </c>
      <c r="J725" s="20">
        <v>31391</v>
      </c>
      <c r="K725" s="397">
        <f t="shared" si="117"/>
        <v>92.026032658086834</v>
      </c>
      <c r="L725" s="20"/>
      <c r="M725" s="20"/>
      <c r="N725" s="20"/>
      <c r="O725" s="397"/>
      <c r="P725" s="20"/>
      <c r="Q725" s="21">
        <f t="shared" si="112"/>
        <v>34111</v>
      </c>
      <c r="R725" s="21">
        <f t="shared" si="113"/>
        <v>31391</v>
      </c>
      <c r="S725" s="448">
        <f t="shared" si="115"/>
        <v>92.026032658086834</v>
      </c>
    </row>
    <row r="726" spans="2:19" x14ac:dyDescent="0.2">
      <c r="B726" s="6">
        <f t="shared" si="116"/>
        <v>224</v>
      </c>
      <c r="C726" s="12"/>
      <c r="D726" s="12"/>
      <c r="E726" s="12"/>
      <c r="F726" s="13" t="s">
        <v>184</v>
      </c>
      <c r="G726" s="14">
        <v>640</v>
      </c>
      <c r="H726" s="12" t="s">
        <v>126</v>
      </c>
      <c r="I726" s="15">
        <f>7176+433+700+3176</f>
        <v>11485</v>
      </c>
      <c r="J726" s="15">
        <v>4785</v>
      </c>
      <c r="K726" s="397">
        <f t="shared" si="117"/>
        <v>41.663038746190686</v>
      </c>
      <c r="L726" s="15"/>
      <c r="M726" s="15"/>
      <c r="N726" s="15"/>
      <c r="O726" s="397"/>
      <c r="P726" s="15"/>
      <c r="Q726" s="16">
        <f t="shared" si="112"/>
        <v>11485</v>
      </c>
      <c r="R726" s="16">
        <f t="shared" si="113"/>
        <v>4785</v>
      </c>
      <c r="S726" s="448">
        <f t="shared" si="115"/>
        <v>41.663038746190686</v>
      </c>
    </row>
    <row r="727" spans="2:19" ht="15" x14ac:dyDescent="0.2">
      <c r="B727" s="6">
        <f t="shared" si="116"/>
        <v>225</v>
      </c>
      <c r="C727" s="9">
        <v>2</v>
      </c>
      <c r="D727" s="637" t="s">
        <v>178</v>
      </c>
      <c r="E727" s="638"/>
      <c r="F727" s="638"/>
      <c r="G727" s="638"/>
      <c r="H727" s="638"/>
      <c r="I727" s="10">
        <f>I728+I732+I759+I783+I808+I835+I863+I893+I920</f>
        <v>18620157</v>
      </c>
      <c r="J727" s="10">
        <f>J728+J732+J759+J783+J808+J835+J863+J893+J920</f>
        <v>17958601</v>
      </c>
      <c r="K727" s="395">
        <f t="shared" si="117"/>
        <v>96.447097626513028</v>
      </c>
      <c r="L727" s="312"/>
      <c r="M727" s="10">
        <f>M732+M759+M783+M808+M835+M863+M893+M920</f>
        <v>629496</v>
      </c>
      <c r="N727" s="10">
        <f>N732+N759+N783+N808+N835+N863+N893+N920</f>
        <v>257207</v>
      </c>
      <c r="O727" s="395">
        <f>N727/M727*100</f>
        <v>40.859195292742129</v>
      </c>
      <c r="P727" s="312"/>
      <c r="Q727" s="31">
        <f t="shared" si="112"/>
        <v>19249653</v>
      </c>
      <c r="R727" s="31">
        <f t="shared" si="113"/>
        <v>18215808</v>
      </c>
      <c r="S727" s="449">
        <f t="shared" si="115"/>
        <v>94.629279810913985</v>
      </c>
    </row>
    <row r="728" spans="2:19" x14ac:dyDescent="0.2">
      <c r="B728" s="6">
        <f t="shared" si="116"/>
        <v>226</v>
      </c>
      <c r="C728" s="12"/>
      <c r="D728" s="12"/>
      <c r="E728" s="12"/>
      <c r="F728" s="13" t="s">
        <v>116</v>
      </c>
      <c r="G728" s="14">
        <v>630</v>
      </c>
      <c r="H728" s="12" t="s">
        <v>118</v>
      </c>
      <c r="I728" s="15">
        <f>SUM(I729:I731)</f>
        <v>7280</v>
      </c>
      <c r="J728" s="15">
        <f>SUM(J729:J731)</f>
        <v>0</v>
      </c>
      <c r="K728" s="397">
        <f t="shared" si="117"/>
        <v>0</v>
      </c>
      <c r="L728" s="15"/>
      <c r="M728" s="15"/>
      <c r="N728" s="15"/>
      <c r="O728" s="397"/>
      <c r="P728" s="15"/>
      <c r="Q728" s="16">
        <f t="shared" si="112"/>
        <v>7280</v>
      </c>
      <c r="R728" s="16">
        <f t="shared" si="113"/>
        <v>0</v>
      </c>
      <c r="S728" s="448">
        <f t="shared" si="115"/>
        <v>0</v>
      </c>
    </row>
    <row r="729" spans="2:19" x14ac:dyDescent="0.2">
      <c r="B729" s="6">
        <f t="shared" si="116"/>
        <v>227</v>
      </c>
      <c r="C729" s="12"/>
      <c r="D729" s="12"/>
      <c r="E729" s="12"/>
      <c r="F729" s="13"/>
      <c r="G729" s="19">
        <v>633</v>
      </c>
      <c r="H729" s="17" t="s">
        <v>122</v>
      </c>
      <c r="I729" s="20">
        <f>12000-10800</f>
        <v>1200</v>
      </c>
      <c r="J729" s="20">
        <v>0</v>
      </c>
      <c r="K729" s="397">
        <f t="shared" si="117"/>
        <v>0</v>
      </c>
      <c r="L729" s="20"/>
      <c r="M729" s="15"/>
      <c r="N729" s="15"/>
      <c r="O729" s="397"/>
      <c r="P729" s="15"/>
      <c r="Q729" s="21">
        <f t="shared" si="112"/>
        <v>1200</v>
      </c>
      <c r="R729" s="21">
        <f t="shared" si="113"/>
        <v>0</v>
      </c>
      <c r="S729" s="448">
        <f t="shared" si="115"/>
        <v>0</v>
      </c>
    </row>
    <row r="730" spans="2:19" x14ac:dyDescent="0.2">
      <c r="B730" s="6">
        <f t="shared" si="116"/>
        <v>228</v>
      </c>
      <c r="C730" s="17"/>
      <c r="D730" s="17"/>
      <c r="E730" s="17"/>
      <c r="F730" s="18"/>
      <c r="G730" s="19">
        <v>635</v>
      </c>
      <c r="H730" s="17" t="s">
        <v>130</v>
      </c>
      <c r="I730" s="20">
        <f>40000-25361-13824</f>
        <v>815</v>
      </c>
      <c r="J730" s="20">
        <v>0</v>
      </c>
      <c r="K730" s="397">
        <f t="shared" si="117"/>
        <v>0</v>
      </c>
      <c r="L730" s="20"/>
      <c r="M730" s="20"/>
      <c r="N730" s="20"/>
      <c r="O730" s="397"/>
      <c r="P730" s="20"/>
      <c r="Q730" s="21">
        <f t="shared" si="112"/>
        <v>815</v>
      </c>
      <c r="R730" s="21">
        <f t="shared" si="113"/>
        <v>0</v>
      </c>
      <c r="S730" s="448">
        <f t="shared" si="115"/>
        <v>0</v>
      </c>
    </row>
    <row r="731" spans="2:19" x14ac:dyDescent="0.2">
      <c r="B731" s="6">
        <f t="shared" si="116"/>
        <v>229</v>
      </c>
      <c r="C731" s="17"/>
      <c r="D731" s="17"/>
      <c r="E731" s="17"/>
      <c r="F731" s="18"/>
      <c r="G731" s="19">
        <v>637</v>
      </c>
      <c r="H731" s="17" t="s">
        <v>119</v>
      </c>
      <c r="I731" s="20">
        <f>6000-735</f>
        <v>5265</v>
      </c>
      <c r="J731" s="20">
        <v>0</v>
      </c>
      <c r="K731" s="397">
        <f t="shared" si="117"/>
        <v>0</v>
      </c>
      <c r="L731" s="20"/>
      <c r="M731" s="20"/>
      <c r="N731" s="20"/>
      <c r="O731" s="397"/>
      <c r="P731" s="20"/>
      <c r="Q731" s="21">
        <f t="shared" si="112"/>
        <v>5265</v>
      </c>
      <c r="R731" s="21">
        <f t="shared" si="113"/>
        <v>0</v>
      </c>
      <c r="S731" s="448">
        <f t="shared" si="115"/>
        <v>0</v>
      </c>
    </row>
    <row r="732" spans="2:19" ht="15" x14ac:dyDescent="0.25">
      <c r="B732" s="6">
        <f t="shared" si="116"/>
        <v>230</v>
      </c>
      <c r="C732" s="97"/>
      <c r="D732" s="97"/>
      <c r="E732" s="97">
        <v>6</v>
      </c>
      <c r="F732" s="98"/>
      <c r="G732" s="98"/>
      <c r="H732" s="97" t="s">
        <v>279</v>
      </c>
      <c r="I732" s="99">
        <f>I733+I734+I735+I743+I744+I745+I746+I754+I755</f>
        <v>1646778</v>
      </c>
      <c r="J732" s="99">
        <f>J733+J734+J735+J743+J744+J745+J746+J754+J755</f>
        <v>1560465</v>
      </c>
      <c r="K732" s="414">
        <f t="shared" si="117"/>
        <v>94.758674211095851</v>
      </c>
      <c r="L732" s="313"/>
      <c r="M732" s="99">
        <f>M756</f>
        <v>480</v>
      </c>
      <c r="N732" s="99"/>
      <c r="O732" s="414"/>
      <c r="P732" s="313"/>
      <c r="Q732" s="100">
        <f t="shared" si="112"/>
        <v>1647258</v>
      </c>
      <c r="R732" s="100">
        <f t="shared" si="113"/>
        <v>1560465</v>
      </c>
      <c r="S732" s="464">
        <f t="shared" si="115"/>
        <v>94.731062165125309</v>
      </c>
    </row>
    <row r="733" spans="2:19" x14ac:dyDescent="0.2">
      <c r="B733" s="6">
        <f t="shared" si="116"/>
        <v>231</v>
      </c>
      <c r="C733" s="12"/>
      <c r="D733" s="12"/>
      <c r="E733" s="12"/>
      <c r="F733" s="13" t="s">
        <v>116</v>
      </c>
      <c r="G733" s="14">
        <v>610</v>
      </c>
      <c r="H733" s="12" t="s">
        <v>128</v>
      </c>
      <c r="I733" s="15">
        <f>525646-198776-11916+13016-1889</f>
        <v>326081</v>
      </c>
      <c r="J733" s="15">
        <v>326081</v>
      </c>
      <c r="K733" s="397">
        <f t="shared" si="117"/>
        <v>100</v>
      </c>
      <c r="L733" s="15"/>
      <c r="M733" s="15"/>
      <c r="N733" s="15"/>
      <c r="O733" s="397"/>
      <c r="P733" s="15"/>
      <c r="Q733" s="16">
        <f t="shared" si="112"/>
        <v>326081</v>
      </c>
      <c r="R733" s="16">
        <f t="shared" si="113"/>
        <v>326081</v>
      </c>
      <c r="S733" s="448">
        <f t="shared" si="115"/>
        <v>100</v>
      </c>
    </row>
    <row r="734" spans="2:19" x14ac:dyDescent="0.2">
      <c r="B734" s="6">
        <f t="shared" si="116"/>
        <v>232</v>
      </c>
      <c r="C734" s="12"/>
      <c r="D734" s="12"/>
      <c r="E734" s="12"/>
      <c r="F734" s="13" t="s">
        <v>116</v>
      </c>
      <c r="G734" s="14">
        <v>620</v>
      </c>
      <c r="H734" s="12" t="s">
        <v>121</v>
      </c>
      <c r="I734" s="15">
        <f>183254-69957-4284+7494+1753</f>
        <v>118260</v>
      </c>
      <c r="J734" s="15">
        <v>118259</v>
      </c>
      <c r="K734" s="397">
        <f t="shared" si="117"/>
        <v>99.999154405547102</v>
      </c>
      <c r="L734" s="15"/>
      <c r="M734" s="15"/>
      <c r="N734" s="15"/>
      <c r="O734" s="397"/>
      <c r="P734" s="15"/>
      <c r="Q734" s="16">
        <f t="shared" si="112"/>
        <v>118260</v>
      </c>
      <c r="R734" s="16">
        <f t="shared" si="113"/>
        <v>118259</v>
      </c>
      <c r="S734" s="448">
        <f t="shared" si="115"/>
        <v>99.999154405547102</v>
      </c>
    </row>
    <row r="735" spans="2:19" x14ac:dyDescent="0.2">
      <c r="B735" s="6">
        <f t="shared" si="116"/>
        <v>233</v>
      </c>
      <c r="C735" s="12"/>
      <c r="D735" s="12"/>
      <c r="E735" s="12"/>
      <c r="F735" s="13" t="s">
        <v>116</v>
      </c>
      <c r="G735" s="14">
        <v>630</v>
      </c>
      <c r="H735" s="12" t="s">
        <v>118</v>
      </c>
      <c r="I735" s="15">
        <f>SUM(I736:I742)</f>
        <v>104954</v>
      </c>
      <c r="J735" s="15">
        <f>SUM(J736:J742)</f>
        <v>63624</v>
      </c>
      <c r="K735" s="397">
        <f t="shared" si="117"/>
        <v>60.620843417116063</v>
      </c>
      <c r="L735" s="15"/>
      <c r="M735" s="15"/>
      <c r="N735" s="15"/>
      <c r="O735" s="397"/>
      <c r="P735" s="15"/>
      <c r="Q735" s="16">
        <f t="shared" si="112"/>
        <v>104954</v>
      </c>
      <c r="R735" s="16">
        <f t="shared" si="113"/>
        <v>63624</v>
      </c>
      <c r="S735" s="448">
        <f t="shared" si="115"/>
        <v>60.620843417116063</v>
      </c>
    </row>
    <row r="736" spans="2:19" x14ac:dyDescent="0.2">
      <c r="B736" s="6">
        <f t="shared" si="116"/>
        <v>234</v>
      </c>
      <c r="C736" s="17"/>
      <c r="D736" s="17"/>
      <c r="E736" s="17"/>
      <c r="F736" s="18"/>
      <c r="G736" s="19">
        <v>631</v>
      </c>
      <c r="H736" s="17" t="s">
        <v>124</v>
      </c>
      <c r="I736" s="20">
        <f>377+78</f>
        <v>455</v>
      </c>
      <c r="J736" s="20">
        <v>91</v>
      </c>
      <c r="K736" s="397">
        <f t="shared" si="117"/>
        <v>20</v>
      </c>
      <c r="L736" s="20"/>
      <c r="M736" s="20"/>
      <c r="N736" s="20"/>
      <c r="O736" s="397"/>
      <c r="P736" s="20"/>
      <c r="Q736" s="21">
        <f t="shared" si="112"/>
        <v>455</v>
      </c>
      <c r="R736" s="21">
        <f t="shared" si="113"/>
        <v>91</v>
      </c>
      <c r="S736" s="448">
        <f t="shared" si="115"/>
        <v>20</v>
      </c>
    </row>
    <row r="737" spans="2:19" x14ac:dyDescent="0.2">
      <c r="B737" s="6">
        <f t="shared" si="116"/>
        <v>235</v>
      </c>
      <c r="C737" s="17"/>
      <c r="D737" s="17"/>
      <c r="E737" s="17"/>
      <c r="F737" s="18"/>
      <c r="G737" s="19">
        <v>632</v>
      </c>
      <c r="H737" s="17" t="s">
        <v>131</v>
      </c>
      <c r="I737" s="20">
        <f>59025+12127-4500-14302</f>
        <v>52350</v>
      </c>
      <c r="J737" s="20">
        <v>21432</v>
      </c>
      <c r="K737" s="397">
        <f t="shared" ref="K737:K755" si="118">J737/I737*100</f>
        <v>40.939828080229226</v>
      </c>
      <c r="L737" s="20"/>
      <c r="M737" s="20"/>
      <c r="N737" s="20"/>
      <c r="O737" s="397"/>
      <c r="P737" s="20"/>
      <c r="Q737" s="21">
        <f t="shared" si="112"/>
        <v>52350</v>
      </c>
      <c r="R737" s="21">
        <f t="shared" si="113"/>
        <v>21432</v>
      </c>
      <c r="S737" s="448">
        <f t="shared" si="115"/>
        <v>40.939828080229226</v>
      </c>
    </row>
    <row r="738" spans="2:19" x14ac:dyDescent="0.2">
      <c r="B738" s="6">
        <f t="shared" si="116"/>
        <v>236</v>
      </c>
      <c r="C738" s="17"/>
      <c r="D738" s="17"/>
      <c r="E738" s="17"/>
      <c r="F738" s="18"/>
      <c r="G738" s="19">
        <v>633</v>
      </c>
      <c r="H738" s="17" t="s">
        <v>122</v>
      </c>
      <c r="I738" s="20">
        <f>13220-4351+6017</f>
        <v>14886</v>
      </c>
      <c r="J738" s="20">
        <v>14886</v>
      </c>
      <c r="K738" s="397">
        <f t="shared" si="118"/>
        <v>100</v>
      </c>
      <c r="L738" s="20"/>
      <c r="M738" s="20"/>
      <c r="N738" s="20"/>
      <c r="O738" s="397"/>
      <c r="P738" s="20"/>
      <c r="Q738" s="21">
        <f t="shared" si="112"/>
        <v>14886</v>
      </c>
      <c r="R738" s="21">
        <f t="shared" si="113"/>
        <v>14886</v>
      </c>
      <c r="S738" s="448">
        <f t="shared" si="115"/>
        <v>100</v>
      </c>
    </row>
    <row r="739" spans="2:19" x14ac:dyDescent="0.2">
      <c r="B739" s="6">
        <f t="shared" si="116"/>
        <v>237</v>
      </c>
      <c r="C739" s="17"/>
      <c r="D739" s="17"/>
      <c r="E739" s="17"/>
      <c r="F739" s="18"/>
      <c r="G739" s="19">
        <v>634</v>
      </c>
      <c r="H739" s="17" t="s">
        <v>129</v>
      </c>
      <c r="I739" s="20">
        <f>3673-2609-987</f>
        <v>77</v>
      </c>
      <c r="J739" s="20">
        <v>55</v>
      </c>
      <c r="K739" s="397">
        <f t="shared" si="118"/>
        <v>71.428571428571431</v>
      </c>
      <c r="L739" s="20"/>
      <c r="M739" s="20"/>
      <c r="N739" s="20"/>
      <c r="O739" s="397"/>
      <c r="P739" s="20"/>
      <c r="Q739" s="21">
        <f t="shared" si="112"/>
        <v>77</v>
      </c>
      <c r="R739" s="21">
        <f t="shared" si="113"/>
        <v>55</v>
      </c>
      <c r="S739" s="448">
        <f t="shared" si="115"/>
        <v>71.428571428571431</v>
      </c>
    </row>
    <row r="740" spans="2:19" x14ac:dyDescent="0.2">
      <c r="B740" s="6">
        <f t="shared" si="116"/>
        <v>238</v>
      </c>
      <c r="C740" s="17"/>
      <c r="D740" s="17"/>
      <c r="E740" s="17"/>
      <c r="F740" s="18"/>
      <c r="G740" s="19">
        <v>635</v>
      </c>
      <c r="H740" s="17" t="s">
        <v>130</v>
      </c>
      <c r="I740" s="20">
        <f>8970+2429</f>
        <v>11399</v>
      </c>
      <c r="J740" s="20">
        <v>7486</v>
      </c>
      <c r="K740" s="397">
        <f t="shared" si="118"/>
        <v>65.672427405912799</v>
      </c>
      <c r="L740" s="20"/>
      <c r="M740" s="20"/>
      <c r="N740" s="20"/>
      <c r="O740" s="397"/>
      <c r="P740" s="20"/>
      <c r="Q740" s="21">
        <f t="shared" si="112"/>
        <v>11399</v>
      </c>
      <c r="R740" s="21">
        <f t="shared" si="113"/>
        <v>7486</v>
      </c>
      <c r="S740" s="448">
        <f t="shared" si="115"/>
        <v>65.672427405912799</v>
      </c>
    </row>
    <row r="741" spans="2:19" x14ac:dyDescent="0.2">
      <c r="B741" s="6">
        <f t="shared" si="116"/>
        <v>239</v>
      </c>
      <c r="C741" s="17"/>
      <c r="D741" s="17"/>
      <c r="E741" s="17"/>
      <c r="F741" s="18"/>
      <c r="G741" s="19">
        <v>636</v>
      </c>
      <c r="H741" s="17" t="s">
        <v>123</v>
      </c>
      <c r="I741" s="20">
        <v>12</v>
      </c>
      <c r="J741" s="20">
        <v>12</v>
      </c>
      <c r="K741" s="397">
        <f t="shared" si="118"/>
        <v>100</v>
      </c>
      <c r="L741" s="20"/>
      <c r="M741" s="20"/>
      <c r="N741" s="20"/>
      <c r="O741" s="397"/>
      <c r="P741" s="20"/>
      <c r="Q741" s="21">
        <f t="shared" si="112"/>
        <v>12</v>
      </c>
      <c r="R741" s="21">
        <f t="shared" si="113"/>
        <v>12</v>
      </c>
      <c r="S741" s="448">
        <f t="shared" si="115"/>
        <v>100</v>
      </c>
    </row>
    <row r="742" spans="2:19" x14ac:dyDescent="0.2">
      <c r="B742" s="6">
        <f t="shared" si="116"/>
        <v>240</v>
      </c>
      <c r="C742" s="17"/>
      <c r="D742" s="17"/>
      <c r="E742" s="17"/>
      <c r="F742" s="18"/>
      <c r="G742" s="19">
        <v>637</v>
      </c>
      <c r="H742" s="17" t="s">
        <v>119</v>
      </c>
      <c r="I742" s="20">
        <f>28698-4960+1687+350</f>
        <v>25775</v>
      </c>
      <c r="J742" s="20">
        <v>19662</v>
      </c>
      <c r="K742" s="397">
        <f t="shared" si="118"/>
        <v>76.283220174587768</v>
      </c>
      <c r="L742" s="20"/>
      <c r="M742" s="20"/>
      <c r="N742" s="20"/>
      <c r="O742" s="397"/>
      <c r="P742" s="20"/>
      <c r="Q742" s="21">
        <f t="shared" si="112"/>
        <v>25775</v>
      </c>
      <c r="R742" s="21">
        <f t="shared" si="113"/>
        <v>19662</v>
      </c>
      <c r="S742" s="448">
        <f t="shared" si="115"/>
        <v>76.283220174587768</v>
      </c>
    </row>
    <row r="743" spans="2:19" x14ac:dyDescent="0.2">
      <c r="B743" s="6">
        <f t="shared" si="116"/>
        <v>241</v>
      </c>
      <c r="C743" s="12"/>
      <c r="D743" s="12"/>
      <c r="E743" s="12"/>
      <c r="F743" s="13" t="s">
        <v>116</v>
      </c>
      <c r="G743" s="14">
        <v>640</v>
      </c>
      <c r="H743" s="12" t="s">
        <v>126</v>
      </c>
      <c r="I743" s="15">
        <f>2659-566-664-273+136</f>
        <v>1292</v>
      </c>
      <c r="J743" s="15">
        <v>1293</v>
      </c>
      <c r="K743" s="397">
        <f t="shared" si="118"/>
        <v>100.07739938080495</v>
      </c>
      <c r="L743" s="15"/>
      <c r="M743" s="15"/>
      <c r="N743" s="15"/>
      <c r="O743" s="397"/>
      <c r="P743" s="15"/>
      <c r="Q743" s="16">
        <f t="shared" si="112"/>
        <v>1292</v>
      </c>
      <c r="R743" s="16">
        <f t="shared" si="113"/>
        <v>1293</v>
      </c>
      <c r="S743" s="448">
        <f t="shared" si="115"/>
        <v>100.07739938080495</v>
      </c>
    </row>
    <row r="744" spans="2:19" x14ac:dyDescent="0.2">
      <c r="B744" s="6">
        <f t="shared" si="116"/>
        <v>242</v>
      </c>
      <c r="C744" s="12"/>
      <c r="D744" s="12"/>
      <c r="E744" s="12"/>
      <c r="F744" s="13" t="s">
        <v>105</v>
      </c>
      <c r="G744" s="14">
        <v>610</v>
      </c>
      <c r="H744" s="12" t="s">
        <v>128</v>
      </c>
      <c r="I744" s="15">
        <f>326870+198776+259-14564+100+33600+113551+816</f>
        <v>659408</v>
      </c>
      <c r="J744" s="15">
        <v>659409</v>
      </c>
      <c r="K744" s="397">
        <f t="shared" si="118"/>
        <v>100.00015165117802</v>
      </c>
      <c r="L744" s="15"/>
      <c r="M744" s="15"/>
      <c r="N744" s="15"/>
      <c r="O744" s="397"/>
      <c r="P744" s="15"/>
      <c r="Q744" s="16">
        <f t="shared" si="112"/>
        <v>659408</v>
      </c>
      <c r="R744" s="16">
        <f t="shared" si="113"/>
        <v>659409</v>
      </c>
      <c r="S744" s="448">
        <f t="shared" si="115"/>
        <v>100.00015165117802</v>
      </c>
    </row>
    <row r="745" spans="2:19" x14ac:dyDescent="0.2">
      <c r="B745" s="6">
        <f t="shared" si="116"/>
        <v>243</v>
      </c>
      <c r="C745" s="12"/>
      <c r="D745" s="12"/>
      <c r="E745" s="12"/>
      <c r="F745" s="13" t="s">
        <v>105</v>
      </c>
      <c r="G745" s="14">
        <v>620</v>
      </c>
      <c r="H745" s="12" t="s">
        <v>121</v>
      </c>
      <c r="I745" s="15">
        <f>113297+69957+91-5236+35+12068+46005-983</f>
        <v>235234</v>
      </c>
      <c r="J745" s="15">
        <v>235233</v>
      </c>
      <c r="K745" s="397">
        <f t="shared" si="118"/>
        <v>99.999574891384739</v>
      </c>
      <c r="L745" s="15"/>
      <c r="M745" s="15"/>
      <c r="N745" s="15"/>
      <c r="O745" s="397"/>
      <c r="P745" s="15"/>
      <c r="Q745" s="16">
        <f t="shared" ref="Q745:Q808" si="119">I745+M745</f>
        <v>235234</v>
      </c>
      <c r="R745" s="16">
        <f t="shared" ref="R745:R808" si="120">J745+N745</f>
        <v>235233</v>
      </c>
      <c r="S745" s="448">
        <f t="shared" si="115"/>
        <v>99.999574891384739</v>
      </c>
    </row>
    <row r="746" spans="2:19" x14ac:dyDescent="0.2">
      <c r="B746" s="6">
        <f t="shared" si="116"/>
        <v>244</v>
      </c>
      <c r="C746" s="12"/>
      <c r="D746" s="12"/>
      <c r="E746" s="12"/>
      <c r="F746" s="13" t="s">
        <v>105</v>
      </c>
      <c r="G746" s="14">
        <v>630</v>
      </c>
      <c r="H746" s="12" t="s">
        <v>118</v>
      </c>
      <c r="I746" s="15">
        <f>SUM(I747:I753)</f>
        <v>154619</v>
      </c>
      <c r="J746" s="15">
        <f>SUM(J747:J753)</f>
        <v>109637</v>
      </c>
      <c r="K746" s="397">
        <f t="shared" si="118"/>
        <v>70.907844443438378</v>
      </c>
      <c r="L746" s="15"/>
      <c r="M746" s="15"/>
      <c r="N746" s="15"/>
      <c r="O746" s="397"/>
      <c r="P746" s="15"/>
      <c r="Q746" s="16">
        <f t="shared" si="119"/>
        <v>154619</v>
      </c>
      <c r="R746" s="16">
        <f t="shared" si="120"/>
        <v>109637</v>
      </c>
      <c r="S746" s="448">
        <f t="shared" si="115"/>
        <v>70.907844443438378</v>
      </c>
    </row>
    <row r="747" spans="2:19" x14ac:dyDescent="0.2">
      <c r="B747" s="6">
        <f t="shared" si="116"/>
        <v>245</v>
      </c>
      <c r="C747" s="17"/>
      <c r="D747" s="17"/>
      <c r="E747" s="17"/>
      <c r="F747" s="18"/>
      <c r="G747" s="19">
        <v>631</v>
      </c>
      <c r="H747" s="17" t="s">
        <v>124</v>
      </c>
      <c r="I747" s="20">
        <f>455-78</f>
        <v>377</v>
      </c>
      <c r="J747" s="20">
        <v>0</v>
      </c>
      <c r="K747" s="397">
        <f t="shared" si="118"/>
        <v>0</v>
      </c>
      <c r="L747" s="20"/>
      <c r="M747" s="20"/>
      <c r="N747" s="20"/>
      <c r="O747" s="397"/>
      <c r="P747" s="20"/>
      <c r="Q747" s="21">
        <f t="shared" si="119"/>
        <v>377</v>
      </c>
      <c r="R747" s="21">
        <f t="shared" si="120"/>
        <v>0</v>
      </c>
      <c r="S747" s="448">
        <f t="shared" si="115"/>
        <v>0</v>
      </c>
    </row>
    <row r="748" spans="2:19" x14ac:dyDescent="0.2">
      <c r="B748" s="6">
        <f t="shared" si="116"/>
        <v>246</v>
      </c>
      <c r="C748" s="17"/>
      <c r="D748" s="17"/>
      <c r="E748" s="17"/>
      <c r="F748" s="18"/>
      <c r="G748" s="19">
        <v>632</v>
      </c>
      <c r="H748" s="17" t="s">
        <v>131</v>
      </c>
      <c r="I748" s="20">
        <f>71152-12127-5500-26674+22779</f>
        <v>49630</v>
      </c>
      <c r="J748" s="20">
        <v>17536</v>
      </c>
      <c r="K748" s="397">
        <f t="shared" si="118"/>
        <v>35.333467660689102</v>
      </c>
      <c r="L748" s="20"/>
      <c r="M748" s="20"/>
      <c r="N748" s="20"/>
      <c r="O748" s="397"/>
      <c r="P748" s="20"/>
      <c r="Q748" s="21">
        <f t="shared" si="119"/>
        <v>49630</v>
      </c>
      <c r="R748" s="21">
        <f t="shared" si="120"/>
        <v>17536</v>
      </c>
      <c r="S748" s="448">
        <f t="shared" si="115"/>
        <v>35.333467660689102</v>
      </c>
    </row>
    <row r="749" spans="2:19" x14ac:dyDescent="0.2">
      <c r="B749" s="6">
        <f t="shared" si="116"/>
        <v>247</v>
      </c>
      <c r="C749" s="17"/>
      <c r="D749" s="17"/>
      <c r="E749" s="17"/>
      <c r="F749" s="18"/>
      <c r="G749" s="19">
        <v>633</v>
      </c>
      <c r="H749" s="17" t="s">
        <v>122</v>
      </c>
      <c r="I749" s="20">
        <f>8869+4351+1000+14754</f>
        <v>28974</v>
      </c>
      <c r="J749" s="20">
        <v>27005</v>
      </c>
      <c r="K749" s="397">
        <f t="shared" si="118"/>
        <v>93.20425208807896</v>
      </c>
      <c r="L749" s="20"/>
      <c r="M749" s="20"/>
      <c r="N749" s="20"/>
      <c r="O749" s="397"/>
      <c r="P749" s="20"/>
      <c r="Q749" s="21">
        <f t="shared" si="119"/>
        <v>28974</v>
      </c>
      <c r="R749" s="21">
        <f t="shared" si="120"/>
        <v>27005</v>
      </c>
      <c r="S749" s="448">
        <f t="shared" si="115"/>
        <v>93.20425208807896</v>
      </c>
    </row>
    <row r="750" spans="2:19" x14ac:dyDescent="0.2">
      <c r="B750" s="6">
        <f t="shared" si="116"/>
        <v>248</v>
      </c>
      <c r="C750" s="17"/>
      <c r="D750" s="17"/>
      <c r="E750" s="17"/>
      <c r="F750" s="18"/>
      <c r="G750" s="19">
        <v>634</v>
      </c>
      <c r="H750" s="17" t="s">
        <v>129</v>
      </c>
      <c r="I750" s="20">
        <f>1064+2609-2337</f>
        <v>1336</v>
      </c>
      <c r="J750" s="20">
        <v>980</v>
      </c>
      <c r="K750" s="397">
        <f t="shared" si="118"/>
        <v>73.353293413173645</v>
      </c>
      <c r="L750" s="20"/>
      <c r="M750" s="20"/>
      <c r="N750" s="20"/>
      <c r="O750" s="397"/>
      <c r="P750" s="20"/>
      <c r="Q750" s="21">
        <f t="shared" si="119"/>
        <v>1336</v>
      </c>
      <c r="R750" s="21">
        <f t="shared" si="120"/>
        <v>980</v>
      </c>
      <c r="S750" s="448">
        <f t="shared" si="115"/>
        <v>73.353293413173645</v>
      </c>
    </row>
    <row r="751" spans="2:19" x14ac:dyDescent="0.2">
      <c r="B751" s="6">
        <f t="shared" si="116"/>
        <v>249</v>
      </c>
      <c r="C751" s="17"/>
      <c r="D751" s="17"/>
      <c r="E751" s="17"/>
      <c r="F751" s="18"/>
      <c r="G751" s="19">
        <v>635</v>
      </c>
      <c r="H751" s="17" t="s">
        <v>130</v>
      </c>
      <c r="I751" s="20">
        <f>11399-2429+30000+1014</f>
        <v>39984</v>
      </c>
      <c r="J751" s="20">
        <v>38399</v>
      </c>
      <c r="K751" s="397">
        <f t="shared" si="118"/>
        <v>96.035914365746294</v>
      </c>
      <c r="L751" s="20"/>
      <c r="M751" s="20"/>
      <c r="N751" s="20"/>
      <c r="O751" s="397"/>
      <c r="P751" s="20"/>
      <c r="Q751" s="21">
        <f t="shared" si="119"/>
        <v>39984</v>
      </c>
      <c r="R751" s="21">
        <f t="shared" si="120"/>
        <v>38399</v>
      </c>
      <c r="S751" s="448">
        <f t="shared" si="115"/>
        <v>96.035914365746294</v>
      </c>
    </row>
    <row r="752" spans="2:19" x14ac:dyDescent="0.2">
      <c r="B752" s="6">
        <f t="shared" si="116"/>
        <v>250</v>
      </c>
      <c r="C752" s="17"/>
      <c r="D752" s="17"/>
      <c r="E752" s="17"/>
      <c r="F752" s="18"/>
      <c r="G752" s="19">
        <v>636</v>
      </c>
      <c r="H752" s="17" t="s">
        <v>123</v>
      </c>
      <c r="I752" s="20">
        <f>23738-23738+10</f>
        <v>10</v>
      </c>
      <c r="J752" s="20">
        <v>10</v>
      </c>
      <c r="K752" s="397">
        <f t="shared" si="118"/>
        <v>100</v>
      </c>
      <c r="L752" s="20"/>
      <c r="M752" s="20"/>
      <c r="N752" s="20"/>
      <c r="O752" s="397"/>
      <c r="P752" s="20"/>
      <c r="Q752" s="21">
        <f t="shared" si="119"/>
        <v>10</v>
      </c>
      <c r="R752" s="21">
        <f t="shared" si="120"/>
        <v>10</v>
      </c>
      <c r="S752" s="448">
        <f t="shared" si="115"/>
        <v>100</v>
      </c>
    </row>
    <row r="753" spans="2:19" x14ac:dyDescent="0.2">
      <c r="B753" s="6">
        <f t="shared" si="116"/>
        <v>251</v>
      </c>
      <c r="C753" s="17"/>
      <c r="D753" s="17"/>
      <c r="E753" s="17"/>
      <c r="F753" s="18"/>
      <c r="G753" s="19">
        <v>637</v>
      </c>
      <c r="H753" s="17" t="s">
        <v>119</v>
      </c>
      <c r="I753" s="20">
        <f>2093+26605+5412+198</f>
        <v>34308</v>
      </c>
      <c r="J753" s="20">
        <v>25707</v>
      </c>
      <c r="K753" s="397">
        <f t="shared" si="118"/>
        <v>74.930045470444213</v>
      </c>
      <c r="L753" s="20"/>
      <c r="M753" s="20"/>
      <c r="N753" s="20"/>
      <c r="O753" s="397"/>
      <c r="P753" s="20"/>
      <c r="Q753" s="21">
        <f t="shared" si="119"/>
        <v>34308</v>
      </c>
      <c r="R753" s="21">
        <f t="shared" si="120"/>
        <v>25707</v>
      </c>
      <c r="S753" s="448">
        <f t="shared" si="115"/>
        <v>74.930045470444213</v>
      </c>
    </row>
    <row r="754" spans="2:19" x14ac:dyDescent="0.2">
      <c r="B754" s="6">
        <f t="shared" si="116"/>
        <v>252</v>
      </c>
      <c r="C754" s="17"/>
      <c r="D754" s="17"/>
      <c r="E754" s="17"/>
      <c r="F754" s="13" t="s">
        <v>105</v>
      </c>
      <c r="G754" s="14">
        <v>640</v>
      </c>
      <c r="H754" s="12" t="s">
        <v>126</v>
      </c>
      <c r="I754" s="15">
        <f>2659-811+1217+167</f>
        <v>3232</v>
      </c>
      <c r="J754" s="15">
        <v>3231</v>
      </c>
      <c r="K754" s="397">
        <f t="shared" si="118"/>
        <v>99.969059405940598</v>
      </c>
      <c r="L754" s="15"/>
      <c r="M754" s="15"/>
      <c r="N754" s="15"/>
      <c r="O754" s="397"/>
      <c r="P754" s="15"/>
      <c r="Q754" s="16">
        <f t="shared" si="119"/>
        <v>3232</v>
      </c>
      <c r="R754" s="16">
        <f t="shared" si="120"/>
        <v>3231</v>
      </c>
      <c r="S754" s="448">
        <f t="shared" si="115"/>
        <v>99.969059405940598</v>
      </c>
    </row>
    <row r="755" spans="2:19" x14ac:dyDescent="0.2">
      <c r="B755" s="6">
        <f t="shared" si="116"/>
        <v>253</v>
      </c>
      <c r="C755" s="17"/>
      <c r="D755" s="17"/>
      <c r="E755" s="17"/>
      <c r="F755" s="13" t="s">
        <v>105</v>
      </c>
      <c r="G755" s="14">
        <v>630</v>
      </c>
      <c r="H755" s="12" t="s">
        <v>647</v>
      </c>
      <c r="I755" s="15">
        <v>43698</v>
      </c>
      <c r="J755" s="15">
        <v>43698</v>
      </c>
      <c r="K755" s="397">
        <f t="shared" si="118"/>
        <v>100</v>
      </c>
      <c r="L755" s="15"/>
      <c r="M755" s="15"/>
      <c r="N755" s="15"/>
      <c r="O755" s="397"/>
      <c r="P755" s="15"/>
      <c r="Q755" s="16">
        <f t="shared" si="119"/>
        <v>43698</v>
      </c>
      <c r="R755" s="16">
        <f t="shared" si="120"/>
        <v>43698</v>
      </c>
      <c r="S755" s="448">
        <f t="shared" si="115"/>
        <v>100</v>
      </c>
    </row>
    <row r="756" spans="2:19" x14ac:dyDescent="0.2">
      <c r="B756" s="6">
        <f t="shared" si="116"/>
        <v>254</v>
      </c>
      <c r="C756" s="17"/>
      <c r="D756" s="17"/>
      <c r="E756" s="17"/>
      <c r="F756" s="13" t="s">
        <v>105</v>
      </c>
      <c r="G756" s="14">
        <v>710</v>
      </c>
      <c r="H756" s="12" t="s">
        <v>172</v>
      </c>
      <c r="I756" s="15"/>
      <c r="J756" s="15"/>
      <c r="K756" s="397"/>
      <c r="L756" s="15"/>
      <c r="M756" s="15">
        <f>M757</f>
        <v>480</v>
      </c>
      <c r="N756" s="15">
        <f>N757</f>
        <v>0</v>
      </c>
      <c r="O756" s="397">
        <f>N756/M756*100</f>
        <v>0</v>
      </c>
      <c r="P756" s="15"/>
      <c r="Q756" s="16">
        <f t="shared" si="119"/>
        <v>480</v>
      </c>
      <c r="R756" s="16">
        <f t="shared" si="120"/>
        <v>0</v>
      </c>
      <c r="S756" s="448">
        <f t="shared" si="115"/>
        <v>0</v>
      </c>
    </row>
    <row r="757" spans="2:19" x14ac:dyDescent="0.2">
      <c r="B757" s="6">
        <f t="shared" si="116"/>
        <v>255</v>
      </c>
      <c r="C757" s="17"/>
      <c r="D757" s="17"/>
      <c r="E757" s="17"/>
      <c r="F757" s="18"/>
      <c r="G757" s="19">
        <v>717</v>
      </c>
      <c r="H757" s="17" t="s">
        <v>179</v>
      </c>
      <c r="I757" s="20"/>
      <c r="J757" s="20"/>
      <c r="K757" s="397"/>
      <c r="L757" s="20"/>
      <c r="M757" s="20">
        <f>M758</f>
        <v>480</v>
      </c>
      <c r="N757" s="20">
        <f>N758</f>
        <v>0</v>
      </c>
      <c r="O757" s="397">
        <f>N757/M757*100</f>
        <v>0</v>
      </c>
      <c r="P757" s="15"/>
      <c r="Q757" s="21">
        <f t="shared" si="119"/>
        <v>480</v>
      </c>
      <c r="R757" s="21">
        <f t="shared" si="120"/>
        <v>0</v>
      </c>
      <c r="S757" s="448">
        <f t="shared" si="115"/>
        <v>0</v>
      </c>
    </row>
    <row r="758" spans="2:19" x14ac:dyDescent="0.2">
      <c r="B758" s="6">
        <f t="shared" si="116"/>
        <v>256</v>
      </c>
      <c r="C758" s="17"/>
      <c r="D758" s="17"/>
      <c r="E758" s="17"/>
      <c r="F758" s="101"/>
      <c r="G758" s="23"/>
      <c r="H758" s="1" t="s">
        <v>770</v>
      </c>
      <c r="I758" s="24"/>
      <c r="J758" s="24"/>
      <c r="K758" s="397"/>
      <c r="L758" s="24"/>
      <c r="M758" s="24">
        <v>480</v>
      </c>
      <c r="N758" s="24">
        <v>0</v>
      </c>
      <c r="O758" s="397">
        <f>N758/M758*100</f>
        <v>0</v>
      </c>
      <c r="P758" s="24"/>
      <c r="Q758" s="26">
        <f t="shared" si="119"/>
        <v>480</v>
      </c>
      <c r="R758" s="26">
        <f t="shared" si="120"/>
        <v>0</v>
      </c>
      <c r="S758" s="448">
        <f t="shared" si="115"/>
        <v>0</v>
      </c>
    </row>
    <row r="759" spans="2:19" ht="15" x14ac:dyDescent="0.25">
      <c r="B759" s="6">
        <f t="shared" si="116"/>
        <v>257</v>
      </c>
      <c r="C759" s="97"/>
      <c r="D759" s="97"/>
      <c r="E759" s="97">
        <v>7</v>
      </c>
      <c r="F759" s="98"/>
      <c r="G759" s="98"/>
      <c r="H759" s="97" t="s">
        <v>281</v>
      </c>
      <c r="I759" s="99">
        <f>I760+I761+I762+I767+I768+I769+I770+I778+I779</f>
        <v>2222044</v>
      </c>
      <c r="J759" s="99">
        <f>J760+J761+J762+J767+J768+J769+J770+J778+J779</f>
        <v>2177565</v>
      </c>
      <c r="K759" s="414">
        <f t="shared" ref="K759:K779" si="121">J759/I759*100</f>
        <v>97.998284462413892</v>
      </c>
      <c r="L759" s="313"/>
      <c r="M759" s="99">
        <f>M780</f>
        <v>112116</v>
      </c>
      <c r="N759" s="99">
        <f>N780</f>
        <v>0</v>
      </c>
      <c r="O759" s="414">
        <f>N759/M759*100</f>
        <v>0</v>
      </c>
      <c r="P759" s="313"/>
      <c r="Q759" s="100">
        <f t="shared" si="119"/>
        <v>2334160</v>
      </c>
      <c r="R759" s="100">
        <f t="shared" si="120"/>
        <v>2177565</v>
      </c>
      <c r="S759" s="464">
        <f t="shared" ref="S759:S822" si="122">R759/Q759*100</f>
        <v>93.29116255955033</v>
      </c>
    </row>
    <row r="760" spans="2:19" x14ac:dyDescent="0.2">
      <c r="B760" s="6">
        <f t="shared" ref="B760:B823" si="123">B759+1</f>
        <v>258</v>
      </c>
      <c r="C760" s="12"/>
      <c r="D760" s="12"/>
      <c r="E760" s="12"/>
      <c r="F760" s="13" t="s">
        <v>116</v>
      </c>
      <c r="G760" s="14">
        <v>610</v>
      </c>
      <c r="H760" s="12" t="s">
        <v>128</v>
      </c>
      <c r="I760" s="15">
        <f>490681-15000-11100+14595</f>
        <v>479176</v>
      </c>
      <c r="J760" s="15">
        <v>477908</v>
      </c>
      <c r="K760" s="397">
        <f t="shared" si="121"/>
        <v>99.735379067399037</v>
      </c>
      <c r="L760" s="15"/>
      <c r="M760" s="15"/>
      <c r="N760" s="15"/>
      <c r="O760" s="397"/>
      <c r="P760" s="15"/>
      <c r="Q760" s="16">
        <f t="shared" si="119"/>
        <v>479176</v>
      </c>
      <c r="R760" s="16">
        <f t="shared" si="120"/>
        <v>477908</v>
      </c>
      <c r="S760" s="448">
        <f t="shared" si="122"/>
        <v>99.735379067399037</v>
      </c>
    </row>
    <row r="761" spans="2:19" x14ac:dyDescent="0.2">
      <c r="B761" s="6">
        <f t="shared" si="123"/>
        <v>259</v>
      </c>
      <c r="C761" s="12"/>
      <c r="D761" s="12"/>
      <c r="E761" s="12"/>
      <c r="F761" s="13" t="s">
        <v>116</v>
      </c>
      <c r="G761" s="14">
        <v>620</v>
      </c>
      <c r="H761" s="12" t="s">
        <v>121</v>
      </c>
      <c r="I761" s="15">
        <f>185179-5000-4010+12580</f>
        <v>188749</v>
      </c>
      <c r="J761" s="15">
        <v>188731</v>
      </c>
      <c r="K761" s="397">
        <f t="shared" si="121"/>
        <v>99.990463525634581</v>
      </c>
      <c r="L761" s="15"/>
      <c r="M761" s="15"/>
      <c r="N761" s="15"/>
      <c r="O761" s="397"/>
      <c r="P761" s="15"/>
      <c r="Q761" s="16">
        <f t="shared" si="119"/>
        <v>188749</v>
      </c>
      <c r="R761" s="16">
        <f t="shared" si="120"/>
        <v>188731</v>
      </c>
      <c r="S761" s="448">
        <f t="shared" si="122"/>
        <v>99.990463525634581</v>
      </c>
    </row>
    <row r="762" spans="2:19" x14ac:dyDescent="0.2">
      <c r="B762" s="6">
        <f t="shared" si="123"/>
        <v>260</v>
      </c>
      <c r="C762" s="12"/>
      <c r="D762" s="12"/>
      <c r="E762" s="12"/>
      <c r="F762" s="13" t="s">
        <v>116</v>
      </c>
      <c r="G762" s="14">
        <v>630</v>
      </c>
      <c r="H762" s="12" t="s">
        <v>118</v>
      </c>
      <c r="I762" s="15">
        <f>SUM(I763:I766)</f>
        <v>87577</v>
      </c>
      <c r="J762" s="15">
        <f>SUM(J763:J766)</f>
        <v>83322</v>
      </c>
      <c r="K762" s="397">
        <f t="shared" si="121"/>
        <v>95.141418408942997</v>
      </c>
      <c r="L762" s="15"/>
      <c r="M762" s="15"/>
      <c r="N762" s="15"/>
      <c r="O762" s="397"/>
      <c r="P762" s="15"/>
      <c r="Q762" s="16">
        <f t="shared" si="119"/>
        <v>87577</v>
      </c>
      <c r="R762" s="16">
        <f t="shared" si="120"/>
        <v>83322</v>
      </c>
      <c r="S762" s="448">
        <f t="shared" si="122"/>
        <v>95.141418408942997</v>
      </c>
    </row>
    <row r="763" spans="2:19" x14ac:dyDescent="0.2">
      <c r="B763" s="6">
        <f t="shared" si="123"/>
        <v>261</v>
      </c>
      <c r="C763" s="17"/>
      <c r="D763" s="17"/>
      <c r="E763" s="17"/>
      <c r="F763" s="18"/>
      <c r="G763" s="19">
        <v>632</v>
      </c>
      <c r="H763" s="17" t="s">
        <v>131</v>
      </c>
      <c r="I763" s="20">
        <f>40801-24000+5000</f>
        <v>21801</v>
      </c>
      <c r="J763" s="20">
        <v>20124</v>
      </c>
      <c r="K763" s="397">
        <f t="shared" si="121"/>
        <v>92.307692307692307</v>
      </c>
      <c r="L763" s="20"/>
      <c r="M763" s="20"/>
      <c r="N763" s="20"/>
      <c r="O763" s="397"/>
      <c r="P763" s="20"/>
      <c r="Q763" s="21">
        <f t="shared" si="119"/>
        <v>21801</v>
      </c>
      <c r="R763" s="21">
        <f t="shared" si="120"/>
        <v>20124</v>
      </c>
      <c r="S763" s="448">
        <f t="shared" si="122"/>
        <v>92.307692307692307</v>
      </c>
    </row>
    <row r="764" spans="2:19" x14ac:dyDescent="0.2">
      <c r="B764" s="6">
        <f t="shared" si="123"/>
        <v>262</v>
      </c>
      <c r="C764" s="17"/>
      <c r="D764" s="17"/>
      <c r="E764" s="17"/>
      <c r="F764" s="18"/>
      <c r="G764" s="19">
        <v>633</v>
      </c>
      <c r="H764" s="17" t="s">
        <v>122</v>
      </c>
      <c r="I764" s="20">
        <f>6500+18826</f>
        <v>25326</v>
      </c>
      <c r="J764" s="20">
        <v>23940</v>
      </c>
      <c r="K764" s="397">
        <f t="shared" si="121"/>
        <v>94.527363184079604</v>
      </c>
      <c r="L764" s="20"/>
      <c r="M764" s="20"/>
      <c r="N764" s="20"/>
      <c r="O764" s="397"/>
      <c r="P764" s="20"/>
      <c r="Q764" s="21">
        <f t="shared" si="119"/>
        <v>25326</v>
      </c>
      <c r="R764" s="21">
        <f t="shared" si="120"/>
        <v>23940</v>
      </c>
      <c r="S764" s="448">
        <f t="shared" si="122"/>
        <v>94.527363184079604</v>
      </c>
    </row>
    <row r="765" spans="2:19" x14ac:dyDescent="0.2">
      <c r="B765" s="6">
        <f t="shared" si="123"/>
        <v>263</v>
      </c>
      <c r="C765" s="17"/>
      <c r="D765" s="17"/>
      <c r="E765" s="17"/>
      <c r="F765" s="18"/>
      <c r="G765" s="19">
        <v>635</v>
      </c>
      <c r="H765" s="17" t="s">
        <v>130</v>
      </c>
      <c r="I765" s="20">
        <f>7500+2500</f>
        <v>10000</v>
      </c>
      <c r="J765" s="20">
        <v>9479</v>
      </c>
      <c r="K765" s="397">
        <f t="shared" si="121"/>
        <v>94.789999999999992</v>
      </c>
      <c r="L765" s="20"/>
      <c r="M765" s="20"/>
      <c r="N765" s="20"/>
      <c r="O765" s="397"/>
      <c r="P765" s="20"/>
      <c r="Q765" s="21">
        <f t="shared" si="119"/>
        <v>10000</v>
      </c>
      <c r="R765" s="21">
        <f t="shared" si="120"/>
        <v>9479</v>
      </c>
      <c r="S765" s="448">
        <f t="shared" si="122"/>
        <v>94.789999999999992</v>
      </c>
    </row>
    <row r="766" spans="2:19" x14ac:dyDescent="0.2">
      <c r="B766" s="6">
        <f t="shared" si="123"/>
        <v>264</v>
      </c>
      <c r="C766" s="17"/>
      <c r="D766" s="17"/>
      <c r="E766" s="17"/>
      <c r="F766" s="18"/>
      <c r="G766" s="19">
        <v>637</v>
      </c>
      <c r="H766" s="17" t="s">
        <v>119</v>
      </c>
      <c r="I766" s="20">
        <f>20440+12610-2600</f>
        <v>30450</v>
      </c>
      <c r="J766" s="20">
        <v>29779</v>
      </c>
      <c r="K766" s="397">
        <f t="shared" si="121"/>
        <v>97.796387520525457</v>
      </c>
      <c r="L766" s="20"/>
      <c r="M766" s="20"/>
      <c r="N766" s="20"/>
      <c r="O766" s="397"/>
      <c r="P766" s="20"/>
      <c r="Q766" s="21">
        <f t="shared" si="119"/>
        <v>30450</v>
      </c>
      <c r="R766" s="21">
        <f t="shared" si="120"/>
        <v>29779</v>
      </c>
      <c r="S766" s="448">
        <f t="shared" si="122"/>
        <v>97.796387520525457</v>
      </c>
    </row>
    <row r="767" spans="2:19" x14ac:dyDescent="0.2">
      <c r="B767" s="6">
        <f t="shared" si="123"/>
        <v>265</v>
      </c>
      <c r="C767" s="12"/>
      <c r="D767" s="12"/>
      <c r="E767" s="12"/>
      <c r="F767" s="13" t="s">
        <v>116</v>
      </c>
      <c r="G767" s="14">
        <v>640</v>
      </c>
      <c r="H767" s="12" t="s">
        <v>126</v>
      </c>
      <c r="I767" s="15">
        <f>1450+3571-44</f>
        <v>4977</v>
      </c>
      <c r="J767" s="15">
        <v>4977</v>
      </c>
      <c r="K767" s="397">
        <f t="shared" si="121"/>
        <v>100</v>
      </c>
      <c r="L767" s="15"/>
      <c r="M767" s="15"/>
      <c r="N767" s="15"/>
      <c r="O767" s="397"/>
      <c r="P767" s="15"/>
      <c r="Q767" s="16">
        <f t="shared" si="119"/>
        <v>4977</v>
      </c>
      <c r="R767" s="16">
        <f t="shared" si="120"/>
        <v>4977</v>
      </c>
      <c r="S767" s="448">
        <f t="shared" si="122"/>
        <v>100</v>
      </c>
    </row>
    <row r="768" spans="2:19" x14ac:dyDescent="0.2">
      <c r="B768" s="6">
        <f t="shared" si="123"/>
        <v>266</v>
      </c>
      <c r="C768" s="12"/>
      <c r="D768" s="12"/>
      <c r="E768" s="12"/>
      <c r="F768" s="13" t="s">
        <v>105</v>
      </c>
      <c r="G768" s="14">
        <v>610</v>
      </c>
      <c r="H768" s="12" t="s">
        <v>128</v>
      </c>
      <c r="I768" s="15">
        <f>869425+259-20000+100+32045+24500</f>
        <v>906329</v>
      </c>
      <c r="J768" s="15">
        <v>906329</v>
      </c>
      <c r="K768" s="397">
        <f t="shared" si="121"/>
        <v>100</v>
      </c>
      <c r="L768" s="15"/>
      <c r="M768" s="15"/>
      <c r="N768" s="15"/>
      <c r="O768" s="397"/>
      <c r="P768" s="15"/>
      <c r="Q768" s="16">
        <f t="shared" si="119"/>
        <v>906329</v>
      </c>
      <c r="R768" s="16">
        <f t="shared" si="120"/>
        <v>906329</v>
      </c>
      <c r="S768" s="448">
        <f t="shared" si="122"/>
        <v>100</v>
      </c>
    </row>
    <row r="769" spans="2:19" x14ac:dyDescent="0.2">
      <c r="B769" s="6">
        <f t="shared" si="123"/>
        <v>267</v>
      </c>
      <c r="C769" s="12"/>
      <c r="D769" s="12"/>
      <c r="E769" s="12"/>
      <c r="F769" s="13" t="s">
        <v>105</v>
      </c>
      <c r="G769" s="14">
        <v>620</v>
      </c>
      <c r="H769" s="12" t="s">
        <v>121</v>
      </c>
      <c r="I769" s="15">
        <f>330950+91-9000+35+11234+8906</f>
        <v>342216</v>
      </c>
      <c r="J769" s="15">
        <v>342216</v>
      </c>
      <c r="K769" s="397">
        <f t="shared" si="121"/>
        <v>100</v>
      </c>
      <c r="L769" s="15"/>
      <c r="M769" s="15"/>
      <c r="N769" s="15"/>
      <c r="O769" s="397"/>
      <c r="P769" s="15"/>
      <c r="Q769" s="16">
        <f t="shared" si="119"/>
        <v>342216</v>
      </c>
      <c r="R769" s="16">
        <f t="shared" si="120"/>
        <v>342216</v>
      </c>
      <c r="S769" s="448">
        <f t="shared" si="122"/>
        <v>100</v>
      </c>
    </row>
    <row r="770" spans="2:19" x14ac:dyDescent="0.2">
      <c r="B770" s="6">
        <f t="shared" si="123"/>
        <v>268</v>
      </c>
      <c r="C770" s="12"/>
      <c r="D770" s="12"/>
      <c r="E770" s="12"/>
      <c r="F770" s="13" t="s">
        <v>105</v>
      </c>
      <c r="G770" s="14">
        <v>630</v>
      </c>
      <c r="H770" s="12" t="s">
        <v>118</v>
      </c>
      <c r="I770" s="15">
        <f>SUM(I771:I777)</f>
        <v>152417</v>
      </c>
      <c r="J770" s="15">
        <f>SUM(J771:J777)</f>
        <v>113479</v>
      </c>
      <c r="K770" s="397">
        <f t="shared" si="121"/>
        <v>74.452980966690063</v>
      </c>
      <c r="L770" s="15"/>
      <c r="M770" s="15"/>
      <c r="N770" s="15"/>
      <c r="O770" s="397"/>
      <c r="P770" s="15"/>
      <c r="Q770" s="16">
        <f t="shared" si="119"/>
        <v>152417</v>
      </c>
      <c r="R770" s="16">
        <f t="shared" si="120"/>
        <v>113479</v>
      </c>
      <c r="S770" s="448">
        <f t="shared" si="122"/>
        <v>74.452980966690063</v>
      </c>
    </row>
    <row r="771" spans="2:19" x14ac:dyDescent="0.2">
      <c r="B771" s="6">
        <f t="shared" si="123"/>
        <v>269</v>
      </c>
      <c r="C771" s="17"/>
      <c r="D771" s="17"/>
      <c r="E771" s="17"/>
      <c r="F771" s="18"/>
      <c r="G771" s="19">
        <v>631</v>
      </c>
      <c r="H771" s="17" t="s">
        <v>124</v>
      </c>
      <c r="I771" s="20">
        <v>1450</v>
      </c>
      <c r="J771" s="20">
        <v>1176</v>
      </c>
      <c r="K771" s="397">
        <f t="shared" si="121"/>
        <v>81.103448275862064</v>
      </c>
      <c r="L771" s="20"/>
      <c r="M771" s="20"/>
      <c r="N771" s="20"/>
      <c r="O771" s="397"/>
      <c r="P771" s="20"/>
      <c r="Q771" s="21">
        <f t="shared" si="119"/>
        <v>1450</v>
      </c>
      <c r="R771" s="21">
        <f t="shared" si="120"/>
        <v>1176</v>
      </c>
      <c r="S771" s="448">
        <f t="shared" si="122"/>
        <v>81.103448275862064</v>
      </c>
    </row>
    <row r="772" spans="2:19" x14ac:dyDescent="0.2">
      <c r="B772" s="6">
        <f t="shared" si="123"/>
        <v>270</v>
      </c>
      <c r="C772" s="17"/>
      <c r="D772" s="17"/>
      <c r="E772" s="17"/>
      <c r="F772" s="18"/>
      <c r="G772" s="19">
        <v>632</v>
      </c>
      <c r="H772" s="17" t="s">
        <v>131</v>
      </c>
      <c r="I772" s="20">
        <f>39550-18223+29406</f>
        <v>50733</v>
      </c>
      <c r="J772" s="20">
        <v>24015</v>
      </c>
      <c r="K772" s="397">
        <f t="shared" si="121"/>
        <v>47.336053456330198</v>
      </c>
      <c r="L772" s="20"/>
      <c r="M772" s="20"/>
      <c r="N772" s="20"/>
      <c r="O772" s="397"/>
      <c r="P772" s="20"/>
      <c r="Q772" s="21">
        <f t="shared" si="119"/>
        <v>50733</v>
      </c>
      <c r="R772" s="21">
        <f t="shared" si="120"/>
        <v>24015</v>
      </c>
      <c r="S772" s="448">
        <f t="shared" si="122"/>
        <v>47.336053456330198</v>
      </c>
    </row>
    <row r="773" spans="2:19" x14ac:dyDescent="0.2">
      <c r="B773" s="6">
        <f t="shared" si="123"/>
        <v>271</v>
      </c>
      <c r="C773" s="17"/>
      <c r="D773" s="17"/>
      <c r="E773" s="17"/>
      <c r="F773" s="18"/>
      <c r="G773" s="19">
        <v>633</v>
      </c>
      <c r="H773" s="17" t="s">
        <v>122</v>
      </c>
      <c r="I773" s="20">
        <f>15875+1000+8000-7000</f>
        <v>17875</v>
      </c>
      <c r="J773" s="20">
        <v>15817</v>
      </c>
      <c r="K773" s="397">
        <f t="shared" si="121"/>
        <v>88.486713286713297</v>
      </c>
      <c r="L773" s="20"/>
      <c r="M773" s="20"/>
      <c r="N773" s="20"/>
      <c r="O773" s="397"/>
      <c r="P773" s="20"/>
      <c r="Q773" s="21">
        <f t="shared" si="119"/>
        <v>17875</v>
      </c>
      <c r="R773" s="21">
        <f t="shared" si="120"/>
        <v>15817</v>
      </c>
      <c r="S773" s="448">
        <f t="shared" si="122"/>
        <v>88.486713286713297</v>
      </c>
    </row>
    <row r="774" spans="2:19" x14ac:dyDescent="0.2">
      <c r="B774" s="6">
        <f t="shared" si="123"/>
        <v>272</v>
      </c>
      <c r="C774" s="17"/>
      <c r="D774" s="17"/>
      <c r="E774" s="17"/>
      <c r="F774" s="18"/>
      <c r="G774" s="19">
        <v>634</v>
      </c>
      <c r="H774" s="17" t="s">
        <v>129</v>
      </c>
      <c r="I774" s="20">
        <v>1200</v>
      </c>
      <c r="J774" s="20">
        <v>1200</v>
      </c>
      <c r="K774" s="397">
        <f t="shared" si="121"/>
        <v>100</v>
      </c>
      <c r="L774" s="20"/>
      <c r="M774" s="20"/>
      <c r="N774" s="20"/>
      <c r="O774" s="397"/>
      <c r="P774" s="20"/>
      <c r="Q774" s="21">
        <f t="shared" si="119"/>
        <v>1200</v>
      </c>
      <c r="R774" s="21">
        <f t="shared" si="120"/>
        <v>1200</v>
      </c>
      <c r="S774" s="448">
        <f t="shared" si="122"/>
        <v>100</v>
      </c>
    </row>
    <row r="775" spans="2:19" x14ac:dyDescent="0.2">
      <c r="B775" s="6">
        <f t="shared" si="123"/>
        <v>273</v>
      </c>
      <c r="C775" s="17"/>
      <c r="D775" s="17"/>
      <c r="E775" s="17"/>
      <c r="F775" s="18"/>
      <c r="G775" s="19">
        <v>635</v>
      </c>
      <c r="H775" s="17" t="s">
        <v>130</v>
      </c>
      <c r="I775" s="20">
        <f>17900+4000</f>
        <v>21900</v>
      </c>
      <c r="J775" s="20">
        <v>21899</v>
      </c>
      <c r="K775" s="397">
        <f t="shared" si="121"/>
        <v>99.995433789954333</v>
      </c>
      <c r="L775" s="20"/>
      <c r="M775" s="20"/>
      <c r="N775" s="20"/>
      <c r="O775" s="397"/>
      <c r="P775" s="20"/>
      <c r="Q775" s="21">
        <f t="shared" si="119"/>
        <v>21900</v>
      </c>
      <c r="R775" s="21">
        <f t="shared" si="120"/>
        <v>21899</v>
      </c>
      <c r="S775" s="448">
        <f t="shared" si="122"/>
        <v>99.995433789954333</v>
      </c>
    </row>
    <row r="776" spans="2:19" x14ac:dyDescent="0.2">
      <c r="B776" s="6">
        <f t="shared" si="123"/>
        <v>274</v>
      </c>
      <c r="C776" s="17"/>
      <c r="D776" s="17"/>
      <c r="E776" s="17"/>
      <c r="F776" s="18"/>
      <c r="G776" s="19">
        <v>636</v>
      </c>
      <c r="H776" s="17" t="s">
        <v>123</v>
      </c>
      <c r="I776" s="20">
        <v>270</v>
      </c>
      <c r="J776" s="20">
        <v>158</v>
      </c>
      <c r="K776" s="397">
        <f t="shared" si="121"/>
        <v>58.518518518518512</v>
      </c>
      <c r="L776" s="20"/>
      <c r="M776" s="20"/>
      <c r="N776" s="20"/>
      <c r="O776" s="397"/>
      <c r="P776" s="20"/>
      <c r="Q776" s="21">
        <f t="shared" si="119"/>
        <v>270</v>
      </c>
      <c r="R776" s="21">
        <f t="shared" si="120"/>
        <v>158</v>
      </c>
      <c r="S776" s="448">
        <f t="shared" si="122"/>
        <v>58.518518518518512</v>
      </c>
    </row>
    <row r="777" spans="2:19" x14ac:dyDescent="0.2">
      <c r="B777" s="6">
        <f t="shared" si="123"/>
        <v>275</v>
      </c>
      <c r="C777" s="17"/>
      <c r="D777" s="17"/>
      <c r="E777" s="17"/>
      <c r="F777" s="18"/>
      <c r="G777" s="19">
        <v>637</v>
      </c>
      <c r="H777" s="17" t="s">
        <v>119</v>
      </c>
      <c r="I777" s="20">
        <f>47800+12600-9321+7910</f>
        <v>58989</v>
      </c>
      <c r="J777" s="20">
        <v>49214</v>
      </c>
      <c r="K777" s="397">
        <f t="shared" si="121"/>
        <v>83.429113902592007</v>
      </c>
      <c r="L777" s="20"/>
      <c r="M777" s="20"/>
      <c r="N777" s="20"/>
      <c r="O777" s="397"/>
      <c r="P777" s="20"/>
      <c r="Q777" s="21">
        <f t="shared" si="119"/>
        <v>58989</v>
      </c>
      <c r="R777" s="21">
        <f t="shared" si="120"/>
        <v>49214</v>
      </c>
      <c r="S777" s="448">
        <f t="shared" si="122"/>
        <v>83.429113902592007</v>
      </c>
    </row>
    <row r="778" spans="2:19" x14ac:dyDescent="0.2">
      <c r="B778" s="6">
        <f t="shared" si="123"/>
        <v>276</v>
      </c>
      <c r="C778" s="12"/>
      <c r="D778" s="12"/>
      <c r="E778" s="12"/>
      <c r="F778" s="13" t="s">
        <v>105</v>
      </c>
      <c r="G778" s="14">
        <v>640</v>
      </c>
      <c r="H778" s="12" t="s">
        <v>126</v>
      </c>
      <c r="I778" s="15">
        <f>2400+4237</f>
        <v>6637</v>
      </c>
      <c r="J778" s="15">
        <v>6637</v>
      </c>
      <c r="K778" s="397">
        <f t="shared" si="121"/>
        <v>100</v>
      </c>
      <c r="L778" s="15"/>
      <c r="M778" s="15"/>
      <c r="N778" s="15"/>
      <c r="O778" s="397"/>
      <c r="P778" s="15"/>
      <c r="Q778" s="16">
        <f t="shared" si="119"/>
        <v>6637</v>
      </c>
      <c r="R778" s="16">
        <f t="shared" si="120"/>
        <v>6637</v>
      </c>
      <c r="S778" s="448">
        <f t="shared" si="122"/>
        <v>100</v>
      </c>
    </row>
    <row r="779" spans="2:19" x14ac:dyDescent="0.2">
      <c r="B779" s="6">
        <f t="shared" si="123"/>
        <v>277</v>
      </c>
      <c r="C779" s="12"/>
      <c r="D779" s="12"/>
      <c r="E779" s="12"/>
      <c r="F779" s="13" t="s">
        <v>105</v>
      </c>
      <c r="G779" s="14">
        <v>630</v>
      </c>
      <c r="H779" s="12" t="s">
        <v>647</v>
      </c>
      <c r="I779" s="15">
        <v>53966</v>
      </c>
      <c r="J779" s="15">
        <v>53966</v>
      </c>
      <c r="K779" s="397">
        <f t="shared" si="121"/>
        <v>100</v>
      </c>
      <c r="L779" s="15"/>
      <c r="M779" s="15"/>
      <c r="N779" s="15"/>
      <c r="O779" s="397"/>
      <c r="P779" s="15"/>
      <c r="Q779" s="16">
        <f t="shared" si="119"/>
        <v>53966</v>
      </c>
      <c r="R779" s="16">
        <f t="shared" si="120"/>
        <v>53966</v>
      </c>
      <c r="S779" s="448">
        <f t="shared" si="122"/>
        <v>100</v>
      </c>
    </row>
    <row r="780" spans="2:19" x14ac:dyDescent="0.2">
      <c r="B780" s="6">
        <f t="shared" si="123"/>
        <v>278</v>
      </c>
      <c r="C780" s="12"/>
      <c r="D780" s="12"/>
      <c r="E780" s="12"/>
      <c r="F780" s="13" t="s">
        <v>105</v>
      </c>
      <c r="G780" s="14">
        <v>710</v>
      </c>
      <c r="H780" s="12" t="s">
        <v>172</v>
      </c>
      <c r="I780" s="15"/>
      <c r="J780" s="15"/>
      <c r="K780" s="397"/>
      <c r="L780" s="15"/>
      <c r="M780" s="15">
        <f>M781</f>
        <v>112116</v>
      </c>
      <c r="N780" s="15">
        <f>N781</f>
        <v>0</v>
      </c>
      <c r="O780" s="397">
        <f>N780/M780*100</f>
        <v>0</v>
      </c>
      <c r="P780" s="15"/>
      <c r="Q780" s="16">
        <f t="shared" si="119"/>
        <v>112116</v>
      </c>
      <c r="R780" s="16">
        <f t="shared" si="120"/>
        <v>0</v>
      </c>
      <c r="S780" s="448">
        <f t="shared" si="122"/>
        <v>0</v>
      </c>
    </row>
    <row r="781" spans="2:19" x14ac:dyDescent="0.2">
      <c r="B781" s="6">
        <f t="shared" si="123"/>
        <v>279</v>
      </c>
      <c r="C781" s="17"/>
      <c r="D781" s="17"/>
      <c r="E781" s="17"/>
      <c r="F781" s="18"/>
      <c r="G781" s="19">
        <v>717</v>
      </c>
      <c r="H781" s="17" t="s">
        <v>179</v>
      </c>
      <c r="I781" s="20"/>
      <c r="J781" s="20"/>
      <c r="K781" s="397"/>
      <c r="L781" s="20"/>
      <c r="M781" s="20">
        <f>M782</f>
        <v>112116</v>
      </c>
      <c r="N781" s="20">
        <f>N782</f>
        <v>0</v>
      </c>
      <c r="O781" s="397">
        <f>N781/M781*100</f>
        <v>0</v>
      </c>
      <c r="P781" s="15"/>
      <c r="Q781" s="21">
        <f t="shared" si="119"/>
        <v>112116</v>
      </c>
      <c r="R781" s="21">
        <f t="shared" si="120"/>
        <v>0</v>
      </c>
      <c r="S781" s="448">
        <f t="shared" si="122"/>
        <v>0</v>
      </c>
    </row>
    <row r="782" spans="2:19" x14ac:dyDescent="0.2">
      <c r="B782" s="6">
        <f t="shared" si="123"/>
        <v>280</v>
      </c>
      <c r="C782" s="1"/>
      <c r="D782" s="1"/>
      <c r="E782" s="1"/>
      <c r="F782" s="101"/>
      <c r="G782" s="23"/>
      <c r="H782" s="1" t="s">
        <v>618</v>
      </c>
      <c r="I782" s="24"/>
      <c r="J782" s="24"/>
      <c r="K782" s="397"/>
      <c r="L782" s="24"/>
      <c r="M782" s="24">
        <f>160166-48050</f>
        <v>112116</v>
      </c>
      <c r="N782" s="24">
        <v>0</v>
      </c>
      <c r="O782" s="397">
        <f>N782/M782*100</f>
        <v>0</v>
      </c>
      <c r="P782" s="24"/>
      <c r="Q782" s="26">
        <f t="shared" si="119"/>
        <v>112116</v>
      </c>
      <c r="R782" s="26">
        <f t="shared" si="120"/>
        <v>0</v>
      </c>
      <c r="S782" s="448">
        <f t="shared" si="122"/>
        <v>0</v>
      </c>
    </row>
    <row r="783" spans="2:19" ht="15" x14ac:dyDescent="0.25">
      <c r="B783" s="6">
        <f t="shared" si="123"/>
        <v>281</v>
      </c>
      <c r="C783" s="97"/>
      <c r="D783" s="97"/>
      <c r="E783" s="97">
        <v>8</v>
      </c>
      <c r="F783" s="98"/>
      <c r="G783" s="98"/>
      <c r="H783" s="97" t="s">
        <v>6</v>
      </c>
      <c r="I783" s="99">
        <f>I784+I785+I786+I792+I793+I794+I795+I802+I803+I804</f>
        <v>3481499</v>
      </c>
      <c r="J783" s="99">
        <f>J784+J785+J786+J792+J793+J794+J795+J802+J803+J804</f>
        <v>3361251</v>
      </c>
      <c r="K783" s="414">
        <f t="shared" ref="K783:K804" si="124">J783/I783*100</f>
        <v>96.546085464910362</v>
      </c>
      <c r="L783" s="313"/>
      <c r="M783" s="99">
        <f>M805</f>
        <v>91800</v>
      </c>
      <c r="N783" s="99">
        <f>N805</f>
        <v>0</v>
      </c>
      <c r="O783" s="414">
        <f>N783/M783*100</f>
        <v>0</v>
      </c>
      <c r="P783" s="313"/>
      <c r="Q783" s="100">
        <f t="shared" si="119"/>
        <v>3573299</v>
      </c>
      <c r="R783" s="100">
        <f t="shared" si="120"/>
        <v>3361251</v>
      </c>
      <c r="S783" s="464">
        <f t="shared" si="122"/>
        <v>94.065763878141738</v>
      </c>
    </row>
    <row r="784" spans="2:19" x14ac:dyDescent="0.2">
      <c r="B784" s="6">
        <f t="shared" si="123"/>
        <v>282</v>
      </c>
      <c r="C784" s="12"/>
      <c r="D784" s="12"/>
      <c r="E784" s="12"/>
      <c r="F784" s="13" t="s">
        <v>116</v>
      </c>
      <c r="G784" s="14">
        <v>610</v>
      </c>
      <c r="H784" s="12" t="s">
        <v>128</v>
      </c>
      <c r="I784" s="15">
        <f>557660-40000+85214+42</f>
        <v>602916</v>
      </c>
      <c r="J784" s="15">
        <v>602916</v>
      </c>
      <c r="K784" s="397">
        <f t="shared" si="124"/>
        <v>100</v>
      </c>
      <c r="L784" s="15"/>
      <c r="M784" s="15"/>
      <c r="N784" s="15"/>
      <c r="O784" s="397"/>
      <c r="P784" s="15"/>
      <c r="Q784" s="16">
        <f t="shared" si="119"/>
        <v>602916</v>
      </c>
      <c r="R784" s="16">
        <f t="shared" si="120"/>
        <v>602916</v>
      </c>
      <c r="S784" s="448">
        <f t="shared" si="122"/>
        <v>100</v>
      </c>
    </row>
    <row r="785" spans="2:19" x14ac:dyDescent="0.2">
      <c r="B785" s="6">
        <f t="shared" si="123"/>
        <v>283</v>
      </c>
      <c r="C785" s="12"/>
      <c r="D785" s="12"/>
      <c r="E785" s="12"/>
      <c r="F785" s="13" t="s">
        <v>116</v>
      </c>
      <c r="G785" s="14">
        <v>620</v>
      </c>
      <c r="H785" s="12" t="s">
        <v>121</v>
      </c>
      <c r="I785" s="15">
        <f>209270-17565+34597+73</f>
        <v>226375</v>
      </c>
      <c r="J785" s="15">
        <v>226375</v>
      </c>
      <c r="K785" s="397">
        <f t="shared" si="124"/>
        <v>100</v>
      </c>
      <c r="L785" s="15"/>
      <c r="M785" s="15"/>
      <c r="N785" s="15"/>
      <c r="O785" s="397"/>
      <c r="P785" s="15"/>
      <c r="Q785" s="16">
        <f t="shared" si="119"/>
        <v>226375</v>
      </c>
      <c r="R785" s="16">
        <f t="shared" si="120"/>
        <v>226375</v>
      </c>
      <c r="S785" s="448">
        <f t="shared" si="122"/>
        <v>100</v>
      </c>
    </row>
    <row r="786" spans="2:19" x14ac:dyDescent="0.2">
      <c r="B786" s="6">
        <f t="shared" si="123"/>
        <v>284</v>
      </c>
      <c r="C786" s="12"/>
      <c r="D786" s="12"/>
      <c r="E786" s="12"/>
      <c r="F786" s="13" t="s">
        <v>116</v>
      </c>
      <c r="G786" s="14">
        <v>630</v>
      </c>
      <c r="H786" s="12" t="s">
        <v>118</v>
      </c>
      <c r="I786" s="15">
        <f>SUM(I787:I791)</f>
        <v>115969</v>
      </c>
      <c r="J786" s="15">
        <f>SUM(J787:J791)</f>
        <v>113909</v>
      </c>
      <c r="K786" s="397">
        <f t="shared" si="124"/>
        <v>98.223663220343369</v>
      </c>
      <c r="L786" s="15"/>
      <c r="M786" s="15"/>
      <c r="N786" s="15"/>
      <c r="O786" s="397"/>
      <c r="P786" s="15"/>
      <c r="Q786" s="16">
        <f t="shared" si="119"/>
        <v>115969</v>
      </c>
      <c r="R786" s="16">
        <f t="shared" si="120"/>
        <v>113909</v>
      </c>
      <c r="S786" s="448">
        <f t="shared" si="122"/>
        <v>98.223663220343369</v>
      </c>
    </row>
    <row r="787" spans="2:19" x14ac:dyDescent="0.2">
      <c r="B787" s="6">
        <f t="shared" si="123"/>
        <v>285</v>
      </c>
      <c r="C787" s="17"/>
      <c r="D787" s="17"/>
      <c r="E787" s="17"/>
      <c r="F787" s="18"/>
      <c r="G787" s="19">
        <v>632</v>
      </c>
      <c r="H787" s="17" t="s">
        <v>131</v>
      </c>
      <c r="I787" s="20">
        <f>41950-4460</f>
        <v>37490</v>
      </c>
      <c r="J787" s="20">
        <v>37490</v>
      </c>
      <c r="K787" s="397">
        <f t="shared" si="124"/>
        <v>100</v>
      </c>
      <c r="L787" s="20"/>
      <c r="M787" s="20"/>
      <c r="N787" s="20"/>
      <c r="O787" s="397"/>
      <c r="P787" s="20"/>
      <c r="Q787" s="21">
        <f t="shared" si="119"/>
        <v>37490</v>
      </c>
      <c r="R787" s="21">
        <f t="shared" si="120"/>
        <v>37490</v>
      </c>
      <c r="S787" s="448">
        <f t="shared" si="122"/>
        <v>100</v>
      </c>
    </row>
    <row r="788" spans="2:19" x14ac:dyDescent="0.2">
      <c r="B788" s="6">
        <f t="shared" si="123"/>
        <v>286</v>
      </c>
      <c r="C788" s="17"/>
      <c r="D788" s="17"/>
      <c r="E788" s="17"/>
      <c r="F788" s="18"/>
      <c r="G788" s="19">
        <v>633</v>
      </c>
      <c r="H788" s="17" t="s">
        <v>122</v>
      </c>
      <c r="I788" s="20">
        <f>11590+24385-1407</f>
        <v>34568</v>
      </c>
      <c r="J788" s="20">
        <v>34568</v>
      </c>
      <c r="K788" s="397">
        <f t="shared" si="124"/>
        <v>100</v>
      </c>
      <c r="L788" s="20"/>
      <c r="M788" s="20"/>
      <c r="N788" s="20"/>
      <c r="O788" s="397"/>
      <c r="P788" s="20"/>
      <c r="Q788" s="21">
        <f t="shared" si="119"/>
        <v>34568</v>
      </c>
      <c r="R788" s="21">
        <f t="shared" si="120"/>
        <v>34568</v>
      </c>
      <c r="S788" s="448">
        <f t="shared" si="122"/>
        <v>100</v>
      </c>
    </row>
    <row r="789" spans="2:19" x14ac:dyDescent="0.2">
      <c r="B789" s="6">
        <f t="shared" si="123"/>
        <v>287</v>
      </c>
      <c r="C789" s="17"/>
      <c r="D789" s="17"/>
      <c r="E789" s="17"/>
      <c r="F789" s="18"/>
      <c r="G789" s="19">
        <v>635</v>
      </c>
      <c r="H789" s="17" t="s">
        <v>130</v>
      </c>
      <c r="I789" s="20">
        <f>5600-1400</f>
        <v>4200</v>
      </c>
      <c r="J789" s="20">
        <v>2140</v>
      </c>
      <c r="K789" s="397">
        <f t="shared" si="124"/>
        <v>50.952380952380949</v>
      </c>
      <c r="L789" s="20"/>
      <c r="M789" s="20"/>
      <c r="N789" s="20"/>
      <c r="O789" s="397"/>
      <c r="P789" s="20"/>
      <c r="Q789" s="21">
        <f t="shared" si="119"/>
        <v>4200</v>
      </c>
      <c r="R789" s="21">
        <f t="shared" si="120"/>
        <v>2140</v>
      </c>
      <c r="S789" s="448">
        <f t="shared" si="122"/>
        <v>50.952380952380949</v>
      </c>
    </row>
    <row r="790" spans="2:19" x14ac:dyDescent="0.2">
      <c r="B790" s="6">
        <f t="shared" si="123"/>
        <v>288</v>
      </c>
      <c r="C790" s="17"/>
      <c r="D790" s="17"/>
      <c r="E790" s="17"/>
      <c r="F790" s="18"/>
      <c r="G790" s="19">
        <v>636</v>
      </c>
      <c r="H790" s="17" t="s">
        <v>123</v>
      </c>
      <c r="I790" s="20">
        <v>1600</v>
      </c>
      <c r="J790" s="20">
        <v>1600</v>
      </c>
      <c r="K790" s="397">
        <f t="shared" si="124"/>
        <v>100</v>
      </c>
      <c r="L790" s="20"/>
      <c r="M790" s="20"/>
      <c r="N790" s="20"/>
      <c r="O790" s="397"/>
      <c r="P790" s="20"/>
      <c r="Q790" s="21">
        <f t="shared" si="119"/>
        <v>1600</v>
      </c>
      <c r="R790" s="21">
        <f t="shared" si="120"/>
        <v>1600</v>
      </c>
      <c r="S790" s="448">
        <f t="shared" si="122"/>
        <v>100</v>
      </c>
    </row>
    <row r="791" spans="2:19" x14ac:dyDescent="0.2">
      <c r="B791" s="6">
        <f t="shared" si="123"/>
        <v>289</v>
      </c>
      <c r="C791" s="17"/>
      <c r="D791" s="17"/>
      <c r="E791" s="17"/>
      <c r="F791" s="18"/>
      <c r="G791" s="19">
        <v>637</v>
      </c>
      <c r="H791" s="17" t="s">
        <v>119</v>
      </c>
      <c r="I791" s="20">
        <f>30880+5396+1835</f>
        <v>38111</v>
      </c>
      <c r="J791" s="20">
        <v>38111</v>
      </c>
      <c r="K791" s="397">
        <f t="shared" si="124"/>
        <v>100</v>
      </c>
      <c r="L791" s="20"/>
      <c r="M791" s="20"/>
      <c r="N791" s="20"/>
      <c r="O791" s="397"/>
      <c r="P791" s="20"/>
      <c r="Q791" s="21">
        <f t="shared" si="119"/>
        <v>38111</v>
      </c>
      <c r="R791" s="21">
        <f t="shared" si="120"/>
        <v>38111</v>
      </c>
      <c r="S791" s="448">
        <f t="shared" si="122"/>
        <v>100</v>
      </c>
    </row>
    <row r="792" spans="2:19" x14ac:dyDescent="0.2">
      <c r="B792" s="6">
        <f t="shared" si="123"/>
        <v>290</v>
      </c>
      <c r="C792" s="12"/>
      <c r="D792" s="12"/>
      <c r="E792" s="12"/>
      <c r="F792" s="13" t="s">
        <v>116</v>
      </c>
      <c r="G792" s="14">
        <v>640</v>
      </c>
      <c r="H792" s="12" t="s">
        <v>126</v>
      </c>
      <c r="I792" s="15">
        <f>11300+4547+4460+892</f>
        <v>21199</v>
      </c>
      <c r="J792" s="15">
        <v>21199</v>
      </c>
      <c r="K792" s="397">
        <f t="shared" si="124"/>
        <v>100</v>
      </c>
      <c r="L792" s="15"/>
      <c r="M792" s="15"/>
      <c r="N792" s="15"/>
      <c r="O792" s="397"/>
      <c r="P792" s="15"/>
      <c r="Q792" s="16">
        <f t="shared" si="119"/>
        <v>21199</v>
      </c>
      <c r="R792" s="16">
        <f t="shared" si="120"/>
        <v>21199</v>
      </c>
      <c r="S792" s="448">
        <f t="shared" si="122"/>
        <v>100</v>
      </c>
    </row>
    <row r="793" spans="2:19" x14ac:dyDescent="0.2">
      <c r="B793" s="6">
        <f t="shared" si="123"/>
        <v>291</v>
      </c>
      <c r="C793" s="12"/>
      <c r="D793" s="12"/>
      <c r="E793" s="12"/>
      <c r="F793" s="13" t="s">
        <v>105</v>
      </c>
      <c r="G793" s="14">
        <v>610</v>
      </c>
      <c r="H793" s="12" t="s">
        <v>128</v>
      </c>
      <c r="I793" s="15">
        <f>1162010+259-77455+100+61227+42873-344</f>
        <v>1188670</v>
      </c>
      <c r="J793" s="15">
        <v>1188670</v>
      </c>
      <c r="K793" s="397">
        <f t="shared" si="124"/>
        <v>100</v>
      </c>
      <c r="L793" s="15"/>
      <c r="M793" s="15"/>
      <c r="N793" s="15"/>
      <c r="O793" s="397"/>
      <c r="P793" s="15"/>
      <c r="Q793" s="16">
        <f t="shared" si="119"/>
        <v>1188670</v>
      </c>
      <c r="R793" s="16">
        <f t="shared" si="120"/>
        <v>1188670</v>
      </c>
      <c r="S793" s="448">
        <f t="shared" si="122"/>
        <v>100</v>
      </c>
    </row>
    <row r="794" spans="2:19" x14ac:dyDescent="0.2">
      <c r="B794" s="6">
        <f t="shared" si="123"/>
        <v>292</v>
      </c>
      <c r="C794" s="12"/>
      <c r="D794" s="12"/>
      <c r="E794" s="12"/>
      <c r="F794" s="13" t="s">
        <v>105</v>
      </c>
      <c r="G794" s="14">
        <v>620</v>
      </c>
      <c r="H794" s="12" t="s">
        <v>121</v>
      </c>
      <c r="I794" s="15">
        <f>443005+91-47990+35+21325+29848-56</f>
        <v>446258</v>
      </c>
      <c r="J794" s="15">
        <v>446258</v>
      </c>
      <c r="K794" s="397">
        <f t="shared" si="124"/>
        <v>100</v>
      </c>
      <c r="L794" s="15"/>
      <c r="M794" s="15"/>
      <c r="N794" s="15"/>
      <c r="O794" s="397"/>
      <c r="P794" s="15"/>
      <c r="Q794" s="16">
        <f t="shared" si="119"/>
        <v>446258</v>
      </c>
      <c r="R794" s="16">
        <f t="shared" si="120"/>
        <v>446258</v>
      </c>
      <c r="S794" s="448">
        <f t="shared" si="122"/>
        <v>100</v>
      </c>
    </row>
    <row r="795" spans="2:19" x14ac:dyDescent="0.2">
      <c r="B795" s="6">
        <f t="shared" si="123"/>
        <v>293</v>
      </c>
      <c r="C795" s="12"/>
      <c r="D795" s="12"/>
      <c r="E795" s="12"/>
      <c r="F795" s="13" t="s">
        <v>105</v>
      </c>
      <c r="G795" s="14">
        <v>630</v>
      </c>
      <c r="H795" s="12" t="s">
        <v>118</v>
      </c>
      <c r="I795" s="15">
        <f>SUM(I796:I801)</f>
        <v>500267</v>
      </c>
      <c r="J795" s="15">
        <f>SUM(J796:J801)</f>
        <v>388579</v>
      </c>
      <c r="K795" s="397">
        <f t="shared" si="124"/>
        <v>77.674321912098947</v>
      </c>
      <c r="L795" s="15"/>
      <c r="M795" s="15"/>
      <c r="N795" s="15"/>
      <c r="O795" s="397"/>
      <c r="P795" s="15"/>
      <c r="Q795" s="16">
        <f t="shared" si="119"/>
        <v>500267</v>
      </c>
      <c r="R795" s="16">
        <f t="shared" si="120"/>
        <v>388579</v>
      </c>
      <c r="S795" s="448">
        <f t="shared" si="122"/>
        <v>77.674321912098947</v>
      </c>
    </row>
    <row r="796" spans="2:19" x14ac:dyDescent="0.2">
      <c r="B796" s="6">
        <f t="shared" si="123"/>
        <v>294</v>
      </c>
      <c r="C796" s="17"/>
      <c r="D796" s="17"/>
      <c r="E796" s="17"/>
      <c r="F796" s="18"/>
      <c r="G796" s="19">
        <v>631</v>
      </c>
      <c r="H796" s="17" t="s">
        <v>124</v>
      </c>
      <c r="I796" s="20">
        <f>250+65</f>
        <v>315</v>
      </c>
      <c r="J796" s="20">
        <v>315</v>
      </c>
      <c r="K796" s="397">
        <f t="shared" si="124"/>
        <v>100</v>
      </c>
      <c r="L796" s="20"/>
      <c r="M796" s="20"/>
      <c r="N796" s="20"/>
      <c r="O796" s="397"/>
      <c r="P796" s="20"/>
      <c r="Q796" s="21">
        <f t="shared" si="119"/>
        <v>315</v>
      </c>
      <c r="R796" s="21">
        <f t="shared" si="120"/>
        <v>315</v>
      </c>
      <c r="S796" s="448">
        <f t="shared" si="122"/>
        <v>100</v>
      </c>
    </row>
    <row r="797" spans="2:19" x14ac:dyDescent="0.2">
      <c r="B797" s="6">
        <f t="shared" si="123"/>
        <v>295</v>
      </c>
      <c r="C797" s="17"/>
      <c r="D797" s="17"/>
      <c r="E797" s="17"/>
      <c r="F797" s="18"/>
      <c r="G797" s="19">
        <v>632</v>
      </c>
      <c r="H797" s="17" t="s">
        <v>131</v>
      </c>
      <c r="I797" s="20">
        <f>174360-37000-1000+42887</f>
        <v>179247</v>
      </c>
      <c r="J797" s="20">
        <v>78048</v>
      </c>
      <c r="K797" s="397">
        <f t="shared" si="124"/>
        <v>43.542151333076703</v>
      </c>
      <c r="L797" s="20"/>
      <c r="M797" s="20"/>
      <c r="N797" s="20"/>
      <c r="O797" s="397"/>
      <c r="P797" s="20"/>
      <c r="Q797" s="21">
        <f t="shared" si="119"/>
        <v>179247</v>
      </c>
      <c r="R797" s="21">
        <f t="shared" si="120"/>
        <v>78048</v>
      </c>
      <c r="S797" s="448">
        <f t="shared" si="122"/>
        <v>43.542151333076703</v>
      </c>
    </row>
    <row r="798" spans="2:19" x14ac:dyDescent="0.2">
      <c r="B798" s="6">
        <f t="shared" si="123"/>
        <v>296</v>
      </c>
      <c r="C798" s="17"/>
      <c r="D798" s="17"/>
      <c r="E798" s="17"/>
      <c r="F798" s="18"/>
      <c r="G798" s="19">
        <v>633</v>
      </c>
      <c r="H798" s="17" t="s">
        <v>122</v>
      </c>
      <c r="I798" s="20">
        <f>73986+1000-2000+3000+5957+400</f>
        <v>82343</v>
      </c>
      <c r="J798" s="20">
        <v>80605</v>
      </c>
      <c r="K798" s="397">
        <f t="shared" si="124"/>
        <v>97.889316638937132</v>
      </c>
      <c r="L798" s="20"/>
      <c r="M798" s="20"/>
      <c r="N798" s="20"/>
      <c r="O798" s="397"/>
      <c r="P798" s="20"/>
      <c r="Q798" s="21">
        <f t="shared" si="119"/>
        <v>82343</v>
      </c>
      <c r="R798" s="21">
        <f t="shared" si="120"/>
        <v>80605</v>
      </c>
      <c r="S798" s="448">
        <f t="shared" si="122"/>
        <v>97.889316638937132</v>
      </c>
    </row>
    <row r="799" spans="2:19" x14ac:dyDescent="0.2">
      <c r="B799" s="6">
        <f t="shared" si="123"/>
        <v>297</v>
      </c>
      <c r="C799" s="17"/>
      <c r="D799" s="17"/>
      <c r="E799" s="17"/>
      <c r="F799" s="18"/>
      <c r="G799" s="19">
        <v>635</v>
      </c>
      <c r="H799" s="17" t="s">
        <v>130</v>
      </c>
      <c r="I799" s="20">
        <f>24700-4000+2000+14568+61624+50000-6192</f>
        <v>142700</v>
      </c>
      <c r="J799" s="20">
        <v>138175</v>
      </c>
      <c r="K799" s="397">
        <f t="shared" si="124"/>
        <v>96.829011913104409</v>
      </c>
      <c r="L799" s="20"/>
      <c r="M799" s="20"/>
      <c r="N799" s="20"/>
      <c r="O799" s="397"/>
      <c r="P799" s="20"/>
      <c r="Q799" s="21">
        <f t="shared" si="119"/>
        <v>142700</v>
      </c>
      <c r="R799" s="21">
        <f t="shared" si="120"/>
        <v>138175</v>
      </c>
      <c r="S799" s="448">
        <f t="shared" si="122"/>
        <v>96.829011913104409</v>
      </c>
    </row>
    <row r="800" spans="2:19" x14ac:dyDescent="0.2">
      <c r="B800" s="6">
        <f t="shared" si="123"/>
        <v>298</v>
      </c>
      <c r="C800" s="17"/>
      <c r="D800" s="17"/>
      <c r="E800" s="17"/>
      <c r="F800" s="18"/>
      <c r="G800" s="19">
        <v>636</v>
      </c>
      <c r="H800" s="17" t="s">
        <v>123</v>
      </c>
      <c r="I800" s="20">
        <v>3300</v>
      </c>
      <c r="J800" s="20">
        <v>2498</v>
      </c>
      <c r="K800" s="397">
        <f t="shared" si="124"/>
        <v>75.696969696969703</v>
      </c>
      <c r="L800" s="20"/>
      <c r="M800" s="20"/>
      <c r="N800" s="20"/>
      <c r="O800" s="397"/>
      <c r="P800" s="20"/>
      <c r="Q800" s="21">
        <f t="shared" si="119"/>
        <v>3300</v>
      </c>
      <c r="R800" s="21">
        <f t="shared" si="120"/>
        <v>2498</v>
      </c>
      <c r="S800" s="448">
        <f t="shared" si="122"/>
        <v>75.696969696969703</v>
      </c>
    </row>
    <row r="801" spans="2:19" x14ac:dyDescent="0.2">
      <c r="B801" s="6">
        <f t="shared" si="123"/>
        <v>299</v>
      </c>
      <c r="C801" s="17"/>
      <c r="D801" s="17"/>
      <c r="E801" s="17"/>
      <c r="F801" s="18"/>
      <c r="G801" s="19">
        <v>637</v>
      </c>
      <c r="H801" s="17" t="s">
        <v>119</v>
      </c>
      <c r="I801" s="20">
        <f>94150-25708+17681+6239</f>
        <v>92362</v>
      </c>
      <c r="J801" s="20">
        <v>88938</v>
      </c>
      <c r="K801" s="397">
        <f t="shared" si="124"/>
        <v>96.292847707931827</v>
      </c>
      <c r="L801" s="20"/>
      <c r="M801" s="20"/>
      <c r="N801" s="20"/>
      <c r="O801" s="397"/>
      <c r="P801" s="20"/>
      <c r="Q801" s="21">
        <f t="shared" si="119"/>
        <v>92362</v>
      </c>
      <c r="R801" s="21">
        <f t="shared" si="120"/>
        <v>88938</v>
      </c>
      <c r="S801" s="448">
        <f t="shared" si="122"/>
        <v>96.292847707931827</v>
      </c>
    </row>
    <row r="802" spans="2:19" x14ac:dyDescent="0.2">
      <c r="B802" s="6">
        <f t="shared" si="123"/>
        <v>300</v>
      </c>
      <c r="C802" s="12"/>
      <c r="D802" s="12"/>
      <c r="E802" s="12"/>
      <c r="F802" s="13" t="s">
        <v>105</v>
      </c>
      <c r="G802" s="14">
        <v>640</v>
      </c>
      <c r="H802" s="12" t="s">
        <v>126</v>
      </c>
      <c r="I802" s="15">
        <f>20110-2000-1712+1021</f>
        <v>17419</v>
      </c>
      <c r="J802" s="15">
        <v>17419</v>
      </c>
      <c r="K802" s="397">
        <f t="shared" si="124"/>
        <v>100</v>
      </c>
      <c r="L802" s="15"/>
      <c r="M802" s="15"/>
      <c r="N802" s="15"/>
      <c r="O802" s="397"/>
      <c r="P802" s="15"/>
      <c r="Q802" s="16">
        <f t="shared" si="119"/>
        <v>17419</v>
      </c>
      <c r="R802" s="16">
        <f t="shared" si="120"/>
        <v>17419</v>
      </c>
      <c r="S802" s="448">
        <f t="shared" si="122"/>
        <v>100</v>
      </c>
    </row>
    <row r="803" spans="2:19" x14ac:dyDescent="0.2">
      <c r="B803" s="6">
        <f t="shared" si="123"/>
        <v>301</v>
      </c>
      <c r="C803" s="12"/>
      <c r="D803" s="12"/>
      <c r="E803" s="12"/>
      <c r="F803" s="13" t="s">
        <v>75</v>
      </c>
      <c r="G803" s="14">
        <v>633</v>
      </c>
      <c r="H803" s="12" t="s">
        <v>428</v>
      </c>
      <c r="I803" s="15">
        <f>170000+135000</f>
        <v>305000</v>
      </c>
      <c r="J803" s="15">
        <v>298500</v>
      </c>
      <c r="K803" s="397">
        <f t="shared" si="124"/>
        <v>97.868852459016395</v>
      </c>
      <c r="L803" s="15"/>
      <c r="M803" s="15"/>
      <c r="N803" s="15"/>
      <c r="O803" s="397"/>
      <c r="P803" s="15"/>
      <c r="Q803" s="16">
        <f t="shared" si="119"/>
        <v>305000</v>
      </c>
      <c r="R803" s="16">
        <f t="shared" si="120"/>
        <v>298500</v>
      </c>
      <c r="S803" s="448">
        <f t="shared" si="122"/>
        <v>97.868852459016395</v>
      </c>
    </row>
    <row r="804" spans="2:19" x14ac:dyDescent="0.2">
      <c r="B804" s="6">
        <f t="shared" si="123"/>
        <v>302</v>
      </c>
      <c r="C804" s="12"/>
      <c r="D804" s="12"/>
      <c r="E804" s="12"/>
      <c r="F804" s="13" t="s">
        <v>105</v>
      </c>
      <c r="G804" s="14">
        <v>630</v>
      </c>
      <c r="H804" s="12" t="s">
        <v>647</v>
      </c>
      <c r="I804" s="15">
        <v>57426</v>
      </c>
      <c r="J804" s="15">
        <v>57426</v>
      </c>
      <c r="K804" s="397">
        <f t="shared" si="124"/>
        <v>100</v>
      </c>
      <c r="L804" s="15"/>
      <c r="M804" s="15"/>
      <c r="N804" s="15"/>
      <c r="O804" s="397"/>
      <c r="P804" s="15"/>
      <c r="Q804" s="16">
        <f t="shared" si="119"/>
        <v>57426</v>
      </c>
      <c r="R804" s="16">
        <f t="shared" si="120"/>
        <v>57426</v>
      </c>
      <c r="S804" s="448">
        <f t="shared" si="122"/>
        <v>100</v>
      </c>
    </row>
    <row r="805" spans="2:19" x14ac:dyDescent="0.2">
      <c r="B805" s="6">
        <f t="shared" si="123"/>
        <v>303</v>
      </c>
      <c r="C805" s="12"/>
      <c r="D805" s="12"/>
      <c r="E805" s="12"/>
      <c r="F805" s="13" t="s">
        <v>116</v>
      </c>
      <c r="G805" s="14">
        <v>710</v>
      </c>
      <c r="H805" s="12" t="s">
        <v>172</v>
      </c>
      <c r="I805" s="15"/>
      <c r="J805" s="15"/>
      <c r="K805" s="397"/>
      <c r="L805" s="15"/>
      <c r="M805" s="15">
        <f>M806</f>
        <v>91800</v>
      </c>
      <c r="N805" s="15">
        <f>N806</f>
        <v>0</v>
      </c>
      <c r="O805" s="397">
        <f>N805/M805*100</f>
        <v>0</v>
      </c>
      <c r="P805" s="15"/>
      <c r="Q805" s="16">
        <f t="shared" si="119"/>
        <v>91800</v>
      </c>
      <c r="R805" s="16">
        <f t="shared" si="120"/>
        <v>0</v>
      </c>
      <c r="S805" s="448">
        <f t="shared" si="122"/>
        <v>0</v>
      </c>
    </row>
    <row r="806" spans="2:19" x14ac:dyDescent="0.2">
      <c r="B806" s="6">
        <f t="shared" si="123"/>
        <v>304</v>
      </c>
      <c r="C806" s="12"/>
      <c r="D806" s="12"/>
      <c r="E806" s="12"/>
      <c r="F806" s="13"/>
      <c r="G806" s="19">
        <v>717</v>
      </c>
      <c r="H806" s="17" t="s">
        <v>179</v>
      </c>
      <c r="I806" s="20"/>
      <c r="J806" s="20"/>
      <c r="K806" s="397"/>
      <c r="L806" s="20"/>
      <c r="M806" s="20">
        <f>M807</f>
        <v>91800</v>
      </c>
      <c r="N806" s="20">
        <f>N807</f>
        <v>0</v>
      </c>
      <c r="O806" s="397">
        <f>N806/M806*100</f>
        <v>0</v>
      </c>
      <c r="P806" s="20"/>
      <c r="Q806" s="21">
        <f t="shared" si="119"/>
        <v>91800</v>
      </c>
      <c r="R806" s="21">
        <f t="shared" si="120"/>
        <v>0</v>
      </c>
      <c r="S806" s="448">
        <f t="shared" si="122"/>
        <v>0</v>
      </c>
    </row>
    <row r="807" spans="2:19" x14ac:dyDescent="0.2">
      <c r="B807" s="6">
        <f t="shared" si="123"/>
        <v>305</v>
      </c>
      <c r="C807" s="111"/>
      <c r="D807" s="111"/>
      <c r="E807" s="111"/>
      <c r="F807" s="101"/>
      <c r="G807" s="23"/>
      <c r="H807" s="1" t="s">
        <v>586</v>
      </c>
      <c r="I807" s="24"/>
      <c r="J807" s="24"/>
      <c r="K807" s="397"/>
      <c r="L807" s="24"/>
      <c r="M807" s="24">
        <f>75000+21000-4200</f>
        <v>91800</v>
      </c>
      <c r="N807" s="24">
        <v>0</v>
      </c>
      <c r="O807" s="397">
        <f>N807/M807*100</f>
        <v>0</v>
      </c>
      <c r="P807" s="24"/>
      <c r="Q807" s="26">
        <f t="shared" si="119"/>
        <v>91800</v>
      </c>
      <c r="R807" s="26">
        <f t="shared" si="120"/>
        <v>0</v>
      </c>
      <c r="S807" s="448">
        <f t="shared" si="122"/>
        <v>0</v>
      </c>
    </row>
    <row r="808" spans="2:19" ht="15" x14ac:dyDescent="0.25">
      <c r="B808" s="6">
        <f t="shared" si="123"/>
        <v>306</v>
      </c>
      <c r="C808" s="97"/>
      <c r="D808" s="97"/>
      <c r="E808" s="97">
        <v>9</v>
      </c>
      <c r="F808" s="98"/>
      <c r="G808" s="98"/>
      <c r="H808" s="97" t="s">
        <v>4</v>
      </c>
      <c r="I808" s="99">
        <f>I809+I810+I811+I819+I820+I821+I822+I830+I831</f>
        <v>2593991</v>
      </c>
      <c r="J808" s="99">
        <f>J809+J810+J811+J819+J820+J821+J822+J830+J831</f>
        <v>2474507</v>
      </c>
      <c r="K808" s="414">
        <f t="shared" ref="K808:K831" si="125">J808/I808*100</f>
        <v>95.393815938451596</v>
      </c>
      <c r="L808" s="313"/>
      <c r="M808" s="99">
        <f>M832</f>
        <v>104330</v>
      </c>
      <c r="N808" s="99">
        <f>N832</f>
        <v>104330</v>
      </c>
      <c r="O808" s="414">
        <f>N808/M808*100</f>
        <v>100</v>
      </c>
      <c r="P808" s="313"/>
      <c r="Q808" s="100">
        <f t="shared" si="119"/>
        <v>2698321</v>
      </c>
      <c r="R808" s="100">
        <f t="shared" si="120"/>
        <v>2578837</v>
      </c>
      <c r="S808" s="464">
        <f t="shared" si="122"/>
        <v>95.571913052598262</v>
      </c>
    </row>
    <row r="809" spans="2:19" x14ac:dyDescent="0.2">
      <c r="B809" s="6">
        <f t="shared" si="123"/>
        <v>307</v>
      </c>
      <c r="C809" s="12"/>
      <c r="D809" s="12"/>
      <c r="E809" s="12"/>
      <c r="F809" s="13" t="s">
        <v>116</v>
      </c>
      <c r="G809" s="14">
        <v>610</v>
      </c>
      <c r="H809" s="12" t="s">
        <v>128</v>
      </c>
      <c r="I809" s="15">
        <v>606500</v>
      </c>
      <c r="J809" s="15">
        <v>606500</v>
      </c>
      <c r="K809" s="397">
        <f t="shared" si="125"/>
        <v>100</v>
      </c>
      <c r="L809" s="15"/>
      <c r="M809" s="15"/>
      <c r="N809" s="15"/>
      <c r="O809" s="397"/>
      <c r="P809" s="15"/>
      <c r="Q809" s="16">
        <f t="shared" ref="Q809:Q872" si="126">I809+M809</f>
        <v>606500</v>
      </c>
      <c r="R809" s="16">
        <f t="shared" ref="R809:R872" si="127">J809+N809</f>
        <v>606500</v>
      </c>
      <c r="S809" s="448">
        <f t="shared" si="122"/>
        <v>100</v>
      </c>
    </row>
    <row r="810" spans="2:19" x14ac:dyDescent="0.2">
      <c r="B810" s="6">
        <f t="shared" si="123"/>
        <v>308</v>
      </c>
      <c r="C810" s="12"/>
      <c r="D810" s="12"/>
      <c r="E810" s="12"/>
      <c r="F810" s="13" t="s">
        <v>116</v>
      </c>
      <c r="G810" s="14">
        <v>620</v>
      </c>
      <c r="H810" s="12" t="s">
        <v>121</v>
      </c>
      <c r="I810" s="15">
        <v>225375</v>
      </c>
      <c r="J810" s="15">
        <v>225375</v>
      </c>
      <c r="K810" s="397">
        <f t="shared" si="125"/>
        <v>100</v>
      </c>
      <c r="L810" s="15"/>
      <c r="M810" s="15"/>
      <c r="N810" s="15"/>
      <c r="O810" s="397"/>
      <c r="P810" s="15"/>
      <c r="Q810" s="16">
        <f t="shared" si="126"/>
        <v>225375</v>
      </c>
      <c r="R810" s="16">
        <f t="shared" si="127"/>
        <v>225375</v>
      </c>
      <c r="S810" s="448">
        <f t="shared" si="122"/>
        <v>100</v>
      </c>
    </row>
    <row r="811" spans="2:19" x14ac:dyDescent="0.2">
      <c r="B811" s="6">
        <f t="shared" si="123"/>
        <v>309</v>
      </c>
      <c r="C811" s="12"/>
      <c r="D811" s="12"/>
      <c r="E811" s="12"/>
      <c r="F811" s="13" t="s">
        <v>116</v>
      </c>
      <c r="G811" s="14">
        <v>630</v>
      </c>
      <c r="H811" s="12" t="s">
        <v>118</v>
      </c>
      <c r="I811" s="15">
        <f>SUM(I812:I818)</f>
        <v>158480</v>
      </c>
      <c r="J811" s="15">
        <f>SUM(J812:J818)</f>
        <v>157866</v>
      </c>
      <c r="K811" s="397">
        <f t="shared" si="125"/>
        <v>99.612569409389195</v>
      </c>
      <c r="L811" s="15"/>
      <c r="M811" s="15"/>
      <c r="N811" s="15"/>
      <c r="O811" s="397"/>
      <c r="P811" s="15"/>
      <c r="Q811" s="16">
        <f t="shared" si="126"/>
        <v>158480</v>
      </c>
      <c r="R811" s="16">
        <f t="shared" si="127"/>
        <v>157866</v>
      </c>
      <c r="S811" s="448">
        <f t="shared" si="122"/>
        <v>99.612569409389195</v>
      </c>
    </row>
    <row r="812" spans="2:19" x14ac:dyDescent="0.2">
      <c r="B812" s="6">
        <f t="shared" si="123"/>
        <v>310</v>
      </c>
      <c r="C812" s="17"/>
      <c r="D812" s="17"/>
      <c r="E812" s="17"/>
      <c r="F812" s="18"/>
      <c r="G812" s="19">
        <v>631</v>
      </c>
      <c r="H812" s="17" t="s">
        <v>124</v>
      </c>
      <c r="I812" s="20">
        <f>300+175+105</f>
        <v>580</v>
      </c>
      <c r="J812" s="20">
        <v>580</v>
      </c>
      <c r="K812" s="397">
        <f t="shared" si="125"/>
        <v>100</v>
      </c>
      <c r="L812" s="20"/>
      <c r="M812" s="20"/>
      <c r="N812" s="20"/>
      <c r="O812" s="397"/>
      <c r="P812" s="20"/>
      <c r="Q812" s="21">
        <f t="shared" si="126"/>
        <v>580</v>
      </c>
      <c r="R812" s="21">
        <f t="shared" si="127"/>
        <v>580</v>
      </c>
      <c r="S812" s="448">
        <f t="shared" si="122"/>
        <v>100</v>
      </c>
    </row>
    <row r="813" spans="2:19" x14ac:dyDescent="0.2">
      <c r="B813" s="6">
        <f t="shared" si="123"/>
        <v>311</v>
      </c>
      <c r="C813" s="17"/>
      <c r="D813" s="17"/>
      <c r="E813" s="17"/>
      <c r="F813" s="18"/>
      <c r="G813" s="19">
        <v>632</v>
      </c>
      <c r="H813" s="17" t="s">
        <v>131</v>
      </c>
      <c r="I813" s="20">
        <f>47400-20000</f>
        <v>27400</v>
      </c>
      <c r="J813" s="20">
        <v>27400</v>
      </c>
      <c r="K813" s="397">
        <f t="shared" si="125"/>
        <v>100</v>
      </c>
      <c r="L813" s="20"/>
      <c r="M813" s="20"/>
      <c r="N813" s="20"/>
      <c r="O813" s="397"/>
      <c r="P813" s="20"/>
      <c r="Q813" s="21">
        <f t="shared" si="126"/>
        <v>27400</v>
      </c>
      <c r="R813" s="21">
        <f t="shared" si="127"/>
        <v>27400</v>
      </c>
      <c r="S813" s="448">
        <f t="shared" si="122"/>
        <v>100</v>
      </c>
    </row>
    <row r="814" spans="2:19" x14ac:dyDescent="0.2">
      <c r="B814" s="6">
        <f t="shared" si="123"/>
        <v>312</v>
      </c>
      <c r="C814" s="17"/>
      <c r="D814" s="17"/>
      <c r="E814" s="17"/>
      <c r="F814" s="18"/>
      <c r="G814" s="19">
        <v>633</v>
      </c>
      <c r="H814" s="17" t="s">
        <v>122</v>
      </c>
      <c r="I814" s="20">
        <f>7650+35000</f>
        <v>42650</v>
      </c>
      <c r="J814" s="20">
        <v>42650</v>
      </c>
      <c r="K814" s="397">
        <f t="shared" si="125"/>
        <v>100</v>
      </c>
      <c r="L814" s="20"/>
      <c r="M814" s="20"/>
      <c r="N814" s="20"/>
      <c r="O814" s="397"/>
      <c r="P814" s="20"/>
      <c r="Q814" s="21">
        <f t="shared" si="126"/>
        <v>42650</v>
      </c>
      <c r="R814" s="21">
        <f t="shared" si="127"/>
        <v>42650</v>
      </c>
      <c r="S814" s="448">
        <f t="shared" si="122"/>
        <v>100</v>
      </c>
    </row>
    <row r="815" spans="2:19" x14ac:dyDescent="0.2">
      <c r="B815" s="6">
        <f t="shared" si="123"/>
        <v>313</v>
      </c>
      <c r="C815" s="17"/>
      <c r="D815" s="17"/>
      <c r="E815" s="17"/>
      <c r="F815" s="18"/>
      <c r="G815" s="19">
        <v>634</v>
      </c>
      <c r="H815" s="17" t="s">
        <v>129</v>
      </c>
      <c r="I815" s="20">
        <f>1500+295</f>
        <v>1795</v>
      </c>
      <c r="J815" s="20">
        <v>1181</v>
      </c>
      <c r="K815" s="397">
        <f t="shared" si="125"/>
        <v>65.793871866295262</v>
      </c>
      <c r="L815" s="20"/>
      <c r="M815" s="20"/>
      <c r="N815" s="20"/>
      <c r="O815" s="397"/>
      <c r="P815" s="20"/>
      <c r="Q815" s="21">
        <f t="shared" si="126"/>
        <v>1795</v>
      </c>
      <c r="R815" s="21">
        <f t="shared" si="127"/>
        <v>1181</v>
      </c>
      <c r="S815" s="448">
        <f t="shared" si="122"/>
        <v>65.793871866295262</v>
      </c>
    </row>
    <row r="816" spans="2:19" x14ac:dyDescent="0.2">
      <c r="B816" s="6">
        <f t="shared" si="123"/>
        <v>314</v>
      </c>
      <c r="C816" s="17"/>
      <c r="D816" s="17"/>
      <c r="E816" s="17"/>
      <c r="F816" s="18"/>
      <c r="G816" s="19">
        <v>635</v>
      </c>
      <c r="H816" s="17" t="s">
        <v>130</v>
      </c>
      <c r="I816" s="20">
        <f>2500+25005</f>
        <v>27505</v>
      </c>
      <c r="J816" s="20">
        <v>27505</v>
      </c>
      <c r="K816" s="397">
        <f t="shared" si="125"/>
        <v>100</v>
      </c>
      <c r="L816" s="20"/>
      <c r="M816" s="20"/>
      <c r="N816" s="20"/>
      <c r="O816" s="397"/>
      <c r="P816" s="20"/>
      <c r="Q816" s="21">
        <f t="shared" si="126"/>
        <v>27505</v>
      </c>
      <c r="R816" s="21">
        <f t="shared" si="127"/>
        <v>27505</v>
      </c>
      <c r="S816" s="448">
        <f t="shared" si="122"/>
        <v>100</v>
      </c>
    </row>
    <row r="817" spans="2:19" x14ac:dyDescent="0.2">
      <c r="B817" s="6">
        <f t="shared" si="123"/>
        <v>315</v>
      </c>
      <c r="C817" s="17"/>
      <c r="D817" s="17"/>
      <c r="E817" s="17"/>
      <c r="F817" s="18"/>
      <c r="G817" s="19">
        <v>636</v>
      </c>
      <c r="H817" s="17" t="s">
        <v>123</v>
      </c>
      <c r="I817" s="20">
        <f>500+1300</f>
        <v>1800</v>
      </c>
      <c r="J817" s="20">
        <v>1800</v>
      </c>
      <c r="K817" s="397">
        <f t="shared" si="125"/>
        <v>100</v>
      </c>
      <c r="L817" s="20"/>
      <c r="M817" s="20"/>
      <c r="N817" s="20"/>
      <c r="O817" s="397"/>
      <c r="P817" s="20"/>
      <c r="Q817" s="21">
        <f t="shared" si="126"/>
        <v>1800</v>
      </c>
      <c r="R817" s="21">
        <f t="shared" si="127"/>
        <v>1800</v>
      </c>
      <c r="S817" s="448">
        <f t="shared" si="122"/>
        <v>100</v>
      </c>
    </row>
    <row r="818" spans="2:19" x14ac:dyDescent="0.2">
      <c r="B818" s="6">
        <f t="shared" si="123"/>
        <v>316</v>
      </c>
      <c r="C818" s="17"/>
      <c r="D818" s="17"/>
      <c r="E818" s="17"/>
      <c r="F818" s="18"/>
      <c r="G818" s="19">
        <v>637</v>
      </c>
      <c r="H818" s="17" t="s">
        <v>119</v>
      </c>
      <c r="I818" s="20">
        <f>33805+22945</f>
        <v>56750</v>
      </c>
      <c r="J818" s="20">
        <v>56750</v>
      </c>
      <c r="K818" s="397">
        <f t="shared" si="125"/>
        <v>100</v>
      </c>
      <c r="L818" s="20"/>
      <c r="M818" s="20"/>
      <c r="N818" s="20"/>
      <c r="O818" s="397"/>
      <c r="P818" s="20"/>
      <c r="Q818" s="21">
        <f t="shared" si="126"/>
        <v>56750</v>
      </c>
      <c r="R818" s="21">
        <f t="shared" si="127"/>
        <v>56750</v>
      </c>
      <c r="S818" s="448">
        <f t="shared" si="122"/>
        <v>100</v>
      </c>
    </row>
    <row r="819" spans="2:19" x14ac:dyDescent="0.2">
      <c r="B819" s="6">
        <f t="shared" si="123"/>
        <v>317</v>
      </c>
      <c r="C819" s="12"/>
      <c r="D819" s="12"/>
      <c r="E819" s="12"/>
      <c r="F819" s="13" t="s">
        <v>116</v>
      </c>
      <c r="G819" s="14">
        <v>640</v>
      </c>
      <c r="H819" s="12" t="s">
        <v>126</v>
      </c>
      <c r="I819" s="15">
        <f>5000+3257+4392</f>
        <v>12649</v>
      </c>
      <c r="J819" s="15">
        <v>12649</v>
      </c>
      <c r="K819" s="397">
        <f t="shared" si="125"/>
        <v>100</v>
      </c>
      <c r="L819" s="15"/>
      <c r="M819" s="15"/>
      <c r="N819" s="15"/>
      <c r="O819" s="397"/>
      <c r="P819" s="15"/>
      <c r="Q819" s="16">
        <f t="shared" si="126"/>
        <v>12649</v>
      </c>
      <c r="R819" s="16">
        <f t="shared" si="127"/>
        <v>12649</v>
      </c>
      <c r="S819" s="448">
        <f t="shared" si="122"/>
        <v>100</v>
      </c>
    </row>
    <row r="820" spans="2:19" x14ac:dyDescent="0.2">
      <c r="B820" s="6">
        <f t="shared" si="123"/>
        <v>318</v>
      </c>
      <c r="C820" s="12"/>
      <c r="D820" s="12"/>
      <c r="E820" s="12"/>
      <c r="F820" s="13" t="s">
        <v>105</v>
      </c>
      <c r="G820" s="14">
        <v>610</v>
      </c>
      <c r="H820" s="12" t="s">
        <v>128</v>
      </c>
      <c r="I820" s="15">
        <f>709420+259+28250+100+52184+62279</f>
        <v>852492</v>
      </c>
      <c r="J820" s="15">
        <v>852492</v>
      </c>
      <c r="K820" s="397">
        <f t="shared" si="125"/>
        <v>100</v>
      </c>
      <c r="L820" s="15"/>
      <c r="M820" s="15"/>
      <c r="N820" s="15"/>
      <c r="O820" s="397"/>
      <c r="P820" s="15"/>
      <c r="Q820" s="16">
        <f t="shared" si="126"/>
        <v>852492</v>
      </c>
      <c r="R820" s="16">
        <f t="shared" si="127"/>
        <v>852492</v>
      </c>
      <c r="S820" s="448">
        <f t="shared" si="122"/>
        <v>100</v>
      </c>
    </row>
    <row r="821" spans="2:19" x14ac:dyDescent="0.2">
      <c r="B821" s="6">
        <f t="shared" si="123"/>
        <v>319</v>
      </c>
      <c r="C821" s="12"/>
      <c r="D821" s="12"/>
      <c r="E821" s="12"/>
      <c r="F821" s="13" t="s">
        <v>105</v>
      </c>
      <c r="G821" s="14">
        <v>620</v>
      </c>
      <c r="H821" s="12" t="s">
        <v>121</v>
      </c>
      <c r="I821" s="15">
        <f>263325+91+10154+35+18761+20063+314</f>
        <v>312743</v>
      </c>
      <c r="J821" s="15">
        <v>312743</v>
      </c>
      <c r="K821" s="397">
        <f t="shared" si="125"/>
        <v>100</v>
      </c>
      <c r="L821" s="15"/>
      <c r="M821" s="15"/>
      <c r="N821" s="15"/>
      <c r="O821" s="397"/>
      <c r="P821" s="15"/>
      <c r="Q821" s="16">
        <f t="shared" si="126"/>
        <v>312743</v>
      </c>
      <c r="R821" s="16">
        <f t="shared" si="127"/>
        <v>312743</v>
      </c>
      <c r="S821" s="448">
        <f t="shared" si="122"/>
        <v>100</v>
      </c>
    </row>
    <row r="822" spans="2:19" x14ac:dyDescent="0.2">
      <c r="B822" s="6">
        <f t="shared" si="123"/>
        <v>320</v>
      </c>
      <c r="C822" s="12"/>
      <c r="D822" s="12"/>
      <c r="E822" s="12"/>
      <c r="F822" s="13" t="s">
        <v>105</v>
      </c>
      <c r="G822" s="14">
        <v>630</v>
      </c>
      <c r="H822" s="12" t="s">
        <v>118</v>
      </c>
      <c r="I822" s="15">
        <f>SUM(I823:I829)</f>
        <v>238883</v>
      </c>
      <c r="J822" s="15">
        <f>SUM(J823:J829)</f>
        <v>198203</v>
      </c>
      <c r="K822" s="397">
        <f t="shared" si="125"/>
        <v>82.970742999711149</v>
      </c>
      <c r="L822" s="15"/>
      <c r="M822" s="15"/>
      <c r="N822" s="15"/>
      <c r="O822" s="397"/>
      <c r="P822" s="15"/>
      <c r="Q822" s="16">
        <f t="shared" si="126"/>
        <v>238883</v>
      </c>
      <c r="R822" s="16">
        <f t="shared" si="127"/>
        <v>198203</v>
      </c>
      <c r="S822" s="448">
        <f t="shared" si="122"/>
        <v>82.970742999711149</v>
      </c>
    </row>
    <row r="823" spans="2:19" x14ac:dyDescent="0.2">
      <c r="B823" s="6">
        <f t="shared" si="123"/>
        <v>321</v>
      </c>
      <c r="C823" s="17"/>
      <c r="D823" s="17"/>
      <c r="E823" s="17"/>
      <c r="F823" s="18"/>
      <c r="G823" s="19">
        <v>631</v>
      </c>
      <c r="H823" s="17" t="s">
        <v>124</v>
      </c>
      <c r="I823" s="20">
        <f>300+175+105</f>
        <v>580</v>
      </c>
      <c r="J823" s="20">
        <v>580</v>
      </c>
      <c r="K823" s="397">
        <f t="shared" si="125"/>
        <v>100</v>
      </c>
      <c r="L823" s="20"/>
      <c r="M823" s="20"/>
      <c r="N823" s="20"/>
      <c r="O823" s="397"/>
      <c r="P823" s="20"/>
      <c r="Q823" s="21">
        <f t="shared" si="126"/>
        <v>580</v>
      </c>
      <c r="R823" s="21">
        <f t="shared" si="127"/>
        <v>580</v>
      </c>
      <c r="S823" s="448">
        <f t="shared" ref="S823:S886" si="128">R823/Q823*100</f>
        <v>100</v>
      </c>
    </row>
    <row r="824" spans="2:19" x14ac:dyDescent="0.2">
      <c r="B824" s="6">
        <f t="shared" ref="B824:B887" si="129">B823+1</f>
        <v>322</v>
      </c>
      <c r="C824" s="17"/>
      <c r="D824" s="17"/>
      <c r="E824" s="17"/>
      <c r="F824" s="18"/>
      <c r="G824" s="19">
        <v>632</v>
      </c>
      <c r="H824" s="17" t="s">
        <v>131</v>
      </c>
      <c r="I824" s="20">
        <f>47400-5226-19956+32940</f>
        <v>55158</v>
      </c>
      <c r="J824" s="20">
        <v>17575</v>
      </c>
      <c r="K824" s="397">
        <f t="shared" si="125"/>
        <v>31.863011711809708</v>
      </c>
      <c r="L824" s="20"/>
      <c r="M824" s="20"/>
      <c r="N824" s="20"/>
      <c r="O824" s="397"/>
      <c r="P824" s="20"/>
      <c r="Q824" s="21">
        <f t="shared" si="126"/>
        <v>55158</v>
      </c>
      <c r="R824" s="21">
        <f t="shared" si="127"/>
        <v>17575</v>
      </c>
      <c r="S824" s="448">
        <f t="shared" si="128"/>
        <v>31.863011711809708</v>
      </c>
    </row>
    <row r="825" spans="2:19" x14ac:dyDescent="0.2">
      <c r="B825" s="6">
        <f t="shared" si="129"/>
        <v>323</v>
      </c>
      <c r="C825" s="17"/>
      <c r="D825" s="17"/>
      <c r="E825" s="17"/>
      <c r="F825" s="18"/>
      <c r="G825" s="19">
        <v>633</v>
      </c>
      <c r="H825" s="17" t="s">
        <v>122</v>
      </c>
      <c r="I825" s="20">
        <f>16254+1000-9104+32067</f>
        <v>40217</v>
      </c>
      <c r="J825" s="20">
        <v>40217</v>
      </c>
      <c r="K825" s="397">
        <f t="shared" si="125"/>
        <v>100</v>
      </c>
      <c r="L825" s="20"/>
      <c r="M825" s="20"/>
      <c r="N825" s="20"/>
      <c r="O825" s="397"/>
      <c r="P825" s="20"/>
      <c r="Q825" s="21">
        <f t="shared" si="126"/>
        <v>40217</v>
      </c>
      <c r="R825" s="21">
        <f t="shared" si="127"/>
        <v>40217</v>
      </c>
      <c r="S825" s="448">
        <f t="shared" si="128"/>
        <v>100</v>
      </c>
    </row>
    <row r="826" spans="2:19" x14ac:dyDescent="0.2">
      <c r="B826" s="6">
        <f t="shared" si="129"/>
        <v>324</v>
      </c>
      <c r="C826" s="17"/>
      <c r="D826" s="17"/>
      <c r="E826" s="17"/>
      <c r="F826" s="18"/>
      <c r="G826" s="19">
        <v>634</v>
      </c>
      <c r="H826" s="17" t="s">
        <v>129</v>
      </c>
      <c r="I826" s="20">
        <v>1595</v>
      </c>
      <c r="J826" s="20">
        <v>1595</v>
      </c>
      <c r="K826" s="397">
        <f t="shared" si="125"/>
        <v>100</v>
      </c>
      <c r="L826" s="20"/>
      <c r="M826" s="20"/>
      <c r="N826" s="20"/>
      <c r="O826" s="397"/>
      <c r="P826" s="20"/>
      <c r="Q826" s="21">
        <f t="shared" si="126"/>
        <v>1595</v>
      </c>
      <c r="R826" s="21">
        <f t="shared" si="127"/>
        <v>1595</v>
      </c>
      <c r="S826" s="448">
        <f t="shared" si="128"/>
        <v>100</v>
      </c>
    </row>
    <row r="827" spans="2:19" x14ac:dyDescent="0.2">
      <c r="B827" s="6">
        <f t="shared" si="129"/>
        <v>325</v>
      </c>
      <c r="C827" s="17"/>
      <c r="D827" s="17"/>
      <c r="E827" s="17"/>
      <c r="F827" s="18"/>
      <c r="G827" s="19">
        <v>635</v>
      </c>
      <c r="H827" s="17" t="s">
        <v>130</v>
      </c>
      <c r="I827" s="20">
        <f>7500+20000+27976</f>
        <v>55476</v>
      </c>
      <c r="J827" s="20">
        <v>55476</v>
      </c>
      <c r="K827" s="397">
        <f t="shared" si="125"/>
        <v>100</v>
      </c>
      <c r="L827" s="20"/>
      <c r="M827" s="20"/>
      <c r="N827" s="20"/>
      <c r="O827" s="397"/>
      <c r="P827" s="20"/>
      <c r="Q827" s="21">
        <f t="shared" si="126"/>
        <v>55476</v>
      </c>
      <c r="R827" s="21">
        <f t="shared" si="127"/>
        <v>55476</v>
      </c>
      <c r="S827" s="448">
        <f t="shared" si="128"/>
        <v>100</v>
      </c>
    </row>
    <row r="828" spans="2:19" x14ac:dyDescent="0.2">
      <c r="B828" s="6">
        <f t="shared" si="129"/>
        <v>326</v>
      </c>
      <c r="C828" s="17"/>
      <c r="D828" s="17"/>
      <c r="E828" s="17"/>
      <c r="F828" s="18"/>
      <c r="G828" s="19">
        <v>636</v>
      </c>
      <c r="H828" s="17" t="s">
        <v>123</v>
      </c>
      <c r="I828" s="20">
        <f>500+1300</f>
        <v>1800</v>
      </c>
      <c r="J828" s="20">
        <v>1800</v>
      </c>
      <c r="K828" s="397">
        <f t="shared" si="125"/>
        <v>100</v>
      </c>
      <c r="L828" s="20"/>
      <c r="M828" s="20"/>
      <c r="N828" s="20"/>
      <c r="O828" s="397"/>
      <c r="P828" s="20"/>
      <c r="Q828" s="21">
        <f t="shared" si="126"/>
        <v>1800</v>
      </c>
      <c r="R828" s="21">
        <f t="shared" si="127"/>
        <v>1800</v>
      </c>
      <c r="S828" s="448">
        <f t="shared" si="128"/>
        <v>100</v>
      </c>
    </row>
    <row r="829" spans="2:19" x14ac:dyDescent="0.2">
      <c r="B829" s="6">
        <f t="shared" si="129"/>
        <v>327</v>
      </c>
      <c r="C829" s="17"/>
      <c r="D829" s="17"/>
      <c r="E829" s="17"/>
      <c r="F829" s="18"/>
      <c r="G829" s="19">
        <v>637</v>
      </c>
      <c r="H829" s="17" t="s">
        <v>119</v>
      </c>
      <c r="I829" s="20">
        <f>40850+15731+11240+14909+1327</f>
        <v>84057</v>
      </c>
      <c r="J829" s="20">
        <v>80960</v>
      </c>
      <c r="K829" s="397">
        <f t="shared" si="125"/>
        <v>96.315595369808577</v>
      </c>
      <c r="L829" s="20"/>
      <c r="M829" s="20"/>
      <c r="N829" s="20"/>
      <c r="O829" s="397"/>
      <c r="P829" s="20"/>
      <c r="Q829" s="21">
        <f t="shared" si="126"/>
        <v>84057</v>
      </c>
      <c r="R829" s="21">
        <f t="shared" si="127"/>
        <v>80960</v>
      </c>
      <c r="S829" s="448">
        <f t="shared" si="128"/>
        <v>96.315595369808577</v>
      </c>
    </row>
    <row r="830" spans="2:19" x14ac:dyDescent="0.2">
      <c r="B830" s="6">
        <f t="shared" si="129"/>
        <v>328</v>
      </c>
      <c r="C830" s="12"/>
      <c r="D830" s="12"/>
      <c r="E830" s="12"/>
      <c r="F830" s="13" t="s">
        <v>105</v>
      </c>
      <c r="G830" s="14">
        <v>640</v>
      </c>
      <c r="H830" s="12" t="s">
        <v>126</v>
      </c>
      <c r="I830" s="15">
        <f>74000-2213+18213</f>
        <v>90000</v>
      </c>
      <c r="J830" s="15">
        <v>21919</v>
      </c>
      <c r="K830" s="397">
        <f t="shared" si="125"/>
        <v>24.354444444444447</v>
      </c>
      <c r="L830" s="15"/>
      <c r="M830" s="15"/>
      <c r="N830" s="15"/>
      <c r="O830" s="397"/>
      <c r="P830" s="15"/>
      <c r="Q830" s="16">
        <f t="shared" si="126"/>
        <v>90000</v>
      </c>
      <c r="R830" s="16">
        <f t="shared" si="127"/>
        <v>21919</v>
      </c>
      <c r="S830" s="448">
        <f t="shared" si="128"/>
        <v>24.354444444444447</v>
      </c>
    </row>
    <row r="831" spans="2:19" x14ac:dyDescent="0.2">
      <c r="B831" s="6">
        <f t="shared" si="129"/>
        <v>329</v>
      </c>
      <c r="C831" s="12"/>
      <c r="D831" s="12"/>
      <c r="E831" s="12"/>
      <c r="F831" s="13" t="s">
        <v>105</v>
      </c>
      <c r="G831" s="14">
        <v>630</v>
      </c>
      <c r="H831" s="12" t="s">
        <v>647</v>
      </c>
      <c r="I831" s="15">
        <v>96869</v>
      </c>
      <c r="J831" s="15">
        <v>86760</v>
      </c>
      <c r="K831" s="397">
        <f t="shared" si="125"/>
        <v>89.564256883006948</v>
      </c>
      <c r="L831" s="15"/>
      <c r="M831" s="15"/>
      <c r="N831" s="15"/>
      <c r="O831" s="397"/>
      <c r="P831" s="15"/>
      <c r="Q831" s="16">
        <f t="shared" si="126"/>
        <v>96869</v>
      </c>
      <c r="R831" s="16">
        <f t="shared" si="127"/>
        <v>86760</v>
      </c>
      <c r="S831" s="448">
        <f t="shared" si="128"/>
        <v>89.564256883006948</v>
      </c>
    </row>
    <row r="832" spans="2:19" x14ac:dyDescent="0.2">
      <c r="B832" s="6">
        <f t="shared" si="129"/>
        <v>330</v>
      </c>
      <c r="C832" s="12"/>
      <c r="D832" s="12"/>
      <c r="E832" s="12"/>
      <c r="F832" s="13" t="s">
        <v>105</v>
      </c>
      <c r="G832" s="14">
        <v>710</v>
      </c>
      <c r="H832" s="12" t="s">
        <v>172</v>
      </c>
      <c r="I832" s="15"/>
      <c r="J832" s="15"/>
      <c r="K832" s="397"/>
      <c r="L832" s="15"/>
      <c r="M832" s="15">
        <f>M833</f>
        <v>104330</v>
      </c>
      <c r="N832" s="15">
        <f>N833</f>
        <v>104330</v>
      </c>
      <c r="O832" s="397">
        <f>N832/M832*100</f>
        <v>100</v>
      </c>
      <c r="P832" s="15"/>
      <c r="Q832" s="16">
        <f t="shared" si="126"/>
        <v>104330</v>
      </c>
      <c r="R832" s="16">
        <f t="shared" si="127"/>
        <v>104330</v>
      </c>
      <c r="S832" s="448">
        <f t="shared" si="128"/>
        <v>100</v>
      </c>
    </row>
    <row r="833" spans="2:19" x14ac:dyDescent="0.2">
      <c r="B833" s="6">
        <f t="shared" si="129"/>
        <v>331</v>
      </c>
      <c r="C833" s="17"/>
      <c r="D833" s="17"/>
      <c r="E833" s="17"/>
      <c r="F833" s="18"/>
      <c r="G833" s="19">
        <v>717</v>
      </c>
      <c r="H833" s="17" t="s">
        <v>179</v>
      </c>
      <c r="I833" s="20"/>
      <c r="J833" s="20"/>
      <c r="K833" s="397"/>
      <c r="L833" s="20"/>
      <c r="M833" s="20">
        <f>M834</f>
        <v>104330</v>
      </c>
      <c r="N833" s="20">
        <f>N834</f>
        <v>104330</v>
      </c>
      <c r="O833" s="397">
        <f>N833/M833*100</f>
        <v>100</v>
      </c>
      <c r="P833" s="20"/>
      <c r="Q833" s="21">
        <f t="shared" si="126"/>
        <v>104330</v>
      </c>
      <c r="R833" s="21">
        <f t="shared" si="127"/>
        <v>104330</v>
      </c>
      <c r="S833" s="448">
        <f t="shared" si="128"/>
        <v>100</v>
      </c>
    </row>
    <row r="834" spans="2:19" x14ac:dyDescent="0.2">
      <c r="B834" s="6">
        <f t="shared" si="129"/>
        <v>332</v>
      </c>
      <c r="C834" s="1"/>
      <c r="D834" s="1"/>
      <c r="E834" s="1"/>
      <c r="F834" s="101"/>
      <c r="G834" s="23"/>
      <c r="H834" s="1" t="s">
        <v>587</v>
      </c>
      <c r="I834" s="24"/>
      <c r="J834" s="24"/>
      <c r="K834" s="397"/>
      <c r="L834" s="24"/>
      <c r="M834" s="24">
        <f>90000+14330</f>
        <v>104330</v>
      </c>
      <c r="N834" s="24">
        <v>104330</v>
      </c>
      <c r="O834" s="397">
        <f>N834/M834*100</f>
        <v>100</v>
      </c>
      <c r="P834" s="24"/>
      <c r="Q834" s="26">
        <f t="shared" si="126"/>
        <v>104330</v>
      </c>
      <c r="R834" s="26">
        <f t="shared" si="127"/>
        <v>104330</v>
      </c>
      <c r="S834" s="448">
        <f t="shared" si="128"/>
        <v>100</v>
      </c>
    </row>
    <row r="835" spans="2:19" ht="15" x14ac:dyDescent="0.25">
      <c r="B835" s="6">
        <f t="shared" si="129"/>
        <v>333</v>
      </c>
      <c r="C835" s="97"/>
      <c r="D835" s="97"/>
      <c r="E835" s="97">
        <v>10</v>
      </c>
      <c r="F835" s="98"/>
      <c r="G835" s="98"/>
      <c r="H835" s="97" t="s">
        <v>0</v>
      </c>
      <c r="I835" s="99">
        <f>I836+I837+I838+I845+I846+I847+I848+I855+I856</f>
        <v>1659598</v>
      </c>
      <c r="J835" s="99">
        <f>J836+J837+J838+J845+J846+J847+J848+J855+J856</f>
        <v>1618716</v>
      </c>
      <c r="K835" s="414">
        <f t="shared" ref="K835:K856" si="130">J835/I835*100</f>
        <v>97.536632365187231</v>
      </c>
      <c r="L835" s="313"/>
      <c r="M835" s="99">
        <f>M857</f>
        <v>201936</v>
      </c>
      <c r="N835" s="99">
        <f>N857</f>
        <v>34888</v>
      </c>
      <c r="O835" s="414">
        <f>N835/M835*100</f>
        <v>17.276760953965614</v>
      </c>
      <c r="P835" s="313"/>
      <c r="Q835" s="100">
        <f t="shared" si="126"/>
        <v>1861534</v>
      </c>
      <c r="R835" s="100">
        <f t="shared" si="127"/>
        <v>1653604</v>
      </c>
      <c r="S835" s="464">
        <f t="shared" si="128"/>
        <v>88.830179840926888</v>
      </c>
    </row>
    <row r="836" spans="2:19" x14ac:dyDescent="0.2">
      <c r="B836" s="6">
        <f t="shared" si="129"/>
        <v>334</v>
      </c>
      <c r="C836" s="12"/>
      <c r="D836" s="12"/>
      <c r="E836" s="12"/>
      <c r="F836" s="13" t="s">
        <v>116</v>
      </c>
      <c r="G836" s="14">
        <v>610</v>
      </c>
      <c r="H836" s="12" t="s">
        <v>128</v>
      </c>
      <c r="I836" s="15">
        <f>311352-7000-630+29105</f>
        <v>332827</v>
      </c>
      <c r="J836" s="15">
        <v>332827</v>
      </c>
      <c r="K836" s="397">
        <f t="shared" si="130"/>
        <v>100</v>
      </c>
      <c r="L836" s="15"/>
      <c r="M836" s="15"/>
      <c r="N836" s="15"/>
      <c r="O836" s="397"/>
      <c r="P836" s="15"/>
      <c r="Q836" s="16">
        <f t="shared" si="126"/>
        <v>332827</v>
      </c>
      <c r="R836" s="16">
        <f t="shared" si="127"/>
        <v>332827</v>
      </c>
      <c r="S836" s="448">
        <f t="shared" si="128"/>
        <v>100</v>
      </c>
    </row>
    <row r="837" spans="2:19" x14ac:dyDescent="0.2">
      <c r="B837" s="6">
        <f t="shared" si="129"/>
        <v>335</v>
      </c>
      <c r="C837" s="12"/>
      <c r="D837" s="12"/>
      <c r="E837" s="12"/>
      <c r="F837" s="13" t="s">
        <v>116</v>
      </c>
      <c r="G837" s="14">
        <v>620</v>
      </c>
      <c r="H837" s="12" t="s">
        <v>121</v>
      </c>
      <c r="I837" s="15">
        <f>119879-7421+1521+10463</f>
        <v>124442</v>
      </c>
      <c r="J837" s="15">
        <v>124442</v>
      </c>
      <c r="K837" s="397">
        <f t="shared" si="130"/>
        <v>100</v>
      </c>
      <c r="L837" s="15"/>
      <c r="M837" s="15"/>
      <c r="N837" s="15"/>
      <c r="O837" s="397"/>
      <c r="P837" s="15"/>
      <c r="Q837" s="16">
        <f t="shared" si="126"/>
        <v>124442</v>
      </c>
      <c r="R837" s="16">
        <f t="shared" si="127"/>
        <v>124442</v>
      </c>
      <c r="S837" s="448">
        <f t="shared" si="128"/>
        <v>100</v>
      </c>
    </row>
    <row r="838" spans="2:19" x14ac:dyDescent="0.2">
      <c r="B838" s="6">
        <f t="shared" si="129"/>
        <v>336</v>
      </c>
      <c r="C838" s="12"/>
      <c r="D838" s="12"/>
      <c r="E838" s="12"/>
      <c r="F838" s="13" t="s">
        <v>116</v>
      </c>
      <c r="G838" s="14">
        <v>630</v>
      </c>
      <c r="H838" s="12" t="s">
        <v>118</v>
      </c>
      <c r="I838" s="15">
        <f>SUM(I839:I844)</f>
        <v>90170</v>
      </c>
      <c r="J838" s="15">
        <f>SUM(J839:J844)</f>
        <v>85480</v>
      </c>
      <c r="K838" s="397">
        <f t="shared" si="130"/>
        <v>94.798713541089057</v>
      </c>
      <c r="L838" s="15"/>
      <c r="M838" s="15"/>
      <c r="N838" s="15"/>
      <c r="O838" s="397"/>
      <c r="P838" s="15"/>
      <c r="Q838" s="16">
        <f t="shared" si="126"/>
        <v>90170</v>
      </c>
      <c r="R838" s="16">
        <f t="shared" si="127"/>
        <v>85480</v>
      </c>
      <c r="S838" s="448">
        <f t="shared" si="128"/>
        <v>94.798713541089057</v>
      </c>
    </row>
    <row r="839" spans="2:19" x14ac:dyDescent="0.2">
      <c r="B839" s="6">
        <f t="shared" si="129"/>
        <v>337</v>
      </c>
      <c r="C839" s="17"/>
      <c r="D839" s="17"/>
      <c r="E839" s="17"/>
      <c r="F839" s="18"/>
      <c r="G839" s="19">
        <v>631</v>
      </c>
      <c r="H839" s="17" t="s">
        <v>124</v>
      </c>
      <c r="I839" s="20">
        <v>100</v>
      </c>
      <c r="J839" s="20">
        <v>81</v>
      </c>
      <c r="K839" s="397">
        <f t="shared" si="130"/>
        <v>81</v>
      </c>
      <c r="L839" s="20"/>
      <c r="M839" s="20"/>
      <c r="N839" s="20"/>
      <c r="O839" s="397"/>
      <c r="P839" s="20"/>
      <c r="Q839" s="21">
        <f t="shared" si="126"/>
        <v>100</v>
      </c>
      <c r="R839" s="21">
        <f t="shared" si="127"/>
        <v>81</v>
      </c>
      <c r="S839" s="448">
        <f t="shared" si="128"/>
        <v>81</v>
      </c>
    </row>
    <row r="840" spans="2:19" x14ac:dyDescent="0.2">
      <c r="B840" s="6">
        <f t="shared" si="129"/>
        <v>338</v>
      </c>
      <c r="C840" s="17"/>
      <c r="D840" s="17"/>
      <c r="E840" s="17"/>
      <c r="F840" s="18"/>
      <c r="G840" s="19">
        <v>632</v>
      </c>
      <c r="H840" s="17" t="s">
        <v>131</v>
      </c>
      <c r="I840" s="20">
        <f>44140-4500-200</f>
        <v>39440</v>
      </c>
      <c r="J840" s="20">
        <v>35887</v>
      </c>
      <c r="K840" s="397">
        <f t="shared" si="130"/>
        <v>90.991379310344826</v>
      </c>
      <c r="L840" s="20"/>
      <c r="M840" s="20"/>
      <c r="N840" s="20"/>
      <c r="O840" s="397"/>
      <c r="P840" s="20"/>
      <c r="Q840" s="21">
        <f t="shared" si="126"/>
        <v>39440</v>
      </c>
      <c r="R840" s="21">
        <f t="shared" si="127"/>
        <v>35887</v>
      </c>
      <c r="S840" s="448">
        <f t="shared" si="128"/>
        <v>90.991379310344826</v>
      </c>
    </row>
    <row r="841" spans="2:19" x14ac:dyDescent="0.2">
      <c r="B841" s="6">
        <f t="shared" si="129"/>
        <v>339</v>
      </c>
      <c r="C841" s="17"/>
      <c r="D841" s="17"/>
      <c r="E841" s="17"/>
      <c r="F841" s="18"/>
      <c r="G841" s="19">
        <v>633</v>
      </c>
      <c r="H841" s="17" t="s">
        <v>122</v>
      </c>
      <c r="I841" s="20">
        <f>5100+15468</f>
        <v>20568</v>
      </c>
      <c r="J841" s="20">
        <v>19891</v>
      </c>
      <c r="K841" s="397">
        <f t="shared" si="130"/>
        <v>96.708479190976277</v>
      </c>
      <c r="L841" s="20"/>
      <c r="M841" s="20"/>
      <c r="N841" s="20"/>
      <c r="O841" s="397"/>
      <c r="P841" s="20"/>
      <c r="Q841" s="21">
        <f t="shared" si="126"/>
        <v>20568</v>
      </c>
      <c r="R841" s="21">
        <f t="shared" si="127"/>
        <v>19891</v>
      </c>
      <c r="S841" s="448">
        <f t="shared" si="128"/>
        <v>96.708479190976277</v>
      </c>
    </row>
    <row r="842" spans="2:19" x14ac:dyDescent="0.2">
      <c r="B842" s="6">
        <f t="shared" si="129"/>
        <v>340</v>
      </c>
      <c r="C842" s="17"/>
      <c r="D842" s="17"/>
      <c r="E842" s="17"/>
      <c r="F842" s="18"/>
      <c r="G842" s="19">
        <v>634</v>
      </c>
      <c r="H842" s="17" t="s">
        <v>129</v>
      </c>
      <c r="I842" s="20">
        <v>1500</v>
      </c>
      <c r="J842" s="20">
        <v>1060</v>
      </c>
      <c r="K842" s="397">
        <f t="shared" si="130"/>
        <v>70.666666666666671</v>
      </c>
      <c r="L842" s="20"/>
      <c r="M842" s="20"/>
      <c r="N842" s="20"/>
      <c r="O842" s="397"/>
      <c r="P842" s="20"/>
      <c r="Q842" s="21">
        <f t="shared" si="126"/>
        <v>1500</v>
      </c>
      <c r="R842" s="21">
        <f t="shared" si="127"/>
        <v>1060</v>
      </c>
      <c r="S842" s="448">
        <f t="shared" si="128"/>
        <v>70.666666666666671</v>
      </c>
    </row>
    <row r="843" spans="2:19" x14ac:dyDescent="0.2">
      <c r="B843" s="6">
        <f t="shared" si="129"/>
        <v>341</v>
      </c>
      <c r="C843" s="17"/>
      <c r="D843" s="17"/>
      <c r="E843" s="17"/>
      <c r="F843" s="18"/>
      <c r="G843" s="19">
        <v>635</v>
      </c>
      <c r="H843" s="17" t="s">
        <v>130</v>
      </c>
      <c r="I843" s="20">
        <f>1300+2871+1010+200</f>
        <v>5381</v>
      </c>
      <c r="J843" s="20">
        <v>5381</v>
      </c>
      <c r="K843" s="397">
        <f t="shared" si="130"/>
        <v>100</v>
      </c>
      <c r="L843" s="20"/>
      <c r="M843" s="20"/>
      <c r="N843" s="20"/>
      <c r="O843" s="397"/>
      <c r="P843" s="20"/>
      <c r="Q843" s="21">
        <f t="shared" si="126"/>
        <v>5381</v>
      </c>
      <c r="R843" s="21">
        <f t="shared" si="127"/>
        <v>5381</v>
      </c>
      <c r="S843" s="448">
        <f t="shared" si="128"/>
        <v>100</v>
      </c>
    </row>
    <row r="844" spans="2:19" x14ac:dyDescent="0.2">
      <c r="B844" s="6">
        <f t="shared" si="129"/>
        <v>342</v>
      </c>
      <c r="C844" s="17"/>
      <c r="D844" s="17"/>
      <c r="E844" s="17"/>
      <c r="F844" s="18"/>
      <c r="G844" s="19">
        <v>637</v>
      </c>
      <c r="H844" s="17" t="s">
        <v>119</v>
      </c>
      <c r="I844" s="20">
        <f>17450-2950+8681</f>
        <v>23181</v>
      </c>
      <c r="J844" s="20">
        <v>23180</v>
      </c>
      <c r="K844" s="397">
        <f t="shared" si="130"/>
        <v>99.995686122255307</v>
      </c>
      <c r="L844" s="20"/>
      <c r="M844" s="20"/>
      <c r="N844" s="20"/>
      <c r="O844" s="397"/>
      <c r="P844" s="20"/>
      <c r="Q844" s="21">
        <f t="shared" si="126"/>
        <v>23181</v>
      </c>
      <c r="R844" s="21">
        <f t="shared" si="127"/>
        <v>23180</v>
      </c>
      <c r="S844" s="448">
        <f t="shared" si="128"/>
        <v>99.995686122255307</v>
      </c>
    </row>
    <row r="845" spans="2:19" x14ac:dyDescent="0.2">
      <c r="B845" s="6">
        <f t="shared" si="129"/>
        <v>343</v>
      </c>
      <c r="C845" s="12"/>
      <c r="D845" s="12"/>
      <c r="E845" s="12"/>
      <c r="F845" s="13" t="s">
        <v>116</v>
      </c>
      <c r="G845" s="14">
        <v>640</v>
      </c>
      <c r="H845" s="12" t="s">
        <v>126</v>
      </c>
      <c r="I845" s="15">
        <f>8900+630-7148-19</f>
        <v>2363</v>
      </c>
      <c r="J845" s="15">
        <v>2363</v>
      </c>
      <c r="K845" s="397">
        <f t="shared" si="130"/>
        <v>100</v>
      </c>
      <c r="L845" s="15"/>
      <c r="M845" s="15"/>
      <c r="N845" s="15"/>
      <c r="O845" s="397"/>
      <c r="P845" s="15"/>
      <c r="Q845" s="16">
        <f t="shared" si="126"/>
        <v>2363</v>
      </c>
      <c r="R845" s="16">
        <f t="shared" si="127"/>
        <v>2363</v>
      </c>
      <c r="S845" s="448">
        <f t="shared" si="128"/>
        <v>100</v>
      </c>
    </row>
    <row r="846" spans="2:19" x14ac:dyDescent="0.2">
      <c r="B846" s="6">
        <f t="shared" si="129"/>
        <v>344</v>
      </c>
      <c r="C846" s="12"/>
      <c r="D846" s="12"/>
      <c r="E846" s="12"/>
      <c r="F846" s="13" t="s">
        <v>105</v>
      </c>
      <c r="G846" s="14">
        <v>610</v>
      </c>
      <c r="H846" s="12" t="s">
        <v>128</v>
      </c>
      <c r="I846" s="15">
        <f>656533+259-36994+37965+9071+530</f>
        <v>667364</v>
      </c>
      <c r="J846" s="15">
        <v>667107</v>
      </c>
      <c r="K846" s="397">
        <f t="shared" si="130"/>
        <v>99.961490281165894</v>
      </c>
      <c r="L846" s="15"/>
      <c r="M846" s="15"/>
      <c r="N846" s="15"/>
      <c r="O846" s="397"/>
      <c r="P846" s="15"/>
      <c r="Q846" s="16">
        <f t="shared" si="126"/>
        <v>667364</v>
      </c>
      <c r="R846" s="16">
        <f t="shared" si="127"/>
        <v>667107</v>
      </c>
      <c r="S846" s="448">
        <f t="shared" si="128"/>
        <v>99.961490281165894</v>
      </c>
    </row>
    <row r="847" spans="2:19" x14ac:dyDescent="0.2">
      <c r="B847" s="6">
        <f t="shared" si="129"/>
        <v>345</v>
      </c>
      <c r="C847" s="12"/>
      <c r="D847" s="12"/>
      <c r="E847" s="12"/>
      <c r="F847" s="13" t="s">
        <v>105</v>
      </c>
      <c r="G847" s="14">
        <v>620</v>
      </c>
      <c r="H847" s="12" t="s">
        <v>121</v>
      </c>
      <c r="I847" s="15">
        <f>250234+91-18362+141+13480+6715-1087</f>
        <v>251212</v>
      </c>
      <c r="J847" s="15">
        <v>251118</v>
      </c>
      <c r="K847" s="397">
        <f t="shared" si="130"/>
        <v>99.962581405346867</v>
      </c>
      <c r="L847" s="15"/>
      <c r="M847" s="15"/>
      <c r="N847" s="15"/>
      <c r="O847" s="397"/>
      <c r="P847" s="15"/>
      <c r="Q847" s="16">
        <f t="shared" si="126"/>
        <v>251212</v>
      </c>
      <c r="R847" s="16">
        <f t="shared" si="127"/>
        <v>251118</v>
      </c>
      <c r="S847" s="448">
        <f t="shared" si="128"/>
        <v>99.962581405346867</v>
      </c>
    </row>
    <row r="848" spans="2:19" x14ac:dyDescent="0.2">
      <c r="B848" s="6">
        <f t="shared" si="129"/>
        <v>346</v>
      </c>
      <c r="C848" s="12"/>
      <c r="D848" s="12"/>
      <c r="E848" s="12"/>
      <c r="F848" s="13" t="s">
        <v>105</v>
      </c>
      <c r="G848" s="14">
        <v>630</v>
      </c>
      <c r="H848" s="12" t="s">
        <v>118</v>
      </c>
      <c r="I848" s="15">
        <f>SUM(I849:I854)</f>
        <v>148820</v>
      </c>
      <c r="J848" s="15">
        <f>SUM(J849:J854)</f>
        <v>112978</v>
      </c>
      <c r="K848" s="397">
        <f t="shared" si="130"/>
        <v>75.915871522644807</v>
      </c>
      <c r="L848" s="15"/>
      <c r="M848" s="15"/>
      <c r="N848" s="15"/>
      <c r="O848" s="397"/>
      <c r="P848" s="15"/>
      <c r="Q848" s="16">
        <f t="shared" si="126"/>
        <v>148820</v>
      </c>
      <c r="R848" s="16">
        <f t="shared" si="127"/>
        <v>112978</v>
      </c>
      <c r="S848" s="448">
        <f t="shared" si="128"/>
        <v>75.915871522644807</v>
      </c>
    </row>
    <row r="849" spans="2:19" x14ac:dyDescent="0.2">
      <c r="B849" s="6">
        <f t="shared" si="129"/>
        <v>347</v>
      </c>
      <c r="C849" s="17"/>
      <c r="D849" s="17"/>
      <c r="E849" s="17"/>
      <c r="F849" s="18"/>
      <c r="G849" s="19">
        <v>631</v>
      </c>
      <c r="H849" s="17" t="s">
        <v>124</v>
      </c>
      <c r="I849" s="20">
        <v>100</v>
      </c>
      <c r="J849" s="20">
        <v>82</v>
      </c>
      <c r="K849" s="397">
        <f t="shared" si="130"/>
        <v>82</v>
      </c>
      <c r="L849" s="20"/>
      <c r="M849" s="20"/>
      <c r="N849" s="20"/>
      <c r="O849" s="397"/>
      <c r="P849" s="20"/>
      <c r="Q849" s="21">
        <f t="shared" si="126"/>
        <v>100</v>
      </c>
      <c r="R849" s="21">
        <f t="shared" si="127"/>
        <v>82</v>
      </c>
      <c r="S849" s="448">
        <f t="shared" si="128"/>
        <v>82</v>
      </c>
    </row>
    <row r="850" spans="2:19" x14ac:dyDescent="0.2">
      <c r="B850" s="6">
        <f t="shared" si="129"/>
        <v>348</v>
      </c>
      <c r="C850" s="17"/>
      <c r="D850" s="17"/>
      <c r="E850" s="17"/>
      <c r="F850" s="18"/>
      <c r="G850" s="19">
        <v>632</v>
      </c>
      <c r="H850" s="17" t="s">
        <v>131</v>
      </c>
      <c r="I850" s="20">
        <f>49140-4500+43-1550+22126</f>
        <v>65259</v>
      </c>
      <c r="J850" s="20">
        <v>36805</v>
      </c>
      <c r="K850" s="397">
        <f t="shared" si="130"/>
        <v>56.398351185277129</v>
      </c>
      <c r="L850" s="20"/>
      <c r="M850" s="20"/>
      <c r="N850" s="20"/>
      <c r="O850" s="397"/>
      <c r="P850" s="20"/>
      <c r="Q850" s="21">
        <f t="shared" si="126"/>
        <v>65259</v>
      </c>
      <c r="R850" s="21">
        <f t="shared" si="127"/>
        <v>36805</v>
      </c>
      <c r="S850" s="448">
        <f t="shared" si="128"/>
        <v>56.398351185277129</v>
      </c>
    </row>
    <row r="851" spans="2:19" x14ac:dyDescent="0.2">
      <c r="B851" s="6">
        <f t="shared" si="129"/>
        <v>349</v>
      </c>
      <c r="C851" s="17"/>
      <c r="D851" s="17"/>
      <c r="E851" s="17"/>
      <c r="F851" s="18"/>
      <c r="G851" s="19">
        <v>633</v>
      </c>
      <c r="H851" s="17" t="s">
        <v>122</v>
      </c>
      <c r="I851" s="20">
        <f>16300+1000-1000+13811+481</f>
        <v>30592</v>
      </c>
      <c r="J851" s="20">
        <v>26368</v>
      </c>
      <c r="K851" s="397">
        <f t="shared" si="130"/>
        <v>86.192468619246867</v>
      </c>
      <c r="L851" s="20"/>
      <c r="M851" s="20"/>
      <c r="N851" s="20"/>
      <c r="O851" s="397"/>
      <c r="P851" s="20"/>
      <c r="Q851" s="21">
        <f t="shared" si="126"/>
        <v>30592</v>
      </c>
      <c r="R851" s="21">
        <f t="shared" si="127"/>
        <v>26368</v>
      </c>
      <c r="S851" s="448">
        <f t="shared" si="128"/>
        <v>86.192468619246867</v>
      </c>
    </row>
    <row r="852" spans="2:19" x14ac:dyDescent="0.2">
      <c r="B852" s="6">
        <f t="shared" si="129"/>
        <v>350</v>
      </c>
      <c r="C852" s="17"/>
      <c r="D852" s="17"/>
      <c r="E852" s="17"/>
      <c r="F852" s="18"/>
      <c r="G852" s="19">
        <v>634</v>
      </c>
      <c r="H852" s="17" t="s">
        <v>129</v>
      </c>
      <c r="I852" s="20">
        <v>100</v>
      </c>
      <c r="J852" s="20">
        <v>92</v>
      </c>
      <c r="K852" s="397">
        <f t="shared" si="130"/>
        <v>92</v>
      </c>
      <c r="L852" s="20"/>
      <c r="M852" s="20"/>
      <c r="N852" s="20"/>
      <c r="O852" s="397"/>
      <c r="P852" s="20"/>
      <c r="Q852" s="21">
        <f t="shared" si="126"/>
        <v>100</v>
      </c>
      <c r="R852" s="21">
        <f t="shared" si="127"/>
        <v>92</v>
      </c>
      <c r="S852" s="448">
        <f t="shared" si="128"/>
        <v>92</v>
      </c>
    </row>
    <row r="853" spans="2:19" x14ac:dyDescent="0.2">
      <c r="B853" s="6">
        <f t="shared" si="129"/>
        <v>351</v>
      </c>
      <c r="C853" s="17"/>
      <c r="D853" s="17"/>
      <c r="E853" s="17"/>
      <c r="F853" s="18"/>
      <c r="G853" s="19">
        <v>635</v>
      </c>
      <c r="H853" s="17" t="s">
        <v>130</v>
      </c>
      <c r="I853" s="20">
        <f>1300+11260+500</f>
        <v>13060</v>
      </c>
      <c r="J853" s="20">
        <v>13059</v>
      </c>
      <c r="K853" s="397">
        <f t="shared" si="130"/>
        <v>99.992343032159269</v>
      </c>
      <c r="L853" s="20"/>
      <c r="M853" s="20"/>
      <c r="N853" s="20"/>
      <c r="O853" s="397"/>
      <c r="P853" s="20"/>
      <c r="Q853" s="21">
        <f t="shared" si="126"/>
        <v>13060</v>
      </c>
      <c r="R853" s="21">
        <f t="shared" si="127"/>
        <v>13059</v>
      </c>
      <c r="S853" s="448">
        <f t="shared" si="128"/>
        <v>99.992343032159269</v>
      </c>
    </row>
    <row r="854" spans="2:19" x14ac:dyDescent="0.2">
      <c r="B854" s="6">
        <f t="shared" si="129"/>
        <v>352</v>
      </c>
      <c r="C854" s="17"/>
      <c r="D854" s="17"/>
      <c r="E854" s="17"/>
      <c r="F854" s="18"/>
      <c r="G854" s="19">
        <v>637</v>
      </c>
      <c r="H854" s="17" t="s">
        <v>119</v>
      </c>
      <c r="I854" s="20">
        <f>28410-2847+859+11842+1000+445</f>
        <v>39709</v>
      </c>
      <c r="J854" s="20">
        <v>36572</v>
      </c>
      <c r="K854" s="397">
        <f t="shared" si="130"/>
        <v>92.100027701528617</v>
      </c>
      <c r="L854" s="20"/>
      <c r="M854" s="20"/>
      <c r="N854" s="20"/>
      <c r="O854" s="397"/>
      <c r="P854" s="20"/>
      <c r="Q854" s="21">
        <f t="shared" si="126"/>
        <v>39709</v>
      </c>
      <c r="R854" s="21">
        <f t="shared" si="127"/>
        <v>36572</v>
      </c>
      <c r="S854" s="448">
        <f t="shared" si="128"/>
        <v>92.100027701528617</v>
      </c>
    </row>
    <row r="855" spans="2:19" x14ac:dyDescent="0.2">
      <c r="B855" s="6">
        <f t="shared" si="129"/>
        <v>353</v>
      </c>
      <c r="C855" s="12"/>
      <c r="D855" s="12"/>
      <c r="E855" s="12"/>
      <c r="F855" s="13" t="s">
        <v>105</v>
      </c>
      <c r="G855" s="14">
        <v>640</v>
      </c>
      <c r="H855" s="12" t="s">
        <v>126</v>
      </c>
      <c r="I855" s="15">
        <f>7110+401+126-4</f>
        <v>7633</v>
      </c>
      <c r="J855" s="15">
        <v>7633</v>
      </c>
      <c r="K855" s="397">
        <f t="shared" si="130"/>
        <v>100</v>
      </c>
      <c r="L855" s="15"/>
      <c r="M855" s="15"/>
      <c r="N855" s="15"/>
      <c r="O855" s="397"/>
      <c r="P855" s="15"/>
      <c r="Q855" s="16">
        <f t="shared" si="126"/>
        <v>7633</v>
      </c>
      <c r="R855" s="16">
        <f t="shared" si="127"/>
        <v>7633</v>
      </c>
      <c r="S855" s="448">
        <f t="shared" si="128"/>
        <v>100</v>
      </c>
    </row>
    <row r="856" spans="2:19" x14ac:dyDescent="0.2">
      <c r="B856" s="6">
        <f t="shared" si="129"/>
        <v>354</v>
      </c>
      <c r="C856" s="12"/>
      <c r="D856" s="12"/>
      <c r="E856" s="12"/>
      <c r="F856" s="13" t="s">
        <v>105</v>
      </c>
      <c r="G856" s="14">
        <v>630</v>
      </c>
      <c r="H856" s="12" t="s">
        <v>647</v>
      </c>
      <c r="I856" s="15">
        <v>34767</v>
      </c>
      <c r="J856" s="15">
        <v>34768</v>
      </c>
      <c r="K856" s="397">
        <f t="shared" si="130"/>
        <v>100.00287629073547</v>
      </c>
      <c r="L856" s="15"/>
      <c r="M856" s="15"/>
      <c r="N856" s="15"/>
      <c r="O856" s="397"/>
      <c r="P856" s="15"/>
      <c r="Q856" s="16">
        <f t="shared" si="126"/>
        <v>34767</v>
      </c>
      <c r="R856" s="16">
        <f t="shared" si="127"/>
        <v>34768</v>
      </c>
      <c r="S856" s="448">
        <f t="shared" si="128"/>
        <v>100.00287629073547</v>
      </c>
    </row>
    <row r="857" spans="2:19" x14ac:dyDescent="0.2">
      <c r="B857" s="6">
        <f t="shared" si="129"/>
        <v>355</v>
      </c>
      <c r="C857" s="12"/>
      <c r="D857" s="12"/>
      <c r="E857" s="12"/>
      <c r="F857" s="13" t="s">
        <v>105</v>
      </c>
      <c r="G857" s="14">
        <v>710</v>
      </c>
      <c r="H857" s="12" t="s">
        <v>172</v>
      </c>
      <c r="I857" s="15"/>
      <c r="J857" s="15"/>
      <c r="K857" s="397"/>
      <c r="L857" s="15"/>
      <c r="M857" s="15">
        <f>M858+M861</f>
        <v>201936</v>
      </c>
      <c r="N857" s="15">
        <f>N858+N861</f>
        <v>34888</v>
      </c>
      <c r="O857" s="397">
        <f t="shared" ref="O857:O863" si="131">N857/M857*100</f>
        <v>17.276760953965614</v>
      </c>
      <c r="P857" s="15"/>
      <c r="Q857" s="16">
        <f t="shared" si="126"/>
        <v>201936</v>
      </c>
      <c r="R857" s="16">
        <f t="shared" si="127"/>
        <v>34888</v>
      </c>
      <c r="S857" s="448">
        <f t="shared" si="128"/>
        <v>17.276760953965614</v>
      </c>
    </row>
    <row r="858" spans="2:19" x14ac:dyDescent="0.2">
      <c r="B858" s="6">
        <f t="shared" si="129"/>
        <v>356</v>
      </c>
      <c r="C858" s="12"/>
      <c r="D858" s="12"/>
      <c r="E858" s="12"/>
      <c r="F858" s="18"/>
      <c r="G858" s="19">
        <v>716</v>
      </c>
      <c r="H858" s="17" t="s">
        <v>213</v>
      </c>
      <c r="I858" s="20"/>
      <c r="J858" s="20"/>
      <c r="K858" s="397"/>
      <c r="L858" s="20"/>
      <c r="M858" s="20">
        <f>M859+M860</f>
        <v>25900</v>
      </c>
      <c r="N858" s="20">
        <f>N859+N860</f>
        <v>25540</v>
      </c>
      <c r="O858" s="397">
        <f t="shared" si="131"/>
        <v>98.610038610038615</v>
      </c>
      <c r="P858" s="20"/>
      <c r="Q858" s="21">
        <f t="shared" si="126"/>
        <v>25900</v>
      </c>
      <c r="R858" s="21">
        <f t="shared" si="127"/>
        <v>25540</v>
      </c>
      <c r="S858" s="448">
        <f t="shared" si="128"/>
        <v>98.610038610038615</v>
      </c>
    </row>
    <row r="859" spans="2:19" x14ac:dyDescent="0.2">
      <c r="B859" s="6">
        <f t="shared" si="129"/>
        <v>357</v>
      </c>
      <c r="C859" s="111"/>
      <c r="D859" s="111"/>
      <c r="E859" s="111"/>
      <c r="F859" s="101"/>
      <c r="G859" s="23"/>
      <c r="H859" s="1" t="s">
        <v>459</v>
      </c>
      <c r="I859" s="24"/>
      <c r="J859" s="24"/>
      <c r="K859" s="397"/>
      <c r="L859" s="24"/>
      <c r="M859" s="24">
        <f>98536-98536+22500</f>
        <v>22500</v>
      </c>
      <c r="N859" s="24">
        <v>22140</v>
      </c>
      <c r="O859" s="397">
        <f t="shared" si="131"/>
        <v>98.4</v>
      </c>
      <c r="P859" s="24"/>
      <c r="Q859" s="26">
        <f t="shared" si="126"/>
        <v>22500</v>
      </c>
      <c r="R859" s="26">
        <f t="shared" si="127"/>
        <v>22140</v>
      </c>
      <c r="S859" s="448">
        <f t="shared" si="128"/>
        <v>98.4</v>
      </c>
    </row>
    <row r="860" spans="2:19" x14ac:dyDescent="0.2">
      <c r="B860" s="6">
        <f t="shared" si="129"/>
        <v>358</v>
      </c>
      <c r="C860" s="111"/>
      <c r="D860" s="111"/>
      <c r="E860" s="111"/>
      <c r="F860" s="101"/>
      <c r="G860" s="23"/>
      <c r="H860" s="1" t="s">
        <v>715</v>
      </c>
      <c r="I860" s="24"/>
      <c r="J860" s="24"/>
      <c r="K860" s="397"/>
      <c r="L860" s="24"/>
      <c r="M860" s="24">
        <v>3400</v>
      </c>
      <c r="N860" s="24">
        <v>3400</v>
      </c>
      <c r="O860" s="397">
        <f t="shared" si="131"/>
        <v>100</v>
      </c>
      <c r="P860" s="24"/>
      <c r="Q860" s="26">
        <f t="shared" si="126"/>
        <v>3400</v>
      </c>
      <c r="R860" s="26">
        <f t="shared" si="127"/>
        <v>3400</v>
      </c>
      <c r="S860" s="448">
        <f t="shared" si="128"/>
        <v>100</v>
      </c>
    </row>
    <row r="861" spans="2:19" x14ac:dyDescent="0.2">
      <c r="B861" s="6">
        <f t="shared" si="129"/>
        <v>359</v>
      </c>
      <c r="C861" s="17"/>
      <c r="D861" s="17"/>
      <c r="E861" s="17"/>
      <c r="F861" s="18"/>
      <c r="G861" s="19">
        <v>717</v>
      </c>
      <c r="H861" s="17" t="s">
        <v>179</v>
      </c>
      <c r="I861" s="20"/>
      <c r="J861" s="20"/>
      <c r="K861" s="397"/>
      <c r="L861" s="20"/>
      <c r="M861" s="20">
        <f>M862</f>
        <v>176036</v>
      </c>
      <c r="N861" s="20">
        <f>N862</f>
        <v>9348</v>
      </c>
      <c r="O861" s="397">
        <f t="shared" si="131"/>
        <v>5.3102774432502446</v>
      </c>
      <c r="P861" s="20"/>
      <c r="Q861" s="21">
        <f t="shared" si="126"/>
        <v>176036</v>
      </c>
      <c r="R861" s="21">
        <f t="shared" si="127"/>
        <v>9348</v>
      </c>
      <c r="S861" s="448">
        <f t="shared" si="128"/>
        <v>5.3102774432502446</v>
      </c>
    </row>
    <row r="862" spans="2:19" x14ac:dyDescent="0.2">
      <c r="B862" s="6">
        <f t="shared" si="129"/>
        <v>360</v>
      </c>
      <c r="C862" s="1"/>
      <c r="D862" s="1"/>
      <c r="E862" s="1"/>
      <c r="F862" s="101"/>
      <c r="G862" s="23"/>
      <c r="H862" s="1" t="s">
        <v>608</v>
      </c>
      <c r="I862" s="24"/>
      <c r="J862" s="24"/>
      <c r="K862" s="397"/>
      <c r="L862" s="24"/>
      <c r="M862" s="24">
        <f>100000+98536-22500</f>
        <v>176036</v>
      </c>
      <c r="N862" s="24">
        <v>9348</v>
      </c>
      <c r="O862" s="397">
        <f t="shared" si="131"/>
        <v>5.3102774432502446</v>
      </c>
      <c r="P862" s="24"/>
      <c r="Q862" s="26">
        <f t="shared" si="126"/>
        <v>176036</v>
      </c>
      <c r="R862" s="26">
        <f t="shared" si="127"/>
        <v>9348</v>
      </c>
      <c r="S862" s="448">
        <f t="shared" si="128"/>
        <v>5.3102774432502446</v>
      </c>
    </row>
    <row r="863" spans="2:19" ht="15" x14ac:dyDescent="0.25">
      <c r="B863" s="6">
        <f t="shared" si="129"/>
        <v>361</v>
      </c>
      <c r="C863" s="97"/>
      <c r="D863" s="97"/>
      <c r="E863" s="97">
        <v>11</v>
      </c>
      <c r="F863" s="98"/>
      <c r="G863" s="98"/>
      <c r="H863" s="97" t="s">
        <v>7</v>
      </c>
      <c r="I863" s="99">
        <f>I864+I865+I866+I873+I875+I874+I876+I884+I886+I885</f>
        <v>3019380</v>
      </c>
      <c r="J863" s="99">
        <f>J864+J865+J866+J873+J875+J874+J876+J884+J886+J885</f>
        <v>2960685</v>
      </c>
      <c r="K863" s="414">
        <f t="shared" ref="K863:K886" si="132">J863/I863*100</f>
        <v>98.05605786618446</v>
      </c>
      <c r="L863" s="313"/>
      <c r="M863" s="99">
        <f>M887</f>
        <v>84634</v>
      </c>
      <c r="N863" s="99">
        <f>N887</f>
        <v>84523</v>
      </c>
      <c r="O863" s="414">
        <f t="shared" si="131"/>
        <v>99.868847035470381</v>
      </c>
      <c r="P863" s="313"/>
      <c r="Q863" s="100">
        <f t="shared" si="126"/>
        <v>3104014</v>
      </c>
      <c r="R863" s="100">
        <f t="shared" si="127"/>
        <v>3045208</v>
      </c>
      <c r="S863" s="464">
        <f t="shared" si="128"/>
        <v>98.105485348970717</v>
      </c>
    </row>
    <row r="864" spans="2:19" x14ac:dyDescent="0.2">
      <c r="B864" s="6">
        <f t="shared" si="129"/>
        <v>362</v>
      </c>
      <c r="C864" s="12"/>
      <c r="D864" s="12"/>
      <c r="E864" s="12"/>
      <c r="F864" s="13" t="s">
        <v>116</v>
      </c>
      <c r="G864" s="14">
        <v>610</v>
      </c>
      <c r="H864" s="12" t="s">
        <v>128</v>
      </c>
      <c r="I864" s="15">
        <f>501500+45400-8257</f>
        <v>538643</v>
      </c>
      <c r="J864" s="15">
        <v>538643</v>
      </c>
      <c r="K864" s="397">
        <f t="shared" si="132"/>
        <v>100</v>
      </c>
      <c r="L864" s="15"/>
      <c r="M864" s="15"/>
      <c r="N864" s="15"/>
      <c r="O864" s="397"/>
      <c r="P864" s="15"/>
      <c r="Q864" s="16">
        <f t="shared" si="126"/>
        <v>538643</v>
      </c>
      <c r="R864" s="16">
        <f t="shared" si="127"/>
        <v>538643</v>
      </c>
      <c r="S864" s="448">
        <f t="shared" si="128"/>
        <v>100</v>
      </c>
    </row>
    <row r="865" spans="2:19" x14ac:dyDescent="0.2">
      <c r="B865" s="6">
        <f t="shared" si="129"/>
        <v>363</v>
      </c>
      <c r="C865" s="12"/>
      <c r="D865" s="12"/>
      <c r="E865" s="12"/>
      <c r="F865" s="13" t="s">
        <v>116</v>
      </c>
      <c r="G865" s="14">
        <v>620</v>
      </c>
      <c r="H865" s="12" t="s">
        <v>121</v>
      </c>
      <c r="I865" s="15">
        <f>195636+1089+4634</f>
        <v>201359</v>
      </c>
      <c r="J865" s="15">
        <v>201359</v>
      </c>
      <c r="K865" s="397">
        <f t="shared" si="132"/>
        <v>100</v>
      </c>
      <c r="L865" s="15"/>
      <c r="M865" s="15"/>
      <c r="N865" s="15"/>
      <c r="O865" s="397"/>
      <c r="P865" s="15"/>
      <c r="Q865" s="16">
        <f t="shared" si="126"/>
        <v>201359</v>
      </c>
      <c r="R865" s="16">
        <f t="shared" si="127"/>
        <v>201359</v>
      </c>
      <c r="S865" s="448">
        <f t="shared" si="128"/>
        <v>100</v>
      </c>
    </row>
    <row r="866" spans="2:19" x14ac:dyDescent="0.2">
      <c r="B866" s="6">
        <f t="shared" si="129"/>
        <v>364</v>
      </c>
      <c r="C866" s="12"/>
      <c r="D866" s="12"/>
      <c r="E866" s="12"/>
      <c r="F866" s="13" t="s">
        <v>116</v>
      </c>
      <c r="G866" s="14">
        <v>630</v>
      </c>
      <c r="H866" s="12" t="s">
        <v>118</v>
      </c>
      <c r="I866" s="15">
        <f>SUM(I867:I872)</f>
        <v>99875</v>
      </c>
      <c r="J866" s="15">
        <f>SUM(J867:J872)</f>
        <v>99208</v>
      </c>
      <c r="K866" s="397">
        <f t="shared" si="132"/>
        <v>99.332165206508137</v>
      </c>
      <c r="L866" s="15"/>
      <c r="M866" s="15"/>
      <c r="N866" s="15"/>
      <c r="O866" s="397"/>
      <c r="P866" s="15"/>
      <c r="Q866" s="16">
        <f t="shared" si="126"/>
        <v>99875</v>
      </c>
      <c r="R866" s="16">
        <f t="shared" si="127"/>
        <v>99208</v>
      </c>
      <c r="S866" s="448">
        <f t="shared" si="128"/>
        <v>99.332165206508137</v>
      </c>
    </row>
    <row r="867" spans="2:19" x14ac:dyDescent="0.2">
      <c r="B867" s="6">
        <f t="shared" si="129"/>
        <v>365</v>
      </c>
      <c r="C867" s="17"/>
      <c r="D867" s="17"/>
      <c r="E867" s="17"/>
      <c r="F867" s="18"/>
      <c r="G867" s="19">
        <v>631</v>
      </c>
      <c r="H867" s="17" t="s">
        <v>124</v>
      </c>
      <c r="I867" s="20">
        <v>100</v>
      </c>
      <c r="J867" s="20">
        <v>10</v>
      </c>
      <c r="K867" s="397">
        <f t="shared" si="132"/>
        <v>10</v>
      </c>
      <c r="L867" s="20"/>
      <c r="M867" s="20"/>
      <c r="N867" s="20"/>
      <c r="O867" s="397"/>
      <c r="P867" s="20"/>
      <c r="Q867" s="21">
        <f t="shared" si="126"/>
        <v>100</v>
      </c>
      <c r="R867" s="21">
        <f t="shared" si="127"/>
        <v>10</v>
      </c>
      <c r="S867" s="448">
        <f t="shared" si="128"/>
        <v>10</v>
      </c>
    </row>
    <row r="868" spans="2:19" x14ac:dyDescent="0.2">
      <c r="B868" s="6">
        <f t="shared" si="129"/>
        <v>366</v>
      </c>
      <c r="C868" s="17"/>
      <c r="D868" s="17"/>
      <c r="E868" s="17"/>
      <c r="F868" s="18"/>
      <c r="G868" s="19">
        <v>632</v>
      </c>
      <c r="H868" s="17" t="s">
        <v>131</v>
      </c>
      <c r="I868" s="20">
        <f>25888-18388</f>
        <v>7500</v>
      </c>
      <c r="J868" s="20">
        <v>7500</v>
      </c>
      <c r="K868" s="397">
        <f t="shared" si="132"/>
        <v>100</v>
      </c>
      <c r="L868" s="20"/>
      <c r="M868" s="20"/>
      <c r="N868" s="20"/>
      <c r="O868" s="397"/>
      <c r="P868" s="20"/>
      <c r="Q868" s="21">
        <f t="shared" si="126"/>
        <v>7500</v>
      </c>
      <c r="R868" s="21">
        <f t="shared" si="127"/>
        <v>7500</v>
      </c>
      <c r="S868" s="448">
        <f t="shared" si="128"/>
        <v>100</v>
      </c>
    </row>
    <row r="869" spans="2:19" x14ac:dyDescent="0.2">
      <c r="B869" s="6">
        <f t="shared" si="129"/>
        <v>367</v>
      </c>
      <c r="C869" s="17"/>
      <c r="D869" s="17"/>
      <c r="E869" s="17"/>
      <c r="F869" s="18"/>
      <c r="G869" s="19">
        <v>633</v>
      </c>
      <c r="H869" s="17" t="s">
        <v>122</v>
      </c>
      <c r="I869" s="20">
        <f>24165-5200+15335</f>
        <v>34300</v>
      </c>
      <c r="J869" s="20">
        <v>33726</v>
      </c>
      <c r="K869" s="397">
        <f t="shared" si="132"/>
        <v>98.326530612244895</v>
      </c>
      <c r="L869" s="20"/>
      <c r="M869" s="20"/>
      <c r="N869" s="20"/>
      <c r="O869" s="397"/>
      <c r="P869" s="20"/>
      <c r="Q869" s="21">
        <f t="shared" si="126"/>
        <v>34300</v>
      </c>
      <c r="R869" s="21">
        <f t="shared" si="127"/>
        <v>33726</v>
      </c>
      <c r="S869" s="448">
        <f t="shared" si="128"/>
        <v>98.326530612244895</v>
      </c>
    </row>
    <row r="870" spans="2:19" x14ac:dyDescent="0.2">
      <c r="B870" s="6">
        <f t="shared" si="129"/>
        <v>368</v>
      </c>
      <c r="C870" s="17"/>
      <c r="D870" s="17"/>
      <c r="E870" s="17"/>
      <c r="F870" s="18"/>
      <c r="G870" s="19">
        <v>635</v>
      </c>
      <c r="H870" s="17" t="s">
        <v>130</v>
      </c>
      <c r="I870" s="20">
        <f>11570+2430+8407</f>
        <v>22407</v>
      </c>
      <c r="J870" s="20">
        <v>22405</v>
      </c>
      <c r="K870" s="397">
        <f t="shared" si="132"/>
        <v>99.991074217878335</v>
      </c>
      <c r="L870" s="20"/>
      <c r="M870" s="20"/>
      <c r="N870" s="20"/>
      <c r="O870" s="397"/>
      <c r="P870" s="20"/>
      <c r="Q870" s="21">
        <f t="shared" si="126"/>
        <v>22407</v>
      </c>
      <c r="R870" s="21">
        <f t="shared" si="127"/>
        <v>22405</v>
      </c>
      <c r="S870" s="448">
        <f t="shared" si="128"/>
        <v>99.991074217878335</v>
      </c>
    </row>
    <row r="871" spans="2:19" x14ac:dyDescent="0.2">
      <c r="B871" s="6">
        <f t="shared" si="129"/>
        <v>369</v>
      </c>
      <c r="C871" s="17"/>
      <c r="D871" s="17"/>
      <c r="E871" s="17"/>
      <c r="F871" s="18"/>
      <c r="G871" s="19">
        <v>636</v>
      </c>
      <c r="H871" s="17" t="s">
        <v>123</v>
      </c>
      <c r="I871" s="20">
        <f>1700+400+248</f>
        <v>2348</v>
      </c>
      <c r="J871" s="20">
        <v>2347</v>
      </c>
      <c r="K871" s="397">
        <f t="shared" si="132"/>
        <v>99.957410562180584</v>
      </c>
      <c r="L871" s="20"/>
      <c r="M871" s="20"/>
      <c r="N871" s="20"/>
      <c r="O871" s="397"/>
      <c r="P871" s="20"/>
      <c r="Q871" s="21">
        <f t="shared" si="126"/>
        <v>2348</v>
      </c>
      <c r="R871" s="21">
        <f t="shared" si="127"/>
        <v>2347</v>
      </c>
      <c r="S871" s="448">
        <f t="shared" si="128"/>
        <v>99.957410562180584</v>
      </c>
    </row>
    <row r="872" spans="2:19" x14ac:dyDescent="0.2">
      <c r="B872" s="6">
        <f t="shared" si="129"/>
        <v>370</v>
      </c>
      <c r="C872" s="17"/>
      <c r="D872" s="17"/>
      <c r="E872" s="17"/>
      <c r="F872" s="18"/>
      <c r="G872" s="19">
        <v>637</v>
      </c>
      <c r="H872" s="17" t="s">
        <v>119</v>
      </c>
      <c r="I872" s="20">
        <f>40429+1731-8940</f>
        <v>33220</v>
      </c>
      <c r="J872" s="20">
        <v>33220</v>
      </c>
      <c r="K872" s="397">
        <f t="shared" si="132"/>
        <v>100</v>
      </c>
      <c r="L872" s="20"/>
      <c r="M872" s="20"/>
      <c r="N872" s="20"/>
      <c r="O872" s="397"/>
      <c r="P872" s="20"/>
      <c r="Q872" s="21">
        <f t="shared" si="126"/>
        <v>33220</v>
      </c>
      <c r="R872" s="21">
        <f t="shared" si="127"/>
        <v>33220</v>
      </c>
      <c r="S872" s="448">
        <f t="shared" si="128"/>
        <v>100</v>
      </c>
    </row>
    <row r="873" spans="2:19" x14ac:dyDescent="0.2">
      <c r="B873" s="6">
        <f t="shared" si="129"/>
        <v>371</v>
      </c>
      <c r="C873" s="12"/>
      <c r="D873" s="12"/>
      <c r="E873" s="12"/>
      <c r="F873" s="13" t="s">
        <v>116</v>
      </c>
      <c r="G873" s="14">
        <v>640</v>
      </c>
      <c r="H873" s="12" t="s">
        <v>126</v>
      </c>
      <c r="I873" s="15">
        <f>8500+700-5200</f>
        <v>4000</v>
      </c>
      <c r="J873" s="15">
        <v>4000</v>
      </c>
      <c r="K873" s="397">
        <f t="shared" si="132"/>
        <v>100</v>
      </c>
      <c r="L873" s="15"/>
      <c r="M873" s="15"/>
      <c r="N873" s="15"/>
      <c r="O873" s="397"/>
      <c r="P873" s="15"/>
      <c r="Q873" s="16">
        <f t="shared" ref="Q873:Q936" si="133">I873+M873</f>
        <v>4000</v>
      </c>
      <c r="R873" s="16">
        <f t="shared" ref="R873:R936" si="134">J873+N873</f>
        <v>4000</v>
      </c>
      <c r="S873" s="448">
        <f t="shared" si="128"/>
        <v>100</v>
      </c>
    </row>
    <row r="874" spans="2:19" x14ac:dyDescent="0.2">
      <c r="B874" s="6">
        <f t="shared" si="129"/>
        <v>372</v>
      </c>
      <c r="C874" s="12"/>
      <c r="D874" s="12"/>
      <c r="E874" s="12"/>
      <c r="F874" s="13" t="s">
        <v>105</v>
      </c>
      <c r="G874" s="14">
        <v>610</v>
      </c>
      <c r="H874" s="12" t="s">
        <v>128</v>
      </c>
      <c r="I874" s="15">
        <f>1066507+259+21800+100+60181+87960</f>
        <v>1236807</v>
      </c>
      <c r="J874" s="15">
        <v>1234823</v>
      </c>
      <c r="K874" s="397">
        <f t="shared" si="132"/>
        <v>99.83958693636113</v>
      </c>
      <c r="L874" s="15"/>
      <c r="M874" s="15"/>
      <c r="N874" s="15"/>
      <c r="O874" s="397"/>
      <c r="P874" s="15"/>
      <c r="Q874" s="16">
        <f t="shared" si="133"/>
        <v>1236807</v>
      </c>
      <c r="R874" s="16">
        <f t="shared" si="134"/>
        <v>1234823</v>
      </c>
      <c r="S874" s="448">
        <f t="shared" si="128"/>
        <v>99.83958693636113</v>
      </c>
    </row>
    <row r="875" spans="2:19" x14ac:dyDescent="0.2">
      <c r="B875" s="6">
        <f t="shared" si="129"/>
        <v>373</v>
      </c>
      <c r="C875" s="12"/>
      <c r="D875" s="12"/>
      <c r="E875" s="12"/>
      <c r="F875" s="13" t="s">
        <v>105</v>
      </c>
      <c r="G875" s="14">
        <v>620</v>
      </c>
      <c r="H875" s="12" t="s">
        <v>121</v>
      </c>
      <c r="I875" s="15">
        <f>385843+91+19642+35+21786+42145</f>
        <v>469542</v>
      </c>
      <c r="J875" s="15">
        <v>465245</v>
      </c>
      <c r="K875" s="397">
        <f t="shared" si="132"/>
        <v>99.084852899208158</v>
      </c>
      <c r="L875" s="15"/>
      <c r="M875" s="15"/>
      <c r="N875" s="15"/>
      <c r="O875" s="397"/>
      <c r="P875" s="15"/>
      <c r="Q875" s="16">
        <f t="shared" si="133"/>
        <v>469542</v>
      </c>
      <c r="R875" s="16">
        <f t="shared" si="134"/>
        <v>465245</v>
      </c>
      <c r="S875" s="448">
        <f t="shared" si="128"/>
        <v>99.084852899208158</v>
      </c>
    </row>
    <row r="876" spans="2:19" x14ac:dyDescent="0.2">
      <c r="B876" s="6">
        <f t="shared" si="129"/>
        <v>374</v>
      </c>
      <c r="C876" s="12"/>
      <c r="D876" s="12"/>
      <c r="E876" s="12"/>
      <c r="F876" s="13" t="s">
        <v>105</v>
      </c>
      <c r="G876" s="14">
        <v>630</v>
      </c>
      <c r="H876" s="12" t="s">
        <v>118</v>
      </c>
      <c r="I876" s="15">
        <f>SUM(I877:I883)</f>
        <v>413093</v>
      </c>
      <c r="J876" s="15">
        <f>SUM(J877:J883)</f>
        <v>362834</v>
      </c>
      <c r="K876" s="397">
        <f t="shared" si="132"/>
        <v>87.833490279428602</v>
      </c>
      <c r="L876" s="15"/>
      <c r="M876" s="15"/>
      <c r="N876" s="15"/>
      <c r="O876" s="397"/>
      <c r="P876" s="15"/>
      <c r="Q876" s="16">
        <f t="shared" si="133"/>
        <v>413093</v>
      </c>
      <c r="R876" s="16">
        <f t="shared" si="134"/>
        <v>362834</v>
      </c>
      <c r="S876" s="448">
        <f t="shared" si="128"/>
        <v>87.833490279428602</v>
      </c>
    </row>
    <row r="877" spans="2:19" x14ac:dyDescent="0.2">
      <c r="B877" s="6">
        <f t="shared" si="129"/>
        <v>375</v>
      </c>
      <c r="C877" s="17"/>
      <c r="D877" s="17"/>
      <c r="E877" s="17"/>
      <c r="F877" s="18"/>
      <c r="G877" s="19">
        <v>631</v>
      </c>
      <c r="H877" s="17" t="s">
        <v>124</v>
      </c>
      <c r="I877" s="20">
        <f>170-10</f>
        <v>160</v>
      </c>
      <c r="J877" s="20">
        <v>151</v>
      </c>
      <c r="K877" s="397">
        <f t="shared" si="132"/>
        <v>94.375</v>
      </c>
      <c r="L877" s="20"/>
      <c r="M877" s="20"/>
      <c r="N877" s="20"/>
      <c r="O877" s="397"/>
      <c r="P877" s="20"/>
      <c r="Q877" s="21">
        <f t="shared" si="133"/>
        <v>160</v>
      </c>
      <c r="R877" s="21">
        <f t="shared" si="134"/>
        <v>151</v>
      </c>
      <c r="S877" s="448">
        <f t="shared" si="128"/>
        <v>94.375</v>
      </c>
    </row>
    <row r="878" spans="2:19" x14ac:dyDescent="0.2">
      <c r="B878" s="6">
        <f t="shared" si="129"/>
        <v>376</v>
      </c>
      <c r="C878" s="17"/>
      <c r="D878" s="17"/>
      <c r="E878" s="17"/>
      <c r="F878" s="18"/>
      <c r="G878" s="19">
        <v>632</v>
      </c>
      <c r="H878" s="17" t="s">
        <v>131</v>
      </c>
      <c r="I878" s="20">
        <f>157630-26630+39192</f>
        <v>170192</v>
      </c>
      <c r="J878" s="20">
        <v>128655</v>
      </c>
      <c r="K878" s="397">
        <f t="shared" si="132"/>
        <v>75.594034972266627</v>
      </c>
      <c r="L878" s="20"/>
      <c r="M878" s="20"/>
      <c r="N878" s="20"/>
      <c r="O878" s="397"/>
      <c r="P878" s="20"/>
      <c r="Q878" s="21">
        <f t="shared" si="133"/>
        <v>170192</v>
      </c>
      <c r="R878" s="21">
        <f t="shared" si="134"/>
        <v>128655</v>
      </c>
      <c r="S878" s="448">
        <f t="shared" si="128"/>
        <v>75.594034972266627</v>
      </c>
    </row>
    <row r="879" spans="2:19" x14ac:dyDescent="0.2">
      <c r="B879" s="6">
        <f t="shared" si="129"/>
        <v>377</v>
      </c>
      <c r="C879" s="17"/>
      <c r="D879" s="17"/>
      <c r="E879" s="17"/>
      <c r="F879" s="18"/>
      <c r="G879" s="19">
        <v>633</v>
      </c>
      <c r="H879" s="17" t="s">
        <v>122</v>
      </c>
      <c r="I879" s="20">
        <f>56330+1000-10060+4000-11534+44864+7000</f>
        <v>91600</v>
      </c>
      <c r="J879" s="20">
        <v>86144</v>
      </c>
      <c r="K879" s="397">
        <f t="shared" si="132"/>
        <v>94.043668122270745</v>
      </c>
      <c r="L879" s="20"/>
      <c r="M879" s="20"/>
      <c r="N879" s="20"/>
      <c r="O879" s="397"/>
      <c r="P879" s="20"/>
      <c r="Q879" s="21">
        <f t="shared" si="133"/>
        <v>91600</v>
      </c>
      <c r="R879" s="21">
        <f t="shared" si="134"/>
        <v>86144</v>
      </c>
      <c r="S879" s="448">
        <f t="shared" si="128"/>
        <v>94.043668122270745</v>
      </c>
    </row>
    <row r="880" spans="2:19" x14ac:dyDescent="0.2">
      <c r="B880" s="6">
        <f t="shared" si="129"/>
        <v>378</v>
      </c>
      <c r="C880" s="17"/>
      <c r="D880" s="17"/>
      <c r="E880" s="17"/>
      <c r="F880" s="18"/>
      <c r="G880" s="19">
        <v>634</v>
      </c>
      <c r="H880" s="17" t="s">
        <v>129</v>
      </c>
      <c r="I880" s="20">
        <v>1610</v>
      </c>
      <c r="J880" s="20">
        <v>1610</v>
      </c>
      <c r="K880" s="397">
        <f t="shared" si="132"/>
        <v>100</v>
      </c>
      <c r="L880" s="20"/>
      <c r="M880" s="20"/>
      <c r="N880" s="20"/>
      <c r="O880" s="397"/>
      <c r="P880" s="20"/>
      <c r="Q880" s="21">
        <f t="shared" si="133"/>
        <v>1610</v>
      </c>
      <c r="R880" s="21">
        <f t="shared" si="134"/>
        <v>1610</v>
      </c>
      <c r="S880" s="448">
        <f t="shared" si="128"/>
        <v>100</v>
      </c>
    </row>
    <row r="881" spans="2:19" x14ac:dyDescent="0.2">
      <c r="B881" s="6">
        <f t="shared" si="129"/>
        <v>379</v>
      </c>
      <c r="C881" s="17"/>
      <c r="D881" s="17"/>
      <c r="E881" s="17"/>
      <c r="F881" s="18"/>
      <c r="G881" s="19">
        <v>635</v>
      </c>
      <c r="H881" s="17" t="s">
        <v>130</v>
      </c>
      <c r="I881" s="20">
        <f>24340+660+37969-7000</f>
        <v>55969</v>
      </c>
      <c r="J881" s="20">
        <v>54879</v>
      </c>
      <c r="K881" s="397">
        <f t="shared" si="132"/>
        <v>98.052493344530006</v>
      </c>
      <c r="L881" s="20"/>
      <c r="M881" s="20"/>
      <c r="N881" s="20"/>
      <c r="O881" s="397"/>
      <c r="P881" s="20"/>
      <c r="Q881" s="21">
        <f t="shared" si="133"/>
        <v>55969</v>
      </c>
      <c r="R881" s="21">
        <f t="shared" si="134"/>
        <v>54879</v>
      </c>
      <c r="S881" s="448">
        <f t="shared" si="128"/>
        <v>98.052493344530006</v>
      </c>
    </row>
    <row r="882" spans="2:19" x14ac:dyDescent="0.2">
      <c r="B882" s="6">
        <f t="shared" si="129"/>
        <v>380</v>
      </c>
      <c r="C882" s="17"/>
      <c r="D882" s="17"/>
      <c r="E882" s="17"/>
      <c r="F882" s="18"/>
      <c r="G882" s="19">
        <v>636</v>
      </c>
      <c r="H882" s="17" t="s">
        <v>123</v>
      </c>
      <c r="I882" s="20">
        <f>2600+900+1011</f>
        <v>4511</v>
      </c>
      <c r="J882" s="20">
        <v>4327</v>
      </c>
      <c r="K882" s="397">
        <f t="shared" si="132"/>
        <v>95.921081800044334</v>
      </c>
      <c r="L882" s="20"/>
      <c r="M882" s="20"/>
      <c r="N882" s="20"/>
      <c r="O882" s="397"/>
      <c r="P882" s="20"/>
      <c r="Q882" s="21">
        <f t="shared" si="133"/>
        <v>4511</v>
      </c>
      <c r="R882" s="21">
        <f t="shared" si="134"/>
        <v>4327</v>
      </c>
      <c r="S882" s="448">
        <f t="shared" si="128"/>
        <v>95.921081800044334</v>
      </c>
    </row>
    <row r="883" spans="2:19" x14ac:dyDescent="0.2">
      <c r="B883" s="6">
        <f t="shared" si="129"/>
        <v>381</v>
      </c>
      <c r="C883" s="17"/>
      <c r="D883" s="17"/>
      <c r="E883" s="17"/>
      <c r="F883" s="18"/>
      <c r="G883" s="19">
        <v>637</v>
      </c>
      <c r="H883" s="17" t="s">
        <v>119</v>
      </c>
      <c r="I883" s="20">
        <f>89450+2847-4056+810</f>
        <v>89051</v>
      </c>
      <c r="J883" s="20">
        <v>87068</v>
      </c>
      <c r="K883" s="397">
        <f t="shared" si="132"/>
        <v>97.773186151755738</v>
      </c>
      <c r="L883" s="20"/>
      <c r="M883" s="20"/>
      <c r="N883" s="20"/>
      <c r="O883" s="397"/>
      <c r="P883" s="20"/>
      <c r="Q883" s="21">
        <f t="shared" si="133"/>
        <v>89051</v>
      </c>
      <c r="R883" s="21">
        <f t="shared" si="134"/>
        <v>87068</v>
      </c>
      <c r="S883" s="448">
        <f t="shared" si="128"/>
        <v>97.773186151755738</v>
      </c>
    </row>
    <row r="884" spans="2:19" x14ac:dyDescent="0.2">
      <c r="B884" s="6">
        <f t="shared" si="129"/>
        <v>382</v>
      </c>
      <c r="C884" s="12"/>
      <c r="D884" s="12"/>
      <c r="E884" s="12"/>
      <c r="F884" s="13" t="s">
        <v>105</v>
      </c>
      <c r="G884" s="14">
        <v>640</v>
      </c>
      <c r="H884" s="12" t="s">
        <v>126</v>
      </c>
      <c r="I884" s="15">
        <f>13200-150-5110</f>
        <v>7940</v>
      </c>
      <c r="J884" s="15">
        <v>6452</v>
      </c>
      <c r="K884" s="397">
        <f t="shared" si="132"/>
        <v>81.259445843828715</v>
      </c>
      <c r="L884" s="15"/>
      <c r="M884" s="15"/>
      <c r="N884" s="15"/>
      <c r="O884" s="397"/>
      <c r="P884" s="15"/>
      <c r="Q884" s="16">
        <f t="shared" si="133"/>
        <v>7940</v>
      </c>
      <c r="R884" s="16">
        <f t="shared" si="134"/>
        <v>6452</v>
      </c>
      <c r="S884" s="448">
        <f t="shared" si="128"/>
        <v>81.259445843828715</v>
      </c>
    </row>
    <row r="885" spans="2:19" x14ac:dyDescent="0.2">
      <c r="B885" s="6">
        <f t="shared" si="129"/>
        <v>383</v>
      </c>
      <c r="C885" s="12"/>
      <c r="D885" s="12"/>
      <c r="E885" s="12"/>
      <c r="F885" s="13"/>
      <c r="G885" s="14">
        <v>640</v>
      </c>
      <c r="H885" s="12" t="s">
        <v>751</v>
      </c>
      <c r="I885" s="15">
        <v>50</v>
      </c>
      <c r="J885" s="15">
        <v>50</v>
      </c>
      <c r="K885" s="397">
        <f t="shared" si="132"/>
        <v>100</v>
      </c>
      <c r="L885" s="15"/>
      <c r="M885" s="15"/>
      <c r="N885" s="15"/>
      <c r="O885" s="397"/>
      <c r="P885" s="15"/>
      <c r="Q885" s="16">
        <f t="shared" si="133"/>
        <v>50</v>
      </c>
      <c r="R885" s="16">
        <f t="shared" si="134"/>
        <v>50</v>
      </c>
      <c r="S885" s="448">
        <f t="shared" si="128"/>
        <v>100</v>
      </c>
    </row>
    <row r="886" spans="2:19" x14ac:dyDescent="0.2">
      <c r="B886" s="6">
        <f t="shared" si="129"/>
        <v>384</v>
      </c>
      <c r="C886" s="12"/>
      <c r="D886" s="12"/>
      <c r="E886" s="12"/>
      <c r="F886" s="13" t="s">
        <v>105</v>
      </c>
      <c r="G886" s="14">
        <v>630</v>
      </c>
      <c r="H886" s="12" t="s">
        <v>647</v>
      </c>
      <c r="I886" s="15">
        <v>48071</v>
      </c>
      <c r="J886" s="15">
        <v>48071</v>
      </c>
      <c r="K886" s="397">
        <f t="shared" si="132"/>
        <v>100</v>
      </c>
      <c r="L886" s="15"/>
      <c r="M886" s="15"/>
      <c r="N886" s="15"/>
      <c r="O886" s="397"/>
      <c r="P886" s="15"/>
      <c r="Q886" s="16">
        <f t="shared" si="133"/>
        <v>48071</v>
      </c>
      <c r="R886" s="16">
        <f t="shared" si="134"/>
        <v>48071</v>
      </c>
      <c r="S886" s="448">
        <f t="shared" si="128"/>
        <v>100</v>
      </c>
    </row>
    <row r="887" spans="2:19" x14ac:dyDescent="0.2">
      <c r="B887" s="6">
        <f t="shared" si="129"/>
        <v>385</v>
      </c>
      <c r="C887" s="12"/>
      <c r="D887" s="12"/>
      <c r="E887" s="12"/>
      <c r="F887" s="13" t="s">
        <v>105</v>
      </c>
      <c r="G887" s="14">
        <v>710</v>
      </c>
      <c r="H887" s="12" t="s">
        <v>172</v>
      </c>
      <c r="I887" s="15"/>
      <c r="J887" s="15"/>
      <c r="K887" s="397"/>
      <c r="L887" s="15"/>
      <c r="M887" s="15">
        <f>M890+M888</f>
        <v>84634</v>
      </c>
      <c r="N887" s="15">
        <f>N890+N888</f>
        <v>84523</v>
      </c>
      <c r="O887" s="397">
        <f t="shared" ref="O887:O893" si="135">N887/M887*100</f>
        <v>99.868847035470381</v>
      </c>
      <c r="P887" s="15"/>
      <c r="Q887" s="16">
        <f t="shared" si="133"/>
        <v>84634</v>
      </c>
      <c r="R887" s="16">
        <f t="shared" si="134"/>
        <v>84523</v>
      </c>
      <c r="S887" s="448">
        <f t="shared" ref="S887:S950" si="136">R887/Q887*100</f>
        <v>99.868847035470381</v>
      </c>
    </row>
    <row r="888" spans="2:19" x14ac:dyDescent="0.2">
      <c r="B888" s="6">
        <f t="shared" ref="B888:B951" si="137">B887+1</f>
        <v>386</v>
      </c>
      <c r="C888" s="12"/>
      <c r="D888" s="12"/>
      <c r="E888" s="12"/>
      <c r="F888" s="13"/>
      <c r="G888" s="19">
        <v>716</v>
      </c>
      <c r="H888" s="17" t="s">
        <v>213</v>
      </c>
      <c r="I888" s="20"/>
      <c r="J888" s="20"/>
      <c r="K888" s="397"/>
      <c r="L888" s="15"/>
      <c r="M888" s="20">
        <f>M889</f>
        <v>7400</v>
      </c>
      <c r="N888" s="20">
        <f>N889</f>
        <v>7380</v>
      </c>
      <c r="O888" s="397">
        <f t="shared" si="135"/>
        <v>99.729729729729726</v>
      </c>
      <c r="P888" s="15"/>
      <c r="Q888" s="21">
        <f t="shared" si="133"/>
        <v>7400</v>
      </c>
      <c r="R888" s="21">
        <f t="shared" si="134"/>
        <v>7380</v>
      </c>
      <c r="S888" s="448">
        <f t="shared" si="136"/>
        <v>99.729729729729726</v>
      </c>
    </row>
    <row r="889" spans="2:19" ht="24" x14ac:dyDescent="0.2">
      <c r="B889" s="6">
        <f t="shared" si="137"/>
        <v>387</v>
      </c>
      <c r="C889" s="12"/>
      <c r="D889" s="12"/>
      <c r="E889" s="12"/>
      <c r="F889" s="13"/>
      <c r="G889" s="23"/>
      <c r="H889" s="336" t="s">
        <v>732</v>
      </c>
      <c r="I889" s="24"/>
      <c r="J889" s="24"/>
      <c r="K889" s="397"/>
      <c r="L889" s="15"/>
      <c r="M889" s="294">
        <v>7400</v>
      </c>
      <c r="N889" s="294">
        <v>7380</v>
      </c>
      <c r="O889" s="398">
        <f t="shared" si="135"/>
        <v>99.729729729729726</v>
      </c>
      <c r="P889" s="15"/>
      <c r="Q889" s="26">
        <f t="shared" si="133"/>
        <v>7400</v>
      </c>
      <c r="R889" s="26">
        <f t="shared" si="134"/>
        <v>7380</v>
      </c>
      <c r="S889" s="448">
        <f t="shared" si="136"/>
        <v>99.729729729729726</v>
      </c>
    </row>
    <row r="890" spans="2:19" x14ac:dyDescent="0.2">
      <c r="B890" s="6">
        <f t="shared" si="137"/>
        <v>388</v>
      </c>
      <c r="C890" s="17"/>
      <c r="D890" s="17"/>
      <c r="E890" s="17"/>
      <c r="F890" s="18"/>
      <c r="G890" s="19">
        <v>717</v>
      </c>
      <c r="H890" s="17" t="s">
        <v>179</v>
      </c>
      <c r="I890" s="20"/>
      <c r="J890" s="20"/>
      <c r="K890" s="397"/>
      <c r="L890" s="20"/>
      <c r="M890" s="20">
        <f>M892+M891</f>
        <v>77234</v>
      </c>
      <c r="N890" s="20">
        <f>N892+N891</f>
        <v>77143</v>
      </c>
      <c r="O890" s="397">
        <f t="shared" si="135"/>
        <v>99.882176243623277</v>
      </c>
      <c r="P890" s="20"/>
      <c r="Q890" s="21">
        <f t="shared" si="133"/>
        <v>77234</v>
      </c>
      <c r="R890" s="21">
        <f t="shared" si="134"/>
        <v>77143</v>
      </c>
      <c r="S890" s="448">
        <f t="shared" si="136"/>
        <v>99.882176243623277</v>
      </c>
    </row>
    <row r="891" spans="2:19" ht="24" x14ac:dyDescent="0.2">
      <c r="B891" s="6">
        <f t="shared" si="137"/>
        <v>389</v>
      </c>
      <c r="C891" s="17"/>
      <c r="D891" s="17"/>
      <c r="E891" s="17"/>
      <c r="F891" s="18"/>
      <c r="G891" s="19"/>
      <c r="H891" s="336" t="s">
        <v>732</v>
      </c>
      <c r="I891" s="24"/>
      <c r="J891" s="24"/>
      <c r="K891" s="397"/>
      <c r="L891" s="24"/>
      <c r="M891" s="24">
        <v>36200</v>
      </c>
      <c r="N891" s="24">
        <v>36110</v>
      </c>
      <c r="O891" s="397">
        <f t="shared" si="135"/>
        <v>99.751381215469621</v>
      </c>
      <c r="P891" s="24"/>
      <c r="Q891" s="26">
        <f t="shared" si="133"/>
        <v>36200</v>
      </c>
      <c r="R891" s="26">
        <f t="shared" si="134"/>
        <v>36110</v>
      </c>
      <c r="S891" s="448">
        <f t="shared" si="136"/>
        <v>99.751381215469621</v>
      </c>
    </row>
    <row r="892" spans="2:19" x14ac:dyDescent="0.2">
      <c r="B892" s="6">
        <f t="shared" si="137"/>
        <v>390</v>
      </c>
      <c r="C892" s="1"/>
      <c r="D892" s="1"/>
      <c r="E892" s="1"/>
      <c r="F892" s="101"/>
      <c r="G892" s="23"/>
      <c r="H892" s="1" t="s">
        <v>575</v>
      </c>
      <c r="I892" s="24"/>
      <c r="J892" s="24"/>
      <c r="K892" s="397"/>
      <c r="L892" s="24"/>
      <c r="M892" s="24">
        <f>29500+11534</f>
        <v>41034</v>
      </c>
      <c r="N892" s="24">
        <v>41033</v>
      </c>
      <c r="O892" s="397">
        <f t="shared" si="135"/>
        <v>99.997562996539457</v>
      </c>
      <c r="P892" s="24"/>
      <c r="Q892" s="26">
        <f t="shared" si="133"/>
        <v>41034</v>
      </c>
      <c r="R892" s="26">
        <f t="shared" si="134"/>
        <v>41033</v>
      </c>
      <c r="S892" s="448">
        <f t="shared" si="136"/>
        <v>99.997562996539457</v>
      </c>
    </row>
    <row r="893" spans="2:19" ht="15" x14ac:dyDescent="0.25">
      <c r="B893" s="6">
        <f t="shared" si="137"/>
        <v>391</v>
      </c>
      <c r="C893" s="97"/>
      <c r="D893" s="97"/>
      <c r="E893" s="97">
        <v>12</v>
      </c>
      <c r="F893" s="98"/>
      <c r="G893" s="98"/>
      <c r="H893" s="97" t="s">
        <v>5</v>
      </c>
      <c r="I893" s="99">
        <f>I894+I895+I896+I903+I904+I905+I906+I913+I914</f>
        <v>2841736</v>
      </c>
      <c r="J893" s="99">
        <f>J894+J895+J896+J903+J904+J905+J906+J913+J914</f>
        <v>2761933</v>
      </c>
      <c r="K893" s="414">
        <f t="shared" ref="K893:K914" si="138">J893/I893*100</f>
        <v>97.191751802419361</v>
      </c>
      <c r="L893" s="313"/>
      <c r="M893" s="99">
        <f>M915</f>
        <v>6100</v>
      </c>
      <c r="N893" s="99">
        <f>N915</f>
        <v>6100</v>
      </c>
      <c r="O893" s="414">
        <f t="shared" si="135"/>
        <v>100</v>
      </c>
      <c r="P893" s="313"/>
      <c r="Q893" s="100">
        <f t="shared" si="133"/>
        <v>2847836</v>
      </c>
      <c r="R893" s="100">
        <f t="shared" si="134"/>
        <v>2768033</v>
      </c>
      <c r="S893" s="464">
        <f t="shared" si="136"/>
        <v>97.197767006246153</v>
      </c>
    </row>
    <row r="894" spans="2:19" x14ac:dyDescent="0.2">
      <c r="B894" s="6">
        <f t="shared" si="137"/>
        <v>392</v>
      </c>
      <c r="C894" s="12"/>
      <c r="D894" s="12"/>
      <c r="E894" s="12"/>
      <c r="F894" s="13" t="s">
        <v>116</v>
      </c>
      <c r="G894" s="14">
        <v>610</v>
      </c>
      <c r="H894" s="12" t="s">
        <v>128</v>
      </c>
      <c r="I894" s="15">
        <f>785500-30000</f>
        <v>755500</v>
      </c>
      <c r="J894" s="15">
        <v>755500</v>
      </c>
      <c r="K894" s="397">
        <f t="shared" si="138"/>
        <v>100</v>
      </c>
      <c r="L894" s="15"/>
      <c r="M894" s="15"/>
      <c r="N894" s="15"/>
      <c r="O894" s="397"/>
      <c r="P894" s="15"/>
      <c r="Q894" s="16">
        <f t="shared" si="133"/>
        <v>755500</v>
      </c>
      <c r="R894" s="16">
        <f t="shared" si="134"/>
        <v>755500</v>
      </c>
      <c r="S894" s="448">
        <f t="shared" si="136"/>
        <v>100</v>
      </c>
    </row>
    <row r="895" spans="2:19" x14ac:dyDescent="0.2">
      <c r="B895" s="6">
        <f t="shared" si="137"/>
        <v>393</v>
      </c>
      <c r="C895" s="12"/>
      <c r="D895" s="12"/>
      <c r="E895" s="12"/>
      <c r="F895" s="13" t="s">
        <v>116</v>
      </c>
      <c r="G895" s="14">
        <v>620</v>
      </c>
      <c r="H895" s="12" t="s">
        <v>121</v>
      </c>
      <c r="I895" s="15">
        <f>277480-10000</f>
        <v>267480</v>
      </c>
      <c r="J895" s="15">
        <v>267480</v>
      </c>
      <c r="K895" s="397">
        <f t="shared" si="138"/>
        <v>100</v>
      </c>
      <c r="L895" s="15"/>
      <c r="M895" s="15"/>
      <c r="N895" s="15"/>
      <c r="O895" s="397"/>
      <c r="P895" s="15"/>
      <c r="Q895" s="16">
        <f t="shared" si="133"/>
        <v>267480</v>
      </c>
      <c r="R895" s="16">
        <f t="shared" si="134"/>
        <v>267480</v>
      </c>
      <c r="S895" s="448">
        <f t="shared" si="136"/>
        <v>100</v>
      </c>
    </row>
    <row r="896" spans="2:19" x14ac:dyDescent="0.2">
      <c r="B896" s="6">
        <f t="shared" si="137"/>
        <v>394</v>
      </c>
      <c r="C896" s="12"/>
      <c r="D896" s="12"/>
      <c r="E896" s="12"/>
      <c r="F896" s="13" t="s">
        <v>116</v>
      </c>
      <c r="G896" s="14">
        <v>630</v>
      </c>
      <c r="H896" s="12" t="s">
        <v>118</v>
      </c>
      <c r="I896" s="15">
        <f>SUM(I897:I902)</f>
        <v>68850</v>
      </c>
      <c r="J896" s="15">
        <f>SUM(J897:J902)</f>
        <v>64414</v>
      </c>
      <c r="K896" s="397">
        <f t="shared" si="138"/>
        <v>93.557007988380533</v>
      </c>
      <c r="L896" s="15"/>
      <c r="M896" s="15"/>
      <c r="N896" s="15"/>
      <c r="O896" s="397"/>
      <c r="P896" s="15"/>
      <c r="Q896" s="16">
        <f t="shared" si="133"/>
        <v>68850</v>
      </c>
      <c r="R896" s="16">
        <f t="shared" si="134"/>
        <v>64414</v>
      </c>
      <c r="S896" s="448">
        <f t="shared" si="136"/>
        <v>93.557007988380533</v>
      </c>
    </row>
    <row r="897" spans="2:19" x14ac:dyDescent="0.2">
      <c r="B897" s="6">
        <f t="shared" si="137"/>
        <v>395</v>
      </c>
      <c r="C897" s="17"/>
      <c r="D897" s="17"/>
      <c r="E897" s="17"/>
      <c r="F897" s="18"/>
      <c r="G897" s="19">
        <v>631</v>
      </c>
      <c r="H897" s="17" t="s">
        <v>124</v>
      </c>
      <c r="I897" s="20">
        <v>1500</v>
      </c>
      <c r="J897" s="20">
        <v>1172</v>
      </c>
      <c r="K897" s="397">
        <f t="shared" si="138"/>
        <v>78.133333333333326</v>
      </c>
      <c r="L897" s="20"/>
      <c r="M897" s="20"/>
      <c r="N897" s="20"/>
      <c r="O897" s="397"/>
      <c r="P897" s="20"/>
      <c r="Q897" s="21">
        <f t="shared" si="133"/>
        <v>1500</v>
      </c>
      <c r="R897" s="21">
        <f t="shared" si="134"/>
        <v>1172</v>
      </c>
      <c r="S897" s="448">
        <f t="shared" si="136"/>
        <v>78.133333333333326</v>
      </c>
    </row>
    <row r="898" spans="2:19" x14ac:dyDescent="0.2">
      <c r="B898" s="6">
        <f t="shared" si="137"/>
        <v>396</v>
      </c>
      <c r="C898" s="17"/>
      <c r="D898" s="17"/>
      <c r="E898" s="17"/>
      <c r="F898" s="18"/>
      <c r="G898" s="19">
        <v>632</v>
      </c>
      <c r="H898" s="17" t="s">
        <v>131</v>
      </c>
      <c r="I898" s="20">
        <f>26000-6000</f>
        <v>20000</v>
      </c>
      <c r="J898" s="20">
        <v>15691</v>
      </c>
      <c r="K898" s="397">
        <f t="shared" si="138"/>
        <v>78.454999999999998</v>
      </c>
      <c r="L898" s="20"/>
      <c r="M898" s="20"/>
      <c r="N898" s="20"/>
      <c r="O898" s="397"/>
      <c r="P898" s="20"/>
      <c r="Q898" s="21">
        <f t="shared" si="133"/>
        <v>20000</v>
      </c>
      <c r="R898" s="21">
        <f t="shared" si="134"/>
        <v>15691</v>
      </c>
      <c r="S898" s="448">
        <f t="shared" si="136"/>
        <v>78.454999999999998</v>
      </c>
    </row>
    <row r="899" spans="2:19" x14ac:dyDescent="0.2">
      <c r="B899" s="6">
        <f t="shared" si="137"/>
        <v>397</v>
      </c>
      <c r="C899" s="17"/>
      <c r="D899" s="17"/>
      <c r="E899" s="17"/>
      <c r="F899" s="18"/>
      <c r="G899" s="19">
        <v>633</v>
      </c>
      <c r="H899" s="17" t="s">
        <v>122</v>
      </c>
      <c r="I899" s="20">
        <f>24150-10000+8000</f>
        <v>22150</v>
      </c>
      <c r="J899" s="20">
        <v>22150</v>
      </c>
      <c r="K899" s="397">
        <f t="shared" si="138"/>
        <v>100</v>
      </c>
      <c r="L899" s="20"/>
      <c r="M899" s="20"/>
      <c r="N899" s="20"/>
      <c r="O899" s="397"/>
      <c r="P899" s="20"/>
      <c r="Q899" s="21">
        <f t="shared" si="133"/>
        <v>22150</v>
      </c>
      <c r="R899" s="21">
        <f t="shared" si="134"/>
        <v>22150</v>
      </c>
      <c r="S899" s="448">
        <f t="shared" si="136"/>
        <v>100</v>
      </c>
    </row>
    <row r="900" spans="2:19" x14ac:dyDescent="0.2">
      <c r="B900" s="6">
        <f t="shared" si="137"/>
        <v>398</v>
      </c>
      <c r="C900" s="17"/>
      <c r="D900" s="17"/>
      <c r="E900" s="17"/>
      <c r="F900" s="18"/>
      <c r="G900" s="19">
        <v>635</v>
      </c>
      <c r="H900" s="17" t="s">
        <v>130</v>
      </c>
      <c r="I900" s="20">
        <v>3300</v>
      </c>
      <c r="J900" s="20">
        <v>3300</v>
      </c>
      <c r="K900" s="397">
        <f t="shared" si="138"/>
        <v>100</v>
      </c>
      <c r="L900" s="20"/>
      <c r="M900" s="20"/>
      <c r="N900" s="20"/>
      <c r="O900" s="397"/>
      <c r="P900" s="20"/>
      <c r="Q900" s="21">
        <f t="shared" si="133"/>
        <v>3300</v>
      </c>
      <c r="R900" s="21">
        <f t="shared" si="134"/>
        <v>3300</v>
      </c>
      <c r="S900" s="448">
        <f t="shared" si="136"/>
        <v>100</v>
      </c>
    </row>
    <row r="901" spans="2:19" x14ac:dyDescent="0.2">
      <c r="B901" s="6">
        <f t="shared" si="137"/>
        <v>399</v>
      </c>
      <c r="C901" s="17"/>
      <c r="D901" s="17"/>
      <c r="E901" s="17"/>
      <c r="F901" s="18"/>
      <c r="G901" s="19">
        <v>636</v>
      </c>
      <c r="H901" s="17" t="s">
        <v>123</v>
      </c>
      <c r="I901" s="20">
        <v>3600</v>
      </c>
      <c r="J901" s="20">
        <v>3600</v>
      </c>
      <c r="K901" s="397">
        <f t="shared" si="138"/>
        <v>100</v>
      </c>
      <c r="L901" s="20"/>
      <c r="M901" s="20"/>
      <c r="N901" s="20"/>
      <c r="O901" s="397"/>
      <c r="P901" s="20"/>
      <c r="Q901" s="21">
        <f t="shared" si="133"/>
        <v>3600</v>
      </c>
      <c r="R901" s="21">
        <f t="shared" si="134"/>
        <v>3600</v>
      </c>
      <c r="S901" s="448">
        <f t="shared" si="136"/>
        <v>100</v>
      </c>
    </row>
    <row r="902" spans="2:19" x14ac:dyDescent="0.2">
      <c r="B902" s="6">
        <f t="shared" si="137"/>
        <v>400</v>
      </c>
      <c r="C902" s="17"/>
      <c r="D902" s="17"/>
      <c r="E902" s="17"/>
      <c r="F902" s="18"/>
      <c r="G902" s="19">
        <v>637</v>
      </c>
      <c r="H902" s="17" t="s">
        <v>119</v>
      </c>
      <c r="I902" s="20">
        <f>26300-10000+2000</f>
        <v>18300</v>
      </c>
      <c r="J902" s="20">
        <v>18501</v>
      </c>
      <c r="K902" s="397">
        <f t="shared" si="138"/>
        <v>101.09836065573769</v>
      </c>
      <c r="L902" s="20"/>
      <c r="M902" s="20"/>
      <c r="N902" s="20"/>
      <c r="O902" s="397"/>
      <c r="P902" s="20"/>
      <c r="Q902" s="21">
        <f t="shared" si="133"/>
        <v>18300</v>
      </c>
      <c r="R902" s="21">
        <f t="shared" si="134"/>
        <v>18501</v>
      </c>
      <c r="S902" s="448">
        <f t="shared" si="136"/>
        <v>101.09836065573769</v>
      </c>
    </row>
    <row r="903" spans="2:19" x14ac:dyDescent="0.2">
      <c r="B903" s="6">
        <f t="shared" si="137"/>
        <v>401</v>
      </c>
      <c r="C903" s="12"/>
      <c r="D903" s="12"/>
      <c r="E903" s="12"/>
      <c r="F903" s="13" t="s">
        <v>116</v>
      </c>
      <c r="G903" s="14">
        <v>640</v>
      </c>
      <c r="H903" s="12" t="s">
        <v>126</v>
      </c>
      <c r="I903" s="15">
        <v>17000</v>
      </c>
      <c r="J903" s="15">
        <v>17000</v>
      </c>
      <c r="K903" s="397">
        <f t="shared" si="138"/>
        <v>100</v>
      </c>
      <c r="L903" s="15"/>
      <c r="M903" s="15"/>
      <c r="N903" s="15"/>
      <c r="O903" s="397"/>
      <c r="P903" s="15"/>
      <c r="Q903" s="16">
        <f t="shared" si="133"/>
        <v>17000</v>
      </c>
      <c r="R903" s="16">
        <f t="shared" si="134"/>
        <v>17000</v>
      </c>
      <c r="S903" s="448">
        <f t="shared" si="136"/>
        <v>100</v>
      </c>
    </row>
    <row r="904" spans="2:19" x14ac:dyDescent="0.2">
      <c r="B904" s="6">
        <f t="shared" si="137"/>
        <v>402</v>
      </c>
      <c r="C904" s="12"/>
      <c r="D904" s="12"/>
      <c r="E904" s="12"/>
      <c r="F904" s="13" t="s">
        <v>105</v>
      </c>
      <c r="G904" s="14">
        <v>610</v>
      </c>
      <c r="H904" s="12" t="s">
        <v>128</v>
      </c>
      <c r="I904" s="15">
        <f>883992+259-40000+100+55120+87710-5000</f>
        <v>982181</v>
      </c>
      <c r="J904" s="15">
        <v>982181</v>
      </c>
      <c r="K904" s="397">
        <f t="shared" si="138"/>
        <v>100</v>
      </c>
      <c r="L904" s="15"/>
      <c r="M904" s="15"/>
      <c r="N904" s="15"/>
      <c r="O904" s="397"/>
      <c r="P904" s="15"/>
      <c r="Q904" s="16">
        <f t="shared" si="133"/>
        <v>982181</v>
      </c>
      <c r="R904" s="16">
        <f t="shared" si="134"/>
        <v>982181</v>
      </c>
      <c r="S904" s="448">
        <f t="shared" si="136"/>
        <v>100</v>
      </c>
    </row>
    <row r="905" spans="2:19" x14ac:dyDescent="0.2">
      <c r="B905" s="6">
        <f t="shared" si="137"/>
        <v>403</v>
      </c>
      <c r="C905" s="12"/>
      <c r="D905" s="12"/>
      <c r="E905" s="12"/>
      <c r="F905" s="13" t="s">
        <v>105</v>
      </c>
      <c r="G905" s="14">
        <v>620</v>
      </c>
      <c r="H905" s="12" t="s">
        <v>121</v>
      </c>
      <c r="I905" s="15">
        <f>286252+91-10000+35+19954+32399</f>
        <v>328731</v>
      </c>
      <c r="J905" s="15">
        <v>328731</v>
      </c>
      <c r="K905" s="397">
        <f t="shared" si="138"/>
        <v>100</v>
      </c>
      <c r="L905" s="15"/>
      <c r="M905" s="15"/>
      <c r="N905" s="15"/>
      <c r="O905" s="397"/>
      <c r="P905" s="15"/>
      <c r="Q905" s="16">
        <f t="shared" si="133"/>
        <v>328731</v>
      </c>
      <c r="R905" s="16">
        <f t="shared" si="134"/>
        <v>328731</v>
      </c>
      <c r="S905" s="448">
        <f t="shared" si="136"/>
        <v>100</v>
      </c>
    </row>
    <row r="906" spans="2:19" x14ac:dyDescent="0.2">
      <c r="B906" s="6">
        <f t="shared" si="137"/>
        <v>404</v>
      </c>
      <c r="C906" s="12"/>
      <c r="D906" s="12"/>
      <c r="E906" s="12"/>
      <c r="F906" s="13" t="s">
        <v>105</v>
      </c>
      <c r="G906" s="14">
        <v>630</v>
      </c>
      <c r="H906" s="12" t="s">
        <v>118</v>
      </c>
      <c r="I906" s="15">
        <f>SUM(I907:I912)</f>
        <v>301357</v>
      </c>
      <c r="J906" s="15">
        <f>SUM(J907:J912)</f>
        <v>227015</v>
      </c>
      <c r="K906" s="397">
        <f t="shared" si="138"/>
        <v>75.330919806077176</v>
      </c>
      <c r="L906" s="15"/>
      <c r="M906" s="15"/>
      <c r="N906" s="15"/>
      <c r="O906" s="397"/>
      <c r="P906" s="15"/>
      <c r="Q906" s="16">
        <f t="shared" si="133"/>
        <v>301357</v>
      </c>
      <c r="R906" s="16">
        <f t="shared" si="134"/>
        <v>227015</v>
      </c>
      <c r="S906" s="448">
        <f t="shared" si="136"/>
        <v>75.330919806077176</v>
      </c>
    </row>
    <row r="907" spans="2:19" x14ac:dyDescent="0.2">
      <c r="B907" s="6">
        <f t="shared" si="137"/>
        <v>405</v>
      </c>
      <c r="C907" s="17"/>
      <c r="D907" s="17"/>
      <c r="E907" s="17"/>
      <c r="F907" s="18"/>
      <c r="G907" s="19">
        <v>631</v>
      </c>
      <c r="H907" s="17" t="s">
        <v>124</v>
      </c>
      <c r="I907" s="20">
        <v>1600</v>
      </c>
      <c r="J907" s="20">
        <v>1600</v>
      </c>
      <c r="K907" s="397">
        <f t="shared" si="138"/>
        <v>100</v>
      </c>
      <c r="L907" s="20"/>
      <c r="M907" s="20"/>
      <c r="N907" s="20"/>
      <c r="O907" s="397"/>
      <c r="P907" s="20"/>
      <c r="Q907" s="21">
        <f t="shared" si="133"/>
        <v>1600</v>
      </c>
      <c r="R907" s="21">
        <f t="shared" si="134"/>
        <v>1600</v>
      </c>
      <c r="S907" s="448">
        <f t="shared" si="136"/>
        <v>100</v>
      </c>
    </row>
    <row r="908" spans="2:19" x14ac:dyDescent="0.2">
      <c r="B908" s="6">
        <f t="shared" si="137"/>
        <v>406</v>
      </c>
      <c r="C908" s="17"/>
      <c r="D908" s="17"/>
      <c r="E908" s="17"/>
      <c r="F908" s="18"/>
      <c r="G908" s="19">
        <v>632</v>
      </c>
      <c r="H908" s="17" t="s">
        <v>131</v>
      </c>
      <c r="I908" s="20">
        <f>27000-6000+13797+36199</f>
        <v>70996</v>
      </c>
      <c r="J908" s="20">
        <v>21789</v>
      </c>
      <c r="K908" s="397">
        <f t="shared" si="138"/>
        <v>30.690461434447009</v>
      </c>
      <c r="L908" s="20"/>
      <c r="M908" s="20"/>
      <c r="N908" s="20"/>
      <c r="O908" s="397"/>
      <c r="P908" s="20"/>
      <c r="Q908" s="21">
        <f t="shared" si="133"/>
        <v>70996</v>
      </c>
      <c r="R908" s="21">
        <f t="shared" si="134"/>
        <v>21789</v>
      </c>
      <c r="S908" s="448">
        <f t="shared" si="136"/>
        <v>30.690461434447009</v>
      </c>
    </row>
    <row r="909" spans="2:19" x14ac:dyDescent="0.2">
      <c r="B909" s="6">
        <f t="shared" si="137"/>
        <v>407</v>
      </c>
      <c r="C909" s="17"/>
      <c r="D909" s="17"/>
      <c r="E909" s="17"/>
      <c r="F909" s="18"/>
      <c r="G909" s="19">
        <v>633</v>
      </c>
      <c r="H909" s="17" t="s">
        <v>122</v>
      </c>
      <c r="I909" s="20">
        <f>22650+1000-10000+49215+800</f>
        <v>63665</v>
      </c>
      <c r="J909" s="20">
        <v>61538</v>
      </c>
      <c r="K909" s="397">
        <f t="shared" si="138"/>
        <v>96.659074844891222</v>
      </c>
      <c r="L909" s="20"/>
      <c r="M909" s="20"/>
      <c r="N909" s="20"/>
      <c r="O909" s="397"/>
      <c r="P909" s="20"/>
      <c r="Q909" s="21">
        <f t="shared" si="133"/>
        <v>63665</v>
      </c>
      <c r="R909" s="21">
        <f t="shared" si="134"/>
        <v>61538</v>
      </c>
      <c r="S909" s="448">
        <f t="shared" si="136"/>
        <v>96.659074844891222</v>
      </c>
    </row>
    <row r="910" spans="2:19" x14ac:dyDescent="0.2">
      <c r="B910" s="6">
        <f t="shared" si="137"/>
        <v>408</v>
      </c>
      <c r="C910" s="17"/>
      <c r="D910" s="17"/>
      <c r="E910" s="17"/>
      <c r="F910" s="18"/>
      <c r="G910" s="19">
        <v>635</v>
      </c>
      <c r="H910" s="17" t="s">
        <v>130</v>
      </c>
      <c r="I910" s="20">
        <v>31200</v>
      </c>
      <c r="J910" s="20">
        <v>31200</v>
      </c>
      <c r="K910" s="397">
        <f t="shared" si="138"/>
        <v>100</v>
      </c>
      <c r="L910" s="20"/>
      <c r="M910" s="20"/>
      <c r="N910" s="20"/>
      <c r="O910" s="397"/>
      <c r="P910" s="20"/>
      <c r="Q910" s="21">
        <f t="shared" si="133"/>
        <v>31200</v>
      </c>
      <c r="R910" s="21">
        <f t="shared" si="134"/>
        <v>31200</v>
      </c>
      <c r="S910" s="448">
        <f t="shared" si="136"/>
        <v>100</v>
      </c>
    </row>
    <row r="911" spans="2:19" x14ac:dyDescent="0.2">
      <c r="B911" s="6">
        <f t="shared" si="137"/>
        <v>409</v>
      </c>
      <c r="C911" s="17"/>
      <c r="D911" s="17"/>
      <c r="E911" s="17"/>
      <c r="F911" s="18"/>
      <c r="G911" s="19">
        <v>636</v>
      </c>
      <c r="H911" s="17" t="s">
        <v>123</v>
      </c>
      <c r="I911" s="20">
        <v>3500</v>
      </c>
      <c r="J911" s="20">
        <v>2107</v>
      </c>
      <c r="K911" s="397">
        <f t="shared" si="138"/>
        <v>60.199999999999996</v>
      </c>
      <c r="L911" s="20"/>
      <c r="M911" s="20"/>
      <c r="N911" s="20"/>
      <c r="O911" s="397"/>
      <c r="P911" s="20"/>
      <c r="Q911" s="21">
        <f t="shared" si="133"/>
        <v>3500</v>
      </c>
      <c r="R911" s="21">
        <f t="shared" si="134"/>
        <v>2107</v>
      </c>
      <c r="S911" s="448">
        <f t="shared" si="136"/>
        <v>60.199999999999996</v>
      </c>
    </row>
    <row r="912" spans="2:19" x14ac:dyDescent="0.2">
      <c r="B912" s="6">
        <f t="shared" si="137"/>
        <v>410</v>
      </c>
      <c r="C912" s="17"/>
      <c r="D912" s="17"/>
      <c r="E912" s="17"/>
      <c r="F912" s="18"/>
      <c r="G912" s="19">
        <v>637</v>
      </c>
      <c r="H912" s="17" t="s">
        <v>119</v>
      </c>
      <c r="I912" s="20">
        <f>83850-26694+26489+36421+2156+8174</f>
        <v>130396</v>
      </c>
      <c r="J912" s="20">
        <v>108781</v>
      </c>
      <c r="K912" s="397">
        <f t="shared" si="138"/>
        <v>83.423571275192486</v>
      </c>
      <c r="L912" s="20"/>
      <c r="M912" s="20"/>
      <c r="N912" s="20"/>
      <c r="O912" s="397"/>
      <c r="P912" s="20"/>
      <c r="Q912" s="21">
        <f t="shared" si="133"/>
        <v>130396</v>
      </c>
      <c r="R912" s="21">
        <f t="shared" si="134"/>
        <v>108781</v>
      </c>
      <c r="S912" s="448">
        <f t="shared" si="136"/>
        <v>83.423571275192486</v>
      </c>
    </row>
    <row r="913" spans="2:19" x14ac:dyDescent="0.2">
      <c r="B913" s="6">
        <f t="shared" si="137"/>
        <v>411</v>
      </c>
      <c r="C913" s="12"/>
      <c r="D913" s="12"/>
      <c r="E913" s="12"/>
      <c r="F913" s="13" t="s">
        <v>105</v>
      </c>
      <c r="G913" s="14">
        <v>640</v>
      </c>
      <c r="H913" s="12" t="s">
        <v>126</v>
      </c>
      <c r="I913" s="15">
        <f>32500-7054-837</f>
        <v>24609</v>
      </c>
      <c r="J913" s="15">
        <v>23796</v>
      </c>
      <c r="K913" s="397">
        <f t="shared" si="138"/>
        <v>96.69633061075217</v>
      </c>
      <c r="L913" s="15"/>
      <c r="M913" s="15"/>
      <c r="N913" s="15"/>
      <c r="O913" s="397"/>
      <c r="P913" s="15"/>
      <c r="Q913" s="16">
        <f t="shared" si="133"/>
        <v>24609</v>
      </c>
      <c r="R913" s="16">
        <f t="shared" si="134"/>
        <v>23796</v>
      </c>
      <c r="S913" s="448">
        <f t="shared" si="136"/>
        <v>96.69633061075217</v>
      </c>
    </row>
    <row r="914" spans="2:19" x14ac:dyDescent="0.2">
      <c r="B914" s="6">
        <f t="shared" si="137"/>
        <v>412</v>
      </c>
      <c r="C914" s="12"/>
      <c r="D914" s="12"/>
      <c r="E914" s="12"/>
      <c r="F914" s="13" t="s">
        <v>105</v>
      </c>
      <c r="G914" s="14">
        <v>630</v>
      </c>
      <c r="H914" s="12" t="s">
        <v>647</v>
      </c>
      <c r="I914" s="15">
        <v>96028</v>
      </c>
      <c r="J914" s="15">
        <v>95816</v>
      </c>
      <c r="K914" s="397">
        <f t="shared" si="138"/>
        <v>99.7792310576082</v>
      </c>
      <c r="L914" s="15"/>
      <c r="M914" s="15"/>
      <c r="N914" s="15"/>
      <c r="O914" s="397"/>
      <c r="P914" s="15"/>
      <c r="Q914" s="16">
        <f t="shared" si="133"/>
        <v>96028</v>
      </c>
      <c r="R914" s="16">
        <f t="shared" si="134"/>
        <v>95816</v>
      </c>
      <c r="S914" s="448">
        <f t="shared" si="136"/>
        <v>99.7792310576082</v>
      </c>
    </row>
    <row r="915" spans="2:19" x14ac:dyDescent="0.2">
      <c r="B915" s="6">
        <f t="shared" si="137"/>
        <v>413</v>
      </c>
      <c r="C915" s="12"/>
      <c r="D915" s="12"/>
      <c r="E915" s="12"/>
      <c r="F915" s="13" t="s">
        <v>105</v>
      </c>
      <c r="G915" s="14">
        <v>710</v>
      </c>
      <c r="H915" s="12" t="s">
        <v>172</v>
      </c>
      <c r="I915" s="15"/>
      <c r="J915" s="15"/>
      <c r="K915" s="397"/>
      <c r="L915" s="15"/>
      <c r="M915" s="15">
        <f>M916+M918</f>
        <v>6100</v>
      </c>
      <c r="N915" s="15">
        <f>N916+N918</f>
        <v>6100</v>
      </c>
      <c r="O915" s="397">
        <f t="shared" ref="O915:O920" si="139">N915/M915*100</f>
        <v>100</v>
      </c>
      <c r="P915" s="15"/>
      <c r="Q915" s="16">
        <f t="shared" si="133"/>
        <v>6100</v>
      </c>
      <c r="R915" s="16">
        <f t="shared" si="134"/>
        <v>6100</v>
      </c>
      <c r="S915" s="448">
        <f t="shared" si="136"/>
        <v>100</v>
      </c>
    </row>
    <row r="916" spans="2:19" x14ac:dyDescent="0.2">
      <c r="B916" s="6">
        <f t="shared" si="137"/>
        <v>414</v>
      </c>
      <c r="C916" s="12"/>
      <c r="D916" s="12"/>
      <c r="E916" s="12"/>
      <c r="F916" s="18"/>
      <c r="G916" s="19">
        <v>716</v>
      </c>
      <c r="H916" s="17" t="s">
        <v>213</v>
      </c>
      <c r="I916" s="20"/>
      <c r="J916" s="20"/>
      <c r="K916" s="397"/>
      <c r="L916" s="15"/>
      <c r="M916" s="20">
        <f>M917</f>
        <v>1100</v>
      </c>
      <c r="N916" s="20">
        <f>N917</f>
        <v>1100</v>
      </c>
      <c r="O916" s="397">
        <f t="shared" si="139"/>
        <v>100</v>
      </c>
      <c r="P916" s="15"/>
      <c r="Q916" s="21">
        <f t="shared" si="133"/>
        <v>1100</v>
      </c>
      <c r="R916" s="21">
        <f t="shared" si="134"/>
        <v>1100</v>
      </c>
      <c r="S916" s="448">
        <f t="shared" si="136"/>
        <v>100</v>
      </c>
    </row>
    <row r="917" spans="2:19" x14ac:dyDescent="0.2">
      <c r="B917" s="6">
        <f t="shared" si="137"/>
        <v>415</v>
      </c>
      <c r="C917" s="12"/>
      <c r="D917" s="12"/>
      <c r="E917" s="12"/>
      <c r="F917" s="101"/>
      <c r="G917" s="23"/>
      <c r="H917" s="1" t="s">
        <v>648</v>
      </c>
      <c r="I917" s="24"/>
      <c r="J917" s="24"/>
      <c r="K917" s="397"/>
      <c r="L917" s="15"/>
      <c r="M917" s="24">
        <v>1100</v>
      </c>
      <c r="N917" s="24">
        <v>1100</v>
      </c>
      <c r="O917" s="397">
        <f t="shared" si="139"/>
        <v>100</v>
      </c>
      <c r="P917" s="15"/>
      <c r="Q917" s="26">
        <f t="shared" si="133"/>
        <v>1100</v>
      </c>
      <c r="R917" s="26">
        <f t="shared" si="134"/>
        <v>1100</v>
      </c>
      <c r="S917" s="448">
        <f t="shared" si="136"/>
        <v>100</v>
      </c>
    </row>
    <row r="918" spans="2:19" x14ac:dyDescent="0.2">
      <c r="B918" s="6">
        <f t="shared" si="137"/>
        <v>416</v>
      </c>
      <c r="C918" s="12"/>
      <c r="D918" s="12"/>
      <c r="E918" s="12"/>
      <c r="F918" s="18"/>
      <c r="G918" s="19">
        <v>717</v>
      </c>
      <c r="H918" s="17" t="s">
        <v>179</v>
      </c>
      <c r="I918" s="20"/>
      <c r="J918" s="20"/>
      <c r="K918" s="397"/>
      <c r="L918" s="15"/>
      <c r="M918" s="20">
        <f>M919</f>
        <v>5000</v>
      </c>
      <c r="N918" s="20">
        <f>N919</f>
        <v>5000</v>
      </c>
      <c r="O918" s="397">
        <f t="shared" si="139"/>
        <v>100</v>
      </c>
      <c r="P918" s="15"/>
      <c r="Q918" s="21">
        <f t="shared" si="133"/>
        <v>5000</v>
      </c>
      <c r="R918" s="21">
        <f t="shared" si="134"/>
        <v>5000</v>
      </c>
      <c r="S918" s="448">
        <f t="shared" si="136"/>
        <v>100</v>
      </c>
    </row>
    <row r="919" spans="2:19" x14ac:dyDescent="0.2">
      <c r="B919" s="6">
        <f t="shared" si="137"/>
        <v>417</v>
      </c>
      <c r="C919" s="12"/>
      <c r="D919" s="12"/>
      <c r="E919" s="12"/>
      <c r="F919" s="101"/>
      <c r="G919" s="23"/>
      <c r="H919" s="1" t="s">
        <v>649</v>
      </c>
      <c r="I919" s="24"/>
      <c r="J919" s="24"/>
      <c r="K919" s="397"/>
      <c r="L919" s="15"/>
      <c r="M919" s="24">
        <v>5000</v>
      </c>
      <c r="N919" s="24">
        <v>5000</v>
      </c>
      <c r="O919" s="397">
        <f t="shared" si="139"/>
        <v>100</v>
      </c>
      <c r="P919" s="15"/>
      <c r="Q919" s="26">
        <f t="shared" si="133"/>
        <v>5000</v>
      </c>
      <c r="R919" s="26">
        <f t="shared" si="134"/>
        <v>5000</v>
      </c>
      <c r="S919" s="448">
        <f t="shared" si="136"/>
        <v>100</v>
      </c>
    </row>
    <row r="920" spans="2:19" ht="15" x14ac:dyDescent="0.25">
      <c r="B920" s="6">
        <f t="shared" si="137"/>
        <v>418</v>
      </c>
      <c r="C920" s="97"/>
      <c r="D920" s="97"/>
      <c r="E920" s="97">
        <v>13</v>
      </c>
      <c r="F920" s="98"/>
      <c r="G920" s="98"/>
      <c r="H920" s="97" t="s">
        <v>12</v>
      </c>
      <c r="I920" s="99">
        <f>I921+I922+I923+I930+I931+I932+I933+I938+I939</f>
        <v>1147851</v>
      </c>
      <c r="J920" s="99">
        <f>J921+J922+J923+J930+J931+J932+J933+J938+J939</f>
        <v>1043479</v>
      </c>
      <c r="K920" s="414">
        <f t="shared" ref="K920:K939" si="140">J920/I920*100</f>
        <v>90.907182203962009</v>
      </c>
      <c r="L920" s="313"/>
      <c r="M920" s="99">
        <f>M940</f>
        <v>28100</v>
      </c>
      <c r="N920" s="99">
        <f>N940</f>
        <v>27366</v>
      </c>
      <c r="O920" s="414">
        <f t="shared" si="139"/>
        <v>97.387900355871878</v>
      </c>
      <c r="P920" s="313"/>
      <c r="Q920" s="100">
        <f t="shared" si="133"/>
        <v>1175951</v>
      </c>
      <c r="R920" s="100">
        <f t="shared" si="134"/>
        <v>1070845</v>
      </c>
      <c r="S920" s="464">
        <f t="shared" si="136"/>
        <v>91.062042551092688</v>
      </c>
    </row>
    <row r="921" spans="2:19" x14ac:dyDescent="0.2">
      <c r="B921" s="6">
        <f t="shared" si="137"/>
        <v>419</v>
      </c>
      <c r="C921" s="12"/>
      <c r="D921" s="12"/>
      <c r="E921" s="12"/>
      <c r="F921" s="13" t="s">
        <v>116</v>
      </c>
      <c r="G921" s="14">
        <v>610</v>
      </c>
      <c r="H921" s="12" t="s">
        <v>128</v>
      </c>
      <c r="I921" s="15">
        <f>231300+15299-2677</f>
        <v>243922</v>
      </c>
      <c r="J921" s="15">
        <v>210922</v>
      </c>
      <c r="K921" s="397">
        <f t="shared" si="140"/>
        <v>86.471085018981469</v>
      </c>
      <c r="L921" s="15"/>
      <c r="M921" s="15"/>
      <c r="N921" s="15"/>
      <c r="O921" s="397"/>
      <c r="P921" s="15"/>
      <c r="Q921" s="16">
        <f t="shared" si="133"/>
        <v>243922</v>
      </c>
      <c r="R921" s="16">
        <f t="shared" si="134"/>
        <v>210922</v>
      </c>
      <c r="S921" s="448">
        <f t="shared" si="136"/>
        <v>86.471085018981469</v>
      </c>
    </row>
    <row r="922" spans="2:19" x14ac:dyDescent="0.2">
      <c r="B922" s="6">
        <f t="shared" si="137"/>
        <v>420</v>
      </c>
      <c r="C922" s="12"/>
      <c r="D922" s="12"/>
      <c r="E922" s="12"/>
      <c r="F922" s="13" t="s">
        <v>116</v>
      </c>
      <c r="G922" s="14">
        <v>620</v>
      </c>
      <c r="H922" s="12" t="s">
        <v>121</v>
      </c>
      <c r="I922" s="15">
        <f>82861+5555-951</f>
        <v>87465</v>
      </c>
      <c r="J922" s="15">
        <v>75849</v>
      </c>
      <c r="K922" s="397">
        <f t="shared" si="140"/>
        <v>86.719259132224309</v>
      </c>
      <c r="L922" s="15"/>
      <c r="M922" s="15"/>
      <c r="N922" s="15"/>
      <c r="O922" s="397"/>
      <c r="P922" s="15"/>
      <c r="Q922" s="16">
        <f t="shared" si="133"/>
        <v>87465</v>
      </c>
      <c r="R922" s="16">
        <f t="shared" si="134"/>
        <v>75849</v>
      </c>
      <c r="S922" s="448">
        <f t="shared" si="136"/>
        <v>86.719259132224309</v>
      </c>
    </row>
    <row r="923" spans="2:19" x14ac:dyDescent="0.2">
      <c r="B923" s="6">
        <f t="shared" si="137"/>
        <v>421</v>
      </c>
      <c r="C923" s="12"/>
      <c r="D923" s="12"/>
      <c r="E923" s="12"/>
      <c r="F923" s="13" t="s">
        <v>116</v>
      </c>
      <c r="G923" s="14">
        <v>630</v>
      </c>
      <c r="H923" s="12" t="s">
        <v>118</v>
      </c>
      <c r="I923" s="15">
        <f>SUM(I924:I929)</f>
        <v>53941</v>
      </c>
      <c r="J923" s="15">
        <f>SUM(J924:J929)</f>
        <v>48897</v>
      </c>
      <c r="K923" s="397">
        <f t="shared" si="140"/>
        <v>90.649042472330876</v>
      </c>
      <c r="L923" s="15"/>
      <c r="M923" s="15"/>
      <c r="N923" s="15"/>
      <c r="O923" s="397"/>
      <c r="P923" s="15"/>
      <c r="Q923" s="16">
        <f t="shared" si="133"/>
        <v>53941</v>
      </c>
      <c r="R923" s="16">
        <f t="shared" si="134"/>
        <v>48897</v>
      </c>
      <c r="S923" s="448">
        <f t="shared" si="136"/>
        <v>90.649042472330876</v>
      </c>
    </row>
    <row r="924" spans="2:19" x14ac:dyDescent="0.2">
      <c r="B924" s="6">
        <f t="shared" si="137"/>
        <v>422</v>
      </c>
      <c r="C924" s="17"/>
      <c r="D924" s="17"/>
      <c r="E924" s="17"/>
      <c r="F924" s="18"/>
      <c r="G924" s="19">
        <v>632</v>
      </c>
      <c r="H924" s="17" t="s">
        <v>131</v>
      </c>
      <c r="I924" s="20">
        <f>24470-2100</f>
        <v>22370</v>
      </c>
      <c r="J924" s="20">
        <v>17526</v>
      </c>
      <c r="K924" s="397">
        <f t="shared" si="140"/>
        <v>78.345999105945467</v>
      </c>
      <c r="L924" s="20"/>
      <c r="M924" s="20"/>
      <c r="N924" s="20"/>
      <c r="O924" s="397"/>
      <c r="P924" s="20"/>
      <c r="Q924" s="21">
        <f t="shared" si="133"/>
        <v>22370</v>
      </c>
      <c r="R924" s="21">
        <f t="shared" si="134"/>
        <v>17526</v>
      </c>
      <c r="S924" s="448">
        <f t="shared" si="136"/>
        <v>78.345999105945467</v>
      </c>
    </row>
    <row r="925" spans="2:19" x14ac:dyDescent="0.2">
      <c r="B925" s="6">
        <f t="shared" si="137"/>
        <v>423</v>
      </c>
      <c r="C925" s="17"/>
      <c r="D925" s="17"/>
      <c r="E925" s="17"/>
      <c r="F925" s="18"/>
      <c r="G925" s="19">
        <v>633</v>
      </c>
      <c r="H925" s="17" t="s">
        <v>122</v>
      </c>
      <c r="I925" s="20">
        <f>5490+9626</f>
        <v>15116</v>
      </c>
      <c r="J925" s="20">
        <v>15116</v>
      </c>
      <c r="K925" s="397">
        <f t="shared" si="140"/>
        <v>100</v>
      </c>
      <c r="L925" s="20"/>
      <c r="M925" s="20"/>
      <c r="N925" s="20"/>
      <c r="O925" s="397"/>
      <c r="P925" s="20"/>
      <c r="Q925" s="21">
        <f t="shared" si="133"/>
        <v>15116</v>
      </c>
      <c r="R925" s="21">
        <f t="shared" si="134"/>
        <v>15116</v>
      </c>
      <c r="S925" s="448">
        <f t="shared" si="136"/>
        <v>100</v>
      </c>
    </row>
    <row r="926" spans="2:19" x14ac:dyDescent="0.2">
      <c r="B926" s="6">
        <f t="shared" si="137"/>
        <v>424</v>
      </c>
      <c r="C926" s="17"/>
      <c r="D926" s="17"/>
      <c r="E926" s="17"/>
      <c r="F926" s="18"/>
      <c r="G926" s="19">
        <v>634</v>
      </c>
      <c r="H926" s="17" t="s">
        <v>129</v>
      </c>
      <c r="I926" s="20">
        <v>1200</v>
      </c>
      <c r="J926" s="20">
        <v>1000</v>
      </c>
      <c r="K926" s="397">
        <f t="shared" si="140"/>
        <v>83.333333333333343</v>
      </c>
      <c r="L926" s="20"/>
      <c r="M926" s="20"/>
      <c r="N926" s="20"/>
      <c r="O926" s="397"/>
      <c r="P926" s="20"/>
      <c r="Q926" s="21">
        <f t="shared" si="133"/>
        <v>1200</v>
      </c>
      <c r="R926" s="21">
        <f t="shared" si="134"/>
        <v>1000</v>
      </c>
      <c r="S926" s="448">
        <f t="shared" si="136"/>
        <v>83.333333333333343</v>
      </c>
    </row>
    <row r="927" spans="2:19" x14ac:dyDescent="0.2">
      <c r="B927" s="6">
        <f t="shared" si="137"/>
        <v>425</v>
      </c>
      <c r="C927" s="17"/>
      <c r="D927" s="17"/>
      <c r="E927" s="17"/>
      <c r="F927" s="18"/>
      <c r="G927" s="19">
        <v>635</v>
      </c>
      <c r="H927" s="17" t="s">
        <v>130</v>
      </c>
      <c r="I927" s="20">
        <v>2212</v>
      </c>
      <c r="J927" s="20">
        <v>2212</v>
      </c>
      <c r="K927" s="397">
        <f t="shared" si="140"/>
        <v>100</v>
      </c>
      <c r="L927" s="20"/>
      <c r="M927" s="20"/>
      <c r="N927" s="20"/>
      <c r="O927" s="397"/>
      <c r="P927" s="20"/>
      <c r="Q927" s="21">
        <f t="shared" si="133"/>
        <v>2212</v>
      </c>
      <c r="R927" s="21">
        <f t="shared" si="134"/>
        <v>2212</v>
      </c>
      <c r="S927" s="448">
        <f t="shared" si="136"/>
        <v>100</v>
      </c>
    </row>
    <row r="928" spans="2:19" x14ac:dyDescent="0.2">
      <c r="B928" s="6">
        <f t="shared" si="137"/>
        <v>426</v>
      </c>
      <c r="C928" s="17"/>
      <c r="D928" s="17"/>
      <c r="E928" s="17"/>
      <c r="F928" s="18"/>
      <c r="G928" s="19">
        <v>636</v>
      </c>
      <c r="H928" s="17" t="s">
        <v>123</v>
      </c>
      <c r="I928" s="20">
        <v>100</v>
      </c>
      <c r="J928" s="20">
        <v>100</v>
      </c>
      <c r="K928" s="397">
        <f t="shared" si="140"/>
        <v>100</v>
      </c>
      <c r="L928" s="20"/>
      <c r="M928" s="20"/>
      <c r="N928" s="20"/>
      <c r="O928" s="397"/>
      <c r="P928" s="20"/>
      <c r="Q928" s="21">
        <f t="shared" si="133"/>
        <v>100</v>
      </c>
      <c r="R928" s="21">
        <f t="shared" si="134"/>
        <v>100</v>
      </c>
      <c r="S928" s="448">
        <f t="shared" si="136"/>
        <v>100</v>
      </c>
    </row>
    <row r="929" spans="2:19" x14ac:dyDescent="0.2">
      <c r="B929" s="6">
        <f t="shared" si="137"/>
        <v>427</v>
      </c>
      <c r="C929" s="17"/>
      <c r="D929" s="17"/>
      <c r="E929" s="17"/>
      <c r="F929" s="18"/>
      <c r="G929" s="19">
        <v>637</v>
      </c>
      <c r="H929" s="17" t="s">
        <v>119</v>
      </c>
      <c r="I929" s="20">
        <f>11769+1174</f>
        <v>12943</v>
      </c>
      <c r="J929" s="20">
        <v>12943</v>
      </c>
      <c r="K929" s="397">
        <f t="shared" si="140"/>
        <v>100</v>
      </c>
      <c r="L929" s="20"/>
      <c r="M929" s="20"/>
      <c r="N929" s="20"/>
      <c r="O929" s="397"/>
      <c r="P929" s="20"/>
      <c r="Q929" s="21">
        <f t="shared" si="133"/>
        <v>12943</v>
      </c>
      <c r="R929" s="21">
        <f t="shared" si="134"/>
        <v>12943</v>
      </c>
      <c r="S929" s="448">
        <f t="shared" si="136"/>
        <v>100</v>
      </c>
    </row>
    <row r="930" spans="2:19" x14ac:dyDescent="0.2">
      <c r="B930" s="6">
        <f t="shared" si="137"/>
        <v>428</v>
      </c>
      <c r="C930" s="12"/>
      <c r="D930" s="12"/>
      <c r="E930" s="12"/>
      <c r="F930" s="13" t="s">
        <v>116</v>
      </c>
      <c r="G930" s="14">
        <v>640</v>
      </c>
      <c r="H930" s="12" t="s">
        <v>126</v>
      </c>
      <c r="I930" s="15">
        <f>5200-3160</f>
        <v>2040</v>
      </c>
      <c r="J930" s="15">
        <v>2040</v>
      </c>
      <c r="K930" s="397">
        <f t="shared" si="140"/>
        <v>100</v>
      </c>
      <c r="L930" s="15"/>
      <c r="M930" s="15"/>
      <c r="N930" s="15"/>
      <c r="O930" s="397"/>
      <c r="P930" s="15"/>
      <c r="Q930" s="16">
        <f t="shared" si="133"/>
        <v>2040</v>
      </c>
      <c r="R930" s="16">
        <f t="shared" si="134"/>
        <v>2040</v>
      </c>
      <c r="S930" s="448">
        <f t="shared" si="136"/>
        <v>100</v>
      </c>
    </row>
    <row r="931" spans="2:19" x14ac:dyDescent="0.2">
      <c r="B931" s="6">
        <f t="shared" si="137"/>
        <v>429</v>
      </c>
      <c r="C931" s="12"/>
      <c r="D931" s="12"/>
      <c r="E931" s="12"/>
      <c r="F931" s="13" t="s">
        <v>105</v>
      </c>
      <c r="G931" s="14">
        <v>610</v>
      </c>
      <c r="H931" s="12" t="s">
        <v>128</v>
      </c>
      <c r="I931" s="15">
        <f>379657+259+7387+100+23240+7026</f>
        <v>417669</v>
      </c>
      <c r="J931" s="15">
        <v>400329</v>
      </c>
      <c r="K931" s="397">
        <f t="shared" si="140"/>
        <v>95.848387119944263</v>
      </c>
      <c r="L931" s="15"/>
      <c r="M931" s="15"/>
      <c r="N931" s="15"/>
      <c r="O931" s="397"/>
      <c r="P931" s="15"/>
      <c r="Q931" s="16">
        <f t="shared" si="133"/>
        <v>417669</v>
      </c>
      <c r="R931" s="16">
        <f t="shared" si="134"/>
        <v>400329</v>
      </c>
      <c r="S931" s="448">
        <f t="shared" si="136"/>
        <v>95.848387119944263</v>
      </c>
    </row>
    <row r="932" spans="2:19" x14ac:dyDescent="0.2">
      <c r="B932" s="6">
        <f t="shared" si="137"/>
        <v>430</v>
      </c>
      <c r="C932" s="12"/>
      <c r="D932" s="12"/>
      <c r="E932" s="12"/>
      <c r="F932" s="13" t="s">
        <v>105</v>
      </c>
      <c r="G932" s="14">
        <v>620</v>
      </c>
      <c r="H932" s="12" t="s">
        <v>121</v>
      </c>
      <c r="I932" s="15">
        <f>134317+91+2587+35+8210+2571</f>
        <v>147811</v>
      </c>
      <c r="J932" s="15">
        <v>142016</v>
      </c>
      <c r="K932" s="397">
        <f t="shared" si="140"/>
        <v>96.079452814743149</v>
      </c>
      <c r="L932" s="15"/>
      <c r="M932" s="15"/>
      <c r="N932" s="15"/>
      <c r="O932" s="397"/>
      <c r="P932" s="15"/>
      <c r="Q932" s="16">
        <f t="shared" si="133"/>
        <v>147811</v>
      </c>
      <c r="R932" s="16">
        <f t="shared" si="134"/>
        <v>142016</v>
      </c>
      <c r="S932" s="448">
        <f t="shared" si="136"/>
        <v>96.079452814743149</v>
      </c>
    </row>
    <row r="933" spans="2:19" x14ac:dyDescent="0.2">
      <c r="B933" s="6">
        <f t="shared" si="137"/>
        <v>431</v>
      </c>
      <c r="C933" s="12"/>
      <c r="D933" s="12"/>
      <c r="E933" s="12"/>
      <c r="F933" s="13" t="s">
        <v>105</v>
      </c>
      <c r="G933" s="14">
        <v>630</v>
      </c>
      <c r="H933" s="12" t="s">
        <v>118</v>
      </c>
      <c r="I933" s="15">
        <f>SUM(I934:I937)</f>
        <v>177288</v>
      </c>
      <c r="J933" s="15">
        <f>SUM(J934:J937)</f>
        <v>145711</v>
      </c>
      <c r="K933" s="397">
        <f t="shared" si="140"/>
        <v>82.188867830874059</v>
      </c>
      <c r="L933" s="15"/>
      <c r="M933" s="15"/>
      <c r="N933" s="15"/>
      <c r="O933" s="397"/>
      <c r="P933" s="15"/>
      <c r="Q933" s="16">
        <f t="shared" si="133"/>
        <v>177288</v>
      </c>
      <c r="R933" s="16">
        <f t="shared" si="134"/>
        <v>145711</v>
      </c>
      <c r="S933" s="448">
        <f t="shared" si="136"/>
        <v>82.188867830874059</v>
      </c>
    </row>
    <row r="934" spans="2:19" x14ac:dyDescent="0.2">
      <c r="B934" s="6">
        <f t="shared" si="137"/>
        <v>432</v>
      </c>
      <c r="C934" s="17"/>
      <c r="D934" s="17"/>
      <c r="E934" s="17"/>
      <c r="F934" s="18"/>
      <c r="G934" s="19">
        <v>632</v>
      </c>
      <c r="H934" s="17" t="s">
        <v>131</v>
      </c>
      <c r="I934" s="20">
        <f>59800+13455</f>
        <v>73255</v>
      </c>
      <c r="J934" s="20">
        <v>47000</v>
      </c>
      <c r="K934" s="397">
        <f t="shared" si="140"/>
        <v>64.15944304143062</v>
      </c>
      <c r="L934" s="20"/>
      <c r="M934" s="20"/>
      <c r="N934" s="20"/>
      <c r="O934" s="397"/>
      <c r="P934" s="20"/>
      <c r="Q934" s="21">
        <f t="shared" si="133"/>
        <v>73255</v>
      </c>
      <c r="R934" s="21">
        <f t="shared" si="134"/>
        <v>47000</v>
      </c>
      <c r="S934" s="448">
        <f t="shared" si="136"/>
        <v>64.15944304143062</v>
      </c>
    </row>
    <row r="935" spans="2:19" x14ac:dyDescent="0.2">
      <c r="B935" s="6">
        <f t="shared" si="137"/>
        <v>433</v>
      </c>
      <c r="C935" s="17"/>
      <c r="D935" s="17"/>
      <c r="E935" s="17"/>
      <c r="F935" s="18"/>
      <c r="G935" s="19">
        <v>633</v>
      </c>
      <c r="H935" s="17" t="s">
        <v>122</v>
      </c>
      <c r="I935" s="20">
        <f>8120+1000+3500+384</f>
        <v>13004</v>
      </c>
      <c r="J935" s="20">
        <v>13004</v>
      </c>
      <c r="K935" s="397">
        <f t="shared" si="140"/>
        <v>100</v>
      </c>
      <c r="L935" s="20"/>
      <c r="M935" s="20"/>
      <c r="N935" s="20"/>
      <c r="O935" s="397"/>
      <c r="P935" s="20"/>
      <c r="Q935" s="21">
        <f t="shared" si="133"/>
        <v>13004</v>
      </c>
      <c r="R935" s="21">
        <f t="shared" si="134"/>
        <v>13004</v>
      </c>
      <c r="S935" s="448">
        <f t="shared" si="136"/>
        <v>100</v>
      </c>
    </row>
    <row r="936" spans="2:19" x14ac:dyDescent="0.2">
      <c r="B936" s="6">
        <f t="shared" si="137"/>
        <v>434</v>
      </c>
      <c r="C936" s="17"/>
      <c r="D936" s="17"/>
      <c r="E936" s="17"/>
      <c r="F936" s="18"/>
      <c r="G936" s="19">
        <v>635</v>
      </c>
      <c r="H936" s="17" t="s">
        <v>130</v>
      </c>
      <c r="I936" s="20">
        <f>26650+41300</f>
        <v>67950</v>
      </c>
      <c r="J936" s="20">
        <v>67950</v>
      </c>
      <c r="K936" s="397">
        <f t="shared" si="140"/>
        <v>100</v>
      </c>
      <c r="L936" s="20"/>
      <c r="M936" s="20"/>
      <c r="N936" s="20"/>
      <c r="O936" s="397"/>
      <c r="P936" s="20"/>
      <c r="Q936" s="21">
        <f t="shared" si="133"/>
        <v>67950</v>
      </c>
      <c r="R936" s="21">
        <f t="shared" si="134"/>
        <v>67950</v>
      </c>
      <c r="S936" s="448">
        <f t="shared" si="136"/>
        <v>100</v>
      </c>
    </row>
    <row r="937" spans="2:19" x14ac:dyDescent="0.2">
      <c r="B937" s="6">
        <f t="shared" si="137"/>
        <v>435</v>
      </c>
      <c r="C937" s="17"/>
      <c r="D937" s="17"/>
      <c r="E937" s="17"/>
      <c r="F937" s="18"/>
      <c r="G937" s="19">
        <v>637</v>
      </c>
      <c r="H937" s="17" t="s">
        <v>119</v>
      </c>
      <c r="I937" s="20">
        <f>21179+1900</f>
        <v>23079</v>
      </c>
      <c r="J937" s="20">
        <v>17757</v>
      </c>
      <c r="K937" s="397">
        <f t="shared" si="140"/>
        <v>76.940075393214613</v>
      </c>
      <c r="L937" s="20"/>
      <c r="M937" s="20"/>
      <c r="N937" s="20"/>
      <c r="O937" s="397"/>
      <c r="P937" s="20"/>
      <c r="Q937" s="21">
        <f t="shared" ref="Q937:Q1000" si="141">I937+M937</f>
        <v>23079</v>
      </c>
      <c r="R937" s="21">
        <f t="shared" ref="R937:R1000" si="142">J937+N937</f>
        <v>17757</v>
      </c>
      <c r="S937" s="448">
        <f t="shared" si="136"/>
        <v>76.940075393214613</v>
      </c>
    </row>
    <row r="938" spans="2:19" x14ac:dyDescent="0.2">
      <c r="B938" s="6">
        <f t="shared" si="137"/>
        <v>436</v>
      </c>
      <c r="C938" s="12"/>
      <c r="D938" s="12"/>
      <c r="E938" s="12"/>
      <c r="F938" s="13" t="s">
        <v>105</v>
      </c>
      <c r="G938" s="14">
        <v>640</v>
      </c>
      <c r="H938" s="12" t="s">
        <v>126</v>
      </c>
      <c r="I938" s="15">
        <f>2822-1776</f>
        <v>1046</v>
      </c>
      <c r="J938" s="15">
        <v>1046</v>
      </c>
      <c r="K938" s="397">
        <f t="shared" si="140"/>
        <v>100</v>
      </c>
      <c r="L938" s="15"/>
      <c r="M938" s="15"/>
      <c r="N938" s="15"/>
      <c r="O938" s="397"/>
      <c r="P938" s="15"/>
      <c r="Q938" s="16">
        <f t="shared" si="141"/>
        <v>1046</v>
      </c>
      <c r="R938" s="16">
        <f t="shared" si="142"/>
        <v>1046</v>
      </c>
      <c r="S938" s="448">
        <f t="shared" si="136"/>
        <v>100</v>
      </c>
    </row>
    <row r="939" spans="2:19" x14ac:dyDescent="0.2">
      <c r="B939" s="6">
        <f t="shared" si="137"/>
        <v>437</v>
      </c>
      <c r="C939" s="12"/>
      <c r="D939" s="12"/>
      <c r="E939" s="12"/>
      <c r="F939" s="13" t="s">
        <v>105</v>
      </c>
      <c r="G939" s="14">
        <v>630</v>
      </c>
      <c r="H939" s="12" t="s">
        <v>647</v>
      </c>
      <c r="I939" s="15">
        <v>16669</v>
      </c>
      <c r="J939" s="15">
        <v>16669</v>
      </c>
      <c r="K939" s="397">
        <f t="shared" si="140"/>
        <v>100</v>
      </c>
      <c r="L939" s="15"/>
      <c r="M939" s="15"/>
      <c r="N939" s="15"/>
      <c r="O939" s="397"/>
      <c r="P939" s="15"/>
      <c r="Q939" s="16">
        <f t="shared" si="141"/>
        <v>16669</v>
      </c>
      <c r="R939" s="16">
        <f t="shared" si="142"/>
        <v>16669</v>
      </c>
      <c r="S939" s="448">
        <f t="shared" si="136"/>
        <v>100</v>
      </c>
    </row>
    <row r="940" spans="2:19" x14ac:dyDescent="0.2">
      <c r="B940" s="6">
        <f t="shared" si="137"/>
        <v>438</v>
      </c>
      <c r="C940" s="12"/>
      <c r="D940" s="12"/>
      <c r="E940" s="12"/>
      <c r="F940" s="13" t="s">
        <v>105</v>
      </c>
      <c r="G940" s="14">
        <v>710</v>
      </c>
      <c r="H940" s="12" t="s">
        <v>172</v>
      </c>
      <c r="I940" s="15"/>
      <c r="J940" s="15"/>
      <c r="K940" s="397"/>
      <c r="L940" s="15"/>
      <c r="M940" s="15">
        <f>M941+M943</f>
        <v>28100</v>
      </c>
      <c r="N940" s="15">
        <f>N941+N943</f>
        <v>27366</v>
      </c>
      <c r="O940" s="397">
        <f t="shared" ref="O940:O945" si="143">N940/M940*100</f>
        <v>97.387900355871878</v>
      </c>
      <c r="P940" s="15"/>
      <c r="Q940" s="16">
        <f t="shared" si="141"/>
        <v>28100</v>
      </c>
      <c r="R940" s="16">
        <f t="shared" si="142"/>
        <v>27366</v>
      </c>
      <c r="S940" s="448">
        <f t="shared" si="136"/>
        <v>97.387900355871878</v>
      </c>
    </row>
    <row r="941" spans="2:19" x14ac:dyDescent="0.2">
      <c r="B941" s="6">
        <f t="shared" si="137"/>
        <v>439</v>
      </c>
      <c r="C941" s="12"/>
      <c r="D941" s="12"/>
      <c r="E941" s="12"/>
      <c r="F941" s="13"/>
      <c r="G941" s="19">
        <v>716</v>
      </c>
      <c r="H941" s="17" t="s">
        <v>213</v>
      </c>
      <c r="I941" s="20"/>
      <c r="J941" s="20"/>
      <c r="K941" s="397"/>
      <c r="L941" s="15"/>
      <c r="M941" s="20">
        <f>M942</f>
        <v>3100</v>
      </c>
      <c r="N941" s="20">
        <f>N942</f>
        <v>3063</v>
      </c>
      <c r="O941" s="397">
        <f t="shared" si="143"/>
        <v>98.806451612903217</v>
      </c>
      <c r="P941" s="15"/>
      <c r="Q941" s="21">
        <f t="shared" si="141"/>
        <v>3100</v>
      </c>
      <c r="R941" s="21">
        <f t="shared" si="142"/>
        <v>3063</v>
      </c>
      <c r="S941" s="448">
        <f t="shared" si="136"/>
        <v>98.806451612903217</v>
      </c>
    </row>
    <row r="942" spans="2:19" ht="24" x14ac:dyDescent="0.2">
      <c r="B942" s="6">
        <f t="shared" si="137"/>
        <v>440</v>
      </c>
      <c r="C942" s="12"/>
      <c r="D942" s="12"/>
      <c r="E942" s="12"/>
      <c r="F942" s="13"/>
      <c r="G942" s="23"/>
      <c r="H942" s="336" t="s">
        <v>732</v>
      </c>
      <c r="I942" s="24"/>
      <c r="J942" s="24"/>
      <c r="K942" s="397"/>
      <c r="L942" s="15"/>
      <c r="M942" s="294">
        <v>3100</v>
      </c>
      <c r="N942" s="294">
        <v>3063</v>
      </c>
      <c r="O942" s="398">
        <f t="shared" si="143"/>
        <v>98.806451612903217</v>
      </c>
      <c r="P942" s="15"/>
      <c r="Q942" s="26">
        <f t="shared" si="141"/>
        <v>3100</v>
      </c>
      <c r="R942" s="26">
        <f t="shared" si="142"/>
        <v>3063</v>
      </c>
      <c r="S942" s="448">
        <f t="shared" si="136"/>
        <v>98.806451612903217</v>
      </c>
    </row>
    <row r="943" spans="2:19" x14ac:dyDescent="0.2">
      <c r="B943" s="6">
        <f t="shared" si="137"/>
        <v>441</v>
      </c>
      <c r="C943" s="17"/>
      <c r="D943" s="17"/>
      <c r="E943" s="17"/>
      <c r="F943" s="18"/>
      <c r="G943" s="19">
        <v>717</v>
      </c>
      <c r="H943" s="17" t="s">
        <v>179</v>
      </c>
      <c r="I943" s="20"/>
      <c r="J943" s="20"/>
      <c r="K943" s="397"/>
      <c r="L943" s="20"/>
      <c r="M943" s="20">
        <f>M944</f>
        <v>25000</v>
      </c>
      <c r="N943" s="20">
        <f>N944</f>
        <v>24303</v>
      </c>
      <c r="O943" s="397">
        <f t="shared" si="143"/>
        <v>97.212000000000003</v>
      </c>
      <c r="P943" s="20"/>
      <c r="Q943" s="21">
        <f t="shared" si="141"/>
        <v>25000</v>
      </c>
      <c r="R943" s="21">
        <f t="shared" si="142"/>
        <v>24303</v>
      </c>
      <c r="S943" s="448">
        <f t="shared" si="136"/>
        <v>97.212000000000003</v>
      </c>
    </row>
    <row r="944" spans="2:19" ht="24" x14ac:dyDescent="0.2">
      <c r="B944" s="6">
        <f t="shared" si="137"/>
        <v>442</v>
      </c>
      <c r="C944" s="17"/>
      <c r="D944" s="17"/>
      <c r="E944" s="17"/>
      <c r="F944" s="18"/>
      <c r="G944" s="19"/>
      <c r="H944" s="336" t="s">
        <v>732</v>
      </c>
      <c r="I944" s="24"/>
      <c r="J944" s="24"/>
      <c r="K944" s="397"/>
      <c r="L944" s="24"/>
      <c r="M944" s="24">
        <v>25000</v>
      </c>
      <c r="N944" s="24">
        <v>24303</v>
      </c>
      <c r="O944" s="397">
        <f t="shared" si="143"/>
        <v>97.212000000000003</v>
      </c>
      <c r="P944" s="24"/>
      <c r="Q944" s="26">
        <f t="shared" si="141"/>
        <v>25000</v>
      </c>
      <c r="R944" s="26">
        <f t="shared" si="142"/>
        <v>24303</v>
      </c>
      <c r="S944" s="448">
        <f t="shared" si="136"/>
        <v>97.212000000000003</v>
      </c>
    </row>
    <row r="945" spans="2:19" ht="15" x14ac:dyDescent="0.2">
      <c r="B945" s="6">
        <f t="shared" si="137"/>
        <v>443</v>
      </c>
      <c r="C945" s="9">
        <v>3</v>
      </c>
      <c r="D945" s="637" t="s">
        <v>156</v>
      </c>
      <c r="E945" s="638"/>
      <c r="F945" s="638"/>
      <c r="G945" s="638"/>
      <c r="H945" s="638"/>
      <c r="I945" s="10">
        <f>I946+I956+I968+I978+I986+I995+I1004+I1013+I1022+I1031+I1040</f>
        <v>5901583</v>
      </c>
      <c r="J945" s="10">
        <f>J946+J956+J968+J978+J986+J995+J1004+J1013+J1022+J1031+J1040</f>
        <v>5813641</v>
      </c>
      <c r="K945" s="395">
        <f t="shared" ref="K945:K976" si="144">J945/I945*100</f>
        <v>98.509857439944497</v>
      </c>
      <c r="L945" s="312"/>
      <c r="M945" s="10">
        <f>M956+M968+M978+M986+M995+M1004+M1013+M1022+M1031+M1040</f>
        <v>38600</v>
      </c>
      <c r="N945" s="10">
        <f>N956+N968+N978+N986+N995+N1004+N1013+N1022+N1031+N1040</f>
        <v>38600</v>
      </c>
      <c r="O945" s="395">
        <f t="shared" si="143"/>
        <v>100</v>
      </c>
      <c r="P945" s="312"/>
      <c r="Q945" s="31">
        <f t="shared" si="141"/>
        <v>5940183</v>
      </c>
      <c r="R945" s="31">
        <f t="shared" si="142"/>
        <v>5852241</v>
      </c>
      <c r="S945" s="449">
        <f t="shared" si="136"/>
        <v>98.519540559609027</v>
      </c>
    </row>
    <row r="946" spans="2:19" x14ac:dyDescent="0.2">
      <c r="B946" s="6">
        <f t="shared" si="137"/>
        <v>444</v>
      </c>
      <c r="C946" s="12"/>
      <c r="D946" s="12"/>
      <c r="E946" s="12"/>
      <c r="F946" s="13" t="s">
        <v>155</v>
      </c>
      <c r="G946" s="14">
        <v>640</v>
      </c>
      <c r="H946" s="12" t="s">
        <v>126</v>
      </c>
      <c r="I946" s="15">
        <f>SUM(I947:I955)</f>
        <v>1062537</v>
      </c>
      <c r="J946" s="15">
        <f>SUM(J947:J955)</f>
        <v>1062537</v>
      </c>
      <c r="K946" s="397">
        <f t="shared" si="144"/>
        <v>100</v>
      </c>
      <c r="L946" s="15"/>
      <c r="M946" s="15"/>
      <c r="N946" s="15"/>
      <c r="O946" s="397"/>
      <c r="P946" s="15"/>
      <c r="Q946" s="16">
        <f t="shared" si="141"/>
        <v>1062537</v>
      </c>
      <c r="R946" s="16">
        <f t="shared" si="142"/>
        <v>1062537</v>
      </c>
      <c r="S946" s="448">
        <f t="shared" si="136"/>
        <v>100</v>
      </c>
    </row>
    <row r="947" spans="2:19" x14ac:dyDescent="0.2">
      <c r="B947" s="6">
        <f t="shared" si="137"/>
        <v>445</v>
      </c>
      <c r="C947" s="12"/>
      <c r="D947" s="12"/>
      <c r="E947" s="12"/>
      <c r="F947" s="13"/>
      <c r="G947" s="14"/>
      <c r="H947" s="1" t="s">
        <v>612</v>
      </c>
      <c r="I947" s="24">
        <f>3044+2</f>
        <v>3046</v>
      </c>
      <c r="J947" s="24">
        <v>3046</v>
      </c>
      <c r="K947" s="397">
        <f t="shared" si="144"/>
        <v>100</v>
      </c>
      <c r="L947" s="24"/>
      <c r="M947" s="24"/>
      <c r="N947" s="24"/>
      <c r="O947" s="397"/>
      <c r="P947" s="24"/>
      <c r="Q947" s="26">
        <f t="shared" si="141"/>
        <v>3046</v>
      </c>
      <c r="R947" s="26">
        <f t="shared" si="142"/>
        <v>3046</v>
      </c>
      <c r="S947" s="448">
        <f t="shared" si="136"/>
        <v>100</v>
      </c>
    </row>
    <row r="948" spans="2:19" x14ac:dyDescent="0.2">
      <c r="B948" s="6">
        <f t="shared" si="137"/>
        <v>446</v>
      </c>
      <c r="C948" s="22"/>
      <c r="D948" s="22"/>
      <c r="E948" s="22"/>
      <c r="F948" s="23"/>
      <c r="G948" s="23"/>
      <c r="H948" s="1" t="s">
        <v>361</v>
      </c>
      <c r="I948" s="24">
        <f>8030-89</f>
        <v>7941</v>
      </c>
      <c r="J948" s="24">
        <v>7941</v>
      </c>
      <c r="K948" s="397">
        <f t="shared" si="144"/>
        <v>100</v>
      </c>
      <c r="L948" s="24"/>
      <c r="M948" s="24"/>
      <c r="N948" s="24"/>
      <c r="O948" s="397"/>
      <c r="P948" s="24"/>
      <c r="Q948" s="26">
        <f t="shared" si="141"/>
        <v>7941</v>
      </c>
      <c r="R948" s="26">
        <f t="shared" si="142"/>
        <v>7941</v>
      </c>
      <c r="S948" s="448">
        <f t="shared" si="136"/>
        <v>100</v>
      </c>
    </row>
    <row r="949" spans="2:19" x14ac:dyDescent="0.2">
      <c r="B949" s="6">
        <f t="shared" si="137"/>
        <v>447</v>
      </c>
      <c r="C949" s="22"/>
      <c r="D949" s="22"/>
      <c r="E949" s="22"/>
      <c r="F949" s="23"/>
      <c r="G949" s="23"/>
      <c r="H949" s="1" t="s">
        <v>362</v>
      </c>
      <c r="I949" s="24">
        <f>45000-499</f>
        <v>44501</v>
      </c>
      <c r="J949" s="24">
        <v>44501</v>
      </c>
      <c r="K949" s="397">
        <f t="shared" si="144"/>
        <v>100</v>
      </c>
      <c r="L949" s="24"/>
      <c r="M949" s="24"/>
      <c r="N949" s="24"/>
      <c r="O949" s="397"/>
      <c r="P949" s="24"/>
      <c r="Q949" s="26">
        <f t="shared" si="141"/>
        <v>44501</v>
      </c>
      <c r="R949" s="26">
        <f t="shared" si="142"/>
        <v>44501</v>
      </c>
      <c r="S949" s="448">
        <f t="shared" si="136"/>
        <v>100</v>
      </c>
    </row>
    <row r="950" spans="2:19" x14ac:dyDescent="0.2">
      <c r="B950" s="6">
        <f t="shared" si="137"/>
        <v>448</v>
      </c>
      <c r="C950" s="22"/>
      <c r="D950" s="22"/>
      <c r="E950" s="22"/>
      <c r="F950" s="23"/>
      <c r="G950" s="23"/>
      <c r="H950" s="1" t="s">
        <v>363</v>
      </c>
      <c r="I950" s="24">
        <f>66000-732</f>
        <v>65268</v>
      </c>
      <c r="J950" s="24">
        <v>65268</v>
      </c>
      <c r="K950" s="397">
        <f t="shared" si="144"/>
        <v>100</v>
      </c>
      <c r="L950" s="24"/>
      <c r="M950" s="24"/>
      <c r="N950" s="24"/>
      <c r="O950" s="397"/>
      <c r="P950" s="24"/>
      <c r="Q950" s="26">
        <f t="shared" si="141"/>
        <v>65268</v>
      </c>
      <c r="R950" s="26">
        <f t="shared" si="142"/>
        <v>65268</v>
      </c>
      <c r="S950" s="448">
        <f t="shared" si="136"/>
        <v>100</v>
      </c>
    </row>
    <row r="951" spans="2:19" x14ac:dyDescent="0.2">
      <c r="B951" s="6">
        <f t="shared" si="137"/>
        <v>449</v>
      </c>
      <c r="C951" s="22"/>
      <c r="D951" s="22"/>
      <c r="E951" s="22"/>
      <c r="F951" s="23"/>
      <c r="G951" s="23"/>
      <c r="H951" s="1" t="s">
        <v>364</v>
      </c>
      <c r="I951" s="24">
        <f>185520-2059</f>
        <v>183461</v>
      </c>
      <c r="J951" s="24">
        <v>183461</v>
      </c>
      <c r="K951" s="397">
        <f t="shared" si="144"/>
        <v>100</v>
      </c>
      <c r="L951" s="24"/>
      <c r="M951" s="24"/>
      <c r="N951" s="24"/>
      <c r="O951" s="397"/>
      <c r="P951" s="24"/>
      <c r="Q951" s="26">
        <f t="shared" si="141"/>
        <v>183461</v>
      </c>
      <c r="R951" s="26">
        <f t="shared" si="142"/>
        <v>183461</v>
      </c>
      <c r="S951" s="448">
        <f t="shared" ref="S951:S1014" si="145">R951/Q951*100</f>
        <v>100</v>
      </c>
    </row>
    <row r="952" spans="2:19" x14ac:dyDescent="0.2">
      <c r="B952" s="6">
        <f t="shared" ref="B952:B1015" si="146">B951+1</f>
        <v>450</v>
      </c>
      <c r="C952" s="22"/>
      <c r="D952" s="22"/>
      <c r="E952" s="22"/>
      <c r="F952" s="23"/>
      <c r="G952" s="23"/>
      <c r="H952" s="1" t="s">
        <v>365</v>
      </c>
      <c r="I952" s="24">
        <f>654660-7266</f>
        <v>647394</v>
      </c>
      <c r="J952" s="24">
        <v>647394</v>
      </c>
      <c r="K952" s="397">
        <f t="shared" si="144"/>
        <v>100</v>
      </c>
      <c r="L952" s="24"/>
      <c r="M952" s="24"/>
      <c r="N952" s="24"/>
      <c r="O952" s="397"/>
      <c r="P952" s="24"/>
      <c r="Q952" s="26">
        <f t="shared" si="141"/>
        <v>647394</v>
      </c>
      <c r="R952" s="26">
        <f t="shared" si="142"/>
        <v>647394</v>
      </c>
      <c r="S952" s="448">
        <f t="shared" si="145"/>
        <v>100</v>
      </c>
    </row>
    <row r="953" spans="2:19" x14ac:dyDescent="0.2">
      <c r="B953" s="6">
        <f t="shared" si="146"/>
        <v>451</v>
      </c>
      <c r="C953" s="22"/>
      <c r="D953" s="22"/>
      <c r="E953" s="22"/>
      <c r="F953" s="23"/>
      <c r="G953" s="23"/>
      <c r="H953" s="1" t="s">
        <v>366</v>
      </c>
      <c r="I953" s="24">
        <f>29490-327</f>
        <v>29163</v>
      </c>
      <c r="J953" s="24">
        <v>29163</v>
      </c>
      <c r="K953" s="397">
        <f t="shared" si="144"/>
        <v>100</v>
      </c>
      <c r="L953" s="24"/>
      <c r="M953" s="24"/>
      <c r="N953" s="24"/>
      <c r="O953" s="397"/>
      <c r="P953" s="24"/>
      <c r="Q953" s="26">
        <f t="shared" si="141"/>
        <v>29163</v>
      </c>
      <c r="R953" s="26">
        <f t="shared" si="142"/>
        <v>29163</v>
      </c>
      <c r="S953" s="448">
        <f t="shared" si="145"/>
        <v>100</v>
      </c>
    </row>
    <row r="954" spans="2:19" x14ac:dyDescent="0.2">
      <c r="B954" s="6">
        <f t="shared" si="146"/>
        <v>452</v>
      </c>
      <c r="C954" s="22"/>
      <c r="D954" s="22"/>
      <c r="E954" s="22"/>
      <c r="F954" s="23"/>
      <c r="G954" s="23"/>
      <c r="H954" s="1" t="s">
        <v>286</v>
      </c>
      <c r="I954" s="24">
        <f>17400-193</f>
        <v>17207</v>
      </c>
      <c r="J954" s="24">
        <v>17207</v>
      </c>
      <c r="K954" s="397">
        <f t="shared" si="144"/>
        <v>100</v>
      </c>
      <c r="L954" s="24"/>
      <c r="M954" s="24"/>
      <c r="N954" s="24"/>
      <c r="O954" s="397"/>
      <c r="P954" s="24"/>
      <c r="Q954" s="26">
        <f t="shared" si="141"/>
        <v>17207</v>
      </c>
      <c r="R954" s="26">
        <f t="shared" si="142"/>
        <v>17207</v>
      </c>
      <c r="S954" s="448">
        <f t="shared" si="145"/>
        <v>100</v>
      </c>
    </row>
    <row r="955" spans="2:19" x14ac:dyDescent="0.2">
      <c r="B955" s="6">
        <f t="shared" si="146"/>
        <v>453</v>
      </c>
      <c r="C955" s="22"/>
      <c r="D955" s="22"/>
      <c r="E955" s="22"/>
      <c r="F955" s="23"/>
      <c r="G955" s="23"/>
      <c r="H955" s="1" t="s">
        <v>367</v>
      </c>
      <c r="I955" s="24">
        <f>65280-724</f>
        <v>64556</v>
      </c>
      <c r="J955" s="24">
        <v>64556</v>
      </c>
      <c r="K955" s="397">
        <f t="shared" si="144"/>
        <v>100</v>
      </c>
      <c r="L955" s="24"/>
      <c r="M955" s="24"/>
      <c r="N955" s="24"/>
      <c r="O955" s="397"/>
      <c r="P955" s="24"/>
      <c r="Q955" s="26">
        <f t="shared" si="141"/>
        <v>64556</v>
      </c>
      <c r="R955" s="26">
        <f t="shared" si="142"/>
        <v>64556</v>
      </c>
      <c r="S955" s="448">
        <f t="shared" si="145"/>
        <v>100</v>
      </c>
    </row>
    <row r="956" spans="2:19" ht="15" x14ac:dyDescent="0.25">
      <c r="B956" s="6">
        <f t="shared" si="146"/>
        <v>454</v>
      </c>
      <c r="C956" s="97"/>
      <c r="D956" s="97"/>
      <c r="E956" s="97">
        <v>1</v>
      </c>
      <c r="F956" s="98"/>
      <c r="G956" s="98"/>
      <c r="H956" s="97" t="s">
        <v>48</v>
      </c>
      <c r="I956" s="99">
        <f>I957+I958+I959+I967</f>
        <v>387811</v>
      </c>
      <c r="J956" s="99">
        <f>J957+J958+J959+J967</f>
        <v>367578</v>
      </c>
      <c r="K956" s="414">
        <f t="shared" si="144"/>
        <v>94.782767894670343</v>
      </c>
      <c r="L956" s="313"/>
      <c r="M956" s="99"/>
      <c r="N956" s="99"/>
      <c r="O956" s="414"/>
      <c r="P956" s="313"/>
      <c r="Q956" s="100">
        <f t="shared" si="141"/>
        <v>387811</v>
      </c>
      <c r="R956" s="100">
        <f t="shared" si="142"/>
        <v>367578</v>
      </c>
      <c r="S956" s="464">
        <f t="shared" si="145"/>
        <v>94.782767894670343</v>
      </c>
    </row>
    <row r="957" spans="2:19" x14ac:dyDescent="0.2">
      <c r="B957" s="6">
        <f t="shared" si="146"/>
        <v>455</v>
      </c>
      <c r="C957" s="12"/>
      <c r="D957" s="12"/>
      <c r="E957" s="12"/>
      <c r="F957" s="13" t="s">
        <v>155</v>
      </c>
      <c r="G957" s="14">
        <v>610</v>
      </c>
      <c r="H957" s="12" t="s">
        <v>128</v>
      </c>
      <c r="I957" s="15">
        <f>193120+100+6000+2807</f>
        <v>202027</v>
      </c>
      <c r="J957" s="15">
        <v>195765</v>
      </c>
      <c r="K957" s="397">
        <f t="shared" si="144"/>
        <v>96.900414301058774</v>
      </c>
      <c r="L957" s="15"/>
      <c r="M957" s="15"/>
      <c r="N957" s="15"/>
      <c r="O957" s="397"/>
      <c r="P957" s="15"/>
      <c r="Q957" s="16">
        <f t="shared" si="141"/>
        <v>202027</v>
      </c>
      <c r="R957" s="16">
        <f t="shared" si="142"/>
        <v>195765</v>
      </c>
      <c r="S957" s="448">
        <f t="shared" si="145"/>
        <v>96.900414301058774</v>
      </c>
    </row>
    <row r="958" spans="2:19" x14ac:dyDescent="0.2">
      <c r="B958" s="6">
        <f t="shared" si="146"/>
        <v>456</v>
      </c>
      <c r="C958" s="12"/>
      <c r="D958" s="12"/>
      <c r="E958" s="12"/>
      <c r="F958" s="13" t="s">
        <v>155</v>
      </c>
      <c r="G958" s="14">
        <v>620</v>
      </c>
      <c r="H958" s="12" t="s">
        <v>121</v>
      </c>
      <c r="I958" s="15">
        <f>73770+35+776+2143+1009+96</f>
        <v>77829</v>
      </c>
      <c r="J958" s="15">
        <v>73245</v>
      </c>
      <c r="K958" s="397">
        <f t="shared" si="144"/>
        <v>94.110164591604672</v>
      </c>
      <c r="L958" s="15"/>
      <c r="M958" s="15"/>
      <c r="N958" s="15"/>
      <c r="O958" s="397"/>
      <c r="P958" s="15"/>
      <c r="Q958" s="16">
        <f t="shared" si="141"/>
        <v>77829</v>
      </c>
      <c r="R958" s="16">
        <f t="shared" si="142"/>
        <v>73245</v>
      </c>
      <c r="S958" s="448">
        <f t="shared" si="145"/>
        <v>94.110164591604672</v>
      </c>
    </row>
    <row r="959" spans="2:19" x14ac:dyDescent="0.2">
      <c r="B959" s="6">
        <f t="shared" si="146"/>
        <v>457</v>
      </c>
      <c r="C959" s="12"/>
      <c r="D959" s="12"/>
      <c r="E959" s="12"/>
      <c r="F959" s="13" t="s">
        <v>155</v>
      </c>
      <c r="G959" s="14">
        <v>630</v>
      </c>
      <c r="H959" s="12" t="s">
        <v>118</v>
      </c>
      <c r="I959" s="15">
        <f>SUM(I960:I966)</f>
        <v>103287</v>
      </c>
      <c r="J959" s="15">
        <f>SUM(J960:J966)</f>
        <v>93912</v>
      </c>
      <c r="K959" s="397">
        <f t="shared" si="144"/>
        <v>90.923349501873417</v>
      </c>
      <c r="L959" s="15"/>
      <c r="M959" s="15"/>
      <c r="N959" s="15"/>
      <c r="O959" s="397"/>
      <c r="P959" s="15"/>
      <c r="Q959" s="16">
        <f t="shared" si="141"/>
        <v>103287</v>
      </c>
      <c r="R959" s="16">
        <f t="shared" si="142"/>
        <v>93912</v>
      </c>
      <c r="S959" s="448">
        <f t="shared" si="145"/>
        <v>90.923349501873417</v>
      </c>
    </row>
    <row r="960" spans="2:19" x14ac:dyDescent="0.2">
      <c r="B960" s="6">
        <f t="shared" si="146"/>
        <v>458</v>
      </c>
      <c r="C960" s="17"/>
      <c r="D960" s="17"/>
      <c r="E960" s="17"/>
      <c r="F960" s="18"/>
      <c r="G960" s="19">
        <v>631</v>
      </c>
      <c r="H960" s="17" t="s">
        <v>124</v>
      </c>
      <c r="I960" s="20">
        <f>200+50</f>
        <v>250</v>
      </c>
      <c r="J960" s="20">
        <v>183</v>
      </c>
      <c r="K960" s="397">
        <f t="shared" si="144"/>
        <v>73.2</v>
      </c>
      <c r="L960" s="20"/>
      <c r="M960" s="20"/>
      <c r="N960" s="20"/>
      <c r="O960" s="397"/>
      <c r="P960" s="20"/>
      <c r="Q960" s="21">
        <f t="shared" si="141"/>
        <v>250</v>
      </c>
      <c r="R960" s="21">
        <f t="shared" si="142"/>
        <v>183</v>
      </c>
      <c r="S960" s="448">
        <f t="shared" si="145"/>
        <v>73.2</v>
      </c>
    </row>
    <row r="961" spans="2:19" x14ac:dyDescent="0.2">
      <c r="B961" s="6">
        <f t="shared" si="146"/>
        <v>459</v>
      </c>
      <c r="C961" s="17"/>
      <c r="D961" s="17"/>
      <c r="E961" s="17"/>
      <c r="F961" s="18"/>
      <c r="G961" s="19">
        <v>632</v>
      </c>
      <c r="H961" s="17" t="s">
        <v>131</v>
      </c>
      <c r="I961" s="20">
        <f>14200+700</f>
        <v>14900</v>
      </c>
      <c r="J961" s="20">
        <v>14508</v>
      </c>
      <c r="K961" s="397">
        <f t="shared" si="144"/>
        <v>97.369127516778519</v>
      </c>
      <c r="L961" s="20"/>
      <c r="M961" s="20"/>
      <c r="N961" s="20"/>
      <c r="O961" s="397"/>
      <c r="P961" s="20"/>
      <c r="Q961" s="21">
        <f t="shared" si="141"/>
        <v>14900</v>
      </c>
      <c r="R961" s="21">
        <f t="shared" si="142"/>
        <v>14508</v>
      </c>
      <c r="S961" s="448">
        <f t="shared" si="145"/>
        <v>97.369127516778519</v>
      </c>
    </row>
    <row r="962" spans="2:19" x14ac:dyDescent="0.2">
      <c r="B962" s="6">
        <f t="shared" si="146"/>
        <v>460</v>
      </c>
      <c r="C962" s="17"/>
      <c r="D962" s="17"/>
      <c r="E962" s="17"/>
      <c r="F962" s="18"/>
      <c r="G962" s="19">
        <v>633</v>
      </c>
      <c r="H962" s="17" t="s">
        <v>122</v>
      </c>
      <c r="I962" s="20">
        <f>16250+6259</f>
        <v>22509</v>
      </c>
      <c r="J962" s="20">
        <v>18721</v>
      </c>
      <c r="K962" s="397">
        <f t="shared" si="144"/>
        <v>83.171175974054819</v>
      </c>
      <c r="L962" s="20"/>
      <c r="M962" s="20"/>
      <c r="N962" s="20"/>
      <c r="O962" s="397"/>
      <c r="P962" s="20"/>
      <c r="Q962" s="21">
        <f t="shared" si="141"/>
        <v>22509</v>
      </c>
      <c r="R962" s="21">
        <f t="shared" si="142"/>
        <v>18721</v>
      </c>
      <c r="S962" s="448">
        <f t="shared" si="145"/>
        <v>83.171175974054819</v>
      </c>
    </row>
    <row r="963" spans="2:19" x14ac:dyDescent="0.2">
      <c r="B963" s="6">
        <f t="shared" si="146"/>
        <v>461</v>
      </c>
      <c r="C963" s="17"/>
      <c r="D963" s="17"/>
      <c r="E963" s="17"/>
      <c r="F963" s="18"/>
      <c r="G963" s="19">
        <v>634</v>
      </c>
      <c r="H963" s="17" t="s">
        <v>129</v>
      </c>
      <c r="I963" s="20">
        <v>100</v>
      </c>
      <c r="J963" s="20">
        <v>24</v>
      </c>
      <c r="K963" s="397">
        <f t="shared" si="144"/>
        <v>24</v>
      </c>
      <c r="L963" s="20"/>
      <c r="M963" s="20"/>
      <c r="N963" s="20"/>
      <c r="O963" s="397"/>
      <c r="P963" s="20"/>
      <c r="Q963" s="21">
        <f t="shared" si="141"/>
        <v>100</v>
      </c>
      <c r="R963" s="21">
        <f t="shared" si="142"/>
        <v>24</v>
      </c>
      <c r="S963" s="448">
        <f t="shared" si="145"/>
        <v>24</v>
      </c>
    </row>
    <row r="964" spans="2:19" x14ac:dyDescent="0.2">
      <c r="B964" s="6">
        <f t="shared" si="146"/>
        <v>462</v>
      </c>
      <c r="C964" s="17"/>
      <c r="D964" s="17"/>
      <c r="E964" s="17"/>
      <c r="F964" s="18"/>
      <c r="G964" s="19">
        <v>635</v>
      </c>
      <c r="H964" s="17" t="s">
        <v>130</v>
      </c>
      <c r="I964" s="20">
        <f>4500-1500</f>
        <v>3000</v>
      </c>
      <c r="J964" s="20">
        <v>2896</v>
      </c>
      <c r="K964" s="397">
        <f t="shared" si="144"/>
        <v>96.533333333333331</v>
      </c>
      <c r="L964" s="20"/>
      <c r="M964" s="20"/>
      <c r="N964" s="20"/>
      <c r="O964" s="397"/>
      <c r="P964" s="20"/>
      <c r="Q964" s="21">
        <f t="shared" si="141"/>
        <v>3000</v>
      </c>
      <c r="R964" s="21">
        <f t="shared" si="142"/>
        <v>2896</v>
      </c>
      <c r="S964" s="448">
        <f t="shared" si="145"/>
        <v>96.533333333333331</v>
      </c>
    </row>
    <row r="965" spans="2:19" x14ac:dyDescent="0.2">
      <c r="B965" s="6">
        <f t="shared" si="146"/>
        <v>463</v>
      </c>
      <c r="C965" s="17"/>
      <c r="D965" s="17"/>
      <c r="E965" s="17"/>
      <c r="F965" s="18"/>
      <c r="G965" s="19">
        <v>636</v>
      </c>
      <c r="H965" s="17" t="s">
        <v>123</v>
      </c>
      <c r="I965" s="20">
        <f>2200-300</f>
        <v>1900</v>
      </c>
      <c r="J965" s="20">
        <v>1875</v>
      </c>
      <c r="K965" s="397">
        <f t="shared" si="144"/>
        <v>98.68421052631578</v>
      </c>
      <c r="L965" s="20"/>
      <c r="M965" s="20"/>
      <c r="N965" s="20"/>
      <c r="O965" s="397"/>
      <c r="P965" s="20"/>
      <c r="Q965" s="21">
        <f t="shared" si="141"/>
        <v>1900</v>
      </c>
      <c r="R965" s="21">
        <f t="shared" si="142"/>
        <v>1875</v>
      </c>
      <c r="S965" s="448">
        <f t="shared" si="145"/>
        <v>98.68421052631578</v>
      </c>
    </row>
    <row r="966" spans="2:19" x14ac:dyDescent="0.2">
      <c r="B966" s="6">
        <f t="shared" si="146"/>
        <v>464</v>
      </c>
      <c r="C966" s="17"/>
      <c r="D966" s="17"/>
      <c r="E966" s="17"/>
      <c r="F966" s="18"/>
      <c r="G966" s="19">
        <v>637</v>
      </c>
      <c r="H966" s="17" t="s">
        <v>119</v>
      </c>
      <c r="I966" s="20">
        <f>59750+200+900-776+4720-4000-166</f>
        <v>60628</v>
      </c>
      <c r="J966" s="20">
        <v>55705</v>
      </c>
      <c r="K966" s="397">
        <f t="shared" si="144"/>
        <v>91.879989443821344</v>
      </c>
      <c r="L966" s="20"/>
      <c r="M966" s="20"/>
      <c r="N966" s="20"/>
      <c r="O966" s="397"/>
      <c r="P966" s="20"/>
      <c r="Q966" s="21">
        <f t="shared" si="141"/>
        <v>60628</v>
      </c>
      <c r="R966" s="21">
        <f t="shared" si="142"/>
        <v>55705</v>
      </c>
      <c r="S966" s="448">
        <f t="shared" si="145"/>
        <v>91.879989443821344</v>
      </c>
    </row>
    <row r="967" spans="2:19" x14ac:dyDescent="0.2">
      <c r="B967" s="6">
        <f t="shared" si="146"/>
        <v>465</v>
      </c>
      <c r="C967" s="12"/>
      <c r="D967" s="12"/>
      <c r="E967" s="12"/>
      <c r="F967" s="13" t="s">
        <v>155</v>
      </c>
      <c r="G967" s="14">
        <v>640</v>
      </c>
      <c r="H967" s="12" t="s">
        <v>126</v>
      </c>
      <c r="I967" s="15">
        <f>4298+300+70</f>
        <v>4668</v>
      </c>
      <c r="J967" s="15">
        <v>4656</v>
      </c>
      <c r="K967" s="397">
        <f t="shared" si="144"/>
        <v>99.742930591259636</v>
      </c>
      <c r="L967" s="15"/>
      <c r="M967" s="15"/>
      <c r="N967" s="15"/>
      <c r="O967" s="397"/>
      <c r="P967" s="15"/>
      <c r="Q967" s="16">
        <f t="shared" si="141"/>
        <v>4668</v>
      </c>
      <c r="R967" s="16">
        <f t="shared" si="142"/>
        <v>4656</v>
      </c>
      <c r="S967" s="448">
        <f t="shared" si="145"/>
        <v>99.742930591259636</v>
      </c>
    </row>
    <row r="968" spans="2:19" ht="15" x14ac:dyDescent="0.25">
      <c r="B968" s="6">
        <f t="shared" si="146"/>
        <v>466</v>
      </c>
      <c r="C968" s="97"/>
      <c r="D968" s="97"/>
      <c r="E968" s="97">
        <v>6</v>
      </c>
      <c r="F968" s="98"/>
      <c r="G968" s="98"/>
      <c r="H968" s="97" t="s">
        <v>279</v>
      </c>
      <c r="I968" s="99">
        <f>I969+I970+I971+I977</f>
        <v>308906</v>
      </c>
      <c r="J968" s="99">
        <f>J969+J970+J971+J977</f>
        <v>278906</v>
      </c>
      <c r="K968" s="414">
        <f t="shared" si="144"/>
        <v>90.288307770001225</v>
      </c>
      <c r="L968" s="313"/>
      <c r="M968" s="99"/>
      <c r="N968" s="99"/>
      <c r="O968" s="414"/>
      <c r="P968" s="313"/>
      <c r="Q968" s="100">
        <f t="shared" si="141"/>
        <v>308906</v>
      </c>
      <c r="R968" s="100">
        <f t="shared" si="142"/>
        <v>278906</v>
      </c>
      <c r="S968" s="464">
        <f t="shared" si="145"/>
        <v>90.288307770001225</v>
      </c>
    </row>
    <row r="969" spans="2:19" x14ac:dyDescent="0.2">
      <c r="B969" s="6">
        <f t="shared" si="146"/>
        <v>467</v>
      </c>
      <c r="C969" s="12"/>
      <c r="D969" s="12"/>
      <c r="E969" s="12"/>
      <c r="F969" s="13" t="s">
        <v>155</v>
      </c>
      <c r="G969" s="14">
        <v>610</v>
      </c>
      <c r="H969" s="12" t="s">
        <v>128</v>
      </c>
      <c r="I969" s="15">
        <f>162788+5600+2370-217</f>
        <v>170541</v>
      </c>
      <c r="J969" s="15">
        <v>169000</v>
      </c>
      <c r="K969" s="397">
        <f t="shared" si="144"/>
        <v>99.096404970065848</v>
      </c>
      <c r="L969" s="15"/>
      <c r="M969" s="15"/>
      <c r="N969" s="15"/>
      <c r="O969" s="397"/>
      <c r="P969" s="15"/>
      <c r="Q969" s="16">
        <f t="shared" si="141"/>
        <v>170541</v>
      </c>
      <c r="R969" s="16">
        <f t="shared" si="142"/>
        <v>169000</v>
      </c>
      <c r="S969" s="448">
        <f t="shared" si="145"/>
        <v>99.096404970065848</v>
      </c>
    </row>
    <row r="970" spans="2:19" x14ac:dyDescent="0.2">
      <c r="B970" s="6">
        <f t="shared" si="146"/>
        <v>468</v>
      </c>
      <c r="C970" s="12"/>
      <c r="D970" s="12"/>
      <c r="E970" s="12"/>
      <c r="F970" s="13" t="s">
        <v>155</v>
      </c>
      <c r="G970" s="14">
        <v>620</v>
      </c>
      <c r="H970" s="12" t="s">
        <v>121</v>
      </c>
      <c r="I970" s="15">
        <f>58604+2016+740</f>
        <v>61360</v>
      </c>
      <c r="J970" s="15">
        <v>60401</v>
      </c>
      <c r="K970" s="397">
        <f t="shared" si="144"/>
        <v>98.437092568448506</v>
      </c>
      <c r="L970" s="15"/>
      <c r="M970" s="15"/>
      <c r="N970" s="15"/>
      <c r="O970" s="397"/>
      <c r="P970" s="15"/>
      <c r="Q970" s="16">
        <f t="shared" si="141"/>
        <v>61360</v>
      </c>
      <c r="R970" s="16">
        <f t="shared" si="142"/>
        <v>60401</v>
      </c>
      <c r="S970" s="448">
        <f t="shared" si="145"/>
        <v>98.437092568448506</v>
      </c>
    </row>
    <row r="971" spans="2:19" x14ac:dyDescent="0.2">
      <c r="B971" s="6">
        <f t="shared" si="146"/>
        <v>469</v>
      </c>
      <c r="C971" s="12"/>
      <c r="D971" s="12"/>
      <c r="E971" s="12"/>
      <c r="F971" s="13" t="s">
        <v>155</v>
      </c>
      <c r="G971" s="14">
        <v>630</v>
      </c>
      <c r="H971" s="12" t="s">
        <v>118</v>
      </c>
      <c r="I971" s="15">
        <f>SUM(I972:I976)</f>
        <v>75883</v>
      </c>
      <c r="J971" s="15">
        <f>SUM(J972:J976)</f>
        <v>48383</v>
      </c>
      <c r="K971" s="397">
        <f t="shared" si="144"/>
        <v>63.759998945745423</v>
      </c>
      <c r="L971" s="15"/>
      <c r="M971" s="15"/>
      <c r="N971" s="15"/>
      <c r="O971" s="397"/>
      <c r="P971" s="15"/>
      <c r="Q971" s="16">
        <f t="shared" si="141"/>
        <v>75883</v>
      </c>
      <c r="R971" s="16">
        <f t="shared" si="142"/>
        <v>48383</v>
      </c>
      <c r="S971" s="448">
        <f t="shared" si="145"/>
        <v>63.759998945745423</v>
      </c>
    </row>
    <row r="972" spans="2:19" x14ac:dyDescent="0.2">
      <c r="B972" s="6">
        <f t="shared" si="146"/>
        <v>470</v>
      </c>
      <c r="C972" s="17"/>
      <c r="D972" s="17"/>
      <c r="E972" s="17"/>
      <c r="F972" s="18"/>
      <c r="G972" s="19">
        <v>632</v>
      </c>
      <c r="H972" s="17" t="s">
        <v>131</v>
      </c>
      <c r="I972" s="20">
        <f>67270-3149</f>
        <v>64121</v>
      </c>
      <c r="J972" s="20">
        <v>36621</v>
      </c>
      <c r="K972" s="397">
        <f t="shared" si="144"/>
        <v>57.112334492599928</v>
      </c>
      <c r="L972" s="20"/>
      <c r="M972" s="20"/>
      <c r="N972" s="20"/>
      <c r="O972" s="397"/>
      <c r="P972" s="20"/>
      <c r="Q972" s="21">
        <f t="shared" si="141"/>
        <v>64121</v>
      </c>
      <c r="R972" s="21">
        <f t="shared" si="142"/>
        <v>36621</v>
      </c>
      <c r="S972" s="448">
        <f t="shared" si="145"/>
        <v>57.112334492599928</v>
      </c>
    </row>
    <row r="973" spans="2:19" x14ac:dyDescent="0.2">
      <c r="B973" s="6">
        <f t="shared" si="146"/>
        <v>471</v>
      </c>
      <c r="C973" s="17"/>
      <c r="D973" s="17"/>
      <c r="E973" s="17"/>
      <c r="F973" s="18"/>
      <c r="G973" s="19">
        <v>633</v>
      </c>
      <c r="H973" s="17" t="s">
        <v>122</v>
      </c>
      <c r="I973" s="20">
        <f>5059-77</f>
        <v>4982</v>
      </c>
      <c r="J973" s="20">
        <v>4982</v>
      </c>
      <c r="K973" s="397">
        <f t="shared" si="144"/>
        <v>100</v>
      </c>
      <c r="L973" s="20"/>
      <c r="M973" s="20"/>
      <c r="N973" s="20"/>
      <c r="O973" s="397"/>
      <c r="P973" s="20"/>
      <c r="Q973" s="21">
        <f t="shared" si="141"/>
        <v>4982</v>
      </c>
      <c r="R973" s="21">
        <f t="shared" si="142"/>
        <v>4982</v>
      </c>
      <c r="S973" s="448">
        <f t="shared" si="145"/>
        <v>100</v>
      </c>
    </row>
    <row r="974" spans="2:19" x14ac:dyDescent="0.2">
      <c r="B974" s="6">
        <f t="shared" si="146"/>
        <v>472</v>
      </c>
      <c r="C974" s="17"/>
      <c r="D974" s="17"/>
      <c r="E974" s="17"/>
      <c r="F974" s="18"/>
      <c r="G974" s="19">
        <v>635</v>
      </c>
      <c r="H974" s="17" t="s">
        <v>130</v>
      </c>
      <c r="I974" s="20">
        <f>915+1545</f>
        <v>2460</v>
      </c>
      <c r="J974" s="20">
        <v>2460</v>
      </c>
      <c r="K974" s="397">
        <f t="shared" si="144"/>
        <v>100</v>
      </c>
      <c r="L974" s="20"/>
      <c r="M974" s="20"/>
      <c r="N974" s="20"/>
      <c r="O974" s="397"/>
      <c r="P974" s="20"/>
      <c r="Q974" s="21">
        <f t="shared" si="141"/>
        <v>2460</v>
      </c>
      <c r="R974" s="21">
        <f t="shared" si="142"/>
        <v>2460</v>
      </c>
      <c r="S974" s="448">
        <f t="shared" si="145"/>
        <v>100</v>
      </c>
    </row>
    <row r="975" spans="2:19" x14ac:dyDescent="0.2">
      <c r="B975" s="6">
        <f t="shared" si="146"/>
        <v>473</v>
      </c>
      <c r="C975" s="17"/>
      <c r="D975" s="17"/>
      <c r="E975" s="17"/>
      <c r="F975" s="18"/>
      <c r="G975" s="19">
        <v>636</v>
      </c>
      <c r="H975" s="17" t="s">
        <v>752</v>
      </c>
      <c r="I975" s="20">
        <v>250</v>
      </c>
      <c r="J975" s="20">
        <v>250</v>
      </c>
      <c r="K975" s="397">
        <f t="shared" si="144"/>
        <v>100</v>
      </c>
      <c r="L975" s="20"/>
      <c r="M975" s="20"/>
      <c r="N975" s="20"/>
      <c r="O975" s="397"/>
      <c r="P975" s="20"/>
      <c r="Q975" s="21">
        <f t="shared" si="141"/>
        <v>250</v>
      </c>
      <c r="R975" s="21">
        <f t="shared" si="142"/>
        <v>250</v>
      </c>
      <c r="S975" s="448">
        <f t="shared" si="145"/>
        <v>100</v>
      </c>
    </row>
    <row r="976" spans="2:19" x14ac:dyDescent="0.2">
      <c r="B976" s="6">
        <f t="shared" si="146"/>
        <v>474</v>
      </c>
      <c r="C976" s="17"/>
      <c r="D976" s="17"/>
      <c r="E976" s="17"/>
      <c r="F976" s="18"/>
      <c r="G976" s="19">
        <v>637</v>
      </c>
      <c r="H976" s="17" t="s">
        <v>119</v>
      </c>
      <c r="I976" s="20">
        <f>3653+417</f>
        <v>4070</v>
      </c>
      <c r="J976" s="20">
        <v>4070</v>
      </c>
      <c r="K976" s="397">
        <f t="shared" si="144"/>
        <v>100</v>
      </c>
      <c r="L976" s="20"/>
      <c r="M976" s="20"/>
      <c r="N976" s="20"/>
      <c r="O976" s="397"/>
      <c r="P976" s="20"/>
      <c r="Q976" s="21">
        <f t="shared" si="141"/>
        <v>4070</v>
      </c>
      <c r="R976" s="21">
        <f t="shared" si="142"/>
        <v>4070</v>
      </c>
      <c r="S976" s="448">
        <f t="shared" si="145"/>
        <v>100</v>
      </c>
    </row>
    <row r="977" spans="2:19" x14ac:dyDescent="0.2">
      <c r="B977" s="6">
        <f t="shared" si="146"/>
        <v>475</v>
      </c>
      <c r="C977" s="12"/>
      <c r="D977" s="12"/>
      <c r="E977" s="12"/>
      <c r="F977" s="13" t="s">
        <v>155</v>
      </c>
      <c r="G977" s="14">
        <v>640</v>
      </c>
      <c r="H977" s="12" t="s">
        <v>126</v>
      </c>
      <c r="I977" s="15">
        <f>792+113+217</f>
        <v>1122</v>
      </c>
      <c r="J977" s="15">
        <v>1122</v>
      </c>
      <c r="K977" s="397">
        <f t="shared" ref="K977:K1008" si="147">J977/I977*100</f>
        <v>100</v>
      </c>
      <c r="L977" s="15"/>
      <c r="M977" s="15"/>
      <c r="N977" s="15"/>
      <c r="O977" s="397"/>
      <c r="P977" s="15"/>
      <c r="Q977" s="16">
        <f t="shared" si="141"/>
        <v>1122</v>
      </c>
      <c r="R977" s="16">
        <f t="shared" si="142"/>
        <v>1122</v>
      </c>
      <c r="S977" s="448">
        <f t="shared" si="145"/>
        <v>100</v>
      </c>
    </row>
    <row r="978" spans="2:19" ht="15" x14ac:dyDescent="0.25">
      <c r="B978" s="6">
        <f t="shared" si="146"/>
        <v>476</v>
      </c>
      <c r="C978" s="97"/>
      <c r="D978" s="97"/>
      <c r="E978" s="97">
        <v>7</v>
      </c>
      <c r="F978" s="98"/>
      <c r="G978" s="98"/>
      <c r="H978" s="97" t="s">
        <v>281</v>
      </c>
      <c r="I978" s="99">
        <f>I979+I980+I981+I985</f>
        <v>249014</v>
      </c>
      <c r="J978" s="99">
        <f>J979+J980+J981+J985</f>
        <v>246354</v>
      </c>
      <c r="K978" s="414">
        <f t="shared" si="147"/>
        <v>98.931786967801003</v>
      </c>
      <c r="L978" s="313"/>
      <c r="M978" s="99"/>
      <c r="N978" s="99"/>
      <c r="O978" s="414"/>
      <c r="P978" s="313"/>
      <c r="Q978" s="100">
        <f t="shared" si="141"/>
        <v>249014</v>
      </c>
      <c r="R978" s="100">
        <f t="shared" si="142"/>
        <v>246354</v>
      </c>
      <c r="S978" s="464">
        <f t="shared" si="145"/>
        <v>98.931786967801003</v>
      </c>
    </row>
    <row r="979" spans="2:19" x14ac:dyDescent="0.2">
      <c r="B979" s="6">
        <f t="shared" si="146"/>
        <v>477</v>
      </c>
      <c r="C979" s="12"/>
      <c r="D979" s="12"/>
      <c r="E979" s="12"/>
      <c r="F979" s="13" t="s">
        <v>155</v>
      </c>
      <c r="G979" s="14">
        <v>610</v>
      </c>
      <c r="H979" s="12" t="s">
        <v>128</v>
      </c>
      <c r="I979" s="15">
        <f>160493+6928+1847</f>
        <v>169268</v>
      </c>
      <c r="J979" s="15">
        <v>166609</v>
      </c>
      <c r="K979" s="397">
        <f t="shared" si="147"/>
        <v>98.429118321242058</v>
      </c>
      <c r="L979" s="15"/>
      <c r="M979" s="15"/>
      <c r="N979" s="15"/>
      <c r="O979" s="397"/>
      <c r="P979" s="15"/>
      <c r="Q979" s="16">
        <f t="shared" si="141"/>
        <v>169268</v>
      </c>
      <c r="R979" s="16">
        <f t="shared" si="142"/>
        <v>166609</v>
      </c>
      <c r="S979" s="448">
        <f t="shared" si="145"/>
        <v>98.429118321242058</v>
      </c>
    </row>
    <row r="980" spans="2:19" x14ac:dyDescent="0.2">
      <c r="B980" s="6">
        <f t="shared" si="146"/>
        <v>478</v>
      </c>
      <c r="C980" s="12"/>
      <c r="D980" s="12"/>
      <c r="E980" s="12"/>
      <c r="F980" s="13" t="s">
        <v>155</v>
      </c>
      <c r="G980" s="14">
        <v>620</v>
      </c>
      <c r="H980" s="12" t="s">
        <v>121</v>
      </c>
      <c r="I980" s="15">
        <f>60295+2491+900</f>
        <v>63686</v>
      </c>
      <c r="J980" s="15">
        <v>63686</v>
      </c>
      <c r="K980" s="397">
        <f t="shared" si="147"/>
        <v>100</v>
      </c>
      <c r="L980" s="15"/>
      <c r="M980" s="15"/>
      <c r="N980" s="15"/>
      <c r="O980" s="397"/>
      <c r="P980" s="15"/>
      <c r="Q980" s="16">
        <f t="shared" si="141"/>
        <v>63686</v>
      </c>
      <c r="R980" s="16">
        <f t="shared" si="142"/>
        <v>63686</v>
      </c>
      <c r="S980" s="448">
        <f t="shared" si="145"/>
        <v>100</v>
      </c>
    </row>
    <row r="981" spans="2:19" x14ac:dyDescent="0.2">
      <c r="B981" s="6">
        <f t="shared" si="146"/>
        <v>479</v>
      </c>
      <c r="C981" s="12"/>
      <c r="D981" s="12"/>
      <c r="E981" s="12"/>
      <c r="F981" s="13" t="s">
        <v>155</v>
      </c>
      <c r="G981" s="14">
        <v>630</v>
      </c>
      <c r="H981" s="12" t="s">
        <v>118</v>
      </c>
      <c r="I981" s="15">
        <f>SUM(I982:I984)</f>
        <v>14660</v>
      </c>
      <c r="J981" s="15">
        <f>SUM(J982:J984)</f>
        <v>14659</v>
      </c>
      <c r="K981" s="397">
        <f t="shared" si="147"/>
        <v>99.993178717598909</v>
      </c>
      <c r="L981" s="15"/>
      <c r="M981" s="15"/>
      <c r="N981" s="15"/>
      <c r="O981" s="397"/>
      <c r="P981" s="15"/>
      <c r="Q981" s="16">
        <f t="shared" si="141"/>
        <v>14660</v>
      </c>
      <c r="R981" s="16">
        <f t="shared" si="142"/>
        <v>14659</v>
      </c>
      <c r="S981" s="448">
        <f t="shared" si="145"/>
        <v>99.993178717598909</v>
      </c>
    </row>
    <row r="982" spans="2:19" x14ac:dyDescent="0.2">
      <c r="B982" s="6">
        <f t="shared" si="146"/>
        <v>480</v>
      </c>
      <c r="C982" s="17"/>
      <c r="D982" s="17"/>
      <c r="E982" s="17"/>
      <c r="F982" s="18"/>
      <c r="G982" s="19">
        <v>632</v>
      </c>
      <c r="H982" s="17" t="s">
        <v>131</v>
      </c>
      <c r="I982" s="20">
        <v>5000</v>
      </c>
      <c r="J982" s="20">
        <v>5000</v>
      </c>
      <c r="K982" s="397">
        <f t="shared" si="147"/>
        <v>100</v>
      </c>
      <c r="L982" s="20"/>
      <c r="M982" s="20"/>
      <c r="N982" s="20"/>
      <c r="O982" s="397"/>
      <c r="P982" s="20"/>
      <c r="Q982" s="21">
        <f t="shared" si="141"/>
        <v>5000</v>
      </c>
      <c r="R982" s="21">
        <f t="shared" si="142"/>
        <v>5000</v>
      </c>
      <c r="S982" s="448">
        <f t="shared" si="145"/>
        <v>100</v>
      </c>
    </row>
    <row r="983" spans="2:19" x14ac:dyDescent="0.2">
      <c r="B983" s="6">
        <f t="shared" si="146"/>
        <v>481</v>
      </c>
      <c r="C983" s="17"/>
      <c r="D983" s="17"/>
      <c r="E983" s="17"/>
      <c r="F983" s="18"/>
      <c r="G983" s="19">
        <v>633</v>
      </c>
      <c r="H983" s="17" t="s">
        <v>122</v>
      </c>
      <c r="I983" s="20">
        <v>4500</v>
      </c>
      <c r="J983" s="20">
        <v>4500</v>
      </c>
      <c r="K983" s="397">
        <f t="shared" si="147"/>
        <v>100</v>
      </c>
      <c r="L983" s="20"/>
      <c r="M983" s="20"/>
      <c r="N983" s="20"/>
      <c r="O983" s="397"/>
      <c r="P983" s="20"/>
      <c r="Q983" s="21">
        <f t="shared" si="141"/>
        <v>4500</v>
      </c>
      <c r="R983" s="21">
        <f t="shared" si="142"/>
        <v>4500</v>
      </c>
      <c r="S983" s="448">
        <f t="shared" si="145"/>
        <v>100</v>
      </c>
    </row>
    <row r="984" spans="2:19" x14ac:dyDescent="0.2">
      <c r="B984" s="6">
        <f t="shared" si="146"/>
        <v>482</v>
      </c>
      <c r="C984" s="17"/>
      <c r="D984" s="17"/>
      <c r="E984" s="17"/>
      <c r="F984" s="18"/>
      <c r="G984" s="19">
        <v>637</v>
      </c>
      <c r="H984" s="17" t="s">
        <v>119</v>
      </c>
      <c r="I984" s="20">
        <v>5160</v>
      </c>
      <c r="J984" s="20">
        <v>5159</v>
      </c>
      <c r="K984" s="397">
        <f t="shared" si="147"/>
        <v>99.980620155038764</v>
      </c>
      <c r="L984" s="20"/>
      <c r="M984" s="20"/>
      <c r="N984" s="20"/>
      <c r="O984" s="397"/>
      <c r="P984" s="20"/>
      <c r="Q984" s="21">
        <f t="shared" si="141"/>
        <v>5160</v>
      </c>
      <c r="R984" s="21">
        <f t="shared" si="142"/>
        <v>5159</v>
      </c>
      <c r="S984" s="448">
        <f t="shared" si="145"/>
        <v>99.980620155038764</v>
      </c>
    </row>
    <row r="985" spans="2:19" x14ac:dyDescent="0.2">
      <c r="B985" s="6">
        <f t="shared" si="146"/>
        <v>483</v>
      </c>
      <c r="C985" s="12"/>
      <c r="D985" s="12"/>
      <c r="E985" s="12"/>
      <c r="F985" s="13" t="s">
        <v>155</v>
      </c>
      <c r="G985" s="14">
        <v>640</v>
      </c>
      <c r="H985" s="12" t="s">
        <v>126</v>
      </c>
      <c r="I985" s="15">
        <f>1100+300</f>
        <v>1400</v>
      </c>
      <c r="J985" s="15">
        <v>1400</v>
      </c>
      <c r="K985" s="397">
        <f t="shared" si="147"/>
        <v>100</v>
      </c>
      <c r="L985" s="15"/>
      <c r="M985" s="15"/>
      <c r="N985" s="15"/>
      <c r="O985" s="397"/>
      <c r="P985" s="15"/>
      <c r="Q985" s="16">
        <f t="shared" si="141"/>
        <v>1400</v>
      </c>
      <c r="R985" s="16">
        <f t="shared" si="142"/>
        <v>1400</v>
      </c>
      <c r="S985" s="448">
        <f t="shared" si="145"/>
        <v>100</v>
      </c>
    </row>
    <row r="986" spans="2:19" ht="15" x14ac:dyDescent="0.25">
      <c r="B986" s="6">
        <f t="shared" si="146"/>
        <v>484</v>
      </c>
      <c r="C986" s="97"/>
      <c r="D986" s="97"/>
      <c r="E986" s="97">
        <v>8</v>
      </c>
      <c r="F986" s="98"/>
      <c r="G986" s="98"/>
      <c r="H986" s="97" t="s">
        <v>6</v>
      </c>
      <c r="I986" s="99">
        <f>I987+I988+I989+I994</f>
        <v>504830</v>
      </c>
      <c r="J986" s="99">
        <f>J987+J988+J989+J994</f>
        <v>504530</v>
      </c>
      <c r="K986" s="414">
        <f t="shared" si="147"/>
        <v>99.940574054632251</v>
      </c>
      <c r="L986" s="313"/>
      <c r="M986" s="99"/>
      <c r="N986" s="99"/>
      <c r="O986" s="414"/>
      <c r="P986" s="313"/>
      <c r="Q986" s="100">
        <f t="shared" si="141"/>
        <v>504830</v>
      </c>
      <c r="R986" s="100">
        <f t="shared" si="142"/>
        <v>504530</v>
      </c>
      <c r="S986" s="464">
        <f t="shared" si="145"/>
        <v>99.940574054632251</v>
      </c>
    </row>
    <row r="987" spans="2:19" x14ac:dyDescent="0.2">
      <c r="B987" s="6">
        <f t="shared" si="146"/>
        <v>485</v>
      </c>
      <c r="C987" s="12"/>
      <c r="D987" s="12"/>
      <c r="E987" s="12"/>
      <c r="F987" s="13" t="s">
        <v>155</v>
      </c>
      <c r="G987" s="14">
        <v>610</v>
      </c>
      <c r="H987" s="12" t="s">
        <v>128</v>
      </c>
      <c r="I987" s="15">
        <f>318193+11952+5774+6370</f>
        <v>342289</v>
      </c>
      <c r="J987" s="15">
        <v>342289</v>
      </c>
      <c r="K987" s="397">
        <f t="shared" si="147"/>
        <v>100</v>
      </c>
      <c r="L987" s="15"/>
      <c r="M987" s="15"/>
      <c r="N987" s="15"/>
      <c r="O987" s="397"/>
      <c r="P987" s="15"/>
      <c r="Q987" s="16">
        <f t="shared" si="141"/>
        <v>342289</v>
      </c>
      <c r="R987" s="16">
        <f t="shared" si="142"/>
        <v>342289</v>
      </c>
      <c r="S987" s="448">
        <f t="shared" si="145"/>
        <v>100</v>
      </c>
    </row>
    <row r="988" spans="2:19" x14ac:dyDescent="0.2">
      <c r="B988" s="6">
        <f t="shared" si="146"/>
        <v>486</v>
      </c>
      <c r="C988" s="12"/>
      <c r="D988" s="12"/>
      <c r="E988" s="12"/>
      <c r="F988" s="13" t="s">
        <v>155</v>
      </c>
      <c r="G988" s="14">
        <v>620</v>
      </c>
      <c r="H988" s="12" t="s">
        <v>121</v>
      </c>
      <c r="I988" s="15">
        <f>116620+4003+2108-6370</f>
        <v>116361</v>
      </c>
      <c r="J988" s="15">
        <v>116361</v>
      </c>
      <c r="K988" s="397">
        <f t="shared" si="147"/>
        <v>100</v>
      </c>
      <c r="L988" s="15"/>
      <c r="M988" s="15"/>
      <c r="N988" s="15"/>
      <c r="O988" s="397"/>
      <c r="P988" s="15"/>
      <c r="Q988" s="16">
        <f t="shared" si="141"/>
        <v>116361</v>
      </c>
      <c r="R988" s="16">
        <f t="shared" si="142"/>
        <v>116361</v>
      </c>
      <c r="S988" s="448">
        <f t="shared" si="145"/>
        <v>100</v>
      </c>
    </row>
    <row r="989" spans="2:19" x14ac:dyDescent="0.2">
      <c r="B989" s="6">
        <f t="shared" si="146"/>
        <v>487</v>
      </c>
      <c r="C989" s="12"/>
      <c r="D989" s="12"/>
      <c r="E989" s="12"/>
      <c r="F989" s="13" t="s">
        <v>155</v>
      </c>
      <c r="G989" s="14">
        <v>630</v>
      </c>
      <c r="H989" s="12" t="s">
        <v>118</v>
      </c>
      <c r="I989" s="15">
        <f>SUM(I990:I993)</f>
        <v>41335</v>
      </c>
      <c r="J989" s="15">
        <f>SUM(J990:J993)</f>
        <v>41335</v>
      </c>
      <c r="K989" s="397">
        <f t="shared" si="147"/>
        <v>100</v>
      </c>
      <c r="L989" s="15"/>
      <c r="M989" s="15"/>
      <c r="N989" s="15"/>
      <c r="O989" s="397"/>
      <c r="P989" s="15"/>
      <c r="Q989" s="16">
        <f t="shared" si="141"/>
        <v>41335</v>
      </c>
      <c r="R989" s="16">
        <f t="shared" si="142"/>
        <v>41335</v>
      </c>
      <c r="S989" s="448">
        <f t="shared" si="145"/>
        <v>100</v>
      </c>
    </row>
    <row r="990" spans="2:19" x14ac:dyDescent="0.2">
      <c r="B990" s="6">
        <f t="shared" si="146"/>
        <v>488</v>
      </c>
      <c r="C990" s="17"/>
      <c r="D990" s="17"/>
      <c r="E990" s="17"/>
      <c r="F990" s="18"/>
      <c r="G990" s="19">
        <v>632</v>
      </c>
      <c r="H990" s="17" t="s">
        <v>131</v>
      </c>
      <c r="I990" s="20">
        <v>26720</v>
      </c>
      <c r="J990" s="20">
        <v>26720</v>
      </c>
      <c r="K990" s="397">
        <f t="shared" si="147"/>
        <v>100</v>
      </c>
      <c r="L990" s="20"/>
      <c r="M990" s="20"/>
      <c r="N990" s="20"/>
      <c r="O990" s="397"/>
      <c r="P990" s="20"/>
      <c r="Q990" s="21">
        <f t="shared" si="141"/>
        <v>26720</v>
      </c>
      <c r="R990" s="21">
        <f t="shared" si="142"/>
        <v>26720</v>
      </c>
      <c r="S990" s="448">
        <f t="shared" si="145"/>
        <v>100</v>
      </c>
    </row>
    <row r="991" spans="2:19" x14ac:dyDescent="0.2">
      <c r="B991" s="6">
        <f t="shared" si="146"/>
        <v>489</v>
      </c>
      <c r="C991" s="17"/>
      <c r="D991" s="17"/>
      <c r="E991" s="17"/>
      <c r="F991" s="18"/>
      <c r="G991" s="19">
        <v>633</v>
      </c>
      <c r="H991" s="17" t="s">
        <v>122</v>
      </c>
      <c r="I991" s="20">
        <f>2500+1000</f>
        <v>3500</v>
      </c>
      <c r="J991" s="20">
        <v>3500</v>
      </c>
      <c r="K991" s="397">
        <f t="shared" si="147"/>
        <v>100</v>
      </c>
      <c r="L991" s="20"/>
      <c r="M991" s="20"/>
      <c r="N991" s="20"/>
      <c r="O991" s="397"/>
      <c r="P991" s="20"/>
      <c r="Q991" s="21">
        <f t="shared" si="141"/>
        <v>3500</v>
      </c>
      <c r="R991" s="21">
        <f t="shared" si="142"/>
        <v>3500</v>
      </c>
      <c r="S991" s="448">
        <f t="shared" si="145"/>
        <v>100</v>
      </c>
    </row>
    <row r="992" spans="2:19" x14ac:dyDescent="0.2">
      <c r="B992" s="6">
        <f t="shared" si="146"/>
        <v>490</v>
      </c>
      <c r="C992" s="17"/>
      <c r="D992" s="17"/>
      <c r="E992" s="17"/>
      <c r="F992" s="18"/>
      <c r="G992" s="19">
        <v>635</v>
      </c>
      <c r="H992" s="17" t="s">
        <v>130</v>
      </c>
      <c r="I992" s="20">
        <f>2000-1000</f>
        <v>1000</v>
      </c>
      <c r="J992" s="20">
        <v>1000</v>
      </c>
      <c r="K992" s="397">
        <f t="shared" si="147"/>
        <v>100</v>
      </c>
      <c r="L992" s="20"/>
      <c r="M992" s="20"/>
      <c r="N992" s="20"/>
      <c r="O992" s="397"/>
      <c r="P992" s="20"/>
      <c r="Q992" s="21">
        <f t="shared" si="141"/>
        <v>1000</v>
      </c>
      <c r="R992" s="21">
        <f t="shared" si="142"/>
        <v>1000</v>
      </c>
      <c r="S992" s="448">
        <f t="shared" si="145"/>
        <v>100</v>
      </c>
    </row>
    <row r="993" spans="2:19" x14ac:dyDescent="0.2">
      <c r="B993" s="6">
        <f t="shared" si="146"/>
        <v>491</v>
      </c>
      <c r="C993" s="17"/>
      <c r="D993" s="17"/>
      <c r="E993" s="17"/>
      <c r="F993" s="18"/>
      <c r="G993" s="19">
        <v>637</v>
      </c>
      <c r="H993" s="17" t="s">
        <v>119</v>
      </c>
      <c r="I993" s="20">
        <f>9250+865</f>
        <v>10115</v>
      </c>
      <c r="J993" s="20">
        <v>10115</v>
      </c>
      <c r="K993" s="397">
        <f t="shared" si="147"/>
        <v>100</v>
      </c>
      <c r="L993" s="20"/>
      <c r="M993" s="20"/>
      <c r="N993" s="20"/>
      <c r="O993" s="397"/>
      <c r="P993" s="20"/>
      <c r="Q993" s="21">
        <f t="shared" si="141"/>
        <v>10115</v>
      </c>
      <c r="R993" s="21">
        <f t="shared" si="142"/>
        <v>10115</v>
      </c>
      <c r="S993" s="448">
        <f t="shared" si="145"/>
        <v>100</v>
      </c>
    </row>
    <row r="994" spans="2:19" x14ac:dyDescent="0.2">
      <c r="B994" s="6">
        <f t="shared" si="146"/>
        <v>492</v>
      </c>
      <c r="C994" s="12"/>
      <c r="D994" s="12"/>
      <c r="E994" s="12"/>
      <c r="F994" s="13" t="s">
        <v>155</v>
      </c>
      <c r="G994" s="14">
        <v>640</v>
      </c>
      <c r="H994" s="12" t="s">
        <v>126</v>
      </c>
      <c r="I994" s="15">
        <f>5710-865</f>
        <v>4845</v>
      </c>
      <c r="J994" s="15">
        <v>4545</v>
      </c>
      <c r="K994" s="397">
        <f t="shared" si="147"/>
        <v>93.808049535603715</v>
      </c>
      <c r="L994" s="15"/>
      <c r="M994" s="15"/>
      <c r="N994" s="15"/>
      <c r="O994" s="397"/>
      <c r="P994" s="15"/>
      <c r="Q994" s="16">
        <f t="shared" si="141"/>
        <v>4845</v>
      </c>
      <c r="R994" s="16">
        <f t="shared" si="142"/>
        <v>4545</v>
      </c>
      <c r="S994" s="448">
        <f t="shared" si="145"/>
        <v>93.808049535603715</v>
      </c>
    </row>
    <row r="995" spans="2:19" ht="15" x14ac:dyDescent="0.25">
      <c r="B995" s="6">
        <f t="shared" si="146"/>
        <v>493</v>
      </c>
      <c r="C995" s="97"/>
      <c r="D995" s="97"/>
      <c r="E995" s="97">
        <v>9</v>
      </c>
      <c r="F995" s="98"/>
      <c r="G995" s="98"/>
      <c r="H995" s="97" t="s">
        <v>4</v>
      </c>
      <c r="I995" s="99">
        <f>I996+I997+I998+I1003</f>
        <v>329314</v>
      </c>
      <c r="J995" s="99">
        <f>J996+J997+J998+J1003</f>
        <v>329213</v>
      </c>
      <c r="K995" s="414">
        <f t="shared" si="147"/>
        <v>99.969330183350849</v>
      </c>
      <c r="L995" s="313"/>
      <c r="M995" s="99"/>
      <c r="N995" s="99"/>
      <c r="O995" s="414"/>
      <c r="P995" s="313"/>
      <c r="Q995" s="100">
        <f t="shared" si="141"/>
        <v>329314</v>
      </c>
      <c r="R995" s="100">
        <f t="shared" si="142"/>
        <v>329213</v>
      </c>
      <c r="S995" s="464">
        <f t="shared" si="145"/>
        <v>99.969330183350849</v>
      </c>
    </row>
    <row r="996" spans="2:19" x14ac:dyDescent="0.2">
      <c r="B996" s="6">
        <f t="shared" si="146"/>
        <v>494</v>
      </c>
      <c r="C996" s="12"/>
      <c r="D996" s="12"/>
      <c r="E996" s="12"/>
      <c r="F996" s="13" t="s">
        <v>155</v>
      </c>
      <c r="G996" s="14">
        <v>610</v>
      </c>
      <c r="H996" s="12" t="s">
        <v>128</v>
      </c>
      <c r="I996" s="15">
        <f>212450-1511+8552-7545</f>
        <v>211946</v>
      </c>
      <c r="J996" s="15">
        <v>211946</v>
      </c>
      <c r="K996" s="397">
        <f t="shared" si="147"/>
        <v>100</v>
      </c>
      <c r="L996" s="15"/>
      <c r="M996" s="15"/>
      <c r="N996" s="15"/>
      <c r="O996" s="397"/>
      <c r="P996" s="15"/>
      <c r="Q996" s="16">
        <f t="shared" si="141"/>
        <v>211946</v>
      </c>
      <c r="R996" s="16">
        <f t="shared" si="142"/>
        <v>211946</v>
      </c>
      <c r="S996" s="448">
        <f t="shared" si="145"/>
        <v>100</v>
      </c>
    </row>
    <row r="997" spans="2:19" x14ac:dyDescent="0.2">
      <c r="B997" s="6">
        <f t="shared" si="146"/>
        <v>495</v>
      </c>
      <c r="C997" s="12"/>
      <c r="D997" s="12"/>
      <c r="E997" s="12"/>
      <c r="F997" s="13" t="s">
        <v>155</v>
      </c>
      <c r="G997" s="14">
        <v>620</v>
      </c>
      <c r="H997" s="12" t="s">
        <v>121</v>
      </c>
      <c r="I997" s="15">
        <f>78270+3074-2706</f>
        <v>78638</v>
      </c>
      <c r="J997" s="15">
        <v>78638</v>
      </c>
      <c r="K997" s="397">
        <f t="shared" si="147"/>
        <v>100</v>
      </c>
      <c r="L997" s="15"/>
      <c r="M997" s="15"/>
      <c r="N997" s="15"/>
      <c r="O997" s="397"/>
      <c r="P997" s="15"/>
      <c r="Q997" s="16">
        <f t="shared" si="141"/>
        <v>78638</v>
      </c>
      <c r="R997" s="16">
        <f t="shared" si="142"/>
        <v>78638</v>
      </c>
      <c r="S997" s="448">
        <f t="shared" si="145"/>
        <v>100</v>
      </c>
    </row>
    <row r="998" spans="2:19" x14ac:dyDescent="0.2">
      <c r="B998" s="6">
        <f t="shared" si="146"/>
        <v>496</v>
      </c>
      <c r="C998" s="12"/>
      <c r="D998" s="12"/>
      <c r="E998" s="12"/>
      <c r="F998" s="13" t="s">
        <v>155</v>
      </c>
      <c r="G998" s="14">
        <v>630</v>
      </c>
      <c r="H998" s="12" t="s">
        <v>118</v>
      </c>
      <c r="I998" s="15">
        <f>SUM(I999:I1002)</f>
        <v>34304</v>
      </c>
      <c r="J998" s="15">
        <f>SUM(J999:J1002)</f>
        <v>34279</v>
      </c>
      <c r="K998" s="397">
        <f t="shared" si="147"/>
        <v>99.927122201492537</v>
      </c>
      <c r="L998" s="15"/>
      <c r="M998" s="15"/>
      <c r="N998" s="15"/>
      <c r="O998" s="397"/>
      <c r="P998" s="15"/>
      <c r="Q998" s="16">
        <f t="shared" si="141"/>
        <v>34304</v>
      </c>
      <c r="R998" s="16">
        <f t="shared" si="142"/>
        <v>34279</v>
      </c>
      <c r="S998" s="448">
        <f t="shared" si="145"/>
        <v>99.927122201492537</v>
      </c>
    </row>
    <row r="999" spans="2:19" x14ac:dyDescent="0.2">
      <c r="B999" s="6">
        <f t="shared" si="146"/>
        <v>497</v>
      </c>
      <c r="C999" s="17"/>
      <c r="D999" s="17"/>
      <c r="E999" s="17"/>
      <c r="F999" s="18"/>
      <c r="G999" s="19">
        <v>632</v>
      </c>
      <c r="H999" s="17" t="s">
        <v>131</v>
      </c>
      <c r="I999" s="20">
        <f>4000+7300</f>
        <v>11300</v>
      </c>
      <c r="J999" s="20">
        <v>11300</v>
      </c>
      <c r="K999" s="397">
        <f t="shared" si="147"/>
        <v>100</v>
      </c>
      <c r="L999" s="20"/>
      <c r="M999" s="20"/>
      <c r="N999" s="20"/>
      <c r="O999" s="397"/>
      <c r="P999" s="20"/>
      <c r="Q999" s="21">
        <f t="shared" si="141"/>
        <v>11300</v>
      </c>
      <c r="R999" s="21">
        <f t="shared" si="142"/>
        <v>11300</v>
      </c>
      <c r="S999" s="448">
        <f t="shared" si="145"/>
        <v>100</v>
      </c>
    </row>
    <row r="1000" spans="2:19" x14ac:dyDescent="0.2">
      <c r="B1000" s="6">
        <f t="shared" si="146"/>
        <v>498</v>
      </c>
      <c r="C1000" s="17"/>
      <c r="D1000" s="17"/>
      <c r="E1000" s="17"/>
      <c r="F1000" s="18"/>
      <c r="G1000" s="19">
        <v>633</v>
      </c>
      <c r="H1000" s="17" t="s">
        <v>122</v>
      </c>
      <c r="I1000" s="20">
        <f>3600-2600</f>
        <v>1000</v>
      </c>
      <c r="J1000" s="20">
        <v>1000</v>
      </c>
      <c r="K1000" s="397">
        <f t="shared" si="147"/>
        <v>100</v>
      </c>
      <c r="L1000" s="20"/>
      <c r="M1000" s="20"/>
      <c r="N1000" s="20"/>
      <c r="O1000" s="397"/>
      <c r="P1000" s="20"/>
      <c r="Q1000" s="21">
        <f t="shared" si="141"/>
        <v>1000</v>
      </c>
      <c r="R1000" s="21">
        <f t="shared" si="142"/>
        <v>1000</v>
      </c>
      <c r="S1000" s="448">
        <f t="shared" si="145"/>
        <v>100</v>
      </c>
    </row>
    <row r="1001" spans="2:19" x14ac:dyDescent="0.2">
      <c r="B1001" s="6">
        <f t="shared" si="146"/>
        <v>499</v>
      </c>
      <c r="C1001" s="17"/>
      <c r="D1001" s="17"/>
      <c r="E1001" s="17"/>
      <c r="F1001" s="18"/>
      <c r="G1001" s="19">
        <v>635</v>
      </c>
      <c r="H1001" s="17" t="s">
        <v>130</v>
      </c>
      <c r="I1001" s="20">
        <f>7700+9104</f>
        <v>16804</v>
      </c>
      <c r="J1001" s="20">
        <v>16804</v>
      </c>
      <c r="K1001" s="397">
        <f t="shared" si="147"/>
        <v>100</v>
      </c>
      <c r="L1001" s="20"/>
      <c r="M1001" s="20"/>
      <c r="N1001" s="20"/>
      <c r="O1001" s="397"/>
      <c r="P1001" s="20"/>
      <c r="Q1001" s="21">
        <f t="shared" ref="Q1001:Q1064" si="148">I1001+M1001</f>
        <v>16804</v>
      </c>
      <c r="R1001" s="21">
        <f t="shared" ref="R1001:R1064" si="149">J1001+N1001</f>
        <v>16804</v>
      </c>
      <c r="S1001" s="448">
        <f t="shared" si="145"/>
        <v>100</v>
      </c>
    </row>
    <row r="1002" spans="2:19" x14ac:dyDescent="0.2">
      <c r="B1002" s="6">
        <f t="shared" si="146"/>
        <v>500</v>
      </c>
      <c r="C1002" s="17"/>
      <c r="D1002" s="17"/>
      <c r="E1002" s="17"/>
      <c r="F1002" s="18"/>
      <c r="G1002" s="19">
        <v>637</v>
      </c>
      <c r="H1002" s="17" t="s">
        <v>119</v>
      </c>
      <c r="I1002" s="20">
        <f>6700-1500</f>
        <v>5200</v>
      </c>
      <c r="J1002" s="20">
        <v>5175</v>
      </c>
      <c r="K1002" s="397">
        <f t="shared" si="147"/>
        <v>99.519230769230774</v>
      </c>
      <c r="L1002" s="20"/>
      <c r="M1002" s="20"/>
      <c r="N1002" s="20"/>
      <c r="O1002" s="397"/>
      <c r="P1002" s="20"/>
      <c r="Q1002" s="21">
        <f t="shared" si="148"/>
        <v>5200</v>
      </c>
      <c r="R1002" s="21">
        <f t="shared" si="149"/>
        <v>5175</v>
      </c>
      <c r="S1002" s="448">
        <f t="shared" si="145"/>
        <v>99.519230769230774</v>
      </c>
    </row>
    <row r="1003" spans="2:19" x14ac:dyDescent="0.2">
      <c r="B1003" s="6">
        <f t="shared" si="146"/>
        <v>501</v>
      </c>
      <c r="C1003" s="12"/>
      <c r="D1003" s="12"/>
      <c r="E1003" s="12"/>
      <c r="F1003" s="13" t="s">
        <v>155</v>
      </c>
      <c r="G1003" s="14">
        <v>640</v>
      </c>
      <c r="H1003" s="12" t="s">
        <v>126</v>
      </c>
      <c r="I1003" s="15">
        <f>1500+2926</f>
        <v>4426</v>
      </c>
      <c r="J1003" s="15">
        <v>4350</v>
      </c>
      <c r="K1003" s="397">
        <f t="shared" si="147"/>
        <v>98.282873926796199</v>
      </c>
      <c r="L1003" s="15"/>
      <c r="M1003" s="15"/>
      <c r="N1003" s="15"/>
      <c r="O1003" s="397"/>
      <c r="P1003" s="15"/>
      <c r="Q1003" s="16">
        <f t="shared" si="148"/>
        <v>4426</v>
      </c>
      <c r="R1003" s="16">
        <f t="shared" si="149"/>
        <v>4350</v>
      </c>
      <c r="S1003" s="448">
        <f t="shared" si="145"/>
        <v>98.282873926796199</v>
      </c>
    </row>
    <row r="1004" spans="2:19" ht="15" x14ac:dyDescent="0.25">
      <c r="B1004" s="6">
        <f t="shared" si="146"/>
        <v>502</v>
      </c>
      <c r="C1004" s="97"/>
      <c r="D1004" s="97"/>
      <c r="E1004" s="97">
        <v>10</v>
      </c>
      <c r="F1004" s="98"/>
      <c r="G1004" s="98"/>
      <c r="H1004" s="97" t="s">
        <v>0</v>
      </c>
      <c r="I1004" s="99">
        <f>I1005+I1006+I1007+I1012</f>
        <v>236287</v>
      </c>
      <c r="J1004" s="99">
        <f>J1005+J1006+J1007+J1012</f>
        <v>236264</v>
      </c>
      <c r="K1004" s="414">
        <f t="shared" si="147"/>
        <v>99.990266074731153</v>
      </c>
      <c r="L1004" s="313"/>
      <c r="M1004" s="99"/>
      <c r="N1004" s="99"/>
      <c r="O1004" s="414"/>
      <c r="P1004" s="313"/>
      <c r="Q1004" s="100">
        <f t="shared" si="148"/>
        <v>236287</v>
      </c>
      <c r="R1004" s="100">
        <f t="shared" si="149"/>
        <v>236264</v>
      </c>
      <c r="S1004" s="464">
        <f t="shared" si="145"/>
        <v>99.990266074731153</v>
      </c>
    </row>
    <row r="1005" spans="2:19" x14ac:dyDescent="0.2">
      <c r="B1005" s="6">
        <f t="shared" si="146"/>
        <v>503</v>
      </c>
      <c r="C1005" s="12"/>
      <c r="D1005" s="12"/>
      <c r="E1005" s="12"/>
      <c r="F1005" s="13" t="s">
        <v>155</v>
      </c>
      <c r="G1005" s="14">
        <v>610</v>
      </c>
      <c r="H1005" s="12" t="s">
        <v>128</v>
      </c>
      <c r="I1005" s="15">
        <f>130676+9739+5600+3154+212</f>
        <v>149381</v>
      </c>
      <c r="J1005" s="15">
        <v>149381</v>
      </c>
      <c r="K1005" s="397">
        <f t="shared" si="147"/>
        <v>100</v>
      </c>
      <c r="L1005" s="15"/>
      <c r="M1005" s="15"/>
      <c r="N1005" s="15"/>
      <c r="O1005" s="397"/>
      <c r="P1005" s="15"/>
      <c r="Q1005" s="16">
        <f t="shared" si="148"/>
        <v>149381</v>
      </c>
      <c r="R1005" s="16">
        <f t="shared" si="149"/>
        <v>149381</v>
      </c>
      <c r="S1005" s="448">
        <f t="shared" si="145"/>
        <v>100</v>
      </c>
    </row>
    <row r="1006" spans="2:19" x14ac:dyDescent="0.2">
      <c r="B1006" s="6">
        <f t="shared" si="146"/>
        <v>504</v>
      </c>
      <c r="C1006" s="12"/>
      <c r="D1006" s="12"/>
      <c r="E1006" s="12"/>
      <c r="F1006" s="13" t="s">
        <v>155</v>
      </c>
      <c r="G1006" s="14">
        <v>620</v>
      </c>
      <c r="H1006" s="12" t="s">
        <v>121</v>
      </c>
      <c r="I1006" s="15">
        <f>49592+2846+1981+1133-211</f>
        <v>55341</v>
      </c>
      <c r="J1006" s="15">
        <v>55342</v>
      </c>
      <c r="K1006" s="397">
        <f t="shared" si="147"/>
        <v>100.00180697855117</v>
      </c>
      <c r="L1006" s="15"/>
      <c r="M1006" s="15"/>
      <c r="N1006" s="15"/>
      <c r="O1006" s="397"/>
      <c r="P1006" s="15"/>
      <c r="Q1006" s="16">
        <f t="shared" si="148"/>
        <v>55341</v>
      </c>
      <c r="R1006" s="16">
        <f t="shared" si="149"/>
        <v>55342</v>
      </c>
      <c r="S1006" s="448">
        <f t="shared" si="145"/>
        <v>100.00180697855117</v>
      </c>
    </row>
    <row r="1007" spans="2:19" x14ac:dyDescent="0.2">
      <c r="B1007" s="6">
        <f t="shared" si="146"/>
        <v>505</v>
      </c>
      <c r="C1007" s="12"/>
      <c r="D1007" s="12"/>
      <c r="E1007" s="12"/>
      <c r="F1007" s="13" t="s">
        <v>155</v>
      </c>
      <c r="G1007" s="14">
        <v>630</v>
      </c>
      <c r="H1007" s="12" t="s">
        <v>118</v>
      </c>
      <c r="I1007" s="15">
        <f>SUM(I1008:I1011)</f>
        <v>31550</v>
      </c>
      <c r="J1007" s="15">
        <f>SUM(J1008:J1011)</f>
        <v>31526</v>
      </c>
      <c r="K1007" s="397">
        <f t="shared" si="147"/>
        <v>99.923930269413631</v>
      </c>
      <c r="L1007" s="15"/>
      <c r="M1007" s="15"/>
      <c r="N1007" s="15"/>
      <c r="O1007" s="397"/>
      <c r="P1007" s="15"/>
      <c r="Q1007" s="16">
        <f t="shared" si="148"/>
        <v>31550</v>
      </c>
      <c r="R1007" s="16">
        <f t="shared" si="149"/>
        <v>31526</v>
      </c>
      <c r="S1007" s="448">
        <f t="shared" si="145"/>
        <v>99.923930269413631</v>
      </c>
    </row>
    <row r="1008" spans="2:19" x14ac:dyDescent="0.2">
      <c r="B1008" s="6">
        <f t="shared" si="146"/>
        <v>506</v>
      </c>
      <c r="C1008" s="17"/>
      <c r="D1008" s="17"/>
      <c r="E1008" s="17"/>
      <c r="F1008" s="18"/>
      <c r="G1008" s="19">
        <v>632</v>
      </c>
      <c r="H1008" s="17" t="s">
        <v>131</v>
      </c>
      <c r="I1008" s="20">
        <f>11850+1500+753-50</f>
        <v>14053</v>
      </c>
      <c r="J1008" s="20">
        <v>14053</v>
      </c>
      <c r="K1008" s="397">
        <f t="shared" si="147"/>
        <v>100</v>
      </c>
      <c r="L1008" s="20"/>
      <c r="M1008" s="20"/>
      <c r="N1008" s="20"/>
      <c r="O1008" s="397"/>
      <c r="P1008" s="20"/>
      <c r="Q1008" s="21">
        <f t="shared" si="148"/>
        <v>14053</v>
      </c>
      <c r="R1008" s="21">
        <f t="shared" si="149"/>
        <v>14053</v>
      </c>
      <c r="S1008" s="448">
        <f t="shared" si="145"/>
        <v>100</v>
      </c>
    </row>
    <row r="1009" spans="2:19" x14ac:dyDescent="0.2">
      <c r="B1009" s="6">
        <f t="shared" si="146"/>
        <v>507</v>
      </c>
      <c r="C1009" s="17"/>
      <c r="D1009" s="17"/>
      <c r="E1009" s="17"/>
      <c r="F1009" s="18"/>
      <c r="G1009" s="19">
        <v>633</v>
      </c>
      <c r="H1009" s="17" t="s">
        <v>122</v>
      </c>
      <c r="I1009" s="20">
        <f>5700-353</f>
        <v>5347</v>
      </c>
      <c r="J1009" s="20">
        <v>5333</v>
      </c>
      <c r="K1009" s="397">
        <f t="shared" ref="K1009:K1040" si="150">J1009/I1009*100</f>
        <v>99.738170936974001</v>
      </c>
      <c r="L1009" s="20"/>
      <c r="M1009" s="20"/>
      <c r="N1009" s="20"/>
      <c r="O1009" s="397"/>
      <c r="P1009" s="20"/>
      <c r="Q1009" s="21">
        <f t="shared" si="148"/>
        <v>5347</v>
      </c>
      <c r="R1009" s="21">
        <f t="shared" si="149"/>
        <v>5333</v>
      </c>
      <c r="S1009" s="448">
        <f t="shared" si="145"/>
        <v>99.738170936974001</v>
      </c>
    </row>
    <row r="1010" spans="2:19" x14ac:dyDescent="0.2">
      <c r="B1010" s="6">
        <f t="shared" si="146"/>
        <v>508</v>
      </c>
      <c r="C1010" s="17"/>
      <c r="D1010" s="17"/>
      <c r="E1010" s="17"/>
      <c r="F1010" s="18"/>
      <c r="G1010" s="19">
        <v>635</v>
      </c>
      <c r="H1010" s="17" t="s">
        <v>130</v>
      </c>
      <c r="I1010" s="20">
        <f>7000-1500-776</f>
        <v>4724</v>
      </c>
      <c r="J1010" s="20">
        <v>4724</v>
      </c>
      <c r="K1010" s="397">
        <f t="shared" si="150"/>
        <v>100</v>
      </c>
      <c r="L1010" s="20"/>
      <c r="M1010" s="20"/>
      <c r="N1010" s="20"/>
      <c r="O1010" s="397"/>
      <c r="P1010" s="20"/>
      <c r="Q1010" s="21">
        <f t="shared" si="148"/>
        <v>4724</v>
      </c>
      <c r="R1010" s="21">
        <f t="shared" si="149"/>
        <v>4724</v>
      </c>
      <c r="S1010" s="448">
        <f t="shared" si="145"/>
        <v>100</v>
      </c>
    </row>
    <row r="1011" spans="2:19" x14ac:dyDescent="0.2">
      <c r="B1011" s="6">
        <f t="shared" si="146"/>
        <v>509</v>
      </c>
      <c r="C1011" s="17"/>
      <c r="D1011" s="17"/>
      <c r="E1011" s="17"/>
      <c r="F1011" s="18"/>
      <c r="G1011" s="19">
        <v>637</v>
      </c>
      <c r="H1011" s="17" t="s">
        <v>119</v>
      </c>
      <c r="I1011" s="20">
        <f>7000+376+50</f>
        <v>7426</v>
      </c>
      <c r="J1011" s="20">
        <v>7416</v>
      </c>
      <c r="K1011" s="397">
        <f t="shared" si="150"/>
        <v>99.865338001615939</v>
      </c>
      <c r="L1011" s="20"/>
      <c r="M1011" s="20"/>
      <c r="N1011" s="20"/>
      <c r="O1011" s="397"/>
      <c r="P1011" s="20"/>
      <c r="Q1011" s="21">
        <f t="shared" si="148"/>
        <v>7426</v>
      </c>
      <c r="R1011" s="21">
        <f t="shared" si="149"/>
        <v>7416</v>
      </c>
      <c r="S1011" s="448">
        <f t="shared" si="145"/>
        <v>99.865338001615939</v>
      </c>
    </row>
    <row r="1012" spans="2:19" x14ac:dyDescent="0.2">
      <c r="B1012" s="6">
        <f t="shared" si="146"/>
        <v>510</v>
      </c>
      <c r="C1012" s="12"/>
      <c r="D1012" s="12"/>
      <c r="E1012" s="12"/>
      <c r="F1012" s="13" t="s">
        <v>155</v>
      </c>
      <c r="G1012" s="14">
        <v>640</v>
      </c>
      <c r="H1012" s="12" t="s">
        <v>126</v>
      </c>
      <c r="I1012" s="15">
        <f>600-584-1</f>
        <v>15</v>
      </c>
      <c r="J1012" s="15">
        <v>15</v>
      </c>
      <c r="K1012" s="397">
        <f t="shared" si="150"/>
        <v>100</v>
      </c>
      <c r="L1012" s="15"/>
      <c r="M1012" s="15"/>
      <c r="N1012" s="15"/>
      <c r="O1012" s="397"/>
      <c r="P1012" s="15"/>
      <c r="Q1012" s="16">
        <f t="shared" si="148"/>
        <v>15</v>
      </c>
      <c r="R1012" s="16">
        <f t="shared" si="149"/>
        <v>15</v>
      </c>
      <c r="S1012" s="448">
        <f t="shared" si="145"/>
        <v>100</v>
      </c>
    </row>
    <row r="1013" spans="2:19" ht="15" x14ac:dyDescent="0.25">
      <c r="B1013" s="6">
        <f t="shared" si="146"/>
        <v>511</v>
      </c>
      <c r="C1013" s="97"/>
      <c r="D1013" s="97"/>
      <c r="E1013" s="97">
        <v>11</v>
      </c>
      <c r="F1013" s="98"/>
      <c r="G1013" s="98"/>
      <c r="H1013" s="97" t="s">
        <v>7</v>
      </c>
      <c r="I1013" s="99">
        <f>I1014+I1015+I1016+I1021</f>
        <v>422256</v>
      </c>
      <c r="J1013" s="99">
        <f>J1014+J1015+J1016+J1021</f>
        <v>407083</v>
      </c>
      <c r="K1013" s="414">
        <f t="shared" si="150"/>
        <v>96.406682202265927</v>
      </c>
      <c r="L1013" s="313"/>
      <c r="M1013" s="99"/>
      <c r="N1013" s="99"/>
      <c r="O1013" s="414"/>
      <c r="P1013" s="313"/>
      <c r="Q1013" s="100">
        <f t="shared" si="148"/>
        <v>422256</v>
      </c>
      <c r="R1013" s="100">
        <f t="shared" si="149"/>
        <v>407083</v>
      </c>
      <c r="S1013" s="464">
        <f t="shared" si="145"/>
        <v>96.406682202265927</v>
      </c>
    </row>
    <row r="1014" spans="2:19" x14ac:dyDescent="0.2">
      <c r="B1014" s="6">
        <f t="shared" si="146"/>
        <v>512</v>
      </c>
      <c r="C1014" s="12"/>
      <c r="D1014" s="12"/>
      <c r="E1014" s="12"/>
      <c r="F1014" s="13" t="s">
        <v>155</v>
      </c>
      <c r="G1014" s="14">
        <v>610</v>
      </c>
      <c r="H1014" s="12" t="s">
        <v>128</v>
      </c>
      <c r="I1014" s="15">
        <f>262070+8800+3600</f>
        <v>274470</v>
      </c>
      <c r="J1014" s="15">
        <v>263693</v>
      </c>
      <c r="K1014" s="397">
        <f t="shared" si="150"/>
        <v>96.073523518052966</v>
      </c>
      <c r="L1014" s="15"/>
      <c r="M1014" s="15"/>
      <c r="N1014" s="15"/>
      <c r="O1014" s="397"/>
      <c r="P1014" s="15"/>
      <c r="Q1014" s="16">
        <f t="shared" si="148"/>
        <v>274470</v>
      </c>
      <c r="R1014" s="16">
        <f t="shared" si="149"/>
        <v>263693</v>
      </c>
      <c r="S1014" s="448">
        <f t="shared" si="145"/>
        <v>96.073523518052966</v>
      </c>
    </row>
    <row r="1015" spans="2:19" x14ac:dyDescent="0.2">
      <c r="B1015" s="6">
        <f t="shared" si="146"/>
        <v>513</v>
      </c>
      <c r="C1015" s="12"/>
      <c r="D1015" s="12"/>
      <c r="E1015" s="12"/>
      <c r="F1015" s="13" t="s">
        <v>155</v>
      </c>
      <c r="G1015" s="14">
        <v>620</v>
      </c>
      <c r="H1015" s="12" t="s">
        <v>121</v>
      </c>
      <c r="I1015" s="15">
        <f>99260+3186+1320</f>
        <v>103766</v>
      </c>
      <c r="J1015" s="15">
        <v>99370</v>
      </c>
      <c r="K1015" s="397">
        <f t="shared" si="150"/>
        <v>95.763544899099898</v>
      </c>
      <c r="L1015" s="15"/>
      <c r="M1015" s="15"/>
      <c r="N1015" s="15"/>
      <c r="O1015" s="397"/>
      <c r="P1015" s="15"/>
      <c r="Q1015" s="16">
        <f t="shared" si="148"/>
        <v>103766</v>
      </c>
      <c r="R1015" s="16">
        <f t="shared" si="149"/>
        <v>99370</v>
      </c>
      <c r="S1015" s="448">
        <f t="shared" ref="S1015:S1078" si="151">R1015/Q1015*100</f>
        <v>95.763544899099898</v>
      </c>
    </row>
    <row r="1016" spans="2:19" x14ac:dyDescent="0.2">
      <c r="B1016" s="6">
        <f t="shared" ref="B1016:B1079" si="152">B1015+1</f>
        <v>514</v>
      </c>
      <c r="C1016" s="12"/>
      <c r="D1016" s="12"/>
      <c r="E1016" s="12"/>
      <c r="F1016" s="13" t="s">
        <v>155</v>
      </c>
      <c r="G1016" s="14">
        <v>630</v>
      </c>
      <c r="H1016" s="12" t="s">
        <v>118</v>
      </c>
      <c r="I1016" s="15">
        <f>SUM(I1017:I1020)</f>
        <v>39040</v>
      </c>
      <c r="J1016" s="15">
        <f>SUM(J1017:J1020)</f>
        <v>39040</v>
      </c>
      <c r="K1016" s="397">
        <f t="shared" si="150"/>
        <v>100</v>
      </c>
      <c r="L1016" s="15"/>
      <c r="M1016" s="15"/>
      <c r="N1016" s="15"/>
      <c r="O1016" s="397"/>
      <c r="P1016" s="15"/>
      <c r="Q1016" s="16">
        <f t="shared" si="148"/>
        <v>39040</v>
      </c>
      <c r="R1016" s="16">
        <f t="shared" si="149"/>
        <v>39040</v>
      </c>
      <c r="S1016" s="448">
        <f t="shared" si="151"/>
        <v>100</v>
      </c>
    </row>
    <row r="1017" spans="2:19" x14ac:dyDescent="0.2">
      <c r="B1017" s="6">
        <f t="shared" si="152"/>
        <v>515</v>
      </c>
      <c r="C1017" s="17"/>
      <c r="D1017" s="17"/>
      <c r="E1017" s="17"/>
      <c r="F1017" s="18"/>
      <c r="G1017" s="19">
        <v>632</v>
      </c>
      <c r="H1017" s="17" t="s">
        <v>131</v>
      </c>
      <c r="I1017" s="20">
        <v>18000</v>
      </c>
      <c r="J1017" s="20">
        <v>18000</v>
      </c>
      <c r="K1017" s="397">
        <f t="shared" si="150"/>
        <v>100</v>
      </c>
      <c r="L1017" s="20"/>
      <c r="M1017" s="20"/>
      <c r="N1017" s="20"/>
      <c r="O1017" s="397"/>
      <c r="P1017" s="20"/>
      <c r="Q1017" s="21">
        <f t="shared" si="148"/>
        <v>18000</v>
      </c>
      <c r="R1017" s="21">
        <f t="shared" si="149"/>
        <v>18000</v>
      </c>
      <c r="S1017" s="448">
        <f t="shared" si="151"/>
        <v>100</v>
      </c>
    </row>
    <row r="1018" spans="2:19" x14ac:dyDescent="0.2">
      <c r="B1018" s="6">
        <f t="shared" si="152"/>
        <v>516</v>
      </c>
      <c r="C1018" s="17"/>
      <c r="D1018" s="17"/>
      <c r="E1018" s="17"/>
      <c r="F1018" s="18"/>
      <c r="G1018" s="19">
        <v>633</v>
      </c>
      <c r="H1018" s="17" t="s">
        <v>122</v>
      </c>
      <c r="I1018" s="20">
        <v>7260</v>
      </c>
      <c r="J1018" s="20">
        <v>7260</v>
      </c>
      <c r="K1018" s="397">
        <f t="shared" si="150"/>
        <v>100</v>
      </c>
      <c r="L1018" s="20"/>
      <c r="M1018" s="20"/>
      <c r="N1018" s="20"/>
      <c r="O1018" s="397"/>
      <c r="P1018" s="20"/>
      <c r="Q1018" s="21">
        <f t="shared" si="148"/>
        <v>7260</v>
      </c>
      <c r="R1018" s="21">
        <f t="shared" si="149"/>
        <v>7260</v>
      </c>
      <c r="S1018" s="448">
        <f t="shared" si="151"/>
        <v>100</v>
      </c>
    </row>
    <row r="1019" spans="2:19" x14ac:dyDescent="0.2">
      <c r="B1019" s="6">
        <f t="shared" si="152"/>
        <v>517</v>
      </c>
      <c r="C1019" s="17"/>
      <c r="D1019" s="17"/>
      <c r="E1019" s="17"/>
      <c r="F1019" s="18"/>
      <c r="G1019" s="19">
        <v>635</v>
      </c>
      <c r="H1019" s="17" t="s">
        <v>130</v>
      </c>
      <c r="I1019" s="20">
        <f>3000+600</f>
        <v>3600</v>
      </c>
      <c r="J1019" s="20">
        <v>3600</v>
      </c>
      <c r="K1019" s="397">
        <f t="shared" si="150"/>
        <v>100</v>
      </c>
      <c r="L1019" s="20"/>
      <c r="M1019" s="20"/>
      <c r="N1019" s="20"/>
      <c r="O1019" s="397"/>
      <c r="P1019" s="20"/>
      <c r="Q1019" s="21">
        <f t="shared" si="148"/>
        <v>3600</v>
      </c>
      <c r="R1019" s="21">
        <f t="shared" si="149"/>
        <v>3600</v>
      </c>
      <c r="S1019" s="448">
        <f t="shared" si="151"/>
        <v>100</v>
      </c>
    </row>
    <row r="1020" spans="2:19" x14ac:dyDescent="0.2">
      <c r="B1020" s="6">
        <f t="shared" si="152"/>
        <v>518</v>
      </c>
      <c r="C1020" s="17"/>
      <c r="D1020" s="17"/>
      <c r="E1020" s="17"/>
      <c r="F1020" s="18"/>
      <c r="G1020" s="19">
        <v>637</v>
      </c>
      <c r="H1020" s="17" t="s">
        <v>119</v>
      </c>
      <c r="I1020" s="20">
        <f>10780-600</f>
        <v>10180</v>
      </c>
      <c r="J1020" s="20">
        <v>10180</v>
      </c>
      <c r="K1020" s="397">
        <f t="shared" si="150"/>
        <v>100</v>
      </c>
      <c r="L1020" s="20"/>
      <c r="M1020" s="20"/>
      <c r="N1020" s="20"/>
      <c r="O1020" s="397"/>
      <c r="P1020" s="20"/>
      <c r="Q1020" s="21">
        <f t="shared" si="148"/>
        <v>10180</v>
      </c>
      <c r="R1020" s="21">
        <f t="shared" si="149"/>
        <v>10180</v>
      </c>
      <c r="S1020" s="448">
        <f t="shared" si="151"/>
        <v>100</v>
      </c>
    </row>
    <row r="1021" spans="2:19" x14ac:dyDescent="0.2">
      <c r="B1021" s="6">
        <f t="shared" si="152"/>
        <v>519</v>
      </c>
      <c r="C1021" s="12"/>
      <c r="D1021" s="12"/>
      <c r="E1021" s="12"/>
      <c r="F1021" s="13" t="s">
        <v>155</v>
      </c>
      <c r="G1021" s="14">
        <v>640</v>
      </c>
      <c r="H1021" s="12" t="s">
        <v>126</v>
      </c>
      <c r="I1021" s="15">
        <v>4980</v>
      </c>
      <c r="J1021" s="15">
        <v>4980</v>
      </c>
      <c r="K1021" s="397">
        <f t="shared" si="150"/>
        <v>100</v>
      </c>
      <c r="L1021" s="15"/>
      <c r="M1021" s="15"/>
      <c r="N1021" s="15"/>
      <c r="O1021" s="397"/>
      <c r="P1021" s="15"/>
      <c r="Q1021" s="16">
        <f t="shared" si="148"/>
        <v>4980</v>
      </c>
      <c r="R1021" s="16">
        <f t="shared" si="149"/>
        <v>4980</v>
      </c>
      <c r="S1021" s="448">
        <f t="shared" si="151"/>
        <v>100</v>
      </c>
    </row>
    <row r="1022" spans="2:19" ht="15" x14ac:dyDescent="0.25">
      <c r="B1022" s="6">
        <f t="shared" si="152"/>
        <v>520</v>
      </c>
      <c r="C1022" s="97"/>
      <c r="D1022" s="97"/>
      <c r="E1022" s="97">
        <v>12</v>
      </c>
      <c r="F1022" s="98"/>
      <c r="G1022" s="98"/>
      <c r="H1022" s="97" t="s">
        <v>5</v>
      </c>
      <c r="I1022" s="99">
        <f>I1023+I1024+I1025+I1030</f>
        <v>377139</v>
      </c>
      <c r="J1022" s="99">
        <f>J1023+J1024+J1025+J1030</f>
        <v>376745</v>
      </c>
      <c r="K1022" s="414">
        <f t="shared" si="150"/>
        <v>99.8955292345793</v>
      </c>
      <c r="L1022" s="313"/>
      <c r="M1022" s="99"/>
      <c r="N1022" s="99"/>
      <c r="O1022" s="414"/>
      <c r="P1022" s="313"/>
      <c r="Q1022" s="100">
        <f t="shared" si="148"/>
        <v>377139</v>
      </c>
      <c r="R1022" s="100">
        <f t="shared" si="149"/>
        <v>376745</v>
      </c>
      <c r="S1022" s="464">
        <f t="shared" si="151"/>
        <v>99.8955292345793</v>
      </c>
    </row>
    <row r="1023" spans="2:19" x14ac:dyDescent="0.2">
      <c r="B1023" s="6">
        <f t="shared" si="152"/>
        <v>521</v>
      </c>
      <c r="C1023" s="12"/>
      <c r="D1023" s="12"/>
      <c r="E1023" s="12"/>
      <c r="F1023" s="13" t="s">
        <v>155</v>
      </c>
      <c r="G1023" s="14">
        <v>610</v>
      </c>
      <c r="H1023" s="12" t="s">
        <v>128</v>
      </c>
      <c r="I1023" s="15">
        <f>248900+10064</f>
        <v>258964</v>
      </c>
      <c r="J1023" s="15">
        <v>258964</v>
      </c>
      <c r="K1023" s="397">
        <f t="shared" si="150"/>
        <v>100</v>
      </c>
      <c r="L1023" s="15"/>
      <c r="M1023" s="15"/>
      <c r="N1023" s="15"/>
      <c r="O1023" s="397"/>
      <c r="P1023" s="15"/>
      <c r="Q1023" s="16">
        <f t="shared" si="148"/>
        <v>258964</v>
      </c>
      <c r="R1023" s="16">
        <f t="shared" si="149"/>
        <v>258964</v>
      </c>
      <c r="S1023" s="448">
        <f t="shared" si="151"/>
        <v>100</v>
      </c>
    </row>
    <row r="1024" spans="2:19" x14ac:dyDescent="0.2">
      <c r="B1024" s="6">
        <f t="shared" si="152"/>
        <v>522</v>
      </c>
      <c r="C1024" s="12"/>
      <c r="D1024" s="12"/>
      <c r="E1024" s="12"/>
      <c r="F1024" s="13" t="s">
        <v>155</v>
      </c>
      <c r="G1024" s="14">
        <v>620</v>
      </c>
      <c r="H1024" s="12" t="s">
        <v>121</v>
      </c>
      <c r="I1024" s="15">
        <f>77700+3643+5872</f>
        <v>87215</v>
      </c>
      <c r="J1024" s="15">
        <v>87215</v>
      </c>
      <c r="K1024" s="397">
        <f t="shared" si="150"/>
        <v>100</v>
      </c>
      <c r="L1024" s="15"/>
      <c r="M1024" s="15"/>
      <c r="N1024" s="15"/>
      <c r="O1024" s="397"/>
      <c r="P1024" s="15"/>
      <c r="Q1024" s="16">
        <f t="shared" si="148"/>
        <v>87215</v>
      </c>
      <c r="R1024" s="16">
        <f t="shared" si="149"/>
        <v>87215</v>
      </c>
      <c r="S1024" s="448">
        <f t="shared" si="151"/>
        <v>100</v>
      </c>
    </row>
    <row r="1025" spans="2:19" x14ac:dyDescent="0.2">
      <c r="B1025" s="6">
        <f t="shared" si="152"/>
        <v>523</v>
      </c>
      <c r="C1025" s="12"/>
      <c r="D1025" s="12"/>
      <c r="E1025" s="12"/>
      <c r="F1025" s="13" t="s">
        <v>155</v>
      </c>
      <c r="G1025" s="14">
        <v>630</v>
      </c>
      <c r="H1025" s="12" t="s">
        <v>118</v>
      </c>
      <c r="I1025" s="15">
        <f>SUM(I1026:I1029)</f>
        <v>28660</v>
      </c>
      <c r="J1025" s="15">
        <f>SUM(J1026:J1029)</f>
        <v>28660</v>
      </c>
      <c r="K1025" s="397">
        <f t="shared" si="150"/>
        <v>100</v>
      </c>
      <c r="L1025" s="15"/>
      <c r="M1025" s="15"/>
      <c r="N1025" s="15"/>
      <c r="O1025" s="397"/>
      <c r="P1025" s="15"/>
      <c r="Q1025" s="16">
        <f t="shared" si="148"/>
        <v>28660</v>
      </c>
      <c r="R1025" s="16">
        <f t="shared" si="149"/>
        <v>28660</v>
      </c>
      <c r="S1025" s="448">
        <f t="shared" si="151"/>
        <v>100</v>
      </c>
    </row>
    <row r="1026" spans="2:19" x14ac:dyDescent="0.2">
      <c r="B1026" s="6">
        <f t="shared" si="152"/>
        <v>524</v>
      </c>
      <c r="C1026" s="17"/>
      <c r="D1026" s="17"/>
      <c r="E1026" s="17"/>
      <c r="F1026" s="18"/>
      <c r="G1026" s="19">
        <v>631</v>
      </c>
      <c r="H1026" s="17" t="s">
        <v>124</v>
      </c>
      <c r="I1026" s="20">
        <v>100</v>
      </c>
      <c r="J1026" s="20">
        <v>100</v>
      </c>
      <c r="K1026" s="397">
        <f t="shared" si="150"/>
        <v>100</v>
      </c>
      <c r="L1026" s="20"/>
      <c r="M1026" s="20"/>
      <c r="N1026" s="20"/>
      <c r="O1026" s="397"/>
      <c r="P1026" s="20"/>
      <c r="Q1026" s="21">
        <f t="shared" si="148"/>
        <v>100</v>
      </c>
      <c r="R1026" s="21">
        <f t="shared" si="149"/>
        <v>100</v>
      </c>
      <c r="S1026" s="448">
        <f t="shared" si="151"/>
        <v>100</v>
      </c>
    </row>
    <row r="1027" spans="2:19" x14ac:dyDescent="0.2">
      <c r="B1027" s="6">
        <f t="shared" si="152"/>
        <v>525</v>
      </c>
      <c r="C1027" s="17"/>
      <c r="D1027" s="17"/>
      <c r="E1027" s="17"/>
      <c r="F1027" s="18"/>
      <c r="G1027" s="19">
        <v>632</v>
      </c>
      <c r="H1027" s="17" t="s">
        <v>131</v>
      </c>
      <c r="I1027" s="20">
        <v>8860</v>
      </c>
      <c r="J1027" s="20">
        <v>8860</v>
      </c>
      <c r="K1027" s="397">
        <f t="shared" si="150"/>
        <v>100</v>
      </c>
      <c r="L1027" s="20"/>
      <c r="M1027" s="20"/>
      <c r="N1027" s="20"/>
      <c r="O1027" s="397"/>
      <c r="P1027" s="20"/>
      <c r="Q1027" s="21">
        <f t="shared" si="148"/>
        <v>8860</v>
      </c>
      <c r="R1027" s="21">
        <f t="shared" si="149"/>
        <v>8860</v>
      </c>
      <c r="S1027" s="448">
        <f t="shared" si="151"/>
        <v>100</v>
      </c>
    </row>
    <row r="1028" spans="2:19" x14ac:dyDescent="0.2">
      <c r="B1028" s="6">
        <f t="shared" si="152"/>
        <v>526</v>
      </c>
      <c r="C1028" s="17"/>
      <c r="D1028" s="17"/>
      <c r="E1028" s="17"/>
      <c r="F1028" s="18"/>
      <c r="G1028" s="19">
        <v>633</v>
      </c>
      <c r="H1028" s="17" t="s">
        <v>122</v>
      </c>
      <c r="I1028" s="20">
        <f>11100+2500</f>
        <v>13600</v>
      </c>
      <c r="J1028" s="20">
        <v>13600</v>
      </c>
      <c r="K1028" s="397">
        <f t="shared" si="150"/>
        <v>100</v>
      </c>
      <c r="L1028" s="20"/>
      <c r="M1028" s="20"/>
      <c r="N1028" s="20"/>
      <c r="O1028" s="397"/>
      <c r="P1028" s="20"/>
      <c r="Q1028" s="21">
        <f t="shared" si="148"/>
        <v>13600</v>
      </c>
      <c r="R1028" s="21">
        <f t="shared" si="149"/>
        <v>13600</v>
      </c>
      <c r="S1028" s="448">
        <f t="shared" si="151"/>
        <v>100</v>
      </c>
    </row>
    <row r="1029" spans="2:19" x14ac:dyDescent="0.2">
      <c r="B1029" s="6">
        <f t="shared" si="152"/>
        <v>527</v>
      </c>
      <c r="C1029" s="17"/>
      <c r="D1029" s="17"/>
      <c r="E1029" s="17"/>
      <c r="F1029" s="18"/>
      <c r="G1029" s="19">
        <v>637</v>
      </c>
      <c r="H1029" s="17" t="s">
        <v>119</v>
      </c>
      <c r="I1029" s="20">
        <v>6100</v>
      </c>
      <c r="J1029" s="20">
        <v>6100</v>
      </c>
      <c r="K1029" s="397">
        <f t="shared" si="150"/>
        <v>100</v>
      </c>
      <c r="L1029" s="20"/>
      <c r="M1029" s="20"/>
      <c r="N1029" s="20"/>
      <c r="O1029" s="397"/>
      <c r="P1029" s="20"/>
      <c r="Q1029" s="21">
        <f t="shared" si="148"/>
        <v>6100</v>
      </c>
      <c r="R1029" s="21">
        <f t="shared" si="149"/>
        <v>6100</v>
      </c>
      <c r="S1029" s="448">
        <f t="shared" si="151"/>
        <v>100</v>
      </c>
    </row>
    <row r="1030" spans="2:19" x14ac:dyDescent="0.2">
      <c r="B1030" s="6">
        <f t="shared" si="152"/>
        <v>528</v>
      </c>
      <c r="C1030" s="12"/>
      <c r="D1030" s="12"/>
      <c r="E1030" s="12"/>
      <c r="F1030" s="13" t="s">
        <v>155</v>
      </c>
      <c r="G1030" s="14">
        <v>640</v>
      </c>
      <c r="H1030" s="12" t="s">
        <v>126</v>
      </c>
      <c r="I1030" s="15">
        <f>4800-2500</f>
        <v>2300</v>
      </c>
      <c r="J1030" s="15">
        <v>1906</v>
      </c>
      <c r="K1030" s="397">
        <f t="shared" si="150"/>
        <v>82.869565217391312</v>
      </c>
      <c r="L1030" s="15"/>
      <c r="M1030" s="15"/>
      <c r="N1030" s="15"/>
      <c r="O1030" s="397"/>
      <c r="P1030" s="15"/>
      <c r="Q1030" s="16">
        <f t="shared" si="148"/>
        <v>2300</v>
      </c>
      <c r="R1030" s="16">
        <f t="shared" si="149"/>
        <v>1906</v>
      </c>
      <c r="S1030" s="448">
        <f t="shared" si="151"/>
        <v>82.869565217391312</v>
      </c>
    </row>
    <row r="1031" spans="2:19" ht="15" x14ac:dyDescent="0.25">
      <c r="B1031" s="6">
        <f t="shared" si="152"/>
        <v>529</v>
      </c>
      <c r="C1031" s="97"/>
      <c r="D1031" s="97"/>
      <c r="E1031" s="97">
        <v>13</v>
      </c>
      <c r="F1031" s="98"/>
      <c r="G1031" s="98"/>
      <c r="H1031" s="97" t="s">
        <v>12</v>
      </c>
      <c r="I1031" s="99">
        <f>I1032+I1033+I1034+I1039</f>
        <v>133783</v>
      </c>
      <c r="J1031" s="99">
        <f>J1032+J1033+J1034+J1039</f>
        <v>131283</v>
      </c>
      <c r="K1031" s="414">
        <f t="shared" si="150"/>
        <v>98.131302183386524</v>
      </c>
      <c r="L1031" s="313"/>
      <c r="M1031" s="99"/>
      <c r="N1031" s="99"/>
      <c r="O1031" s="414"/>
      <c r="P1031" s="313"/>
      <c r="Q1031" s="100">
        <f t="shared" si="148"/>
        <v>133783</v>
      </c>
      <c r="R1031" s="100">
        <f t="shared" si="149"/>
        <v>131283</v>
      </c>
      <c r="S1031" s="464">
        <f t="shared" si="151"/>
        <v>98.131302183386524</v>
      </c>
    </row>
    <row r="1032" spans="2:19" x14ac:dyDescent="0.2">
      <c r="B1032" s="6">
        <f t="shared" si="152"/>
        <v>530</v>
      </c>
      <c r="C1032" s="12"/>
      <c r="D1032" s="12"/>
      <c r="E1032" s="12"/>
      <c r="F1032" s="13" t="s">
        <v>155</v>
      </c>
      <c r="G1032" s="14">
        <v>610</v>
      </c>
      <c r="H1032" s="12" t="s">
        <v>128</v>
      </c>
      <c r="I1032" s="15">
        <f>75264+3200+1500</f>
        <v>79964</v>
      </c>
      <c r="J1032" s="15">
        <v>79964</v>
      </c>
      <c r="K1032" s="397">
        <f t="shared" si="150"/>
        <v>100</v>
      </c>
      <c r="L1032" s="15"/>
      <c r="M1032" s="15"/>
      <c r="N1032" s="15"/>
      <c r="O1032" s="397"/>
      <c r="P1032" s="15"/>
      <c r="Q1032" s="16">
        <f t="shared" si="148"/>
        <v>79964</v>
      </c>
      <c r="R1032" s="16">
        <f t="shared" si="149"/>
        <v>79964</v>
      </c>
      <c r="S1032" s="448">
        <f t="shared" si="151"/>
        <v>100</v>
      </c>
    </row>
    <row r="1033" spans="2:19" x14ac:dyDescent="0.2">
      <c r="B1033" s="6">
        <f t="shared" si="152"/>
        <v>531</v>
      </c>
      <c r="C1033" s="12"/>
      <c r="D1033" s="12"/>
      <c r="E1033" s="12"/>
      <c r="F1033" s="13" t="s">
        <v>155</v>
      </c>
      <c r="G1033" s="14">
        <v>620</v>
      </c>
      <c r="H1033" s="12" t="s">
        <v>121</v>
      </c>
      <c r="I1033" s="15">
        <f>27375+1094+540</f>
        <v>29009</v>
      </c>
      <c r="J1033" s="15">
        <v>29009</v>
      </c>
      <c r="K1033" s="397">
        <f t="shared" si="150"/>
        <v>100</v>
      </c>
      <c r="L1033" s="15"/>
      <c r="M1033" s="15"/>
      <c r="N1033" s="15"/>
      <c r="O1033" s="397"/>
      <c r="P1033" s="15"/>
      <c r="Q1033" s="16">
        <f t="shared" si="148"/>
        <v>29009</v>
      </c>
      <c r="R1033" s="16">
        <f t="shared" si="149"/>
        <v>29009</v>
      </c>
      <c r="S1033" s="448">
        <f t="shared" si="151"/>
        <v>100</v>
      </c>
    </row>
    <row r="1034" spans="2:19" x14ac:dyDescent="0.2">
      <c r="B1034" s="6">
        <f t="shared" si="152"/>
        <v>532</v>
      </c>
      <c r="C1034" s="12"/>
      <c r="D1034" s="12"/>
      <c r="E1034" s="12"/>
      <c r="F1034" s="13" t="s">
        <v>155</v>
      </c>
      <c r="G1034" s="14">
        <v>630</v>
      </c>
      <c r="H1034" s="12" t="s">
        <v>118</v>
      </c>
      <c r="I1034" s="15">
        <f>SUM(I1035:I1038)</f>
        <v>22310</v>
      </c>
      <c r="J1034" s="15">
        <f>SUM(J1035:J1038)</f>
        <v>22310</v>
      </c>
      <c r="K1034" s="397">
        <f t="shared" si="150"/>
        <v>100</v>
      </c>
      <c r="L1034" s="15"/>
      <c r="M1034" s="15"/>
      <c r="N1034" s="15"/>
      <c r="O1034" s="397"/>
      <c r="P1034" s="15"/>
      <c r="Q1034" s="16">
        <f t="shared" si="148"/>
        <v>22310</v>
      </c>
      <c r="R1034" s="16">
        <f t="shared" si="149"/>
        <v>22310</v>
      </c>
      <c r="S1034" s="448">
        <f t="shared" si="151"/>
        <v>100</v>
      </c>
    </row>
    <row r="1035" spans="2:19" x14ac:dyDescent="0.2">
      <c r="B1035" s="6">
        <f t="shared" si="152"/>
        <v>533</v>
      </c>
      <c r="C1035" s="17"/>
      <c r="D1035" s="17"/>
      <c r="E1035" s="17"/>
      <c r="F1035" s="18"/>
      <c r="G1035" s="19">
        <v>632</v>
      </c>
      <c r="H1035" s="17" t="s">
        <v>131</v>
      </c>
      <c r="I1035" s="20">
        <v>13110</v>
      </c>
      <c r="J1035" s="20">
        <v>13110</v>
      </c>
      <c r="K1035" s="397">
        <f t="shared" si="150"/>
        <v>100</v>
      </c>
      <c r="L1035" s="20"/>
      <c r="M1035" s="20"/>
      <c r="N1035" s="20"/>
      <c r="O1035" s="397"/>
      <c r="P1035" s="20"/>
      <c r="Q1035" s="21">
        <f t="shared" si="148"/>
        <v>13110</v>
      </c>
      <c r="R1035" s="21">
        <f t="shared" si="149"/>
        <v>13110</v>
      </c>
      <c r="S1035" s="448">
        <f t="shared" si="151"/>
        <v>100</v>
      </c>
    </row>
    <row r="1036" spans="2:19" x14ac:dyDescent="0.2">
      <c r="B1036" s="6">
        <f t="shared" si="152"/>
        <v>534</v>
      </c>
      <c r="C1036" s="17"/>
      <c r="D1036" s="17"/>
      <c r="E1036" s="17"/>
      <c r="F1036" s="18"/>
      <c r="G1036" s="19">
        <v>633</v>
      </c>
      <c r="H1036" s="17" t="s">
        <v>122</v>
      </c>
      <c r="I1036" s="20">
        <v>4100</v>
      </c>
      <c r="J1036" s="20">
        <v>4100</v>
      </c>
      <c r="K1036" s="397">
        <f t="shared" si="150"/>
        <v>100</v>
      </c>
      <c r="L1036" s="20"/>
      <c r="M1036" s="20"/>
      <c r="N1036" s="20"/>
      <c r="O1036" s="397"/>
      <c r="P1036" s="20"/>
      <c r="Q1036" s="21">
        <f t="shared" si="148"/>
        <v>4100</v>
      </c>
      <c r="R1036" s="21">
        <f t="shared" si="149"/>
        <v>4100</v>
      </c>
      <c r="S1036" s="448">
        <f t="shared" si="151"/>
        <v>100</v>
      </c>
    </row>
    <row r="1037" spans="2:19" x14ac:dyDescent="0.2">
      <c r="B1037" s="6">
        <f t="shared" si="152"/>
        <v>535</v>
      </c>
      <c r="C1037" s="17"/>
      <c r="D1037" s="17"/>
      <c r="E1037" s="17"/>
      <c r="F1037" s="18"/>
      <c r="G1037" s="19">
        <v>635</v>
      </c>
      <c r="H1037" s="17" t="s">
        <v>130</v>
      </c>
      <c r="I1037" s="20">
        <f>3500-500</f>
        <v>3000</v>
      </c>
      <c r="J1037" s="20">
        <v>3000</v>
      </c>
      <c r="K1037" s="397">
        <f t="shared" si="150"/>
        <v>100</v>
      </c>
      <c r="L1037" s="20"/>
      <c r="M1037" s="20"/>
      <c r="N1037" s="20"/>
      <c r="O1037" s="397"/>
      <c r="P1037" s="20"/>
      <c r="Q1037" s="21">
        <f t="shared" si="148"/>
        <v>3000</v>
      </c>
      <c r="R1037" s="21">
        <f t="shared" si="149"/>
        <v>3000</v>
      </c>
      <c r="S1037" s="448">
        <f t="shared" si="151"/>
        <v>100</v>
      </c>
    </row>
    <row r="1038" spans="2:19" x14ac:dyDescent="0.2">
      <c r="B1038" s="6">
        <f t="shared" si="152"/>
        <v>536</v>
      </c>
      <c r="C1038" s="17"/>
      <c r="D1038" s="17"/>
      <c r="E1038" s="17"/>
      <c r="F1038" s="18"/>
      <c r="G1038" s="19">
        <v>637</v>
      </c>
      <c r="H1038" s="17" t="s">
        <v>119</v>
      </c>
      <c r="I1038" s="20">
        <f>1300+800</f>
        <v>2100</v>
      </c>
      <c r="J1038" s="20">
        <v>2100</v>
      </c>
      <c r="K1038" s="397">
        <f t="shared" si="150"/>
        <v>100</v>
      </c>
      <c r="L1038" s="20"/>
      <c r="M1038" s="20"/>
      <c r="N1038" s="20"/>
      <c r="O1038" s="397"/>
      <c r="P1038" s="20"/>
      <c r="Q1038" s="21">
        <f t="shared" si="148"/>
        <v>2100</v>
      </c>
      <c r="R1038" s="21">
        <f t="shared" si="149"/>
        <v>2100</v>
      </c>
      <c r="S1038" s="448">
        <f t="shared" si="151"/>
        <v>100</v>
      </c>
    </row>
    <row r="1039" spans="2:19" x14ac:dyDescent="0.2">
      <c r="B1039" s="6">
        <f t="shared" si="152"/>
        <v>537</v>
      </c>
      <c r="C1039" s="12"/>
      <c r="D1039" s="12"/>
      <c r="E1039" s="12"/>
      <c r="F1039" s="13" t="s">
        <v>155</v>
      </c>
      <c r="G1039" s="14">
        <v>640</v>
      </c>
      <c r="H1039" s="12" t="s">
        <v>126</v>
      </c>
      <c r="I1039" s="15">
        <f>2800-300</f>
        <v>2500</v>
      </c>
      <c r="J1039" s="15">
        <v>0</v>
      </c>
      <c r="K1039" s="397">
        <f t="shared" si="150"/>
        <v>0</v>
      </c>
      <c r="L1039" s="15"/>
      <c r="M1039" s="15"/>
      <c r="N1039" s="15"/>
      <c r="O1039" s="397"/>
      <c r="P1039" s="15"/>
      <c r="Q1039" s="16">
        <f t="shared" si="148"/>
        <v>2500</v>
      </c>
      <c r="R1039" s="16">
        <f t="shared" si="149"/>
        <v>0</v>
      </c>
      <c r="S1039" s="448">
        <f t="shared" si="151"/>
        <v>0</v>
      </c>
    </row>
    <row r="1040" spans="2:19" ht="15" x14ac:dyDescent="0.25">
      <c r="B1040" s="6">
        <f t="shared" si="152"/>
        <v>538</v>
      </c>
      <c r="C1040" s="97"/>
      <c r="D1040" s="97"/>
      <c r="E1040" s="97">
        <v>14</v>
      </c>
      <c r="F1040" s="98"/>
      <c r="G1040" s="98"/>
      <c r="H1040" s="97" t="s">
        <v>1</v>
      </c>
      <c r="I1040" s="99">
        <f>I1041+I1042+I1043+I1050</f>
        <v>1889706</v>
      </c>
      <c r="J1040" s="99">
        <f>J1041+J1042+J1043+J1050</f>
        <v>1873148</v>
      </c>
      <c r="K1040" s="414">
        <f t="shared" si="150"/>
        <v>99.123779042877572</v>
      </c>
      <c r="L1040" s="313"/>
      <c r="M1040" s="99">
        <f>M1051</f>
        <v>38600</v>
      </c>
      <c r="N1040" s="99">
        <f>N1051</f>
        <v>38600</v>
      </c>
      <c r="O1040" s="414">
        <f>N1040/M1040*100</f>
        <v>100</v>
      </c>
      <c r="P1040" s="313"/>
      <c r="Q1040" s="100">
        <f t="shared" si="148"/>
        <v>1928306</v>
      </c>
      <c r="R1040" s="100">
        <f t="shared" si="149"/>
        <v>1911748</v>
      </c>
      <c r="S1040" s="464">
        <f t="shared" si="151"/>
        <v>99.141318857069365</v>
      </c>
    </row>
    <row r="1041" spans="2:19" x14ac:dyDescent="0.2">
      <c r="B1041" s="6">
        <f t="shared" si="152"/>
        <v>539</v>
      </c>
      <c r="C1041" s="12"/>
      <c r="D1041" s="12"/>
      <c r="E1041" s="12"/>
      <c r="F1041" s="13" t="s">
        <v>155</v>
      </c>
      <c r="G1041" s="14">
        <v>610</v>
      </c>
      <c r="H1041" s="12" t="s">
        <v>128</v>
      </c>
      <c r="I1041" s="15">
        <f>1176000+100+41911+30080</f>
        <v>1248091</v>
      </c>
      <c r="J1041" s="15">
        <v>1248069</v>
      </c>
      <c r="K1041" s="397">
        <f t="shared" ref="K1041:K1050" si="153">J1041/I1041*100</f>
        <v>99.998237308016797</v>
      </c>
      <c r="L1041" s="15"/>
      <c r="M1041" s="15"/>
      <c r="N1041" s="15"/>
      <c r="O1041" s="397"/>
      <c r="P1041" s="15"/>
      <c r="Q1041" s="16">
        <f t="shared" si="148"/>
        <v>1248091</v>
      </c>
      <c r="R1041" s="16">
        <f t="shared" si="149"/>
        <v>1248069</v>
      </c>
      <c r="S1041" s="448">
        <f t="shared" si="151"/>
        <v>99.998237308016797</v>
      </c>
    </row>
    <row r="1042" spans="2:19" x14ac:dyDescent="0.2">
      <c r="B1042" s="6">
        <f t="shared" si="152"/>
        <v>540</v>
      </c>
      <c r="C1042" s="12"/>
      <c r="D1042" s="12"/>
      <c r="E1042" s="12"/>
      <c r="F1042" s="13" t="s">
        <v>155</v>
      </c>
      <c r="G1042" s="14">
        <v>620</v>
      </c>
      <c r="H1042" s="12" t="s">
        <v>121</v>
      </c>
      <c r="I1042" s="15">
        <f>422000+35+14775+7039</f>
        <v>443849</v>
      </c>
      <c r="J1042" s="15">
        <v>443113</v>
      </c>
      <c r="K1042" s="397">
        <f t="shared" si="153"/>
        <v>99.834177839760812</v>
      </c>
      <c r="L1042" s="15"/>
      <c r="M1042" s="15"/>
      <c r="N1042" s="15"/>
      <c r="O1042" s="397"/>
      <c r="P1042" s="15"/>
      <c r="Q1042" s="16">
        <f t="shared" si="148"/>
        <v>443849</v>
      </c>
      <c r="R1042" s="16">
        <f t="shared" si="149"/>
        <v>443113</v>
      </c>
      <c r="S1042" s="448">
        <f t="shared" si="151"/>
        <v>99.834177839760812</v>
      </c>
    </row>
    <row r="1043" spans="2:19" x14ac:dyDescent="0.2">
      <c r="B1043" s="6">
        <f t="shared" si="152"/>
        <v>541</v>
      </c>
      <c r="C1043" s="12"/>
      <c r="D1043" s="12"/>
      <c r="E1043" s="12"/>
      <c r="F1043" s="13" t="s">
        <v>155</v>
      </c>
      <c r="G1043" s="14">
        <v>630</v>
      </c>
      <c r="H1043" s="12" t="s">
        <v>118</v>
      </c>
      <c r="I1043" s="15">
        <f>SUM(I1044:I1049)</f>
        <v>172416</v>
      </c>
      <c r="J1043" s="15">
        <f>SUM(J1044:J1049)</f>
        <v>169142</v>
      </c>
      <c r="K1043" s="397">
        <f t="shared" si="153"/>
        <v>98.10110430586488</v>
      </c>
      <c r="L1043" s="15"/>
      <c r="M1043" s="15"/>
      <c r="N1043" s="15"/>
      <c r="O1043" s="397"/>
      <c r="P1043" s="15"/>
      <c r="Q1043" s="16">
        <f t="shared" si="148"/>
        <v>172416</v>
      </c>
      <c r="R1043" s="16">
        <f t="shared" si="149"/>
        <v>169142</v>
      </c>
      <c r="S1043" s="448">
        <f t="shared" si="151"/>
        <v>98.10110430586488</v>
      </c>
    </row>
    <row r="1044" spans="2:19" x14ac:dyDescent="0.2">
      <c r="B1044" s="6">
        <f t="shared" si="152"/>
        <v>542</v>
      </c>
      <c r="C1044" s="17"/>
      <c r="D1044" s="17"/>
      <c r="E1044" s="17"/>
      <c r="F1044" s="18"/>
      <c r="G1044" s="19">
        <v>631</v>
      </c>
      <c r="H1044" s="17" t="s">
        <v>124</v>
      </c>
      <c r="I1044" s="20">
        <v>700</v>
      </c>
      <c r="J1044" s="20">
        <v>446</v>
      </c>
      <c r="K1044" s="397">
        <f t="shared" si="153"/>
        <v>63.714285714285715</v>
      </c>
      <c r="L1044" s="20"/>
      <c r="M1044" s="20"/>
      <c r="N1044" s="20"/>
      <c r="O1044" s="397"/>
      <c r="P1044" s="20"/>
      <c r="Q1044" s="21">
        <f t="shared" si="148"/>
        <v>700</v>
      </c>
      <c r="R1044" s="21">
        <f t="shared" si="149"/>
        <v>446</v>
      </c>
      <c r="S1044" s="448">
        <f t="shared" si="151"/>
        <v>63.714285714285715</v>
      </c>
    </row>
    <row r="1045" spans="2:19" x14ac:dyDescent="0.2">
      <c r="B1045" s="6">
        <f t="shared" si="152"/>
        <v>543</v>
      </c>
      <c r="C1045" s="17"/>
      <c r="D1045" s="17"/>
      <c r="E1045" s="17"/>
      <c r="F1045" s="18"/>
      <c r="G1045" s="19">
        <v>632</v>
      </c>
      <c r="H1045" s="17" t="s">
        <v>131</v>
      </c>
      <c r="I1045" s="20">
        <f>57610-13000-4500</f>
        <v>40110</v>
      </c>
      <c r="J1045" s="20">
        <v>39527</v>
      </c>
      <c r="K1045" s="397">
        <f t="shared" si="153"/>
        <v>98.546497132884568</v>
      </c>
      <c r="L1045" s="20"/>
      <c r="M1045" s="20"/>
      <c r="N1045" s="20"/>
      <c r="O1045" s="397"/>
      <c r="P1045" s="20"/>
      <c r="Q1045" s="21">
        <f t="shared" si="148"/>
        <v>40110</v>
      </c>
      <c r="R1045" s="21">
        <f t="shared" si="149"/>
        <v>39527</v>
      </c>
      <c r="S1045" s="448">
        <f t="shared" si="151"/>
        <v>98.546497132884568</v>
      </c>
    </row>
    <row r="1046" spans="2:19" x14ac:dyDescent="0.2">
      <c r="B1046" s="6">
        <f t="shared" si="152"/>
        <v>544</v>
      </c>
      <c r="C1046" s="17"/>
      <c r="D1046" s="17"/>
      <c r="E1046" s="17"/>
      <c r="F1046" s="18"/>
      <c r="G1046" s="19">
        <v>633</v>
      </c>
      <c r="H1046" s="17" t="s">
        <v>122</v>
      </c>
      <c r="I1046" s="20">
        <f>16980+13000+3676</f>
        <v>33656</v>
      </c>
      <c r="J1046" s="20">
        <v>33647</v>
      </c>
      <c r="K1046" s="397">
        <f t="shared" si="153"/>
        <v>99.973258854290464</v>
      </c>
      <c r="L1046" s="20"/>
      <c r="M1046" s="20"/>
      <c r="N1046" s="20"/>
      <c r="O1046" s="397"/>
      <c r="P1046" s="20"/>
      <c r="Q1046" s="21">
        <f t="shared" si="148"/>
        <v>33656</v>
      </c>
      <c r="R1046" s="21">
        <f t="shared" si="149"/>
        <v>33647</v>
      </c>
      <c r="S1046" s="448">
        <f t="shared" si="151"/>
        <v>99.973258854290464</v>
      </c>
    </row>
    <row r="1047" spans="2:19" x14ac:dyDescent="0.2">
      <c r="B1047" s="6">
        <f t="shared" si="152"/>
        <v>545</v>
      </c>
      <c r="C1047" s="17"/>
      <c r="D1047" s="17"/>
      <c r="E1047" s="17"/>
      <c r="F1047" s="18"/>
      <c r="G1047" s="19">
        <v>635</v>
      </c>
      <c r="H1047" s="17" t="s">
        <v>130</v>
      </c>
      <c r="I1047" s="20">
        <f>15100-10000</f>
        <v>5100</v>
      </c>
      <c r="J1047" s="20">
        <v>5090</v>
      </c>
      <c r="K1047" s="397">
        <f t="shared" si="153"/>
        <v>99.803921568627459</v>
      </c>
      <c r="L1047" s="20"/>
      <c r="M1047" s="20"/>
      <c r="N1047" s="20"/>
      <c r="O1047" s="397"/>
      <c r="P1047" s="20"/>
      <c r="Q1047" s="21">
        <f t="shared" si="148"/>
        <v>5100</v>
      </c>
      <c r="R1047" s="21">
        <f t="shared" si="149"/>
        <v>5090</v>
      </c>
      <c r="S1047" s="448">
        <f t="shared" si="151"/>
        <v>99.803921568627459</v>
      </c>
    </row>
    <row r="1048" spans="2:19" x14ac:dyDescent="0.2">
      <c r="B1048" s="6">
        <f t="shared" si="152"/>
        <v>546</v>
      </c>
      <c r="C1048" s="17"/>
      <c r="D1048" s="17"/>
      <c r="E1048" s="17"/>
      <c r="F1048" s="18"/>
      <c r="G1048" s="19">
        <v>636</v>
      </c>
      <c r="H1048" s="17" t="s">
        <v>123</v>
      </c>
      <c r="I1048" s="20">
        <f>1000-750</f>
        <v>250</v>
      </c>
      <c r="J1048" s="20">
        <v>140</v>
      </c>
      <c r="K1048" s="397">
        <f t="shared" si="153"/>
        <v>56.000000000000007</v>
      </c>
      <c r="L1048" s="20"/>
      <c r="M1048" s="20"/>
      <c r="N1048" s="20"/>
      <c r="O1048" s="397"/>
      <c r="P1048" s="20"/>
      <c r="Q1048" s="21">
        <f t="shared" si="148"/>
        <v>250</v>
      </c>
      <c r="R1048" s="21">
        <f t="shared" si="149"/>
        <v>140</v>
      </c>
      <c r="S1048" s="448">
        <f t="shared" si="151"/>
        <v>56.000000000000007</v>
      </c>
    </row>
    <row r="1049" spans="2:19" x14ac:dyDescent="0.2">
      <c r="B1049" s="6">
        <f t="shared" si="152"/>
        <v>547</v>
      </c>
      <c r="C1049" s="17"/>
      <c r="D1049" s="17"/>
      <c r="E1049" s="17"/>
      <c r="F1049" s="18"/>
      <c r="G1049" s="19">
        <v>637</v>
      </c>
      <c r="H1049" s="17" t="s">
        <v>119</v>
      </c>
      <c r="I1049" s="20">
        <f>87350+5250</f>
        <v>92600</v>
      </c>
      <c r="J1049" s="20">
        <v>90292</v>
      </c>
      <c r="K1049" s="397">
        <f t="shared" si="153"/>
        <v>97.507559395248379</v>
      </c>
      <c r="L1049" s="20"/>
      <c r="M1049" s="20"/>
      <c r="N1049" s="20"/>
      <c r="O1049" s="397"/>
      <c r="P1049" s="20"/>
      <c r="Q1049" s="21">
        <f t="shared" si="148"/>
        <v>92600</v>
      </c>
      <c r="R1049" s="21">
        <f t="shared" si="149"/>
        <v>90292</v>
      </c>
      <c r="S1049" s="448">
        <f t="shared" si="151"/>
        <v>97.507559395248379</v>
      </c>
    </row>
    <row r="1050" spans="2:19" x14ac:dyDescent="0.2">
      <c r="B1050" s="6">
        <f t="shared" si="152"/>
        <v>548</v>
      </c>
      <c r="C1050" s="12"/>
      <c r="D1050" s="12"/>
      <c r="E1050" s="12"/>
      <c r="F1050" s="13" t="s">
        <v>155</v>
      </c>
      <c r="G1050" s="14">
        <v>640</v>
      </c>
      <c r="H1050" s="12" t="s">
        <v>126</v>
      </c>
      <c r="I1050" s="15">
        <v>25350</v>
      </c>
      <c r="J1050" s="15">
        <v>12824</v>
      </c>
      <c r="K1050" s="397">
        <f t="shared" si="153"/>
        <v>50.587771203155818</v>
      </c>
      <c r="L1050" s="15"/>
      <c r="M1050" s="15"/>
      <c r="N1050" s="15"/>
      <c r="O1050" s="397"/>
      <c r="P1050" s="15"/>
      <c r="Q1050" s="16">
        <f t="shared" si="148"/>
        <v>25350</v>
      </c>
      <c r="R1050" s="16">
        <f t="shared" si="149"/>
        <v>12824</v>
      </c>
      <c r="S1050" s="448">
        <f t="shared" si="151"/>
        <v>50.587771203155818</v>
      </c>
    </row>
    <row r="1051" spans="2:19" x14ac:dyDescent="0.2">
      <c r="B1051" s="6">
        <f t="shared" si="152"/>
        <v>549</v>
      </c>
      <c r="C1051" s="12"/>
      <c r="D1051" s="12"/>
      <c r="E1051" s="12"/>
      <c r="F1051" s="13" t="s">
        <v>155</v>
      </c>
      <c r="G1051" s="14">
        <v>710</v>
      </c>
      <c r="H1051" s="12" t="s">
        <v>172</v>
      </c>
      <c r="I1051" s="15"/>
      <c r="J1051" s="15"/>
      <c r="K1051" s="397"/>
      <c r="L1051" s="15"/>
      <c r="M1051" s="15">
        <f>M1052</f>
        <v>38600</v>
      </c>
      <c r="N1051" s="15">
        <f>N1052</f>
        <v>38600</v>
      </c>
      <c r="O1051" s="397">
        <f>N1051/M1051*100</f>
        <v>100</v>
      </c>
      <c r="P1051" s="15"/>
      <c r="Q1051" s="16">
        <f t="shared" si="148"/>
        <v>38600</v>
      </c>
      <c r="R1051" s="16">
        <f t="shared" si="149"/>
        <v>38600</v>
      </c>
      <c r="S1051" s="448">
        <f t="shared" si="151"/>
        <v>100</v>
      </c>
    </row>
    <row r="1052" spans="2:19" x14ac:dyDescent="0.2">
      <c r="B1052" s="6">
        <f t="shared" si="152"/>
        <v>550</v>
      </c>
      <c r="C1052" s="12"/>
      <c r="D1052" s="12"/>
      <c r="E1052" s="12"/>
      <c r="F1052" s="18"/>
      <c r="G1052" s="19">
        <v>717</v>
      </c>
      <c r="H1052" s="17" t="s">
        <v>179</v>
      </c>
      <c r="I1052" s="20"/>
      <c r="J1052" s="20"/>
      <c r="K1052" s="397"/>
      <c r="L1052" s="20"/>
      <c r="M1052" s="20">
        <f>M1053</f>
        <v>38600</v>
      </c>
      <c r="N1052" s="20">
        <f>N1053</f>
        <v>38600</v>
      </c>
      <c r="O1052" s="397">
        <f>N1052/M1052*100</f>
        <v>100</v>
      </c>
      <c r="P1052" s="20"/>
      <c r="Q1052" s="21">
        <f t="shared" si="148"/>
        <v>38600</v>
      </c>
      <c r="R1052" s="21">
        <f t="shared" si="149"/>
        <v>38600</v>
      </c>
      <c r="S1052" s="448">
        <f t="shared" si="151"/>
        <v>100</v>
      </c>
    </row>
    <row r="1053" spans="2:19" x14ac:dyDescent="0.2">
      <c r="B1053" s="6">
        <f t="shared" si="152"/>
        <v>551</v>
      </c>
      <c r="C1053" s="12"/>
      <c r="D1053" s="12"/>
      <c r="E1053" s="12"/>
      <c r="F1053" s="101"/>
      <c r="G1053" s="23"/>
      <c r="H1053" s="39" t="s">
        <v>691</v>
      </c>
      <c r="I1053" s="24"/>
      <c r="J1053" s="24"/>
      <c r="K1053" s="397"/>
      <c r="L1053" s="24"/>
      <c r="M1053" s="24">
        <f>27000+11600</f>
        <v>38600</v>
      </c>
      <c r="N1053" s="24">
        <v>38600</v>
      </c>
      <c r="O1053" s="397">
        <f>N1053/M1053*100</f>
        <v>100</v>
      </c>
      <c r="P1053" s="24"/>
      <c r="Q1053" s="26">
        <f t="shared" si="148"/>
        <v>38600</v>
      </c>
      <c r="R1053" s="26">
        <f t="shared" si="149"/>
        <v>38600</v>
      </c>
      <c r="S1053" s="448">
        <f t="shared" si="151"/>
        <v>100</v>
      </c>
    </row>
    <row r="1054" spans="2:19" ht="15" x14ac:dyDescent="0.2">
      <c r="B1054" s="6">
        <f t="shared" si="152"/>
        <v>552</v>
      </c>
      <c r="C1054" s="9">
        <v>4</v>
      </c>
      <c r="D1054" s="637" t="s">
        <v>158</v>
      </c>
      <c r="E1054" s="638"/>
      <c r="F1054" s="638"/>
      <c r="G1054" s="638"/>
      <c r="H1054" s="638"/>
      <c r="I1054" s="10">
        <f>I1057+I1069+I1227+I1249+I1272+I1292+I1314+I1335+I1356+I1055</f>
        <v>5825634</v>
      </c>
      <c r="J1054" s="10">
        <f>J1057+J1069+J1227+J1249+J1272+J1292+J1314+J1335+J1356+J1055</f>
        <v>5405439</v>
      </c>
      <c r="K1054" s="395">
        <f t="shared" ref="K1054:K1089" si="154">J1054/I1054*100</f>
        <v>92.787136988008513</v>
      </c>
      <c r="L1054" s="312"/>
      <c r="M1054" s="10">
        <f>M1069+M1227+M1249+M1271+M1272+M1292+M1314+M1335+M1356</f>
        <v>1771553</v>
      </c>
      <c r="N1054" s="10">
        <f>N1069+N1227+N1249+N1271+N1272+N1292+N1314+N1335+N1356</f>
        <v>176459</v>
      </c>
      <c r="O1054" s="395">
        <f>N1054/M1054*100</f>
        <v>9.9606955027594442</v>
      </c>
      <c r="P1054" s="312"/>
      <c r="Q1054" s="31">
        <f t="shared" si="148"/>
        <v>7597187</v>
      </c>
      <c r="R1054" s="31">
        <f t="shared" si="149"/>
        <v>5581898</v>
      </c>
      <c r="S1054" s="449">
        <f t="shared" si="151"/>
        <v>73.473221075116356</v>
      </c>
    </row>
    <row r="1055" spans="2:19" ht="15" x14ac:dyDescent="0.2">
      <c r="B1055" s="6">
        <f t="shared" si="152"/>
        <v>553</v>
      </c>
      <c r="C1055" s="12"/>
      <c r="D1055" s="12"/>
      <c r="E1055" s="12"/>
      <c r="F1055" s="13" t="s">
        <v>157</v>
      </c>
      <c r="G1055" s="14">
        <v>630</v>
      </c>
      <c r="H1055" s="12" t="s">
        <v>118</v>
      </c>
      <c r="I1055" s="15">
        <f>I1056</f>
        <v>169955</v>
      </c>
      <c r="J1055" s="15">
        <f>J1056</f>
        <v>169955</v>
      </c>
      <c r="K1055" s="397">
        <f t="shared" si="154"/>
        <v>100</v>
      </c>
      <c r="L1055" s="342"/>
      <c r="M1055" s="342"/>
      <c r="N1055" s="342"/>
      <c r="O1055" s="398"/>
      <c r="P1055" s="342"/>
      <c r="Q1055" s="16">
        <f t="shared" si="148"/>
        <v>169955</v>
      </c>
      <c r="R1055" s="16">
        <f t="shared" si="149"/>
        <v>169955</v>
      </c>
      <c r="S1055" s="448">
        <f t="shared" si="151"/>
        <v>100</v>
      </c>
    </row>
    <row r="1056" spans="2:19" ht="15" x14ac:dyDescent="0.2">
      <c r="B1056" s="6">
        <f t="shared" si="152"/>
        <v>554</v>
      </c>
      <c r="C1056" s="22"/>
      <c r="D1056" s="22"/>
      <c r="E1056" s="22"/>
      <c r="F1056" s="23"/>
      <c r="G1056" s="23"/>
      <c r="H1056" s="1" t="s">
        <v>647</v>
      </c>
      <c r="I1056" s="24">
        <v>169955</v>
      </c>
      <c r="J1056" s="24">
        <v>169955</v>
      </c>
      <c r="K1056" s="397">
        <f t="shared" si="154"/>
        <v>100</v>
      </c>
      <c r="L1056" s="342"/>
      <c r="M1056" s="342"/>
      <c r="N1056" s="342"/>
      <c r="O1056" s="398"/>
      <c r="P1056" s="342"/>
      <c r="Q1056" s="26">
        <f t="shared" si="148"/>
        <v>169955</v>
      </c>
      <c r="R1056" s="26">
        <f t="shared" si="149"/>
        <v>169955</v>
      </c>
      <c r="S1056" s="448">
        <f t="shared" si="151"/>
        <v>100</v>
      </c>
    </row>
    <row r="1057" spans="2:19" x14ac:dyDescent="0.2">
      <c r="B1057" s="6">
        <f t="shared" si="152"/>
        <v>555</v>
      </c>
      <c r="C1057" s="12"/>
      <c r="D1057" s="12"/>
      <c r="E1057" s="12"/>
      <c r="F1057" s="13" t="s">
        <v>157</v>
      </c>
      <c r="G1057" s="14">
        <v>640</v>
      </c>
      <c r="H1057" s="12" t="s">
        <v>126</v>
      </c>
      <c r="I1057" s="15">
        <f>SUM(I1058:I1068)</f>
        <v>315791</v>
      </c>
      <c r="J1057" s="15">
        <f>SUM(J1058:J1068)</f>
        <v>315312</v>
      </c>
      <c r="K1057" s="397">
        <f t="shared" si="154"/>
        <v>99.848317399799242</v>
      </c>
      <c r="L1057" s="15"/>
      <c r="M1057" s="15"/>
      <c r="N1057" s="15"/>
      <c r="O1057" s="397"/>
      <c r="P1057" s="15"/>
      <c r="Q1057" s="16">
        <f t="shared" si="148"/>
        <v>315791</v>
      </c>
      <c r="R1057" s="16">
        <f t="shared" si="149"/>
        <v>315312</v>
      </c>
      <c r="S1057" s="448">
        <f t="shared" si="151"/>
        <v>99.848317399799242</v>
      </c>
    </row>
    <row r="1058" spans="2:19" x14ac:dyDescent="0.2">
      <c r="B1058" s="6">
        <f t="shared" si="152"/>
        <v>556</v>
      </c>
      <c r="C1058" s="22"/>
      <c r="D1058" s="22"/>
      <c r="E1058" s="22"/>
      <c r="F1058" s="23"/>
      <c r="G1058" s="23"/>
      <c r="H1058" s="1" t="s">
        <v>357</v>
      </c>
      <c r="I1058" s="24">
        <f>27360-317+14</f>
        <v>27057</v>
      </c>
      <c r="J1058" s="24">
        <v>27057</v>
      </c>
      <c r="K1058" s="397">
        <f t="shared" si="154"/>
        <v>100</v>
      </c>
      <c r="L1058" s="24"/>
      <c r="M1058" s="24"/>
      <c r="N1058" s="24"/>
      <c r="O1058" s="397"/>
      <c r="P1058" s="24"/>
      <c r="Q1058" s="26">
        <f t="shared" si="148"/>
        <v>27057</v>
      </c>
      <c r="R1058" s="26">
        <f t="shared" si="149"/>
        <v>27057</v>
      </c>
      <c r="S1058" s="448">
        <f t="shared" si="151"/>
        <v>100</v>
      </c>
    </row>
    <row r="1059" spans="2:19" x14ac:dyDescent="0.2">
      <c r="B1059" s="6">
        <f t="shared" si="152"/>
        <v>557</v>
      </c>
      <c r="C1059" s="22"/>
      <c r="D1059" s="22"/>
      <c r="E1059" s="22"/>
      <c r="F1059" s="23"/>
      <c r="G1059" s="23"/>
      <c r="H1059" s="1" t="s">
        <v>358</v>
      </c>
      <c r="I1059" s="24">
        <f>33300-370</f>
        <v>32930</v>
      </c>
      <c r="J1059" s="24">
        <v>32930</v>
      </c>
      <c r="K1059" s="397">
        <f t="shared" si="154"/>
        <v>100</v>
      </c>
      <c r="L1059" s="24"/>
      <c r="M1059" s="24"/>
      <c r="N1059" s="24"/>
      <c r="O1059" s="397"/>
      <c r="P1059" s="24"/>
      <c r="Q1059" s="26">
        <f t="shared" si="148"/>
        <v>32930</v>
      </c>
      <c r="R1059" s="26">
        <f t="shared" si="149"/>
        <v>32930</v>
      </c>
      <c r="S1059" s="448">
        <f t="shared" si="151"/>
        <v>100</v>
      </c>
    </row>
    <row r="1060" spans="2:19" x14ac:dyDescent="0.2">
      <c r="B1060" s="6">
        <f t="shared" si="152"/>
        <v>558</v>
      </c>
      <c r="C1060" s="22"/>
      <c r="D1060" s="22"/>
      <c r="E1060" s="22"/>
      <c r="F1060" s="23"/>
      <c r="G1060" s="23"/>
      <c r="H1060" s="1" t="s">
        <v>359</v>
      </c>
      <c r="I1060" s="24">
        <f>27540-306</f>
        <v>27234</v>
      </c>
      <c r="J1060" s="24">
        <v>27234</v>
      </c>
      <c r="K1060" s="397">
        <f t="shared" si="154"/>
        <v>100</v>
      </c>
      <c r="L1060" s="24"/>
      <c r="M1060" s="24"/>
      <c r="N1060" s="24"/>
      <c r="O1060" s="397"/>
      <c r="P1060" s="24"/>
      <c r="Q1060" s="26">
        <f t="shared" si="148"/>
        <v>27234</v>
      </c>
      <c r="R1060" s="26">
        <f t="shared" si="149"/>
        <v>27234</v>
      </c>
      <c r="S1060" s="448">
        <f t="shared" si="151"/>
        <v>100</v>
      </c>
    </row>
    <row r="1061" spans="2:19" x14ac:dyDescent="0.2">
      <c r="B1061" s="6">
        <f t="shared" si="152"/>
        <v>559</v>
      </c>
      <c r="C1061" s="22"/>
      <c r="D1061" s="22"/>
      <c r="E1061" s="22"/>
      <c r="F1061" s="23"/>
      <c r="G1061" s="23"/>
      <c r="H1061" s="1" t="s">
        <v>360</v>
      </c>
      <c r="I1061" s="24">
        <f>10800-119</f>
        <v>10681</v>
      </c>
      <c r="J1061" s="24">
        <v>10681</v>
      </c>
      <c r="K1061" s="397">
        <f t="shared" si="154"/>
        <v>100</v>
      </c>
      <c r="L1061" s="24"/>
      <c r="M1061" s="24"/>
      <c r="N1061" s="24"/>
      <c r="O1061" s="397"/>
      <c r="P1061" s="24"/>
      <c r="Q1061" s="26">
        <f t="shared" si="148"/>
        <v>10681</v>
      </c>
      <c r="R1061" s="26">
        <f t="shared" si="149"/>
        <v>10681</v>
      </c>
      <c r="S1061" s="448">
        <f t="shared" si="151"/>
        <v>100</v>
      </c>
    </row>
    <row r="1062" spans="2:19" x14ac:dyDescent="0.2">
      <c r="B1062" s="6">
        <f t="shared" si="152"/>
        <v>560</v>
      </c>
      <c r="C1062" s="22"/>
      <c r="D1062" s="22"/>
      <c r="E1062" s="22"/>
      <c r="F1062" s="23"/>
      <c r="G1062" s="23"/>
      <c r="H1062" s="1" t="s">
        <v>272</v>
      </c>
      <c r="I1062" s="24">
        <f>197290-18082-2146-16677-1832</f>
        <v>158553</v>
      </c>
      <c r="J1062" s="24">
        <v>158553</v>
      </c>
      <c r="K1062" s="397">
        <f t="shared" si="154"/>
        <v>100</v>
      </c>
      <c r="L1062" s="24"/>
      <c r="M1062" s="24"/>
      <c r="N1062" s="24"/>
      <c r="O1062" s="397"/>
      <c r="P1062" s="24"/>
      <c r="Q1062" s="26">
        <f t="shared" si="148"/>
        <v>158553</v>
      </c>
      <c r="R1062" s="26">
        <f t="shared" si="149"/>
        <v>158553</v>
      </c>
      <c r="S1062" s="448">
        <f t="shared" si="151"/>
        <v>100</v>
      </c>
    </row>
    <row r="1063" spans="2:19" x14ac:dyDescent="0.2">
      <c r="B1063" s="6">
        <f t="shared" si="152"/>
        <v>561</v>
      </c>
      <c r="C1063" s="22"/>
      <c r="D1063" s="22"/>
      <c r="E1063" s="22"/>
      <c r="F1063" s="23"/>
      <c r="G1063" s="23"/>
      <c r="H1063" s="1" t="s">
        <v>501</v>
      </c>
      <c r="I1063" s="24">
        <f>6500-72</f>
        <v>6428</v>
      </c>
      <c r="J1063" s="24">
        <v>6428</v>
      </c>
      <c r="K1063" s="397">
        <f t="shared" si="154"/>
        <v>100</v>
      </c>
      <c r="L1063" s="24"/>
      <c r="M1063" s="24"/>
      <c r="N1063" s="24"/>
      <c r="O1063" s="397"/>
      <c r="P1063" s="24"/>
      <c r="Q1063" s="26">
        <f t="shared" si="148"/>
        <v>6428</v>
      </c>
      <c r="R1063" s="26">
        <f t="shared" si="149"/>
        <v>6428</v>
      </c>
      <c r="S1063" s="448">
        <f t="shared" si="151"/>
        <v>100</v>
      </c>
    </row>
    <row r="1064" spans="2:19" x14ac:dyDescent="0.2">
      <c r="B1064" s="6">
        <f t="shared" si="152"/>
        <v>562</v>
      </c>
      <c r="C1064" s="22"/>
      <c r="D1064" s="22"/>
      <c r="E1064" s="22"/>
      <c r="F1064" s="23"/>
      <c r="G1064" s="23"/>
      <c r="H1064" s="1" t="s">
        <v>502</v>
      </c>
      <c r="I1064" s="24">
        <f>15500-172</f>
        <v>15328</v>
      </c>
      <c r="J1064" s="24">
        <v>15328</v>
      </c>
      <c r="K1064" s="397">
        <f t="shared" si="154"/>
        <v>100</v>
      </c>
      <c r="L1064" s="24"/>
      <c r="M1064" s="24"/>
      <c r="N1064" s="24"/>
      <c r="O1064" s="397"/>
      <c r="P1064" s="24"/>
      <c r="Q1064" s="26">
        <f t="shared" si="148"/>
        <v>15328</v>
      </c>
      <c r="R1064" s="26">
        <f t="shared" si="149"/>
        <v>15328</v>
      </c>
      <c r="S1064" s="448">
        <f t="shared" si="151"/>
        <v>100</v>
      </c>
    </row>
    <row r="1065" spans="2:19" x14ac:dyDescent="0.2">
      <c r="B1065" s="6">
        <f t="shared" si="152"/>
        <v>563</v>
      </c>
      <c r="C1065" s="22"/>
      <c r="D1065" s="22"/>
      <c r="E1065" s="22"/>
      <c r="F1065" s="23"/>
      <c r="G1065" s="23"/>
      <c r="H1065" s="1" t="s">
        <v>621</v>
      </c>
      <c r="I1065" s="24">
        <f>10647+5</f>
        <v>10652</v>
      </c>
      <c r="J1065" s="24">
        <v>10652</v>
      </c>
      <c r="K1065" s="397">
        <f t="shared" si="154"/>
        <v>100</v>
      </c>
      <c r="L1065" s="24"/>
      <c r="M1065" s="24"/>
      <c r="N1065" s="24"/>
      <c r="O1065" s="397"/>
      <c r="P1065" s="24"/>
      <c r="Q1065" s="26">
        <f t="shared" ref="Q1065:Q1128" si="155">I1065+M1065</f>
        <v>10652</v>
      </c>
      <c r="R1065" s="26">
        <f t="shared" ref="R1065:R1128" si="156">J1065+N1065</f>
        <v>10652</v>
      </c>
      <c r="S1065" s="448">
        <f t="shared" si="151"/>
        <v>100</v>
      </c>
    </row>
    <row r="1066" spans="2:19" x14ac:dyDescent="0.2">
      <c r="B1066" s="6">
        <f t="shared" si="152"/>
        <v>564</v>
      </c>
      <c r="C1066" s="22"/>
      <c r="D1066" s="22"/>
      <c r="E1066" s="22"/>
      <c r="F1066" s="23"/>
      <c r="G1066" s="23"/>
      <c r="H1066" s="1" t="s">
        <v>622</v>
      </c>
      <c r="I1066" s="24">
        <f>5148+3</f>
        <v>5151</v>
      </c>
      <c r="J1066" s="24">
        <v>5151</v>
      </c>
      <c r="K1066" s="397">
        <f t="shared" si="154"/>
        <v>100</v>
      </c>
      <c r="L1066" s="24"/>
      <c r="M1066" s="24"/>
      <c r="N1066" s="24"/>
      <c r="O1066" s="397"/>
      <c r="P1066" s="24"/>
      <c r="Q1066" s="26">
        <f t="shared" si="155"/>
        <v>5151</v>
      </c>
      <c r="R1066" s="26">
        <f t="shared" si="156"/>
        <v>5151</v>
      </c>
      <c r="S1066" s="448">
        <f t="shared" si="151"/>
        <v>100</v>
      </c>
    </row>
    <row r="1067" spans="2:19" x14ac:dyDescent="0.2">
      <c r="B1067" s="6">
        <f t="shared" si="152"/>
        <v>565</v>
      </c>
      <c r="C1067" s="22"/>
      <c r="D1067" s="22"/>
      <c r="E1067" s="22"/>
      <c r="F1067" s="23"/>
      <c r="G1067" s="23"/>
      <c r="H1067" s="1" t="s">
        <v>624</v>
      </c>
      <c r="I1067" s="24">
        <f>17503+9</f>
        <v>17512</v>
      </c>
      <c r="J1067" s="24">
        <v>17512</v>
      </c>
      <c r="K1067" s="397">
        <f t="shared" si="154"/>
        <v>100</v>
      </c>
      <c r="L1067" s="24"/>
      <c r="M1067" s="24"/>
      <c r="N1067" s="24"/>
      <c r="O1067" s="397"/>
      <c r="P1067" s="24"/>
      <c r="Q1067" s="26">
        <f t="shared" si="155"/>
        <v>17512</v>
      </c>
      <c r="R1067" s="26">
        <f t="shared" si="156"/>
        <v>17512</v>
      </c>
      <c r="S1067" s="448">
        <f t="shared" si="151"/>
        <v>100</v>
      </c>
    </row>
    <row r="1068" spans="2:19" x14ac:dyDescent="0.2">
      <c r="B1068" s="6">
        <f t="shared" si="152"/>
        <v>566</v>
      </c>
      <c r="C1068" s="22"/>
      <c r="D1068" s="22"/>
      <c r="E1068" s="22"/>
      <c r="F1068" s="23"/>
      <c r="G1068" s="23"/>
      <c r="H1068" s="1" t="s">
        <v>634</v>
      </c>
      <c r="I1068" s="24">
        <f>4315-50</f>
        <v>4265</v>
      </c>
      <c r="J1068" s="24">
        <v>3786</v>
      </c>
      <c r="K1068" s="397">
        <f t="shared" si="154"/>
        <v>88.769050410316524</v>
      </c>
      <c r="L1068" s="24"/>
      <c r="M1068" s="24"/>
      <c r="N1068" s="24"/>
      <c r="O1068" s="397"/>
      <c r="P1068" s="24"/>
      <c r="Q1068" s="26">
        <f t="shared" si="155"/>
        <v>4265</v>
      </c>
      <c r="R1068" s="26">
        <f t="shared" si="156"/>
        <v>3786</v>
      </c>
      <c r="S1068" s="448">
        <f t="shared" si="151"/>
        <v>88.769050410316524</v>
      </c>
    </row>
    <row r="1069" spans="2:19" ht="15" x14ac:dyDescent="0.25">
      <c r="B1069" s="6">
        <f t="shared" si="152"/>
        <v>567</v>
      </c>
      <c r="C1069" s="97"/>
      <c r="D1069" s="97"/>
      <c r="E1069" s="97">
        <v>4</v>
      </c>
      <c r="F1069" s="98"/>
      <c r="G1069" s="98"/>
      <c r="H1069" s="97" t="s">
        <v>81</v>
      </c>
      <c r="I1069" s="99">
        <f>I1081+I1093+I1107+I1116+I1128+I1137+I1146+I1155+I1164+I1173+I1188+I1200+I1209+I1218+I1070</f>
        <v>1909585</v>
      </c>
      <c r="J1069" s="99">
        <f>J1081+J1093+J1107+J1116+J1128+J1137+J1146+J1155+J1164+J1173+J1188+J1200+J1209+J1218+J1070</f>
        <v>1650265</v>
      </c>
      <c r="K1069" s="414">
        <f t="shared" si="154"/>
        <v>86.420086039636885</v>
      </c>
      <c r="L1069" s="313"/>
      <c r="M1069" s="99">
        <f>M1218+M1209+M1200+M1188+M1173+M1164+M1155+M1146+M1137+M1128+M1116+M1107+M1093+M1081</f>
        <v>38600</v>
      </c>
      <c r="N1069" s="99">
        <f>N1218+N1209+N1200+N1188+N1173+N1164+N1155+N1146+N1137+N1128+N1116+N1107+N1093+N1081</f>
        <v>37944</v>
      </c>
      <c r="O1069" s="414">
        <f>N1069/M1069*100</f>
        <v>98.300518134715034</v>
      </c>
      <c r="P1069" s="313"/>
      <c r="Q1069" s="100">
        <f t="shared" si="155"/>
        <v>1948185</v>
      </c>
      <c r="R1069" s="100">
        <f t="shared" si="156"/>
        <v>1688209</v>
      </c>
      <c r="S1069" s="464">
        <f t="shared" si="151"/>
        <v>86.655476764270333</v>
      </c>
    </row>
    <row r="1070" spans="2:19" ht="15" x14ac:dyDescent="0.25">
      <c r="B1070" s="6">
        <f t="shared" si="152"/>
        <v>568</v>
      </c>
      <c r="C1070" s="97"/>
      <c r="D1070" s="97"/>
      <c r="E1070" s="97"/>
      <c r="F1070" s="98"/>
      <c r="G1070" s="98"/>
      <c r="H1070" s="298" t="s">
        <v>495</v>
      </c>
      <c r="I1070" s="99">
        <f>I1071+I1072+I1073+I1080</f>
        <v>57746</v>
      </c>
      <c r="J1070" s="99">
        <f>J1071+J1072+J1073+J1080</f>
        <v>56038</v>
      </c>
      <c r="K1070" s="414">
        <f t="shared" si="154"/>
        <v>97.042219374502125</v>
      </c>
      <c r="L1070" s="313"/>
      <c r="M1070" s="99"/>
      <c r="N1070" s="99"/>
      <c r="O1070" s="414"/>
      <c r="P1070" s="313"/>
      <c r="Q1070" s="100">
        <f t="shared" si="155"/>
        <v>57746</v>
      </c>
      <c r="R1070" s="100">
        <f t="shared" si="156"/>
        <v>56038</v>
      </c>
      <c r="S1070" s="464">
        <f t="shared" si="151"/>
        <v>97.042219374502125</v>
      </c>
    </row>
    <row r="1071" spans="2:19" ht="15" x14ac:dyDescent="0.25">
      <c r="B1071" s="6">
        <f t="shared" si="152"/>
        <v>569</v>
      </c>
      <c r="C1071" s="338"/>
      <c r="D1071" s="338"/>
      <c r="E1071" s="338"/>
      <c r="F1071" s="13" t="s">
        <v>157</v>
      </c>
      <c r="G1071" s="14">
        <v>610</v>
      </c>
      <c r="H1071" s="12" t="s">
        <v>128</v>
      </c>
      <c r="I1071" s="15">
        <f>25379+4800+3000</f>
        <v>33179</v>
      </c>
      <c r="J1071" s="15">
        <v>33179</v>
      </c>
      <c r="K1071" s="397">
        <f t="shared" si="154"/>
        <v>100</v>
      </c>
      <c r="L1071" s="313"/>
      <c r="M1071" s="337"/>
      <c r="N1071" s="337"/>
      <c r="O1071" s="398"/>
      <c r="P1071" s="337"/>
      <c r="Q1071" s="339">
        <f t="shared" si="155"/>
        <v>33179</v>
      </c>
      <c r="R1071" s="339">
        <f t="shared" si="156"/>
        <v>33179</v>
      </c>
      <c r="S1071" s="468">
        <f t="shared" si="151"/>
        <v>100</v>
      </c>
    </row>
    <row r="1072" spans="2:19" ht="15" x14ac:dyDescent="0.25">
      <c r="B1072" s="6">
        <f t="shared" si="152"/>
        <v>570</v>
      </c>
      <c r="C1072" s="338"/>
      <c r="D1072" s="338"/>
      <c r="E1072" s="338"/>
      <c r="F1072" s="13" t="s">
        <v>157</v>
      </c>
      <c r="G1072" s="14">
        <v>620</v>
      </c>
      <c r="H1072" s="12" t="s">
        <v>121</v>
      </c>
      <c r="I1072" s="15">
        <f>9632+1726+380</f>
        <v>11738</v>
      </c>
      <c r="J1072" s="15">
        <v>11364</v>
      </c>
      <c r="K1072" s="397">
        <f t="shared" si="154"/>
        <v>96.813767251661275</v>
      </c>
      <c r="L1072" s="313"/>
      <c r="M1072" s="337"/>
      <c r="N1072" s="337"/>
      <c r="O1072" s="398"/>
      <c r="P1072" s="337"/>
      <c r="Q1072" s="339">
        <f t="shared" si="155"/>
        <v>11738</v>
      </c>
      <c r="R1072" s="339">
        <f t="shared" si="156"/>
        <v>11364</v>
      </c>
      <c r="S1072" s="468">
        <f t="shared" si="151"/>
        <v>96.813767251661275</v>
      </c>
    </row>
    <row r="1073" spans="2:19" ht="15" x14ac:dyDescent="0.25">
      <c r="B1073" s="6">
        <f t="shared" si="152"/>
        <v>571</v>
      </c>
      <c r="C1073" s="338"/>
      <c r="D1073" s="338"/>
      <c r="E1073" s="338"/>
      <c r="F1073" s="13" t="s">
        <v>157</v>
      </c>
      <c r="G1073" s="14">
        <v>630</v>
      </c>
      <c r="H1073" s="12" t="s">
        <v>118</v>
      </c>
      <c r="I1073" s="15">
        <f>SUM(I1074:I1079)</f>
        <v>11270</v>
      </c>
      <c r="J1073" s="15">
        <f>SUM(J1074:J1079)</f>
        <v>10392</v>
      </c>
      <c r="K1073" s="397">
        <f t="shared" si="154"/>
        <v>92.209405501330963</v>
      </c>
      <c r="L1073" s="313"/>
      <c r="M1073" s="337"/>
      <c r="N1073" s="337"/>
      <c r="O1073" s="398"/>
      <c r="P1073" s="337"/>
      <c r="Q1073" s="339">
        <f t="shared" si="155"/>
        <v>11270</v>
      </c>
      <c r="R1073" s="339">
        <f t="shared" si="156"/>
        <v>10392</v>
      </c>
      <c r="S1073" s="468">
        <f t="shared" si="151"/>
        <v>92.209405501330963</v>
      </c>
    </row>
    <row r="1074" spans="2:19" ht="15" x14ac:dyDescent="0.25">
      <c r="B1074" s="6">
        <f t="shared" si="152"/>
        <v>572</v>
      </c>
      <c r="C1074" s="338"/>
      <c r="D1074" s="338"/>
      <c r="E1074" s="338"/>
      <c r="F1074" s="18"/>
      <c r="G1074" s="19">
        <v>631</v>
      </c>
      <c r="H1074" s="17" t="s">
        <v>124</v>
      </c>
      <c r="I1074" s="20">
        <v>200</v>
      </c>
      <c r="J1074" s="20">
        <v>0</v>
      </c>
      <c r="K1074" s="397">
        <f t="shared" si="154"/>
        <v>0</v>
      </c>
      <c r="L1074" s="313"/>
      <c r="M1074" s="337"/>
      <c r="N1074" s="337"/>
      <c r="O1074" s="398"/>
      <c r="P1074" s="337"/>
      <c r="Q1074" s="127">
        <f t="shared" si="155"/>
        <v>200</v>
      </c>
      <c r="R1074" s="127">
        <f t="shared" si="156"/>
        <v>0</v>
      </c>
      <c r="S1074" s="468">
        <f t="shared" si="151"/>
        <v>0</v>
      </c>
    </row>
    <row r="1075" spans="2:19" ht="15" x14ac:dyDescent="0.25">
      <c r="B1075" s="6">
        <f t="shared" si="152"/>
        <v>573</v>
      </c>
      <c r="C1075" s="338"/>
      <c r="D1075" s="338"/>
      <c r="E1075" s="338"/>
      <c r="F1075" s="18"/>
      <c r="G1075" s="19">
        <v>632</v>
      </c>
      <c r="H1075" s="17" t="s">
        <v>131</v>
      </c>
      <c r="I1075" s="20">
        <f>190+150</f>
        <v>340</v>
      </c>
      <c r="J1075" s="20">
        <v>271</v>
      </c>
      <c r="K1075" s="397">
        <f t="shared" si="154"/>
        <v>79.705882352941188</v>
      </c>
      <c r="L1075" s="313"/>
      <c r="M1075" s="337"/>
      <c r="N1075" s="337"/>
      <c r="O1075" s="398"/>
      <c r="P1075" s="337"/>
      <c r="Q1075" s="127">
        <f t="shared" si="155"/>
        <v>340</v>
      </c>
      <c r="R1075" s="127">
        <f t="shared" si="156"/>
        <v>271</v>
      </c>
      <c r="S1075" s="468">
        <f t="shared" si="151"/>
        <v>79.705882352941188</v>
      </c>
    </row>
    <row r="1076" spans="2:19" ht="15" x14ac:dyDescent="0.25">
      <c r="B1076" s="6">
        <f t="shared" si="152"/>
        <v>574</v>
      </c>
      <c r="C1076" s="338"/>
      <c r="D1076" s="338"/>
      <c r="E1076" s="338"/>
      <c r="F1076" s="18"/>
      <c r="G1076" s="19">
        <v>633</v>
      </c>
      <c r="H1076" s="17" t="s">
        <v>122</v>
      </c>
      <c r="I1076" s="20">
        <v>583</v>
      </c>
      <c r="J1076" s="20">
        <v>583</v>
      </c>
      <c r="K1076" s="397">
        <f t="shared" si="154"/>
        <v>100</v>
      </c>
      <c r="L1076" s="313"/>
      <c r="M1076" s="337"/>
      <c r="N1076" s="337"/>
      <c r="O1076" s="398"/>
      <c r="P1076" s="337"/>
      <c r="Q1076" s="127">
        <f t="shared" si="155"/>
        <v>583</v>
      </c>
      <c r="R1076" s="127">
        <f t="shared" si="156"/>
        <v>583</v>
      </c>
      <c r="S1076" s="468">
        <f t="shared" si="151"/>
        <v>100</v>
      </c>
    </row>
    <row r="1077" spans="2:19" ht="15" x14ac:dyDescent="0.25">
      <c r="B1077" s="6">
        <f t="shared" si="152"/>
        <v>575</v>
      </c>
      <c r="C1077" s="338"/>
      <c r="D1077" s="338"/>
      <c r="E1077" s="338"/>
      <c r="F1077" s="18"/>
      <c r="G1077" s="19">
        <v>634</v>
      </c>
      <c r="H1077" s="17" t="s">
        <v>129</v>
      </c>
      <c r="I1077" s="20">
        <v>808</v>
      </c>
      <c r="J1077" s="20">
        <v>604</v>
      </c>
      <c r="K1077" s="397">
        <f t="shared" si="154"/>
        <v>74.752475247524757</v>
      </c>
      <c r="L1077" s="313"/>
      <c r="M1077" s="337"/>
      <c r="N1077" s="337"/>
      <c r="O1077" s="398"/>
      <c r="P1077" s="337"/>
      <c r="Q1077" s="127">
        <f t="shared" si="155"/>
        <v>808</v>
      </c>
      <c r="R1077" s="127">
        <f t="shared" si="156"/>
        <v>604</v>
      </c>
      <c r="S1077" s="468">
        <f t="shared" si="151"/>
        <v>74.752475247524757</v>
      </c>
    </row>
    <row r="1078" spans="2:19" ht="15" x14ac:dyDescent="0.25">
      <c r="B1078" s="6">
        <f t="shared" si="152"/>
        <v>576</v>
      </c>
      <c r="C1078" s="338"/>
      <c r="D1078" s="338"/>
      <c r="E1078" s="338"/>
      <c r="F1078" s="18"/>
      <c r="G1078" s="19">
        <v>636</v>
      </c>
      <c r="H1078" s="17" t="s">
        <v>123</v>
      </c>
      <c r="I1078" s="20">
        <v>1212</v>
      </c>
      <c r="J1078" s="20">
        <v>831</v>
      </c>
      <c r="K1078" s="397">
        <f t="shared" si="154"/>
        <v>68.564356435643575</v>
      </c>
      <c r="L1078" s="313"/>
      <c r="M1078" s="337"/>
      <c r="N1078" s="337"/>
      <c r="O1078" s="398"/>
      <c r="P1078" s="337"/>
      <c r="Q1078" s="127">
        <f t="shared" si="155"/>
        <v>1212</v>
      </c>
      <c r="R1078" s="127">
        <f t="shared" si="156"/>
        <v>831</v>
      </c>
      <c r="S1078" s="468">
        <f t="shared" si="151"/>
        <v>68.564356435643575</v>
      </c>
    </row>
    <row r="1079" spans="2:19" ht="15" x14ac:dyDescent="0.25">
      <c r="B1079" s="6">
        <f t="shared" si="152"/>
        <v>577</v>
      </c>
      <c r="C1079" s="338"/>
      <c r="D1079" s="338"/>
      <c r="E1079" s="338"/>
      <c r="F1079" s="119"/>
      <c r="G1079" s="120">
        <v>637</v>
      </c>
      <c r="H1079" s="118" t="s">
        <v>119</v>
      </c>
      <c r="I1079" s="20">
        <f>5507+2620</f>
        <v>8127</v>
      </c>
      <c r="J1079" s="20">
        <v>8103</v>
      </c>
      <c r="K1079" s="397">
        <f t="shared" si="154"/>
        <v>99.704688076781096</v>
      </c>
      <c r="L1079" s="313"/>
      <c r="M1079" s="337"/>
      <c r="N1079" s="337"/>
      <c r="O1079" s="398"/>
      <c r="P1079" s="337"/>
      <c r="Q1079" s="127">
        <f t="shared" si="155"/>
        <v>8127</v>
      </c>
      <c r="R1079" s="127">
        <f t="shared" si="156"/>
        <v>8103</v>
      </c>
      <c r="S1079" s="468">
        <f t="shared" ref="S1079:S1142" si="157">R1079/Q1079*100</f>
        <v>99.704688076781096</v>
      </c>
    </row>
    <row r="1080" spans="2:19" ht="15" x14ac:dyDescent="0.25">
      <c r="B1080" s="6">
        <f t="shared" ref="B1080:B1143" si="158">B1079+1</f>
        <v>578</v>
      </c>
      <c r="C1080" s="338"/>
      <c r="D1080" s="338"/>
      <c r="E1080" s="338"/>
      <c r="F1080" s="18"/>
      <c r="G1080" s="14">
        <v>640</v>
      </c>
      <c r="H1080" s="12" t="s">
        <v>126</v>
      </c>
      <c r="I1080" s="15">
        <f>3226-1667</f>
        <v>1559</v>
      </c>
      <c r="J1080" s="15">
        <v>1103</v>
      </c>
      <c r="K1080" s="397">
        <f t="shared" si="154"/>
        <v>70.750481077613856</v>
      </c>
      <c r="L1080" s="313"/>
      <c r="M1080" s="337"/>
      <c r="N1080" s="337"/>
      <c r="O1080" s="398"/>
      <c r="P1080" s="337"/>
      <c r="Q1080" s="339">
        <f t="shared" si="155"/>
        <v>1559</v>
      </c>
      <c r="R1080" s="339">
        <f t="shared" si="156"/>
        <v>1103</v>
      </c>
      <c r="S1080" s="468">
        <f t="shared" si="157"/>
        <v>70.750481077613856</v>
      </c>
    </row>
    <row r="1081" spans="2:19" x14ac:dyDescent="0.2">
      <c r="B1081" s="6">
        <f t="shared" si="158"/>
        <v>579</v>
      </c>
      <c r="C1081" s="107"/>
      <c r="D1081" s="107"/>
      <c r="E1081" s="107" t="s">
        <v>89</v>
      </c>
      <c r="F1081" s="108"/>
      <c r="G1081" s="108"/>
      <c r="H1081" s="107" t="s">
        <v>65</v>
      </c>
      <c r="I1081" s="109">
        <f>I1082+I1083+I1084+I1089</f>
        <v>101403</v>
      </c>
      <c r="J1081" s="109">
        <f>J1082+J1083+J1084+J1089</f>
        <v>85605</v>
      </c>
      <c r="K1081" s="415">
        <f t="shared" si="154"/>
        <v>84.42057927280257</v>
      </c>
      <c r="L1081" s="15"/>
      <c r="M1081" s="109">
        <f>M1090</f>
        <v>3500</v>
      </c>
      <c r="N1081" s="109">
        <f>N1090</f>
        <v>3250</v>
      </c>
      <c r="O1081" s="415">
        <f>N1081/M1081*100</f>
        <v>92.857142857142861</v>
      </c>
      <c r="P1081" s="15"/>
      <c r="Q1081" s="110">
        <f t="shared" si="155"/>
        <v>104903</v>
      </c>
      <c r="R1081" s="110">
        <f t="shared" si="156"/>
        <v>88855</v>
      </c>
      <c r="S1081" s="467">
        <f t="shared" si="157"/>
        <v>84.702058091760961</v>
      </c>
    </row>
    <row r="1082" spans="2:19" x14ac:dyDescent="0.2">
      <c r="B1082" s="6">
        <f t="shared" si="158"/>
        <v>580</v>
      </c>
      <c r="C1082" s="12"/>
      <c r="D1082" s="12"/>
      <c r="E1082" s="12"/>
      <c r="F1082" s="13" t="s">
        <v>157</v>
      </c>
      <c r="G1082" s="14">
        <v>610</v>
      </c>
      <c r="H1082" s="12" t="s">
        <v>128</v>
      </c>
      <c r="I1082" s="15">
        <f>29166+1600+1795</f>
        <v>32561</v>
      </c>
      <c r="J1082" s="15">
        <v>32560</v>
      </c>
      <c r="K1082" s="397">
        <f t="shared" si="154"/>
        <v>99.996928841251815</v>
      </c>
      <c r="L1082" s="15"/>
      <c r="M1082" s="15"/>
      <c r="N1082" s="15"/>
      <c r="O1082" s="397"/>
      <c r="P1082" s="15"/>
      <c r="Q1082" s="16">
        <f t="shared" si="155"/>
        <v>32561</v>
      </c>
      <c r="R1082" s="16">
        <f t="shared" si="156"/>
        <v>32560</v>
      </c>
      <c r="S1082" s="448">
        <f t="shared" si="157"/>
        <v>99.996928841251815</v>
      </c>
    </row>
    <row r="1083" spans="2:19" x14ac:dyDescent="0.2">
      <c r="B1083" s="6">
        <f t="shared" si="158"/>
        <v>581</v>
      </c>
      <c r="C1083" s="12"/>
      <c r="D1083" s="12"/>
      <c r="E1083" s="12"/>
      <c r="F1083" s="13" t="s">
        <v>157</v>
      </c>
      <c r="G1083" s="14">
        <v>620</v>
      </c>
      <c r="H1083" s="12" t="s">
        <v>121</v>
      </c>
      <c r="I1083" s="15">
        <f>11411+575+160</f>
        <v>12146</v>
      </c>
      <c r="J1083" s="15">
        <v>12146</v>
      </c>
      <c r="K1083" s="397">
        <f t="shared" si="154"/>
        <v>100</v>
      </c>
      <c r="L1083" s="15"/>
      <c r="M1083" s="15"/>
      <c r="N1083" s="15"/>
      <c r="O1083" s="397"/>
      <c r="P1083" s="15"/>
      <c r="Q1083" s="16">
        <f t="shared" si="155"/>
        <v>12146</v>
      </c>
      <c r="R1083" s="16">
        <f t="shared" si="156"/>
        <v>12146</v>
      </c>
      <c r="S1083" s="448">
        <f t="shared" si="157"/>
        <v>100</v>
      </c>
    </row>
    <row r="1084" spans="2:19" x14ac:dyDescent="0.2">
      <c r="B1084" s="6">
        <f t="shared" si="158"/>
        <v>582</v>
      </c>
      <c r="C1084" s="12"/>
      <c r="D1084" s="12"/>
      <c r="E1084" s="12"/>
      <c r="F1084" s="13" t="s">
        <v>157</v>
      </c>
      <c r="G1084" s="14">
        <v>630</v>
      </c>
      <c r="H1084" s="12" t="s">
        <v>118</v>
      </c>
      <c r="I1084" s="15">
        <f>SUM(I1085:I1088)</f>
        <v>56246</v>
      </c>
      <c r="J1084" s="15">
        <f>SUM(J1085:J1088)</f>
        <v>40782</v>
      </c>
      <c r="K1084" s="397">
        <f t="shared" si="154"/>
        <v>72.506489350353803</v>
      </c>
      <c r="L1084" s="15"/>
      <c r="M1084" s="15"/>
      <c r="N1084" s="15"/>
      <c r="O1084" s="397"/>
      <c r="P1084" s="15"/>
      <c r="Q1084" s="16">
        <f t="shared" si="155"/>
        <v>56246</v>
      </c>
      <c r="R1084" s="16">
        <f t="shared" si="156"/>
        <v>40782</v>
      </c>
      <c r="S1084" s="448">
        <f t="shared" si="157"/>
        <v>72.506489350353803</v>
      </c>
    </row>
    <row r="1085" spans="2:19" x14ac:dyDescent="0.2">
      <c r="B1085" s="6">
        <f t="shared" si="158"/>
        <v>583</v>
      </c>
      <c r="C1085" s="12"/>
      <c r="D1085" s="12"/>
      <c r="E1085" s="12"/>
      <c r="F1085" s="13"/>
      <c r="G1085" s="19">
        <v>632</v>
      </c>
      <c r="H1085" s="17" t="s">
        <v>131</v>
      </c>
      <c r="I1085" s="20">
        <f>6000+1000</f>
        <v>7000</v>
      </c>
      <c r="J1085" s="20">
        <v>5798</v>
      </c>
      <c r="K1085" s="397">
        <f t="shared" si="154"/>
        <v>82.828571428571422</v>
      </c>
      <c r="L1085" s="20"/>
      <c r="M1085" s="20"/>
      <c r="N1085" s="20"/>
      <c r="O1085" s="397"/>
      <c r="P1085" s="20"/>
      <c r="Q1085" s="21">
        <f t="shared" si="155"/>
        <v>7000</v>
      </c>
      <c r="R1085" s="21">
        <f t="shared" si="156"/>
        <v>5798</v>
      </c>
      <c r="S1085" s="448">
        <f t="shared" si="157"/>
        <v>82.828571428571422</v>
      </c>
    </row>
    <row r="1086" spans="2:19" x14ac:dyDescent="0.2">
      <c r="B1086" s="6">
        <f t="shared" si="158"/>
        <v>584</v>
      </c>
      <c r="C1086" s="17"/>
      <c r="D1086" s="17"/>
      <c r="E1086" s="17"/>
      <c r="F1086" s="18"/>
      <c r="G1086" s="19">
        <v>633</v>
      </c>
      <c r="H1086" s="17" t="s">
        <v>122</v>
      </c>
      <c r="I1086" s="20">
        <v>41380</v>
      </c>
      <c r="J1086" s="20">
        <v>29260</v>
      </c>
      <c r="K1086" s="397">
        <f t="shared" si="154"/>
        <v>70.710488158530694</v>
      </c>
      <c r="L1086" s="20"/>
      <c r="M1086" s="20"/>
      <c r="N1086" s="20"/>
      <c r="O1086" s="397"/>
      <c r="P1086" s="20"/>
      <c r="Q1086" s="21">
        <f t="shared" si="155"/>
        <v>41380</v>
      </c>
      <c r="R1086" s="21">
        <f t="shared" si="156"/>
        <v>29260</v>
      </c>
      <c r="S1086" s="448">
        <f t="shared" si="157"/>
        <v>70.710488158530694</v>
      </c>
    </row>
    <row r="1087" spans="2:19" x14ac:dyDescent="0.2">
      <c r="B1087" s="6">
        <f t="shared" si="158"/>
        <v>585</v>
      </c>
      <c r="C1087" s="17"/>
      <c r="D1087" s="17"/>
      <c r="E1087" s="17"/>
      <c r="F1087" s="18"/>
      <c r="G1087" s="19">
        <v>635</v>
      </c>
      <c r="H1087" s="17" t="s">
        <v>130</v>
      </c>
      <c r="I1087" s="20">
        <f>3500+2000</f>
        <v>5500</v>
      </c>
      <c r="J1087" s="20">
        <v>4621</v>
      </c>
      <c r="K1087" s="397">
        <f t="shared" si="154"/>
        <v>84.018181818181816</v>
      </c>
      <c r="L1087" s="20"/>
      <c r="M1087" s="20"/>
      <c r="N1087" s="20"/>
      <c r="O1087" s="397"/>
      <c r="P1087" s="20"/>
      <c r="Q1087" s="21">
        <f t="shared" si="155"/>
        <v>5500</v>
      </c>
      <c r="R1087" s="21">
        <f t="shared" si="156"/>
        <v>4621</v>
      </c>
      <c r="S1087" s="448">
        <f t="shared" si="157"/>
        <v>84.018181818181816</v>
      </c>
    </row>
    <row r="1088" spans="2:19" x14ac:dyDescent="0.2">
      <c r="B1088" s="6">
        <f t="shared" si="158"/>
        <v>586</v>
      </c>
      <c r="C1088" s="17"/>
      <c r="D1088" s="17"/>
      <c r="E1088" s="17"/>
      <c r="F1088" s="18"/>
      <c r="G1088" s="19">
        <v>637</v>
      </c>
      <c r="H1088" s="17" t="s">
        <v>119</v>
      </c>
      <c r="I1088" s="20">
        <f>2066+300</f>
        <v>2366</v>
      </c>
      <c r="J1088" s="20">
        <v>1103</v>
      </c>
      <c r="K1088" s="397">
        <f t="shared" si="154"/>
        <v>46.61876584953508</v>
      </c>
      <c r="L1088" s="20"/>
      <c r="M1088" s="20"/>
      <c r="N1088" s="20"/>
      <c r="O1088" s="397"/>
      <c r="P1088" s="20"/>
      <c r="Q1088" s="21">
        <f t="shared" si="155"/>
        <v>2366</v>
      </c>
      <c r="R1088" s="21">
        <f t="shared" si="156"/>
        <v>1103</v>
      </c>
      <c r="S1088" s="448">
        <f t="shared" si="157"/>
        <v>46.61876584953508</v>
      </c>
    </row>
    <row r="1089" spans="2:19" x14ac:dyDescent="0.2">
      <c r="B1089" s="6">
        <f t="shared" si="158"/>
        <v>587</v>
      </c>
      <c r="C1089" s="12"/>
      <c r="D1089" s="12"/>
      <c r="E1089" s="12"/>
      <c r="F1089" s="13" t="s">
        <v>157</v>
      </c>
      <c r="G1089" s="14">
        <v>640</v>
      </c>
      <c r="H1089" s="12" t="s">
        <v>126</v>
      </c>
      <c r="I1089" s="15">
        <v>450</v>
      </c>
      <c r="J1089" s="15">
        <v>117</v>
      </c>
      <c r="K1089" s="397">
        <f t="shared" si="154"/>
        <v>26</v>
      </c>
      <c r="L1089" s="15"/>
      <c r="M1089" s="15"/>
      <c r="N1089" s="15"/>
      <c r="O1089" s="397"/>
      <c r="P1089" s="15"/>
      <c r="Q1089" s="16">
        <f t="shared" si="155"/>
        <v>450</v>
      </c>
      <c r="R1089" s="16">
        <f t="shared" si="156"/>
        <v>117</v>
      </c>
      <c r="S1089" s="448">
        <f t="shared" si="157"/>
        <v>26</v>
      </c>
    </row>
    <row r="1090" spans="2:19" x14ac:dyDescent="0.2">
      <c r="B1090" s="6">
        <f t="shared" si="158"/>
        <v>588</v>
      </c>
      <c r="C1090" s="12"/>
      <c r="D1090" s="12"/>
      <c r="E1090" s="12"/>
      <c r="F1090" s="13" t="s">
        <v>157</v>
      </c>
      <c r="G1090" s="14">
        <v>710</v>
      </c>
      <c r="H1090" s="12" t="s">
        <v>172</v>
      </c>
      <c r="I1090" s="15"/>
      <c r="J1090" s="15"/>
      <c r="K1090" s="397"/>
      <c r="L1090" s="15"/>
      <c r="M1090" s="15">
        <f>M1091</f>
        <v>3500</v>
      </c>
      <c r="N1090" s="15">
        <f>N1091</f>
        <v>3250</v>
      </c>
      <c r="O1090" s="397">
        <f>N1090/M1090*100</f>
        <v>92.857142857142861</v>
      </c>
      <c r="P1090" s="15"/>
      <c r="Q1090" s="16">
        <f t="shared" si="155"/>
        <v>3500</v>
      </c>
      <c r="R1090" s="16">
        <f t="shared" si="156"/>
        <v>3250</v>
      </c>
      <c r="S1090" s="448">
        <f t="shared" si="157"/>
        <v>92.857142857142861</v>
      </c>
    </row>
    <row r="1091" spans="2:19" x14ac:dyDescent="0.2">
      <c r="B1091" s="6">
        <f t="shared" si="158"/>
        <v>589</v>
      </c>
      <c r="C1091" s="17"/>
      <c r="D1091" s="17"/>
      <c r="E1091" s="17"/>
      <c r="F1091" s="18"/>
      <c r="G1091" s="19">
        <v>713</v>
      </c>
      <c r="H1091" s="17" t="s">
        <v>216</v>
      </c>
      <c r="I1091" s="20"/>
      <c r="J1091" s="20"/>
      <c r="K1091" s="397"/>
      <c r="L1091" s="20"/>
      <c r="M1091" s="20">
        <f>M1092</f>
        <v>3500</v>
      </c>
      <c r="N1091" s="20">
        <f>N1092</f>
        <v>3250</v>
      </c>
      <c r="O1091" s="397">
        <f>N1091/M1091*100</f>
        <v>92.857142857142861</v>
      </c>
      <c r="P1091" s="20"/>
      <c r="Q1091" s="21">
        <f t="shared" si="155"/>
        <v>3500</v>
      </c>
      <c r="R1091" s="21">
        <f t="shared" si="156"/>
        <v>3250</v>
      </c>
      <c r="S1091" s="448">
        <f t="shared" si="157"/>
        <v>92.857142857142861</v>
      </c>
    </row>
    <row r="1092" spans="2:19" x14ac:dyDescent="0.2">
      <c r="B1092" s="6">
        <f t="shared" si="158"/>
        <v>590</v>
      </c>
      <c r="C1092" s="1"/>
      <c r="D1092" s="1"/>
      <c r="E1092" s="1"/>
      <c r="F1092" s="101"/>
      <c r="G1092" s="23"/>
      <c r="H1092" s="1" t="s">
        <v>588</v>
      </c>
      <c r="I1092" s="24"/>
      <c r="J1092" s="24"/>
      <c r="K1092" s="397"/>
      <c r="L1092" s="24"/>
      <c r="M1092" s="24">
        <v>3500</v>
      </c>
      <c r="N1092" s="24">
        <v>3250</v>
      </c>
      <c r="O1092" s="397">
        <f>N1092/M1092*100</f>
        <v>92.857142857142861</v>
      </c>
      <c r="P1092" s="24"/>
      <c r="Q1092" s="26">
        <f t="shared" si="155"/>
        <v>3500</v>
      </c>
      <c r="R1092" s="26">
        <f t="shared" si="156"/>
        <v>3250</v>
      </c>
      <c r="S1092" s="448">
        <f t="shared" si="157"/>
        <v>92.857142857142861</v>
      </c>
    </row>
    <row r="1093" spans="2:19" x14ac:dyDescent="0.2">
      <c r="B1093" s="6">
        <f t="shared" si="158"/>
        <v>591</v>
      </c>
      <c r="C1093" s="107"/>
      <c r="D1093" s="107"/>
      <c r="E1093" s="107" t="s">
        <v>88</v>
      </c>
      <c r="F1093" s="108"/>
      <c r="G1093" s="108"/>
      <c r="H1093" s="107" t="s">
        <v>224</v>
      </c>
      <c r="I1093" s="109">
        <f>I1094+I1095+I1096+I1101</f>
        <v>162909</v>
      </c>
      <c r="J1093" s="109">
        <f>J1094+J1095+J1096+J1101</f>
        <v>143978</v>
      </c>
      <c r="K1093" s="415">
        <f t="shared" ref="K1093:K1101" si="159">J1093/I1093*100</f>
        <v>88.379401997434144</v>
      </c>
      <c r="L1093" s="15"/>
      <c r="M1093" s="109">
        <f>M1102</f>
        <v>9000</v>
      </c>
      <c r="N1093" s="109">
        <f>N1102</f>
        <v>8996</v>
      </c>
      <c r="O1093" s="415">
        <f>N1093/M1093*100</f>
        <v>99.955555555555549</v>
      </c>
      <c r="P1093" s="15"/>
      <c r="Q1093" s="110">
        <f t="shared" si="155"/>
        <v>171909</v>
      </c>
      <c r="R1093" s="110">
        <f t="shared" si="156"/>
        <v>152974</v>
      </c>
      <c r="S1093" s="467">
        <f t="shared" si="157"/>
        <v>88.985451605209732</v>
      </c>
    </row>
    <row r="1094" spans="2:19" x14ac:dyDescent="0.2">
      <c r="B1094" s="6">
        <f t="shared" si="158"/>
        <v>592</v>
      </c>
      <c r="C1094" s="12"/>
      <c r="D1094" s="12"/>
      <c r="E1094" s="12"/>
      <c r="F1094" s="13" t="s">
        <v>157</v>
      </c>
      <c r="G1094" s="14">
        <v>610</v>
      </c>
      <c r="H1094" s="12" t="s">
        <v>128</v>
      </c>
      <c r="I1094" s="15">
        <f>44335+2400-5014</f>
        <v>41721</v>
      </c>
      <c r="J1094" s="15">
        <v>41721</v>
      </c>
      <c r="K1094" s="397">
        <f t="shared" si="159"/>
        <v>100</v>
      </c>
      <c r="L1094" s="15"/>
      <c r="M1094" s="15"/>
      <c r="N1094" s="15"/>
      <c r="O1094" s="397"/>
      <c r="P1094" s="15"/>
      <c r="Q1094" s="16">
        <f t="shared" si="155"/>
        <v>41721</v>
      </c>
      <c r="R1094" s="16">
        <f t="shared" si="156"/>
        <v>41721</v>
      </c>
      <c r="S1094" s="448">
        <f t="shared" si="157"/>
        <v>100</v>
      </c>
    </row>
    <row r="1095" spans="2:19" x14ac:dyDescent="0.2">
      <c r="B1095" s="6">
        <f t="shared" si="158"/>
        <v>593</v>
      </c>
      <c r="C1095" s="12"/>
      <c r="D1095" s="12"/>
      <c r="E1095" s="12"/>
      <c r="F1095" s="13" t="s">
        <v>157</v>
      </c>
      <c r="G1095" s="14">
        <v>620</v>
      </c>
      <c r="H1095" s="12" t="s">
        <v>121</v>
      </c>
      <c r="I1095" s="15">
        <f>17508+863-2254</f>
        <v>16117</v>
      </c>
      <c r="J1095" s="15">
        <v>16068</v>
      </c>
      <c r="K1095" s="397">
        <f t="shared" si="159"/>
        <v>99.695973196004218</v>
      </c>
      <c r="L1095" s="15"/>
      <c r="M1095" s="15"/>
      <c r="N1095" s="15"/>
      <c r="O1095" s="397"/>
      <c r="P1095" s="15"/>
      <c r="Q1095" s="16">
        <f t="shared" si="155"/>
        <v>16117</v>
      </c>
      <c r="R1095" s="16">
        <f t="shared" si="156"/>
        <v>16068</v>
      </c>
      <c r="S1095" s="448">
        <f t="shared" si="157"/>
        <v>99.695973196004218</v>
      </c>
    </row>
    <row r="1096" spans="2:19" x14ac:dyDescent="0.2">
      <c r="B1096" s="6">
        <f t="shared" si="158"/>
        <v>594</v>
      </c>
      <c r="C1096" s="12"/>
      <c r="D1096" s="12"/>
      <c r="E1096" s="12"/>
      <c r="F1096" s="13" t="s">
        <v>157</v>
      </c>
      <c r="G1096" s="14">
        <v>630</v>
      </c>
      <c r="H1096" s="12" t="s">
        <v>118</v>
      </c>
      <c r="I1096" s="15">
        <f>SUM(I1097:I1100)</f>
        <v>101017</v>
      </c>
      <c r="J1096" s="15">
        <f>SUM(J1097:J1100)</f>
        <v>85774</v>
      </c>
      <c r="K1096" s="397">
        <f t="shared" si="159"/>
        <v>84.910460615539961</v>
      </c>
      <c r="L1096" s="15"/>
      <c r="M1096" s="15"/>
      <c r="N1096" s="15"/>
      <c r="O1096" s="397"/>
      <c r="P1096" s="15"/>
      <c r="Q1096" s="16">
        <f t="shared" si="155"/>
        <v>101017</v>
      </c>
      <c r="R1096" s="16">
        <f t="shared" si="156"/>
        <v>85774</v>
      </c>
      <c r="S1096" s="448">
        <f t="shared" si="157"/>
        <v>84.910460615539961</v>
      </c>
    </row>
    <row r="1097" spans="2:19" x14ac:dyDescent="0.2">
      <c r="B1097" s="6">
        <f t="shared" si="158"/>
        <v>595</v>
      </c>
      <c r="C1097" s="12"/>
      <c r="D1097" s="12"/>
      <c r="E1097" s="12"/>
      <c r="F1097" s="13"/>
      <c r="G1097" s="19">
        <v>632</v>
      </c>
      <c r="H1097" s="17" t="s">
        <v>131</v>
      </c>
      <c r="I1097" s="20">
        <f>15500-2150</f>
        <v>13350</v>
      </c>
      <c r="J1097" s="20">
        <v>13347</v>
      </c>
      <c r="K1097" s="397">
        <f t="shared" si="159"/>
        <v>99.977528089887642</v>
      </c>
      <c r="L1097" s="20"/>
      <c r="M1097" s="20"/>
      <c r="N1097" s="20"/>
      <c r="O1097" s="397"/>
      <c r="P1097" s="20"/>
      <c r="Q1097" s="21">
        <f t="shared" si="155"/>
        <v>13350</v>
      </c>
      <c r="R1097" s="21">
        <f t="shared" si="156"/>
        <v>13347</v>
      </c>
      <c r="S1097" s="448">
        <f t="shared" si="157"/>
        <v>99.977528089887642</v>
      </c>
    </row>
    <row r="1098" spans="2:19" x14ac:dyDescent="0.2">
      <c r="B1098" s="6">
        <f t="shared" si="158"/>
        <v>596</v>
      </c>
      <c r="C1098" s="17"/>
      <c r="D1098" s="17"/>
      <c r="E1098" s="17"/>
      <c r="F1098" s="18"/>
      <c r="G1098" s="19">
        <v>633</v>
      </c>
      <c r="H1098" s="17" t="s">
        <v>122</v>
      </c>
      <c r="I1098" s="20">
        <f>81467-3500</f>
        <v>77967</v>
      </c>
      <c r="J1098" s="20">
        <v>63357</v>
      </c>
      <c r="K1098" s="397">
        <f t="shared" si="159"/>
        <v>81.261302858901843</v>
      </c>
      <c r="L1098" s="20"/>
      <c r="M1098" s="20"/>
      <c r="N1098" s="20"/>
      <c r="O1098" s="397"/>
      <c r="P1098" s="20"/>
      <c r="Q1098" s="21">
        <f t="shared" si="155"/>
        <v>77967</v>
      </c>
      <c r="R1098" s="21">
        <f t="shared" si="156"/>
        <v>63357</v>
      </c>
      <c r="S1098" s="448">
        <f t="shared" si="157"/>
        <v>81.261302858901843</v>
      </c>
    </row>
    <row r="1099" spans="2:19" x14ac:dyDescent="0.2">
      <c r="B1099" s="6">
        <f t="shared" si="158"/>
        <v>597</v>
      </c>
      <c r="C1099" s="17"/>
      <c r="D1099" s="17"/>
      <c r="E1099" s="17"/>
      <c r="F1099" s="18"/>
      <c r="G1099" s="19">
        <v>635</v>
      </c>
      <c r="H1099" s="17" t="s">
        <v>130</v>
      </c>
      <c r="I1099" s="20">
        <f>4900+3500-700</f>
        <v>7700</v>
      </c>
      <c r="J1099" s="20">
        <v>7456</v>
      </c>
      <c r="K1099" s="397">
        <f t="shared" si="159"/>
        <v>96.831168831168839</v>
      </c>
      <c r="L1099" s="20"/>
      <c r="M1099" s="20"/>
      <c r="N1099" s="20"/>
      <c r="O1099" s="397"/>
      <c r="P1099" s="20"/>
      <c r="Q1099" s="21">
        <f t="shared" si="155"/>
        <v>7700</v>
      </c>
      <c r="R1099" s="21">
        <f t="shared" si="156"/>
        <v>7456</v>
      </c>
      <c r="S1099" s="448">
        <f t="shared" si="157"/>
        <v>96.831168831168839</v>
      </c>
    </row>
    <row r="1100" spans="2:19" x14ac:dyDescent="0.2">
      <c r="B1100" s="6">
        <f t="shared" si="158"/>
        <v>598</v>
      </c>
      <c r="C1100" s="17"/>
      <c r="D1100" s="17"/>
      <c r="E1100" s="17"/>
      <c r="F1100" s="18"/>
      <c r="G1100" s="19">
        <v>637</v>
      </c>
      <c r="H1100" s="17" t="s">
        <v>119</v>
      </c>
      <c r="I1100" s="20">
        <f>1700+300</f>
        <v>2000</v>
      </c>
      <c r="J1100" s="20">
        <v>1614</v>
      </c>
      <c r="K1100" s="397">
        <f t="shared" si="159"/>
        <v>80.7</v>
      </c>
      <c r="L1100" s="20"/>
      <c r="M1100" s="20"/>
      <c r="N1100" s="20"/>
      <c r="O1100" s="397"/>
      <c r="P1100" s="20"/>
      <c r="Q1100" s="21">
        <f t="shared" si="155"/>
        <v>2000</v>
      </c>
      <c r="R1100" s="21">
        <f t="shared" si="156"/>
        <v>1614</v>
      </c>
      <c r="S1100" s="448">
        <f t="shared" si="157"/>
        <v>80.7</v>
      </c>
    </row>
    <row r="1101" spans="2:19" x14ac:dyDescent="0.2">
      <c r="B1101" s="6">
        <f t="shared" si="158"/>
        <v>599</v>
      </c>
      <c r="C1101" s="12"/>
      <c r="D1101" s="12"/>
      <c r="E1101" s="12"/>
      <c r="F1101" s="13" t="s">
        <v>157</v>
      </c>
      <c r="G1101" s="14">
        <v>640</v>
      </c>
      <c r="H1101" s="12" t="s">
        <v>126</v>
      </c>
      <c r="I1101" s="15">
        <f>2252+1802</f>
        <v>4054</v>
      </c>
      <c r="J1101" s="15">
        <v>415</v>
      </c>
      <c r="K1101" s="397">
        <f t="shared" si="159"/>
        <v>10.236803157375432</v>
      </c>
      <c r="L1101" s="15"/>
      <c r="M1101" s="15"/>
      <c r="N1101" s="15"/>
      <c r="O1101" s="397"/>
      <c r="P1101" s="15"/>
      <c r="Q1101" s="16">
        <f t="shared" si="155"/>
        <v>4054</v>
      </c>
      <c r="R1101" s="16">
        <f t="shared" si="156"/>
        <v>415</v>
      </c>
      <c r="S1101" s="448">
        <f t="shared" si="157"/>
        <v>10.236803157375432</v>
      </c>
    </row>
    <row r="1102" spans="2:19" x14ac:dyDescent="0.2">
      <c r="B1102" s="6">
        <f t="shared" si="158"/>
        <v>600</v>
      </c>
      <c r="C1102" s="12"/>
      <c r="D1102" s="12"/>
      <c r="E1102" s="12"/>
      <c r="F1102" s="13" t="s">
        <v>157</v>
      </c>
      <c r="G1102" s="14">
        <v>710</v>
      </c>
      <c r="H1102" s="12" t="s">
        <v>172</v>
      </c>
      <c r="I1102" s="15"/>
      <c r="J1102" s="15"/>
      <c r="K1102" s="397"/>
      <c r="L1102" s="15"/>
      <c r="M1102" s="15">
        <f>M1103+M1105</f>
        <v>9000</v>
      </c>
      <c r="N1102" s="15">
        <f>N1103+N1105</f>
        <v>8996</v>
      </c>
      <c r="O1102" s="397">
        <f>N1102/M1102*100</f>
        <v>99.955555555555549</v>
      </c>
      <c r="P1102" s="15"/>
      <c r="Q1102" s="16">
        <f t="shared" si="155"/>
        <v>9000</v>
      </c>
      <c r="R1102" s="16">
        <f t="shared" si="156"/>
        <v>8996</v>
      </c>
      <c r="S1102" s="448">
        <f t="shared" si="157"/>
        <v>99.955555555555549</v>
      </c>
    </row>
    <row r="1103" spans="2:19" x14ac:dyDescent="0.2">
      <c r="B1103" s="6">
        <f t="shared" si="158"/>
        <v>601</v>
      </c>
      <c r="C1103" s="12"/>
      <c r="D1103" s="12"/>
      <c r="E1103" s="12"/>
      <c r="F1103" s="18"/>
      <c r="G1103" s="19">
        <v>713</v>
      </c>
      <c r="H1103" s="17" t="s">
        <v>216</v>
      </c>
      <c r="I1103" s="20"/>
      <c r="J1103" s="20"/>
      <c r="K1103" s="397"/>
      <c r="L1103" s="20"/>
      <c r="M1103" s="20">
        <f>M1104</f>
        <v>7620</v>
      </c>
      <c r="N1103" s="20">
        <f>N1104</f>
        <v>7619</v>
      </c>
      <c r="O1103" s="397">
        <f>N1103/M1103*100</f>
        <v>99.98687664041995</v>
      </c>
      <c r="P1103" s="20"/>
      <c r="Q1103" s="21">
        <f t="shared" si="155"/>
        <v>7620</v>
      </c>
      <c r="R1103" s="21">
        <f t="shared" si="156"/>
        <v>7619</v>
      </c>
      <c r="S1103" s="448">
        <f t="shared" si="157"/>
        <v>99.98687664041995</v>
      </c>
    </row>
    <row r="1104" spans="2:19" x14ac:dyDescent="0.2">
      <c r="B1104" s="6">
        <f t="shared" si="158"/>
        <v>602</v>
      </c>
      <c r="C1104" s="12"/>
      <c r="D1104" s="12"/>
      <c r="E1104" s="12"/>
      <c r="F1104" s="101"/>
      <c r="G1104" s="23"/>
      <c r="H1104" s="1" t="s">
        <v>336</v>
      </c>
      <c r="I1104" s="24"/>
      <c r="J1104" s="24"/>
      <c r="K1104" s="397"/>
      <c r="L1104" s="24"/>
      <c r="M1104" s="24">
        <v>7620</v>
      </c>
      <c r="N1104" s="24">
        <v>7619</v>
      </c>
      <c r="O1104" s="397">
        <f>N1104/M1104*100</f>
        <v>99.98687664041995</v>
      </c>
      <c r="P1104" s="24"/>
      <c r="Q1104" s="26">
        <f t="shared" si="155"/>
        <v>7620</v>
      </c>
      <c r="R1104" s="26">
        <f t="shared" si="156"/>
        <v>7619</v>
      </c>
      <c r="S1104" s="448">
        <f t="shared" si="157"/>
        <v>99.98687664041995</v>
      </c>
    </row>
    <row r="1105" spans="2:19" x14ac:dyDescent="0.2">
      <c r="B1105" s="6">
        <f t="shared" si="158"/>
        <v>603</v>
      </c>
      <c r="C1105" s="12"/>
      <c r="D1105" s="12"/>
      <c r="E1105" s="12"/>
      <c r="F1105" s="101"/>
      <c r="G1105" s="19">
        <v>717</v>
      </c>
      <c r="H1105" s="17" t="s">
        <v>179</v>
      </c>
      <c r="I1105" s="20"/>
      <c r="J1105" s="20"/>
      <c r="K1105" s="397"/>
      <c r="L1105" s="20"/>
      <c r="M1105" s="20">
        <f>M1106</f>
        <v>1380</v>
      </c>
      <c r="N1105" s="20">
        <f>N1106</f>
        <v>1377</v>
      </c>
      <c r="O1105" s="397">
        <f>N1105/M1105*100</f>
        <v>99.782608695652172</v>
      </c>
      <c r="P1105" s="20"/>
      <c r="Q1105" s="21">
        <f t="shared" si="155"/>
        <v>1380</v>
      </c>
      <c r="R1105" s="21">
        <f t="shared" si="156"/>
        <v>1377</v>
      </c>
      <c r="S1105" s="448">
        <f t="shared" si="157"/>
        <v>99.782608695652172</v>
      </c>
    </row>
    <row r="1106" spans="2:19" x14ac:dyDescent="0.2">
      <c r="B1106" s="6">
        <f t="shared" si="158"/>
        <v>604</v>
      </c>
      <c r="C1106" s="12"/>
      <c r="D1106" s="12"/>
      <c r="E1106" s="12"/>
      <c r="F1106" s="101"/>
      <c r="G1106" s="23"/>
      <c r="H1106" s="1" t="s">
        <v>742</v>
      </c>
      <c r="I1106" s="24"/>
      <c r="J1106" s="24"/>
      <c r="K1106" s="397"/>
      <c r="L1106" s="24"/>
      <c r="M1106" s="24">
        <v>1380</v>
      </c>
      <c r="N1106" s="24">
        <v>1377</v>
      </c>
      <c r="O1106" s="397">
        <f>N1106/M1106*100</f>
        <v>99.782608695652172</v>
      </c>
      <c r="P1106" s="24"/>
      <c r="Q1106" s="26">
        <f t="shared" si="155"/>
        <v>1380</v>
      </c>
      <c r="R1106" s="26">
        <f t="shared" si="156"/>
        <v>1377</v>
      </c>
      <c r="S1106" s="448">
        <f t="shared" si="157"/>
        <v>99.782608695652172</v>
      </c>
    </row>
    <row r="1107" spans="2:19" x14ac:dyDescent="0.2">
      <c r="B1107" s="6">
        <f t="shared" si="158"/>
        <v>605</v>
      </c>
      <c r="C1107" s="107"/>
      <c r="D1107" s="107"/>
      <c r="E1107" s="107" t="s">
        <v>84</v>
      </c>
      <c r="F1107" s="108"/>
      <c r="G1107" s="108"/>
      <c r="H1107" s="107" t="s">
        <v>64</v>
      </c>
      <c r="I1107" s="109">
        <f>I1108+I1109+I1110+I1115</f>
        <v>98397</v>
      </c>
      <c r="J1107" s="109">
        <f>J1108+J1109+J1110+J1115</f>
        <v>86813</v>
      </c>
      <c r="K1107" s="415">
        <f t="shared" ref="K1107:K1124" si="160">J1107/I1107*100</f>
        <v>88.22728335213472</v>
      </c>
      <c r="L1107" s="15"/>
      <c r="M1107" s="109"/>
      <c r="N1107" s="109"/>
      <c r="O1107" s="415"/>
      <c r="P1107" s="15"/>
      <c r="Q1107" s="110">
        <f t="shared" si="155"/>
        <v>98397</v>
      </c>
      <c r="R1107" s="110">
        <f t="shared" si="156"/>
        <v>86813</v>
      </c>
      <c r="S1107" s="467">
        <f t="shared" si="157"/>
        <v>88.22728335213472</v>
      </c>
    </row>
    <row r="1108" spans="2:19" x14ac:dyDescent="0.2">
      <c r="B1108" s="6">
        <f t="shared" si="158"/>
        <v>606</v>
      </c>
      <c r="C1108" s="12"/>
      <c r="D1108" s="12"/>
      <c r="E1108" s="12"/>
      <c r="F1108" s="13" t="s">
        <v>157</v>
      </c>
      <c r="G1108" s="14">
        <v>610</v>
      </c>
      <c r="H1108" s="12" t="s">
        <v>128</v>
      </c>
      <c r="I1108" s="15">
        <f>29166+1600-840</f>
        <v>29926</v>
      </c>
      <c r="J1108" s="15">
        <v>29926</v>
      </c>
      <c r="K1108" s="397">
        <f t="shared" si="160"/>
        <v>100</v>
      </c>
      <c r="L1108" s="15"/>
      <c r="M1108" s="15"/>
      <c r="N1108" s="15"/>
      <c r="O1108" s="397"/>
      <c r="P1108" s="15"/>
      <c r="Q1108" s="16">
        <f t="shared" si="155"/>
        <v>29926</v>
      </c>
      <c r="R1108" s="16">
        <f t="shared" si="156"/>
        <v>29926</v>
      </c>
      <c r="S1108" s="448">
        <f t="shared" si="157"/>
        <v>100</v>
      </c>
    </row>
    <row r="1109" spans="2:19" x14ac:dyDescent="0.2">
      <c r="B1109" s="6">
        <f t="shared" si="158"/>
        <v>607</v>
      </c>
      <c r="C1109" s="12"/>
      <c r="D1109" s="12"/>
      <c r="E1109" s="12"/>
      <c r="F1109" s="13" t="s">
        <v>157</v>
      </c>
      <c r="G1109" s="14">
        <v>620</v>
      </c>
      <c r="H1109" s="12" t="s">
        <v>121</v>
      </c>
      <c r="I1109" s="15">
        <f>11411+575+165</f>
        <v>12151</v>
      </c>
      <c r="J1109" s="15">
        <v>11983</v>
      </c>
      <c r="K1109" s="397">
        <f t="shared" si="160"/>
        <v>98.617397745041558</v>
      </c>
      <c r="L1109" s="15"/>
      <c r="M1109" s="15"/>
      <c r="N1109" s="15"/>
      <c r="O1109" s="397"/>
      <c r="P1109" s="15"/>
      <c r="Q1109" s="16">
        <f t="shared" si="155"/>
        <v>12151</v>
      </c>
      <c r="R1109" s="16">
        <f t="shared" si="156"/>
        <v>11983</v>
      </c>
      <c r="S1109" s="448">
        <f t="shared" si="157"/>
        <v>98.617397745041558</v>
      </c>
    </row>
    <row r="1110" spans="2:19" x14ac:dyDescent="0.2">
      <c r="B1110" s="6">
        <f t="shared" si="158"/>
        <v>608</v>
      </c>
      <c r="C1110" s="12"/>
      <c r="D1110" s="12"/>
      <c r="E1110" s="12"/>
      <c r="F1110" s="13" t="s">
        <v>157</v>
      </c>
      <c r="G1110" s="14">
        <v>630</v>
      </c>
      <c r="H1110" s="12" t="s">
        <v>118</v>
      </c>
      <c r="I1110" s="15">
        <f>SUM(I1111:I1114)</f>
        <v>55870</v>
      </c>
      <c r="J1110" s="15">
        <f>SUM(J1111:J1114)</f>
        <v>44458</v>
      </c>
      <c r="K1110" s="397">
        <f t="shared" si="160"/>
        <v>79.574011097189896</v>
      </c>
      <c r="L1110" s="15"/>
      <c r="M1110" s="15"/>
      <c r="N1110" s="15"/>
      <c r="O1110" s="397"/>
      <c r="P1110" s="15"/>
      <c r="Q1110" s="16">
        <f t="shared" si="155"/>
        <v>55870</v>
      </c>
      <c r="R1110" s="16">
        <f t="shared" si="156"/>
        <v>44458</v>
      </c>
      <c r="S1110" s="448">
        <f t="shared" si="157"/>
        <v>79.574011097189896</v>
      </c>
    </row>
    <row r="1111" spans="2:19" x14ac:dyDescent="0.2">
      <c r="B1111" s="6">
        <f t="shared" si="158"/>
        <v>609</v>
      </c>
      <c r="C1111" s="12"/>
      <c r="D1111" s="12"/>
      <c r="E1111" s="12"/>
      <c r="F1111" s="13"/>
      <c r="G1111" s="19">
        <v>632</v>
      </c>
      <c r="H1111" s="17" t="s">
        <v>131</v>
      </c>
      <c r="I1111" s="20">
        <v>8500</v>
      </c>
      <c r="J1111" s="20">
        <v>8240</v>
      </c>
      <c r="K1111" s="397">
        <f t="shared" si="160"/>
        <v>96.941176470588232</v>
      </c>
      <c r="L1111" s="20"/>
      <c r="M1111" s="20"/>
      <c r="N1111" s="20"/>
      <c r="O1111" s="397"/>
      <c r="P1111" s="20"/>
      <c r="Q1111" s="21">
        <f t="shared" si="155"/>
        <v>8500</v>
      </c>
      <c r="R1111" s="21">
        <f t="shared" si="156"/>
        <v>8240</v>
      </c>
      <c r="S1111" s="448">
        <f t="shared" si="157"/>
        <v>96.941176470588232</v>
      </c>
    </row>
    <row r="1112" spans="2:19" x14ac:dyDescent="0.2">
      <c r="B1112" s="6">
        <f t="shared" si="158"/>
        <v>610</v>
      </c>
      <c r="C1112" s="17"/>
      <c r="D1112" s="17"/>
      <c r="E1112" s="17"/>
      <c r="F1112" s="18"/>
      <c r="G1112" s="19">
        <v>633</v>
      </c>
      <c r="H1112" s="17" t="s">
        <v>122</v>
      </c>
      <c r="I1112" s="20">
        <v>42587</v>
      </c>
      <c r="J1112" s="20">
        <v>31706</v>
      </c>
      <c r="K1112" s="397">
        <f t="shared" si="160"/>
        <v>74.449949515110248</v>
      </c>
      <c r="L1112" s="20"/>
      <c r="M1112" s="20"/>
      <c r="N1112" s="20"/>
      <c r="O1112" s="397"/>
      <c r="P1112" s="20"/>
      <c r="Q1112" s="21">
        <f t="shared" si="155"/>
        <v>42587</v>
      </c>
      <c r="R1112" s="21">
        <f t="shared" si="156"/>
        <v>31706</v>
      </c>
      <c r="S1112" s="448">
        <f t="shared" si="157"/>
        <v>74.449949515110248</v>
      </c>
    </row>
    <row r="1113" spans="2:19" x14ac:dyDescent="0.2">
      <c r="B1113" s="6">
        <f t="shared" si="158"/>
        <v>611</v>
      </c>
      <c r="C1113" s="17"/>
      <c r="D1113" s="17"/>
      <c r="E1113" s="17"/>
      <c r="F1113" s="18"/>
      <c r="G1113" s="19">
        <v>635</v>
      </c>
      <c r="H1113" s="17" t="s">
        <v>130</v>
      </c>
      <c r="I1113" s="20">
        <f>3000-1000+1133</f>
        <v>3133</v>
      </c>
      <c r="J1113" s="20">
        <v>3133</v>
      </c>
      <c r="K1113" s="397">
        <f t="shared" si="160"/>
        <v>100</v>
      </c>
      <c r="L1113" s="20"/>
      <c r="M1113" s="20"/>
      <c r="N1113" s="20"/>
      <c r="O1113" s="397"/>
      <c r="P1113" s="20"/>
      <c r="Q1113" s="21">
        <f t="shared" si="155"/>
        <v>3133</v>
      </c>
      <c r="R1113" s="21">
        <f t="shared" si="156"/>
        <v>3133</v>
      </c>
      <c r="S1113" s="448">
        <f t="shared" si="157"/>
        <v>100</v>
      </c>
    </row>
    <row r="1114" spans="2:19" x14ac:dyDescent="0.2">
      <c r="B1114" s="6">
        <f t="shared" si="158"/>
        <v>612</v>
      </c>
      <c r="C1114" s="17"/>
      <c r="D1114" s="17"/>
      <c r="E1114" s="17"/>
      <c r="F1114" s="18"/>
      <c r="G1114" s="19">
        <v>637</v>
      </c>
      <c r="H1114" s="17" t="s">
        <v>119</v>
      </c>
      <c r="I1114" s="20">
        <f>1350+300</f>
        <v>1650</v>
      </c>
      <c r="J1114" s="20">
        <v>1379</v>
      </c>
      <c r="K1114" s="397">
        <f t="shared" si="160"/>
        <v>83.575757575757578</v>
      </c>
      <c r="L1114" s="20"/>
      <c r="M1114" s="20"/>
      <c r="N1114" s="20"/>
      <c r="O1114" s="397"/>
      <c r="P1114" s="20"/>
      <c r="Q1114" s="21">
        <f t="shared" si="155"/>
        <v>1650</v>
      </c>
      <c r="R1114" s="21">
        <f t="shared" si="156"/>
        <v>1379</v>
      </c>
      <c r="S1114" s="448">
        <f t="shared" si="157"/>
        <v>83.575757575757578</v>
      </c>
    </row>
    <row r="1115" spans="2:19" x14ac:dyDescent="0.2">
      <c r="B1115" s="6">
        <f t="shared" si="158"/>
        <v>613</v>
      </c>
      <c r="C1115" s="12"/>
      <c r="D1115" s="12"/>
      <c r="E1115" s="12"/>
      <c r="F1115" s="13" t="s">
        <v>157</v>
      </c>
      <c r="G1115" s="14">
        <v>640</v>
      </c>
      <c r="H1115" s="12" t="s">
        <v>126</v>
      </c>
      <c r="I1115" s="15">
        <v>450</v>
      </c>
      <c r="J1115" s="15">
        <v>446</v>
      </c>
      <c r="K1115" s="397">
        <f t="shared" si="160"/>
        <v>99.111111111111114</v>
      </c>
      <c r="L1115" s="15"/>
      <c r="M1115" s="15"/>
      <c r="N1115" s="15"/>
      <c r="O1115" s="397"/>
      <c r="P1115" s="15"/>
      <c r="Q1115" s="16">
        <f t="shared" si="155"/>
        <v>450</v>
      </c>
      <c r="R1115" s="16">
        <f t="shared" si="156"/>
        <v>446</v>
      </c>
      <c r="S1115" s="448">
        <f t="shared" si="157"/>
        <v>99.111111111111114</v>
      </c>
    </row>
    <row r="1116" spans="2:19" x14ac:dyDescent="0.2">
      <c r="B1116" s="6">
        <f t="shared" si="158"/>
        <v>614</v>
      </c>
      <c r="C1116" s="107"/>
      <c r="D1116" s="107"/>
      <c r="E1116" s="107" t="s">
        <v>92</v>
      </c>
      <c r="F1116" s="108"/>
      <c r="G1116" s="108"/>
      <c r="H1116" s="107" t="s">
        <v>525</v>
      </c>
      <c r="I1116" s="109">
        <f>I1117+I1118+I1119+I1124</f>
        <v>125005</v>
      </c>
      <c r="J1116" s="109">
        <f>J1117+J1118+J1119+J1124</f>
        <v>107737</v>
      </c>
      <c r="K1116" s="415">
        <f t="shared" si="160"/>
        <v>86.186152553897841</v>
      </c>
      <c r="L1116" s="15"/>
      <c r="M1116" s="109">
        <f>M1125</f>
        <v>2900</v>
      </c>
      <c r="N1116" s="109">
        <f>N1125</f>
        <v>2854</v>
      </c>
      <c r="O1116" s="415">
        <f>N1116/M1116*100</f>
        <v>98.41379310344827</v>
      </c>
      <c r="P1116" s="15"/>
      <c r="Q1116" s="110">
        <f t="shared" si="155"/>
        <v>127905</v>
      </c>
      <c r="R1116" s="110">
        <f t="shared" si="156"/>
        <v>110591</v>
      </c>
      <c r="S1116" s="467">
        <f t="shared" si="157"/>
        <v>86.463390797857784</v>
      </c>
    </row>
    <row r="1117" spans="2:19" x14ac:dyDescent="0.2">
      <c r="B1117" s="6">
        <f t="shared" si="158"/>
        <v>615</v>
      </c>
      <c r="C1117" s="12"/>
      <c r="D1117" s="12"/>
      <c r="E1117" s="12"/>
      <c r="F1117" s="13" t="s">
        <v>157</v>
      </c>
      <c r="G1117" s="14">
        <v>610</v>
      </c>
      <c r="H1117" s="12" t="s">
        <v>128</v>
      </c>
      <c r="I1117" s="15">
        <f>30793+2400+3171</f>
        <v>36364</v>
      </c>
      <c r="J1117" s="15">
        <v>36364</v>
      </c>
      <c r="K1117" s="397">
        <f t="shared" si="160"/>
        <v>100</v>
      </c>
      <c r="L1117" s="15"/>
      <c r="M1117" s="15"/>
      <c r="N1117" s="15"/>
      <c r="O1117" s="397"/>
      <c r="P1117" s="15"/>
      <c r="Q1117" s="16">
        <f t="shared" si="155"/>
        <v>36364</v>
      </c>
      <c r="R1117" s="16">
        <f t="shared" si="156"/>
        <v>36364</v>
      </c>
      <c r="S1117" s="448">
        <f t="shared" si="157"/>
        <v>100</v>
      </c>
    </row>
    <row r="1118" spans="2:19" x14ac:dyDescent="0.2">
      <c r="B1118" s="6">
        <f t="shared" si="158"/>
        <v>616</v>
      </c>
      <c r="C1118" s="12"/>
      <c r="D1118" s="12"/>
      <c r="E1118" s="12"/>
      <c r="F1118" s="13" t="s">
        <v>157</v>
      </c>
      <c r="G1118" s="14">
        <v>620</v>
      </c>
      <c r="H1118" s="12" t="s">
        <v>121</v>
      </c>
      <c r="I1118" s="15">
        <f>12029+647+863+277</f>
        <v>13816</v>
      </c>
      <c r="J1118" s="15">
        <v>13816</v>
      </c>
      <c r="K1118" s="397">
        <f t="shared" si="160"/>
        <v>100</v>
      </c>
      <c r="L1118" s="15"/>
      <c r="M1118" s="15"/>
      <c r="N1118" s="15"/>
      <c r="O1118" s="397"/>
      <c r="P1118" s="15"/>
      <c r="Q1118" s="16">
        <f t="shared" si="155"/>
        <v>13816</v>
      </c>
      <c r="R1118" s="16">
        <f t="shared" si="156"/>
        <v>13816</v>
      </c>
      <c r="S1118" s="448">
        <f t="shared" si="157"/>
        <v>100</v>
      </c>
    </row>
    <row r="1119" spans="2:19" x14ac:dyDescent="0.2">
      <c r="B1119" s="6">
        <f t="shared" si="158"/>
        <v>617</v>
      </c>
      <c r="C1119" s="12"/>
      <c r="D1119" s="12"/>
      <c r="E1119" s="12"/>
      <c r="F1119" s="13" t="s">
        <v>157</v>
      </c>
      <c r="G1119" s="14">
        <v>630</v>
      </c>
      <c r="H1119" s="12" t="s">
        <v>118</v>
      </c>
      <c r="I1119" s="15">
        <f>SUM(I1120:I1123)</f>
        <v>72573</v>
      </c>
      <c r="J1119" s="15">
        <f>SUM(J1120:J1123)</f>
        <v>55385</v>
      </c>
      <c r="K1119" s="397">
        <f t="shared" si="160"/>
        <v>76.316260868367024</v>
      </c>
      <c r="L1119" s="15"/>
      <c r="M1119" s="15"/>
      <c r="N1119" s="15"/>
      <c r="O1119" s="397"/>
      <c r="P1119" s="15"/>
      <c r="Q1119" s="16">
        <f t="shared" si="155"/>
        <v>72573</v>
      </c>
      <c r="R1119" s="16">
        <f t="shared" si="156"/>
        <v>55385</v>
      </c>
      <c r="S1119" s="448">
        <f t="shared" si="157"/>
        <v>76.316260868367024</v>
      </c>
    </row>
    <row r="1120" spans="2:19" x14ac:dyDescent="0.2">
      <c r="B1120" s="6">
        <f t="shared" si="158"/>
        <v>618</v>
      </c>
      <c r="C1120" s="12"/>
      <c r="D1120" s="12"/>
      <c r="E1120" s="12"/>
      <c r="F1120" s="13"/>
      <c r="G1120" s="19">
        <v>632</v>
      </c>
      <c r="H1120" s="17" t="s">
        <v>131</v>
      </c>
      <c r="I1120" s="20">
        <v>14000</v>
      </c>
      <c r="J1120" s="20">
        <v>13636</v>
      </c>
      <c r="K1120" s="397">
        <f t="shared" si="160"/>
        <v>97.399999999999991</v>
      </c>
      <c r="L1120" s="20"/>
      <c r="M1120" s="20"/>
      <c r="N1120" s="20"/>
      <c r="O1120" s="397"/>
      <c r="P1120" s="20"/>
      <c r="Q1120" s="21">
        <f t="shared" si="155"/>
        <v>14000</v>
      </c>
      <c r="R1120" s="21">
        <f t="shared" si="156"/>
        <v>13636</v>
      </c>
      <c r="S1120" s="448">
        <f t="shared" si="157"/>
        <v>97.399999999999991</v>
      </c>
    </row>
    <row r="1121" spans="2:19" x14ac:dyDescent="0.2">
      <c r="B1121" s="6">
        <f t="shared" si="158"/>
        <v>619</v>
      </c>
      <c r="C1121" s="17"/>
      <c r="D1121" s="17"/>
      <c r="E1121" s="17"/>
      <c r="F1121" s="18"/>
      <c r="G1121" s="19">
        <v>633</v>
      </c>
      <c r="H1121" s="17" t="s">
        <v>122</v>
      </c>
      <c r="I1121" s="20">
        <v>55636</v>
      </c>
      <c r="J1121" s="20">
        <v>40531</v>
      </c>
      <c r="K1121" s="397">
        <f t="shared" si="160"/>
        <v>72.850312747142141</v>
      </c>
      <c r="L1121" s="20"/>
      <c r="M1121" s="20"/>
      <c r="N1121" s="20"/>
      <c r="O1121" s="397"/>
      <c r="P1121" s="20"/>
      <c r="Q1121" s="21">
        <f t="shared" si="155"/>
        <v>55636</v>
      </c>
      <c r="R1121" s="21">
        <f t="shared" si="156"/>
        <v>40531</v>
      </c>
      <c r="S1121" s="448">
        <f t="shared" si="157"/>
        <v>72.850312747142141</v>
      </c>
    </row>
    <row r="1122" spans="2:19" x14ac:dyDescent="0.2">
      <c r="B1122" s="6">
        <f t="shared" si="158"/>
        <v>620</v>
      </c>
      <c r="C1122" s="17"/>
      <c r="D1122" s="17"/>
      <c r="E1122" s="17"/>
      <c r="F1122" s="18"/>
      <c r="G1122" s="19">
        <v>635</v>
      </c>
      <c r="H1122" s="17" t="s">
        <v>130</v>
      </c>
      <c r="I1122" s="20">
        <f>3500-1000-1133</f>
        <v>1367</v>
      </c>
      <c r="J1122" s="20">
        <v>178</v>
      </c>
      <c r="K1122" s="397">
        <f t="shared" si="160"/>
        <v>13.021214337966351</v>
      </c>
      <c r="L1122" s="20"/>
      <c r="M1122" s="20"/>
      <c r="N1122" s="20"/>
      <c r="O1122" s="397"/>
      <c r="P1122" s="20"/>
      <c r="Q1122" s="21">
        <f t="shared" si="155"/>
        <v>1367</v>
      </c>
      <c r="R1122" s="21">
        <f t="shared" si="156"/>
        <v>178</v>
      </c>
      <c r="S1122" s="448">
        <f t="shared" si="157"/>
        <v>13.021214337966351</v>
      </c>
    </row>
    <row r="1123" spans="2:19" x14ac:dyDescent="0.2">
      <c r="B1123" s="6">
        <f t="shared" si="158"/>
        <v>621</v>
      </c>
      <c r="C1123" s="17"/>
      <c r="D1123" s="17"/>
      <c r="E1123" s="17"/>
      <c r="F1123" s="18"/>
      <c r="G1123" s="19">
        <v>637</v>
      </c>
      <c r="H1123" s="17" t="s">
        <v>119</v>
      </c>
      <c r="I1123" s="20">
        <f>1370+200</f>
        <v>1570</v>
      </c>
      <c r="J1123" s="20">
        <v>1040</v>
      </c>
      <c r="K1123" s="397">
        <f t="shared" si="160"/>
        <v>66.242038216560502</v>
      </c>
      <c r="L1123" s="20"/>
      <c r="M1123" s="20"/>
      <c r="N1123" s="20"/>
      <c r="O1123" s="397"/>
      <c r="P1123" s="20"/>
      <c r="Q1123" s="21">
        <f t="shared" si="155"/>
        <v>1570</v>
      </c>
      <c r="R1123" s="21">
        <f t="shared" si="156"/>
        <v>1040</v>
      </c>
      <c r="S1123" s="448">
        <f t="shared" si="157"/>
        <v>66.242038216560502</v>
      </c>
    </row>
    <row r="1124" spans="2:19" x14ac:dyDescent="0.2">
      <c r="B1124" s="6">
        <f t="shared" si="158"/>
        <v>622</v>
      </c>
      <c r="C1124" s="12"/>
      <c r="D1124" s="12"/>
      <c r="E1124" s="12"/>
      <c r="F1124" s="13" t="s">
        <v>157</v>
      </c>
      <c r="G1124" s="14">
        <v>640</v>
      </c>
      <c r="H1124" s="12" t="s">
        <v>126</v>
      </c>
      <c r="I1124" s="15">
        <f>450+1802</f>
        <v>2252</v>
      </c>
      <c r="J1124" s="15">
        <v>2172</v>
      </c>
      <c r="K1124" s="397">
        <f t="shared" si="160"/>
        <v>96.447602131438728</v>
      </c>
      <c r="L1124" s="15"/>
      <c r="M1124" s="15"/>
      <c r="N1124" s="15"/>
      <c r="O1124" s="397"/>
      <c r="P1124" s="15"/>
      <c r="Q1124" s="16">
        <f t="shared" si="155"/>
        <v>2252</v>
      </c>
      <c r="R1124" s="16">
        <f t="shared" si="156"/>
        <v>2172</v>
      </c>
      <c r="S1124" s="448">
        <f t="shared" si="157"/>
        <v>96.447602131438728</v>
      </c>
    </row>
    <row r="1125" spans="2:19" x14ac:dyDescent="0.2">
      <c r="B1125" s="6">
        <f t="shared" si="158"/>
        <v>623</v>
      </c>
      <c r="C1125" s="12"/>
      <c r="D1125" s="12"/>
      <c r="E1125" s="12"/>
      <c r="F1125" s="13" t="s">
        <v>157</v>
      </c>
      <c r="G1125" s="14">
        <v>710</v>
      </c>
      <c r="H1125" s="12" t="s">
        <v>172</v>
      </c>
      <c r="I1125" s="15"/>
      <c r="J1125" s="15"/>
      <c r="K1125" s="397"/>
      <c r="L1125" s="15"/>
      <c r="M1125" s="15">
        <f>M1126</f>
        <v>2900</v>
      </c>
      <c r="N1125" s="15">
        <f>N1126</f>
        <v>2854</v>
      </c>
      <c r="O1125" s="397">
        <f>N1125/M1125*100</f>
        <v>98.41379310344827</v>
      </c>
      <c r="P1125" s="15"/>
      <c r="Q1125" s="16">
        <f t="shared" si="155"/>
        <v>2900</v>
      </c>
      <c r="R1125" s="16">
        <f t="shared" si="156"/>
        <v>2854</v>
      </c>
      <c r="S1125" s="448">
        <f t="shared" si="157"/>
        <v>98.41379310344827</v>
      </c>
    </row>
    <row r="1126" spans="2:19" x14ac:dyDescent="0.2">
      <c r="B1126" s="6">
        <f t="shared" si="158"/>
        <v>624</v>
      </c>
      <c r="C1126" s="17"/>
      <c r="D1126" s="17"/>
      <c r="E1126" s="17"/>
      <c r="F1126" s="18"/>
      <c r="G1126" s="19">
        <v>713</v>
      </c>
      <c r="H1126" s="17" t="s">
        <v>216</v>
      </c>
      <c r="I1126" s="20"/>
      <c r="J1126" s="20"/>
      <c r="K1126" s="397"/>
      <c r="L1126" s="20"/>
      <c r="M1126" s="20">
        <f>M1127</f>
        <v>2900</v>
      </c>
      <c r="N1126" s="20">
        <f>N1127</f>
        <v>2854</v>
      </c>
      <c r="O1126" s="397">
        <f>N1126/M1126*100</f>
        <v>98.41379310344827</v>
      </c>
      <c r="P1126" s="20"/>
      <c r="Q1126" s="21">
        <f t="shared" si="155"/>
        <v>2900</v>
      </c>
      <c r="R1126" s="21">
        <f t="shared" si="156"/>
        <v>2854</v>
      </c>
      <c r="S1126" s="448">
        <f t="shared" si="157"/>
        <v>98.41379310344827</v>
      </c>
    </row>
    <row r="1127" spans="2:19" x14ac:dyDescent="0.2">
      <c r="B1127" s="6">
        <f t="shared" si="158"/>
        <v>625</v>
      </c>
      <c r="C1127" s="1"/>
      <c r="D1127" s="1"/>
      <c r="E1127" s="1"/>
      <c r="F1127" s="101"/>
      <c r="G1127" s="23"/>
      <c r="H1127" s="1" t="s">
        <v>588</v>
      </c>
      <c r="I1127" s="24"/>
      <c r="J1127" s="24"/>
      <c r="K1127" s="397"/>
      <c r="L1127" s="24"/>
      <c r="M1127" s="24">
        <v>2900</v>
      </c>
      <c r="N1127" s="24">
        <v>2854</v>
      </c>
      <c r="O1127" s="397">
        <f>N1127/M1127*100</f>
        <v>98.41379310344827</v>
      </c>
      <c r="P1127" s="24"/>
      <c r="Q1127" s="26">
        <f t="shared" si="155"/>
        <v>2900</v>
      </c>
      <c r="R1127" s="26">
        <f t="shared" si="156"/>
        <v>2854</v>
      </c>
      <c r="S1127" s="448">
        <f t="shared" si="157"/>
        <v>98.41379310344827</v>
      </c>
    </row>
    <row r="1128" spans="2:19" x14ac:dyDescent="0.2">
      <c r="B1128" s="6">
        <f t="shared" si="158"/>
        <v>626</v>
      </c>
      <c r="C1128" s="107"/>
      <c r="D1128" s="107"/>
      <c r="E1128" s="107" t="s">
        <v>94</v>
      </c>
      <c r="F1128" s="108"/>
      <c r="G1128" s="108"/>
      <c r="H1128" s="107" t="s">
        <v>95</v>
      </c>
      <c r="I1128" s="109">
        <f>I1129+I1130+I1131+I1136</f>
        <v>115949</v>
      </c>
      <c r="J1128" s="109">
        <f>J1129+J1130+J1131+J1136</f>
        <v>103109</v>
      </c>
      <c r="K1128" s="415">
        <f t="shared" ref="K1128:K1159" si="161">J1128/I1128*100</f>
        <v>88.926165814280409</v>
      </c>
      <c r="L1128" s="15"/>
      <c r="M1128" s="109"/>
      <c r="N1128" s="109"/>
      <c r="O1128" s="415"/>
      <c r="P1128" s="15"/>
      <c r="Q1128" s="110">
        <f t="shared" si="155"/>
        <v>115949</v>
      </c>
      <c r="R1128" s="110">
        <f t="shared" si="156"/>
        <v>103109</v>
      </c>
      <c r="S1128" s="467">
        <f t="shared" si="157"/>
        <v>88.926165814280409</v>
      </c>
    </row>
    <row r="1129" spans="2:19" x14ac:dyDescent="0.2">
      <c r="B1129" s="6">
        <f t="shared" si="158"/>
        <v>627</v>
      </c>
      <c r="C1129" s="12"/>
      <c r="D1129" s="12"/>
      <c r="E1129" s="12"/>
      <c r="F1129" s="13" t="s">
        <v>157</v>
      </c>
      <c r="G1129" s="14">
        <v>610</v>
      </c>
      <c r="H1129" s="12" t="s">
        <v>128</v>
      </c>
      <c r="I1129" s="15">
        <f>32421+2400+2771</f>
        <v>37592</v>
      </c>
      <c r="J1129" s="15">
        <v>37592</v>
      </c>
      <c r="K1129" s="397">
        <f t="shared" si="161"/>
        <v>100</v>
      </c>
      <c r="L1129" s="15"/>
      <c r="M1129" s="15"/>
      <c r="N1129" s="15"/>
      <c r="O1129" s="397"/>
      <c r="P1129" s="15"/>
      <c r="Q1129" s="16">
        <f t="shared" ref="Q1129:Q1192" si="162">I1129+M1129</f>
        <v>37592</v>
      </c>
      <c r="R1129" s="16">
        <f t="shared" ref="R1129:R1192" si="163">J1129+N1129</f>
        <v>37592</v>
      </c>
      <c r="S1129" s="448">
        <f t="shared" si="157"/>
        <v>100</v>
      </c>
    </row>
    <row r="1130" spans="2:19" x14ac:dyDescent="0.2">
      <c r="B1130" s="6">
        <f t="shared" si="158"/>
        <v>628</v>
      </c>
      <c r="C1130" s="12"/>
      <c r="D1130" s="12"/>
      <c r="E1130" s="12"/>
      <c r="F1130" s="13" t="s">
        <v>157</v>
      </c>
      <c r="G1130" s="14">
        <v>620</v>
      </c>
      <c r="H1130" s="12" t="s">
        <v>121</v>
      </c>
      <c r="I1130" s="15">
        <f>12329+600+863+277</f>
        <v>14069</v>
      </c>
      <c r="J1130" s="15">
        <v>14069</v>
      </c>
      <c r="K1130" s="397">
        <f t="shared" si="161"/>
        <v>100</v>
      </c>
      <c r="L1130" s="15"/>
      <c r="M1130" s="15"/>
      <c r="N1130" s="15"/>
      <c r="O1130" s="397"/>
      <c r="P1130" s="15"/>
      <c r="Q1130" s="16">
        <f t="shared" si="162"/>
        <v>14069</v>
      </c>
      <c r="R1130" s="16">
        <f t="shared" si="163"/>
        <v>14069</v>
      </c>
      <c r="S1130" s="448">
        <f t="shared" si="157"/>
        <v>100</v>
      </c>
    </row>
    <row r="1131" spans="2:19" x14ac:dyDescent="0.2">
      <c r="B1131" s="6">
        <f t="shared" si="158"/>
        <v>629</v>
      </c>
      <c r="C1131" s="12"/>
      <c r="D1131" s="12"/>
      <c r="E1131" s="12"/>
      <c r="F1131" s="13" t="s">
        <v>157</v>
      </c>
      <c r="G1131" s="14">
        <v>630</v>
      </c>
      <c r="H1131" s="12" t="s">
        <v>118</v>
      </c>
      <c r="I1131" s="15">
        <f>SUM(I1132:I1135)</f>
        <v>60504</v>
      </c>
      <c r="J1131" s="15">
        <f>SUM(J1132:J1135)</f>
        <v>48089</v>
      </c>
      <c r="K1131" s="397">
        <f t="shared" si="161"/>
        <v>79.4806954912072</v>
      </c>
      <c r="L1131" s="15"/>
      <c r="M1131" s="15"/>
      <c r="N1131" s="15"/>
      <c r="O1131" s="397"/>
      <c r="P1131" s="15"/>
      <c r="Q1131" s="16">
        <f t="shared" si="162"/>
        <v>60504</v>
      </c>
      <c r="R1131" s="16">
        <f t="shared" si="163"/>
        <v>48089</v>
      </c>
      <c r="S1131" s="448">
        <f t="shared" si="157"/>
        <v>79.4806954912072</v>
      </c>
    </row>
    <row r="1132" spans="2:19" x14ac:dyDescent="0.2">
      <c r="B1132" s="6">
        <f t="shared" si="158"/>
        <v>630</v>
      </c>
      <c r="C1132" s="12"/>
      <c r="D1132" s="12"/>
      <c r="E1132" s="12"/>
      <c r="F1132" s="13"/>
      <c r="G1132" s="19">
        <v>632</v>
      </c>
      <c r="H1132" s="17" t="s">
        <v>131</v>
      </c>
      <c r="I1132" s="20">
        <v>11800</v>
      </c>
      <c r="J1132" s="20">
        <v>11798</v>
      </c>
      <c r="K1132" s="397">
        <f t="shared" si="161"/>
        <v>99.983050847457619</v>
      </c>
      <c r="L1132" s="20"/>
      <c r="M1132" s="20"/>
      <c r="N1132" s="20"/>
      <c r="O1132" s="397"/>
      <c r="P1132" s="20"/>
      <c r="Q1132" s="21">
        <f t="shared" si="162"/>
        <v>11800</v>
      </c>
      <c r="R1132" s="21">
        <f t="shared" si="163"/>
        <v>11798</v>
      </c>
      <c r="S1132" s="448">
        <f t="shared" si="157"/>
        <v>99.983050847457619</v>
      </c>
    </row>
    <row r="1133" spans="2:19" x14ac:dyDescent="0.2">
      <c r="B1133" s="6">
        <f t="shared" si="158"/>
        <v>631</v>
      </c>
      <c r="C1133" s="17"/>
      <c r="D1133" s="17"/>
      <c r="E1133" s="17"/>
      <c r="F1133" s="18"/>
      <c r="G1133" s="19">
        <v>633</v>
      </c>
      <c r="H1133" s="17" t="s">
        <v>122</v>
      </c>
      <c r="I1133" s="20">
        <v>44984</v>
      </c>
      <c r="J1133" s="20">
        <v>34080</v>
      </c>
      <c r="K1133" s="397">
        <f t="shared" si="161"/>
        <v>75.760270318335415</v>
      </c>
      <c r="L1133" s="20"/>
      <c r="M1133" s="20"/>
      <c r="N1133" s="20"/>
      <c r="O1133" s="397"/>
      <c r="P1133" s="20"/>
      <c r="Q1133" s="21">
        <f t="shared" si="162"/>
        <v>44984</v>
      </c>
      <c r="R1133" s="21">
        <f t="shared" si="163"/>
        <v>34080</v>
      </c>
      <c r="S1133" s="448">
        <f t="shared" si="157"/>
        <v>75.760270318335415</v>
      </c>
    </row>
    <row r="1134" spans="2:19" x14ac:dyDescent="0.2">
      <c r="B1134" s="6">
        <f t="shared" si="158"/>
        <v>632</v>
      </c>
      <c r="C1134" s="17"/>
      <c r="D1134" s="17"/>
      <c r="E1134" s="17"/>
      <c r="F1134" s="18"/>
      <c r="G1134" s="19">
        <v>635</v>
      </c>
      <c r="H1134" s="17" t="s">
        <v>130</v>
      </c>
      <c r="I1134" s="20">
        <v>2000</v>
      </c>
      <c r="J1134" s="20">
        <v>1144</v>
      </c>
      <c r="K1134" s="397">
        <f t="shared" si="161"/>
        <v>57.199999999999996</v>
      </c>
      <c r="L1134" s="20"/>
      <c r="M1134" s="20"/>
      <c r="N1134" s="20"/>
      <c r="O1134" s="397"/>
      <c r="P1134" s="20"/>
      <c r="Q1134" s="21">
        <f t="shared" si="162"/>
        <v>2000</v>
      </c>
      <c r="R1134" s="21">
        <f t="shared" si="163"/>
        <v>1144</v>
      </c>
      <c r="S1134" s="448">
        <f t="shared" si="157"/>
        <v>57.199999999999996</v>
      </c>
    </row>
    <row r="1135" spans="2:19" x14ac:dyDescent="0.2">
      <c r="B1135" s="6">
        <f t="shared" si="158"/>
        <v>633</v>
      </c>
      <c r="C1135" s="17"/>
      <c r="D1135" s="17"/>
      <c r="E1135" s="17"/>
      <c r="F1135" s="18"/>
      <c r="G1135" s="19">
        <v>637</v>
      </c>
      <c r="H1135" s="17" t="s">
        <v>119</v>
      </c>
      <c r="I1135" s="20">
        <f>1420+300</f>
        <v>1720</v>
      </c>
      <c r="J1135" s="20">
        <v>1067</v>
      </c>
      <c r="K1135" s="397">
        <f t="shared" si="161"/>
        <v>62.034883720930232</v>
      </c>
      <c r="L1135" s="20"/>
      <c r="M1135" s="20"/>
      <c r="N1135" s="20"/>
      <c r="O1135" s="397"/>
      <c r="P1135" s="20"/>
      <c r="Q1135" s="21">
        <f t="shared" si="162"/>
        <v>1720</v>
      </c>
      <c r="R1135" s="21">
        <f t="shared" si="163"/>
        <v>1067</v>
      </c>
      <c r="S1135" s="448">
        <f t="shared" si="157"/>
        <v>62.034883720930232</v>
      </c>
    </row>
    <row r="1136" spans="2:19" x14ac:dyDescent="0.2">
      <c r="B1136" s="6">
        <f t="shared" si="158"/>
        <v>634</v>
      </c>
      <c r="C1136" s="12"/>
      <c r="D1136" s="12"/>
      <c r="E1136" s="12"/>
      <c r="F1136" s="13" t="s">
        <v>157</v>
      </c>
      <c r="G1136" s="14">
        <v>640</v>
      </c>
      <c r="H1136" s="12" t="s">
        <v>126</v>
      </c>
      <c r="I1136" s="15">
        <f>450+1667+1667</f>
        <v>3784</v>
      </c>
      <c r="J1136" s="15">
        <v>3359</v>
      </c>
      <c r="K1136" s="397">
        <f t="shared" si="161"/>
        <v>88.768498942917546</v>
      </c>
      <c r="L1136" s="15"/>
      <c r="M1136" s="15"/>
      <c r="N1136" s="15"/>
      <c r="O1136" s="397"/>
      <c r="P1136" s="15"/>
      <c r="Q1136" s="16">
        <f t="shared" si="162"/>
        <v>3784</v>
      </c>
      <c r="R1136" s="16">
        <f t="shared" si="163"/>
        <v>3359</v>
      </c>
      <c r="S1136" s="448">
        <f t="shared" si="157"/>
        <v>88.768498942917546</v>
      </c>
    </row>
    <row r="1137" spans="2:19" x14ac:dyDescent="0.2">
      <c r="B1137" s="6">
        <f t="shared" si="158"/>
        <v>635</v>
      </c>
      <c r="C1137" s="107"/>
      <c r="D1137" s="107"/>
      <c r="E1137" s="107" t="s">
        <v>82</v>
      </c>
      <c r="F1137" s="108"/>
      <c r="G1137" s="108"/>
      <c r="H1137" s="107" t="s">
        <v>83</v>
      </c>
      <c r="I1137" s="109">
        <f>I1138+I1139+I1140+I1145</f>
        <v>177528</v>
      </c>
      <c r="J1137" s="109">
        <f>J1138+J1139+J1140+J1145</f>
        <v>154673</v>
      </c>
      <c r="K1137" s="415">
        <f t="shared" si="161"/>
        <v>87.125974494164311</v>
      </c>
      <c r="L1137" s="15"/>
      <c r="M1137" s="109"/>
      <c r="N1137" s="109"/>
      <c r="O1137" s="415"/>
      <c r="P1137" s="15"/>
      <c r="Q1137" s="110">
        <f t="shared" si="162"/>
        <v>177528</v>
      </c>
      <c r="R1137" s="110">
        <f t="shared" si="163"/>
        <v>154673</v>
      </c>
      <c r="S1137" s="467">
        <f t="shared" si="157"/>
        <v>87.125974494164311</v>
      </c>
    </row>
    <row r="1138" spans="2:19" x14ac:dyDescent="0.2">
      <c r="B1138" s="6">
        <f t="shared" si="158"/>
        <v>636</v>
      </c>
      <c r="C1138" s="12"/>
      <c r="D1138" s="12"/>
      <c r="E1138" s="12"/>
      <c r="F1138" s="13" t="s">
        <v>157</v>
      </c>
      <c r="G1138" s="14">
        <v>610</v>
      </c>
      <c r="H1138" s="12" t="s">
        <v>128</v>
      </c>
      <c r="I1138" s="15">
        <f>50169+3600+2708</f>
        <v>56477</v>
      </c>
      <c r="J1138" s="15">
        <v>56477</v>
      </c>
      <c r="K1138" s="397">
        <f t="shared" si="161"/>
        <v>100</v>
      </c>
      <c r="L1138" s="15"/>
      <c r="M1138" s="15"/>
      <c r="N1138" s="15"/>
      <c r="O1138" s="397"/>
      <c r="P1138" s="15"/>
      <c r="Q1138" s="16">
        <f t="shared" si="162"/>
        <v>56477</v>
      </c>
      <c r="R1138" s="16">
        <f t="shared" si="163"/>
        <v>56477</v>
      </c>
      <c r="S1138" s="448">
        <f t="shared" si="157"/>
        <v>100</v>
      </c>
    </row>
    <row r="1139" spans="2:19" x14ac:dyDescent="0.2">
      <c r="B1139" s="6">
        <f t="shared" si="158"/>
        <v>637</v>
      </c>
      <c r="C1139" s="12"/>
      <c r="D1139" s="12"/>
      <c r="E1139" s="12"/>
      <c r="F1139" s="13" t="s">
        <v>157</v>
      </c>
      <c r="G1139" s="14">
        <v>620</v>
      </c>
      <c r="H1139" s="12" t="s">
        <v>121</v>
      </c>
      <c r="I1139" s="15">
        <f>19039+1294+399</f>
        <v>20732</v>
      </c>
      <c r="J1139" s="15">
        <v>20732</v>
      </c>
      <c r="K1139" s="397">
        <f t="shared" si="161"/>
        <v>100</v>
      </c>
      <c r="L1139" s="15"/>
      <c r="M1139" s="15"/>
      <c r="N1139" s="15"/>
      <c r="O1139" s="397"/>
      <c r="P1139" s="15"/>
      <c r="Q1139" s="16">
        <f t="shared" si="162"/>
        <v>20732</v>
      </c>
      <c r="R1139" s="16">
        <f t="shared" si="163"/>
        <v>20732</v>
      </c>
      <c r="S1139" s="448">
        <f t="shared" si="157"/>
        <v>100</v>
      </c>
    </row>
    <row r="1140" spans="2:19" x14ac:dyDescent="0.2">
      <c r="B1140" s="6">
        <f t="shared" si="158"/>
        <v>638</v>
      </c>
      <c r="C1140" s="12"/>
      <c r="D1140" s="12"/>
      <c r="E1140" s="12"/>
      <c r="F1140" s="13" t="s">
        <v>157</v>
      </c>
      <c r="G1140" s="14">
        <v>630</v>
      </c>
      <c r="H1140" s="12" t="s">
        <v>118</v>
      </c>
      <c r="I1140" s="15">
        <f>SUM(I1141:I1144)</f>
        <v>99869</v>
      </c>
      <c r="J1140" s="15">
        <f>SUM(J1141:J1144)</f>
        <v>77073</v>
      </c>
      <c r="K1140" s="397">
        <f t="shared" si="161"/>
        <v>77.174098068469704</v>
      </c>
      <c r="L1140" s="15"/>
      <c r="M1140" s="15"/>
      <c r="N1140" s="15"/>
      <c r="O1140" s="397"/>
      <c r="P1140" s="15"/>
      <c r="Q1140" s="16">
        <f t="shared" si="162"/>
        <v>99869</v>
      </c>
      <c r="R1140" s="16">
        <f t="shared" si="163"/>
        <v>77073</v>
      </c>
      <c r="S1140" s="448">
        <f t="shared" si="157"/>
        <v>77.174098068469704</v>
      </c>
    </row>
    <row r="1141" spans="2:19" x14ac:dyDescent="0.2">
      <c r="B1141" s="6">
        <f t="shared" si="158"/>
        <v>639</v>
      </c>
      <c r="C1141" s="12"/>
      <c r="D1141" s="12"/>
      <c r="E1141" s="12"/>
      <c r="F1141" s="13"/>
      <c r="G1141" s="19">
        <v>632</v>
      </c>
      <c r="H1141" s="17" t="s">
        <v>131</v>
      </c>
      <c r="I1141" s="20">
        <v>15000</v>
      </c>
      <c r="J1141" s="20">
        <v>14999</v>
      </c>
      <c r="K1141" s="397">
        <f t="shared" si="161"/>
        <v>99.993333333333339</v>
      </c>
      <c r="L1141" s="20"/>
      <c r="M1141" s="20"/>
      <c r="N1141" s="20"/>
      <c r="O1141" s="397"/>
      <c r="P1141" s="20"/>
      <c r="Q1141" s="21">
        <f t="shared" si="162"/>
        <v>15000</v>
      </c>
      <c r="R1141" s="21">
        <f t="shared" si="163"/>
        <v>14999</v>
      </c>
      <c r="S1141" s="448">
        <f t="shared" si="157"/>
        <v>99.993333333333339</v>
      </c>
    </row>
    <row r="1142" spans="2:19" x14ac:dyDescent="0.2">
      <c r="B1142" s="6">
        <f t="shared" si="158"/>
        <v>640</v>
      </c>
      <c r="C1142" s="17"/>
      <c r="D1142" s="17"/>
      <c r="E1142" s="17"/>
      <c r="F1142" s="18"/>
      <c r="G1142" s="19">
        <v>633</v>
      </c>
      <c r="H1142" s="17" t="s">
        <v>122</v>
      </c>
      <c r="I1142" s="20">
        <v>76409</v>
      </c>
      <c r="J1142" s="20">
        <v>54309</v>
      </c>
      <c r="K1142" s="397">
        <f t="shared" si="161"/>
        <v>71.076705623683083</v>
      </c>
      <c r="L1142" s="20"/>
      <c r="M1142" s="20"/>
      <c r="N1142" s="20"/>
      <c r="O1142" s="397"/>
      <c r="P1142" s="20"/>
      <c r="Q1142" s="21">
        <f t="shared" si="162"/>
        <v>76409</v>
      </c>
      <c r="R1142" s="21">
        <f t="shared" si="163"/>
        <v>54309</v>
      </c>
      <c r="S1142" s="448">
        <f t="shared" si="157"/>
        <v>71.076705623683083</v>
      </c>
    </row>
    <row r="1143" spans="2:19" x14ac:dyDescent="0.2">
      <c r="B1143" s="6">
        <f t="shared" si="158"/>
        <v>641</v>
      </c>
      <c r="C1143" s="17"/>
      <c r="D1143" s="17"/>
      <c r="E1143" s="17"/>
      <c r="F1143" s="18"/>
      <c r="G1143" s="19">
        <v>635</v>
      </c>
      <c r="H1143" s="17" t="s">
        <v>130</v>
      </c>
      <c r="I1143" s="20">
        <v>6200</v>
      </c>
      <c r="J1143" s="20">
        <v>5889</v>
      </c>
      <c r="K1143" s="397">
        <f t="shared" si="161"/>
        <v>94.983870967741936</v>
      </c>
      <c r="L1143" s="20"/>
      <c r="M1143" s="20"/>
      <c r="N1143" s="20"/>
      <c r="O1143" s="397"/>
      <c r="P1143" s="20"/>
      <c r="Q1143" s="21">
        <f t="shared" si="162"/>
        <v>6200</v>
      </c>
      <c r="R1143" s="21">
        <f t="shared" si="163"/>
        <v>5889</v>
      </c>
      <c r="S1143" s="448">
        <f t="shared" ref="S1143:S1206" si="164">R1143/Q1143*100</f>
        <v>94.983870967741936</v>
      </c>
    </row>
    <row r="1144" spans="2:19" x14ac:dyDescent="0.2">
      <c r="B1144" s="6">
        <f t="shared" ref="B1144:B1207" si="165">B1143+1</f>
        <v>642</v>
      </c>
      <c r="C1144" s="17"/>
      <c r="D1144" s="17"/>
      <c r="E1144" s="17"/>
      <c r="F1144" s="18"/>
      <c r="G1144" s="19">
        <v>637</v>
      </c>
      <c r="H1144" s="17" t="s">
        <v>119</v>
      </c>
      <c r="I1144" s="20">
        <f>1860+400</f>
        <v>2260</v>
      </c>
      <c r="J1144" s="20">
        <v>1876</v>
      </c>
      <c r="K1144" s="397">
        <f t="shared" si="161"/>
        <v>83.008849557522126</v>
      </c>
      <c r="L1144" s="20"/>
      <c r="M1144" s="20"/>
      <c r="N1144" s="20"/>
      <c r="O1144" s="397"/>
      <c r="P1144" s="20"/>
      <c r="Q1144" s="21">
        <f t="shared" si="162"/>
        <v>2260</v>
      </c>
      <c r="R1144" s="21">
        <f t="shared" si="163"/>
        <v>1876</v>
      </c>
      <c r="S1144" s="448">
        <f t="shared" si="164"/>
        <v>83.008849557522126</v>
      </c>
    </row>
    <row r="1145" spans="2:19" x14ac:dyDescent="0.2">
      <c r="B1145" s="6">
        <f t="shared" si="165"/>
        <v>643</v>
      </c>
      <c r="C1145" s="12"/>
      <c r="D1145" s="12"/>
      <c r="E1145" s="12"/>
      <c r="F1145" s="13" t="s">
        <v>157</v>
      </c>
      <c r="G1145" s="14">
        <v>640</v>
      </c>
      <c r="H1145" s="12" t="s">
        <v>126</v>
      </c>
      <c r="I1145" s="15">
        <v>450</v>
      </c>
      <c r="J1145" s="15">
        <v>391</v>
      </c>
      <c r="K1145" s="397">
        <f t="shared" si="161"/>
        <v>86.8888888888889</v>
      </c>
      <c r="L1145" s="15"/>
      <c r="M1145" s="15"/>
      <c r="N1145" s="15"/>
      <c r="O1145" s="397"/>
      <c r="P1145" s="15"/>
      <c r="Q1145" s="16">
        <f t="shared" si="162"/>
        <v>450</v>
      </c>
      <c r="R1145" s="16">
        <f t="shared" si="163"/>
        <v>391</v>
      </c>
      <c r="S1145" s="448">
        <f t="shared" si="164"/>
        <v>86.8888888888889</v>
      </c>
    </row>
    <row r="1146" spans="2:19" x14ac:dyDescent="0.2">
      <c r="B1146" s="6">
        <f t="shared" si="165"/>
        <v>644</v>
      </c>
      <c r="C1146" s="107"/>
      <c r="D1146" s="107"/>
      <c r="E1146" s="107" t="s">
        <v>80</v>
      </c>
      <c r="F1146" s="108"/>
      <c r="G1146" s="108"/>
      <c r="H1146" s="107" t="s">
        <v>458</v>
      </c>
      <c r="I1146" s="109">
        <f>I1147+I1148+I1149+I1154</f>
        <v>186601</v>
      </c>
      <c r="J1146" s="109">
        <f>J1147+J1148+J1149+J1154</f>
        <v>163080</v>
      </c>
      <c r="K1146" s="415">
        <f t="shared" si="161"/>
        <v>87.395030037352427</v>
      </c>
      <c r="L1146" s="15"/>
      <c r="M1146" s="109"/>
      <c r="N1146" s="109"/>
      <c r="O1146" s="415"/>
      <c r="P1146" s="15"/>
      <c r="Q1146" s="110">
        <f t="shared" si="162"/>
        <v>186601</v>
      </c>
      <c r="R1146" s="110">
        <f t="shared" si="163"/>
        <v>163080</v>
      </c>
      <c r="S1146" s="467">
        <f t="shared" si="164"/>
        <v>87.395030037352427</v>
      </c>
    </row>
    <row r="1147" spans="2:19" x14ac:dyDescent="0.2">
      <c r="B1147" s="6">
        <f t="shared" si="165"/>
        <v>645</v>
      </c>
      <c r="C1147" s="12"/>
      <c r="D1147" s="12"/>
      <c r="E1147" s="12"/>
      <c r="F1147" s="13" t="s">
        <v>157</v>
      </c>
      <c r="G1147" s="14">
        <v>610</v>
      </c>
      <c r="H1147" s="12" t="s">
        <v>128</v>
      </c>
      <c r="I1147" s="15">
        <f>54520+2400-1964</f>
        <v>54956</v>
      </c>
      <c r="J1147" s="15">
        <v>54956</v>
      </c>
      <c r="K1147" s="397">
        <f t="shared" si="161"/>
        <v>100</v>
      </c>
      <c r="L1147" s="15"/>
      <c r="M1147" s="15"/>
      <c r="N1147" s="15"/>
      <c r="O1147" s="397"/>
      <c r="P1147" s="15"/>
      <c r="Q1147" s="16">
        <f t="shared" si="162"/>
        <v>54956</v>
      </c>
      <c r="R1147" s="16">
        <f t="shared" si="163"/>
        <v>54956</v>
      </c>
      <c r="S1147" s="448">
        <f t="shared" si="164"/>
        <v>100</v>
      </c>
    </row>
    <row r="1148" spans="2:19" x14ac:dyDescent="0.2">
      <c r="B1148" s="6">
        <f t="shared" si="165"/>
        <v>646</v>
      </c>
      <c r="C1148" s="12"/>
      <c r="D1148" s="12"/>
      <c r="E1148" s="12"/>
      <c r="F1148" s="13" t="s">
        <v>157</v>
      </c>
      <c r="G1148" s="14">
        <v>620</v>
      </c>
      <c r="H1148" s="12" t="s">
        <v>121</v>
      </c>
      <c r="I1148" s="15">
        <f>20726+863-1164</f>
        <v>20425</v>
      </c>
      <c r="J1148" s="15">
        <v>20423</v>
      </c>
      <c r="K1148" s="397">
        <f t="shared" si="161"/>
        <v>99.990208078335371</v>
      </c>
      <c r="L1148" s="15"/>
      <c r="M1148" s="15"/>
      <c r="N1148" s="15"/>
      <c r="O1148" s="397"/>
      <c r="P1148" s="15"/>
      <c r="Q1148" s="16">
        <f t="shared" si="162"/>
        <v>20425</v>
      </c>
      <c r="R1148" s="16">
        <f t="shared" si="163"/>
        <v>20423</v>
      </c>
      <c r="S1148" s="448">
        <f t="shared" si="164"/>
        <v>99.990208078335371</v>
      </c>
    </row>
    <row r="1149" spans="2:19" x14ac:dyDescent="0.2">
      <c r="B1149" s="6">
        <f t="shared" si="165"/>
        <v>647</v>
      </c>
      <c r="C1149" s="12"/>
      <c r="D1149" s="12"/>
      <c r="E1149" s="12"/>
      <c r="F1149" s="13" t="s">
        <v>157</v>
      </c>
      <c r="G1149" s="14">
        <v>630</v>
      </c>
      <c r="H1149" s="12" t="s">
        <v>118</v>
      </c>
      <c r="I1149" s="15">
        <f>SUM(I1150:I1153)</f>
        <v>109068</v>
      </c>
      <c r="J1149" s="15">
        <f>SUM(J1150:J1153)</f>
        <v>85546</v>
      </c>
      <c r="K1149" s="397">
        <f t="shared" si="161"/>
        <v>78.433637730590092</v>
      </c>
      <c r="L1149" s="15"/>
      <c r="M1149" s="15"/>
      <c r="N1149" s="15"/>
      <c r="O1149" s="397"/>
      <c r="P1149" s="15"/>
      <c r="Q1149" s="16">
        <f t="shared" si="162"/>
        <v>109068</v>
      </c>
      <c r="R1149" s="16">
        <f t="shared" si="163"/>
        <v>85546</v>
      </c>
      <c r="S1149" s="448">
        <f t="shared" si="164"/>
        <v>78.433637730590092</v>
      </c>
    </row>
    <row r="1150" spans="2:19" x14ac:dyDescent="0.2">
      <c r="B1150" s="6">
        <f t="shared" si="165"/>
        <v>648</v>
      </c>
      <c r="C1150" s="12"/>
      <c r="D1150" s="12"/>
      <c r="E1150" s="12"/>
      <c r="F1150" s="13"/>
      <c r="G1150" s="19">
        <v>632</v>
      </c>
      <c r="H1150" s="17" t="s">
        <v>131</v>
      </c>
      <c r="I1150" s="20">
        <v>20000</v>
      </c>
      <c r="J1150" s="20">
        <v>19977</v>
      </c>
      <c r="K1150" s="397">
        <f t="shared" si="161"/>
        <v>99.885000000000005</v>
      </c>
      <c r="L1150" s="20"/>
      <c r="M1150" s="20"/>
      <c r="N1150" s="20"/>
      <c r="O1150" s="397"/>
      <c r="P1150" s="20"/>
      <c r="Q1150" s="21">
        <f t="shared" si="162"/>
        <v>20000</v>
      </c>
      <c r="R1150" s="21">
        <f t="shared" si="163"/>
        <v>19977</v>
      </c>
      <c r="S1150" s="448">
        <f t="shared" si="164"/>
        <v>99.885000000000005</v>
      </c>
    </row>
    <row r="1151" spans="2:19" x14ac:dyDescent="0.2">
      <c r="B1151" s="6">
        <f t="shared" si="165"/>
        <v>649</v>
      </c>
      <c r="C1151" s="17"/>
      <c r="D1151" s="17"/>
      <c r="E1151" s="17"/>
      <c r="F1151" s="18"/>
      <c r="G1151" s="19">
        <v>633</v>
      </c>
      <c r="H1151" s="17" t="s">
        <v>122</v>
      </c>
      <c r="I1151" s="20">
        <f>81808+2000</f>
        <v>83808</v>
      </c>
      <c r="J1151" s="20">
        <v>61407</v>
      </c>
      <c r="K1151" s="397">
        <f t="shared" si="161"/>
        <v>73.271048109965633</v>
      </c>
      <c r="L1151" s="20"/>
      <c r="M1151" s="20"/>
      <c r="N1151" s="20"/>
      <c r="O1151" s="397"/>
      <c r="P1151" s="20"/>
      <c r="Q1151" s="21">
        <f t="shared" si="162"/>
        <v>83808</v>
      </c>
      <c r="R1151" s="21">
        <f t="shared" si="163"/>
        <v>61407</v>
      </c>
      <c r="S1151" s="448">
        <f t="shared" si="164"/>
        <v>73.271048109965633</v>
      </c>
    </row>
    <row r="1152" spans="2:19" x14ac:dyDescent="0.2">
      <c r="B1152" s="6">
        <f t="shared" si="165"/>
        <v>650</v>
      </c>
      <c r="C1152" s="17"/>
      <c r="D1152" s="17"/>
      <c r="E1152" s="17"/>
      <c r="F1152" s="18"/>
      <c r="G1152" s="19">
        <v>635</v>
      </c>
      <c r="H1152" s="17" t="s">
        <v>130</v>
      </c>
      <c r="I1152" s="20">
        <f>4500-2000</f>
        <v>2500</v>
      </c>
      <c r="J1152" s="20">
        <v>1796</v>
      </c>
      <c r="K1152" s="397">
        <f t="shared" si="161"/>
        <v>71.84</v>
      </c>
      <c r="L1152" s="20"/>
      <c r="M1152" s="20"/>
      <c r="N1152" s="20"/>
      <c r="O1152" s="397"/>
      <c r="P1152" s="20"/>
      <c r="Q1152" s="21">
        <f t="shared" si="162"/>
        <v>2500</v>
      </c>
      <c r="R1152" s="21">
        <f t="shared" si="163"/>
        <v>1796</v>
      </c>
      <c r="S1152" s="448">
        <f t="shared" si="164"/>
        <v>71.84</v>
      </c>
    </row>
    <row r="1153" spans="2:19" x14ac:dyDescent="0.2">
      <c r="B1153" s="6">
        <f t="shared" si="165"/>
        <v>651</v>
      </c>
      <c r="C1153" s="17"/>
      <c r="D1153" s="17"/>
      <c r="E1153" s="17"/>
      <c r="F1153" s="18"/>
      <c r="G1153" s="19">
        <v>637</v>
      </c>
      <c r="H1153" s="17" t="s">
        <v>119</v>
      </c>
      <c r="I1153" s="20">
        <f>2360+400</f>
        <v>2760</v>
      </c>
      <c r="J1153" s="20">
        <v>2366</v>
      </c>
      <c r="K1153" s="397">
        <f t="shared" si="161"/>
        <v>85.724637681159422</v>
      </c>
      <c r="L1153" s="20"/>
      <c r="M1153" s="20"/>
      <c r="N1153" s="20"/>
      <c r="O1153" s="397"/>
      <c r="P1153" s="20"/>
      <c r="Q1153" s="21">
        <f t="shared" si="162"/>
        <v>2760</v>
      </c>
      <c r="R1153" s="21">
        <f t="shared" si="163"/>
        <v>2366</v>
      </c>
      <c r="S1153" s="448">
        <f t="shared" si="164"/>
        <v>85.724637681159422</v>
      </c>
    </row>
    <row r="1154" spans="2:19" x14ac:dyDescent="0.2">
      <c r="B1154" s="6">
        <f t="shared" si="165"/>
        <v>652</v>
      </c>
      <c r="C1154" s="12"/>
      <c r="D1154" s="12"/>
      <c r="E1154" s="12"/>
      <c r="F1154" s="13" t="s">
        <v>157</v>
      </c>
      <c r="G1154" s="14">
        <v>640</v>
      </c>
      <c r="H1154" s="12" t="s">
        <v>126</v>
      </c>
      <c r="I1154" s="15">
        <f>450+1702</f>
        <v>2152</v>
      </c>
      <c r="J1154" s="15">
        <v>2155</v>
      </c>
      <c r="K1154" s="397">
        <f t="shared" si="161"/>
        <v>100.13940520446096</v>
      </c>
      <c r="L1154" s="15"/>
      <c r="M1154" s="15"/>
      <c r="N1154" s="15"/>
      <c r="O1154" s="397"/>
      <c r="P1154" s="15"/>
      <c r="Q1154" s="16">
        <f t="shared" si="162"/>
        <v>2152</v>
      </c>
      <c r="R1154" s="16">
        <f t="shared" si="163"/>
        <v>2155</v>
      </c>
      <c r="S1154" s="448">
        <f t="shared" si="164"/>
        <v>100.13940520446096</v>
      </c>
    </row>
    <row r="1155" spans="2:19" x14ac:dyDescent="0.2">
      <c r="B1155" s="6">
        <f t="shared" si="165"/>
        <v>653</v>
      </c>
      <c r="C1155" s="107"/>
      <c r="D1155" s="107"/>
      <c r="E1155" s="107" t="s">
        <v>98</v>
      </c>
      <c r="F1155" s="108"/>
      <c r="G1155" s="108"/>
      <c r="H1155" s="107" t="s">
        <v>99</v>
      </c>
      <c r="I1155" s="109">
        <f>I1156+I1157+I1158+I1163</f>
        <v>103122</v>
      </c>
      <c r="J1155" s="109">
        <f>J1156+J1157+J1158+J1163</f>
        <v>82357</v>
      </c>
      <c r="K1155" s="415">
        <f t="shared" si="161"/>
        <v>79.863656639708296</v>
      </c>
      <c r="L1155" s="15"/>
      <c r="M1155" s="109"/>
      <c r="N1155" s="109"/>
      <c r="O1155" s="415"/>
      <c r="P1155" s="15"/>
      <c r="Q1155" s="110">
        <f t="shared" si="162"/>
        <v>103122</v>
      </c>
      <c r="R1155" s="110">
        <f t="shared" si="163"/>
        <v>82357</v>
      </c>
      <c r="S1155" s="467">
        <f t="shared" si="164"/>
        <v>79.863656639708296</v>
      </c>
    </row>
    <row r="1156" spans="2:19" x14ac:dyDescent="0.2">
      <c r="B1156" s="6">
        <f t="shared" si="165"/>
        <v>654</v>
      </c>
      <c r="C1156" s="12"/>
      <c r="D1156" s="12"/>
      <c r="E1156" s="12"/>
      <c r="F1156" s="13" t="s">
        <v>157</v>
      </c>
      <c r="G1156" s="14">
        <v>610</v>
      </c>
      <c r="H1156" s="12" t="s">
        <v>128</v>
      </c>
      <c r="I1156" s="15">
        <f>32421+600+1600-2040</f>
        <v>32581</v>
      </c>
      <c r="J1156" s="15">
        <v>32581</v>
      </c>
      <c r="K1156" s="397">
        <f t="shared" si="161"/>
        <v>100</v>
      </c>
      <c r="L1156" s="15"/>
      <c r="M1156" s="15"/>
      <c r="N1156" s="15"/>
      <c r="O1156" s="397"/>
      <c r="P1156" s="15"/>
      <c r="Q1156" s="16">
        <f t="shared" si="162"/>
        <v>32581</v>
      </c>
      <c r="R1156" s="16">
        <f t="shared" si="163"/>
        <v>32581</v>
      </c>
      <c r="S1156" s="448">
        <f t="shared" si="164"/>
        <v>100</v>
      </c>
    </row>
    <row r="1157" spans="2:19" x14ac:dyDescent="0.2">
      <c r="B1157" s="6">
        <f t="shared" si="165"/>
        <v>655</v>
      </c>
      <c r="C1157" s="12"/>
      <c r="D1157" s="12"/>
      <c r="E1157" s="12"/>
      <c r="F1157" s="13" t="s">
        <v>157</v>
      </c>
      <c r="G1157" s="14">
        <v>620</v>
      </c>
      <c r="H1157" s="12" t="s">
        <v>121</v>
      </c>
      <c r="I1157" s="15">
        <f>12327+575-835</f>
        <v>12067</v>
      </c>
      <c r="J1157" s="15">
        <v>12067</v>
      </c>
      <c r="K1157" s="397">
        <f t="shared" si="161"/>
        <v>100</v>
      </c>
      <c r="L1157" s="15"/>
      <c r="M1157" s="15"/>
      <c r="N1157" s="15"/>
      <c r="O1157" s="397"/>
      <c r="P1157" s="15"/>
      <c r="Q1157" s="16">
        <f t="shared" si="162"/>
        <v>12067</v>
      </c>
      <c r="R1157" s="16">
        <f t="shared" si="163"/>
        <v>12067</v>
      </c>
      <c r="S1157" s="448">
        <f t="shared" si="164"/>
        <v>100</v>
      </c>
    </row>
    <row r="1158" spans="2:19" x14ac:dyDescent="0.2">
      <c r="B1158" s="6">
        <f t="shared" si="165"/>
        <v>656</v>
      </c>
      <c r="C1158" s="12"/>
      <c r="D1158" s="12"/>
      <c r="E1158" s="12"/>
      <c r="F1158" s="13" t="s">
        <v>157</v>
      </c>
      <c r="G1158" s="14">
        <v>630</v>
      </c>
      <c r="H1158" s="12" t="s">
        <v>118</v>
      </c>
      <c r="I1158" s="15">
        <f>SUM(I1159:I1162)</f>
        <v>56357</v>
      </c>
      <c r="J1158" s="15">
        <f>SUM(J1159:J1162)</f>
        <v>35852</v>
      </c>
      <c r="K1158" s="397">
        <f t="shared" si="161"/>
        <v>63.615877353301272</v>
      </c>
      <c r="L1158" s="15"/>
      <c r="M1158" s="15"/>
      <c r="N1158" s="15"/>
      <c r="O1158" s="397"/>
      <c r="P1158" s="15"/>
      <c r="Q1158" s="16">
        <f t="shared" si="162"/>
        <v>56357</v>
      </c>
      <c r="R1158" s="16">
        <f t="shared" si="163"/>
        <v>35852</v>
      </c>
      <c r="S1158" s="448">
        <f t="shared" si="164"/>
        <v>63.615877353301272</v>
      </c>
    </row>
    <row r="1159" spans="2:19" x14ac:dyDescent="0.2">
      <c r="B1159" s="6">
        <f t="shared" si="165"/>
        <v>657</v>
      </c>
      <c r="C1159" s="12"/>
      <c r="D1159" s="12"/>
      <c r="E1159" s="12"/>
      <c r="F1159" s="13"/>
      <c r="G1159" s="19">
        <v>632</v>
      </c>
      <c r="H1159" s="17" t="s">
        <v>131</v>
      </c>
      <c r="I1159" s="20">
        <v>5300</v>
      </c>
      <c r="J1159" s="20">
        <v>5115</v>
      </c>
      <c r="K1159" s="397">
        <f t="shared" si="161"/>
        <v>96.50943396226414</v>
      </c>
      <c r="L1159" s="20"/>
      <c r="M1159" s="20"/>
      <c r="N1159" s="20"/>
      <c r="O1159" s="397"/>
      <c r="P1159" s="20"/>
      <c r="Q1159" s="21">
        <f t="shared" si="162"/>
        <v>5300</v>
      </c>
      <c r="R1159" s="21">
        <f t="shared" si="163"/>
        <v>5115</v>
      </c>
      <c r="S1159" s="448">
        <f t="shared" si="164"/>
        <v>96.50943396226414</v>
      </c>
    </row>
    <row r="1160" spans="2:19" x14ac:dyDescent="0.2">
      <c r="B1160" s="6">
        <f t="shared" si="165"/>
        <v>658</v>
      </c>
      <c r="C1160" s="17"/>
      <c r="D1160" s="17"/>
      <c r="E1160" s="17"/>
      <c r="F1160" s="18"/>
      <c r="G1160" s="19">
        <v>633</v>
      </c>
      <c r="H1160" s="17" t="s">
        <v>122</v>
      </c>
      <c r="I1160" s="20">
        <v>47087</v>
      </c>
      <c r="J1160" s="20">
        <v>28821</v>
      </c>
      <c r="K1160" s="397">
        <f t="shared" ref="K1160:K1181" si="166">J1160/I1160*100</f>
        <v>61.20797672393654</v>
      </c>
      <c r="L1160" s="20"/>
      <c r="M1160" s="20"/>
      <c r="N1160" s="20"/>
      <c r="O1160" s="397"/>
      <c r="P1160" s="20"/>
      <c r="Q1160" s="21">
        <f t="shared" si="162"/>
        <v>47087</v>
      </c>
      <c r="R1160" s="21">
        <f t="shared" si="163"/>
        <v>28821</v>
      </c>
      <c r="S1160" s="448">
        <f t="shared" si="164"/>
        <v>61.20797672393654</v>
      </c>
    </row>
    <row r="1161" spans="2:19" x14ac:dyDescent="0.2">
      <c r="B1161" s="6">
        <f t="shared" si="165"/>
        <v>659</v>
      </c>
      <c r="C1161" s="17"/>
      <c r="D1161" s="17"/>
      <c r="E1161" s="17"/>
      <c r="F1161" s="18"/>
      <c r="G1161" s="19">
        <v>635</v>
      </c>
      <c r="H1161" s="17" t="s">
        <v>130</v>
      </c>
      <c r="I1161" s="20">
        <v>2000</v>
      </c>
      <c r="J1161" s="20">
        <v>559</v>
      </c>
      <c r="K1161" s="397">
        <f t="shared" si="166"/>
        <v>27.950000000000003</v>
      </c>
      <c r="L1161" s="20"/>
      <c r="M1161" s="20"/>
      <c r="N1161" s="20"/>
      <c r="O1161" s="397"/>
      <c r="P1161" s="20"/>
      <c r="Q1161" s="21">
        <f t="shared" si="162"/>
        <v>2000</v>
      </c>
      <c r="R1161" s="21">
        <f t="shared" si="163"/>
        <v>559</v>
      </c>
      <c r="S1161" s="448">
        <f t="shared" si="164"/>
        <v>27.950000000000003</v>
      </c>
    </row>
    <row r="1162" spans="2:19" x14ac:dyDescent="0.2">
      <c r="B1162" s="6">
        <f t="shared" si="165"/>
        <v>660</v>
      </c>
      <c r="C1162" s="17"/>
      <c r="D1162" s="17"/>
      <c r="E1162" s="17"/>
      <c r="F1162" s="18"/>
      <c r="G1162" s="19">
        <v>637</v>
      </c>
      <c r="H1162" s="17" t="s">
        <v>119</v>
      </c>
      <c r="I1162" s="20">
        <f>1670+300</f>
        <v>1970</v>
      </c>
      <c r="J1162" s="20">
        <v>1357</v>
      </c>
      <c r="K1162" s="397">
        <f t="shared" si="166"/>
        <v>68.883248730964468</v>
      </c>
      <c r="L1162" s="20"/>
      <c r="M1162" s="20"/>
      <c r="N1162" s="20"/>
      <c r="O1162" s="397"/>
      <c r="P1162" s="20"/>
      <c r="Q1162" s="21">
        <f t="shared" si="162"/>
        <v>1970</v>
      </c>
      <c r="R1162" s="21">
        <f t="shared" si="163"/>
        <v>1357</v>
      </c>
      <c r="S1162" s="448">
        <f t="shared" si="164"/>
        <v>68.883248730964468</v>
      </c>
    </row>
    <row r="1163" spans="2:19" x14ac:dyDescent="0.2">
      <c r="B1163" s="6">
        <f t="shared" si="165"/>
        <v>661</v>
      </c>
      <c r="C1163" s="12"/>
      <c r="D1163" s="12"/>
      <c r="E1163" s="12"/>
      <c r="F1163" s="13" t="s">
        <v>157</v>
      </c>
      <c r="G1163" s="14">
        <v>640</v>
      </c>
      <c r="H1163" s="12" t="s">
        <v>126</v>
      </c>
      <c r="I1163" s="15">
        <f>450+1667</f>
        <v>2117</v>
      </c>
      <c r="J1163" s="15">
        <v>1857</v>
      </c>
      <c r="K1163" s="397">
        <f t="shared" si="166"/>
        <v>87.718469532357119</v>
      </c>
      <c r="L1163" s="15"/>
      <c r="M1163" s="15"/>
      <c r="N1163" s="15"/>
      <c r="O1163" s="397"/>
      <c r="P1163" s="15"/>
      <c r="Q1163" s="16">
        <f t="shared" si="162"/>
        <v>2117</v>
      </c>
      <c r="R1163" s="16">
        <f t="shared" si="163"/>
        <v>1857</v>
      </c>
      <c r="S1163" s="448">
        <f t="shared" si="164"/>
        <v>87.718469532357119</v>
      </c>
    </row>
    <row r="1164" spans="2:19" x14ac:dyDescent="0.2">
      <c r="B1164" s="6">
        <f t="shared" si="165"/>
        <v>662</v>
      </c>
      <c r="C1164" s="107"/>
      <c r="D1164" s="107"/>
      <c r="E1164" s="107" t="s">
        <v>97</v>
      </c>
      <c r="F1164" s="108"/>
      <c r="G1164" s="108"/>
      <c r="H1164" s="107" t="s">
        <v>60</v>
      </c>
      <c r="I1164" s="109">
        <f>I1165+I1166+I1167+I1172</f>
        <v>150726</v>
      </c>
      <c r="J1164" s="109">
        <f>J1165+J1166+J1167+J1172</f>
        <v>127293</v>
      </c>
      <c r="K1164" s="415">
        <f t="shared" si="166"/>
        <v>84.453246287966238</v>
      </c>
      <c r="L1164" s="15"/>
      <c r="M1164" s="109"/>
      <c r="N1164" s="109"/>
      <c r="O1164" s="415"/>
      <c r="P1164" s="15"/>
      <c r="Q1164" s="110">
        <f t="shared" si="162"/>
        <v>150726</v>
      </c>
      <c r="R1164" s="110">
        <f t="shared" si="163"/>
        <v>127293</v>
      </c>
      <c r="S1164" s="467">
        <f t="shared" si="164"/>
        <v>84.453246287966238</v>
      </c>
    </row>
    <row r="1165" spans="2:19" x14ac:dyDescent="0.2">
      <c r="B1165" s="6">
        <f t="shared" si="165"/>
        <v>663</v>
      </c>
      <c r="C1165" s="12"/>
      <c r="D1165" s="12"/>
      <c r="E1165" s="12"/>
      <c r="F1165" s="13" t="s">
        <v>157</v>
      </c>
      <c r="G1165" s="14">
        <v>610</v>
      </c>
      <c r="H1165" s="12" t="s">
        <v>128</v>
      </c>
      <c r="I1165" s="15">
        <f>42462+2400-2119</f>
        <v>42743</v>
      </c>
      <c r="J1165" s="15">
        <v>42743</v>
      </c>
      <c r="K1165" s="397">
        <f t="shared" si="166"/>
        <v>100</v>
      </c>
      <c r="L1165" s="15"/>
      <c r="M1165" s="15"/>
      <c r="N1165" s="15"/>
      <c r="O1165" s="397"/>
      <c r="P1165" s="15"/>
      <c r="Q1165" s="16">
        <f t="shared" si="162"/>
        <v>42743</v>
      </c>
      <c r="R1165" s="16">
        <f t="shared" si="163"/>
        <v>42743</v>
      </c>
      <c r="S1165" s="448">
        <f t="shared" si="164"/>
        <v>100</v>
      </c>
    </row>
    <row r="1166" spans="2:19" x14ac:dyDescent="0.2">
      <c r="B1166" s="6">
        <f t="shared" si="165"/>
        <v>664</v>
      </c>
      <c r="C1166" s="12"/>
      <c r="D1166" s="12"/>
      <c r="E1166" s="12"/>
      <c r="F1166" s="13" t="s">
        <v>157</v>
      </c>
      <c r="G1166" s="14">
        <v>620</v>
      </c>
      <c r="H1166" s="12" t="s">
        <v>121</v>
      </c>
      <c r="I1166" s="15">
        <f>16114+863-205</f>
        <v>16772</v>
      </c>
      <c r="J1166" s="15">
        <v>16771</v>
      </c>
      <c r="K1166" s="397">
        <f t="shared" si="166"/>
        <v>99.994037681850699</v>
      </c>
      <c r="L1166" s="15"/>
      <c r="M1166" s="15"/>
      <c r="N1166" s="15"/>
      <c r="O1166" s="397"/>
      <c r="P1166" s="15"/>
      <c r="Q1166" s="16">
        <f t="shared" si="162"/>
        <v>16772</v>
      </c>
      <c r="R1166" s="16">
        <f t="shared" si="163"/>
        <v>16771</v>
      </c>
      <c r="S1166" s="448">
        <f t="shared" si="164"/>
        <v>99.994037681850699</v>
      </c>
    </row>
    <row r="1167" spans="2:19" x14ac:dyDescent="0.2">
      <c r="B1167" s="6">
        <f t="shared" si="165"/>
        <v>665</v>
      </c>
      <c r="C1167" s="12"/>
      <c r="D1167" s="12"/>
      <c r="E1167" s="12"/>
      <c r="F1167" s="13" t="s">
        <v>157</v>
      </c>
      <c r="G1167" s="14">
        <v>630</v>
      </c>
      <c r="H1167" s="12" t="s">
        <v>118</v>
      </c>
      <c r="I1167" s="15">
        <f>SUM(I1168:I1171)</f>
        <v>90761</v>
      </c>
      <c r="J1167" s="15">
        <f>SUM(J1168:J1171)</f>
        <v>67502</v>
      </c>
      <c r="K1167" s="397">
        <f t="shared" si="166"/>
        <v>74.373354193981996</v>
      </c>
      <c r="L1167" s="15"/>
      <c r="M1167" s="15"/>
      <c r="N1167" s="15"/>
      <c r="O1167" s="397"/>
      <c r="P1167" s="15"/>
      <c r="Q1167" s="16">
        <f t="shared" si="162"/>
        <v>90761</v>
      </c>
      <c r="R1167" s="16">
        <f t="shared" si="163"/>
        <v>67502</v>
      </c>
      <c r="S1167" s="448">
        <f t="shared" si="164"/>
        <v>74.373354193981996</v>
      </c>
    </row>
    <row r="1168" spans="2:19" x14ac:dyDescent="0.2">
      <c r="B1168" s="6">
        <f t="shared" si="165"/>
        <v>666</v>
      </c>
      <c r="C1168" s="12"/>
      <c r="D1168" s="12"/>
      <c r="E1168" s="12"/>
      <c r="F1168" s="13"/>
      <c r="G1168" s="19">
        <v>632</v>
      </c>
      <c r="H1168" s="17" t="s">
        <v>131</v>
      </c>
      <c r="I1168" s="20">
        <v>13000</v>
      </c>
      <c r="J1168" s="20">
        <v>12964</v>
      </c>
      <c r="K1168" s="397">
        <f t="shared" si="166"/>
        <v>99.723076923076931</v>
      </c>
      <c r="L1168" s="20"/>
      <c r="M1168" s="20"/>
      <c r="N1168" s="20"/>
      <c r="O1168" s="397"/>
      <c r="P1168" s="20"/>
      <c r="Q1168" s="21">
        <f t="shared" si="162"/>
        <v>13000</v>
      </c>
      <c r="R1168" s="21">
        <f t="shared" si="163"/>
        <v>12964</v>
      </c>
      <c r="S1168" s="448">
        <f t="shared" si="164"/>
        <v>99.723076923076931</v>
      </c>
    </row>
    <row r="1169" spans="2:19" x14ac:dyDescent="0.2">
      <c r="B1169" s="6">
        <f t="shared" si="165"/>
        <v>667</v>
      </c>
      <c r="C1169" s="17"/>
      <c r="D1169" s="17"/>
      <c r="E1169" s="17"/>
      <c r="F1169" s="18"/>
      <c r="G1169" s="19">
        <v>633</v>
      </c>
      <c r="H1169" s="17" t="s">
        <v>122</v>
      </c>
      <c r="I1169" s="20">
        <v>72211</v>
      </c>
      <c r="J1169" s="20">
        <v>50537</v>
      </c>
      <c r="K1169" s="397">
        <f t="shared" si="166"/>
        <v>69.985182312944019</v>
      </c>
      <c r="L1169" s="20"/>
      <c r="M1169" s="20"/>
      <c r="N1169" s="20"/>
      <c r="O1169" s="397"/>
      <c r="P1169" s="20"/>
      <c r="Q1169" s="21">
        <f t="shared" si="162"/>
        <v>72211</v>
      </c>
      <c r="R1169" s="21">
        <f t="shared" si="163"/>
        <v>50537</v>
      </c>
      <c r="S1169" s="448">
        <f t="shared" si="164"/>
        <v>69.985182312944019</v>
      </c>
    </row>
    <row r="1170" spans="2:19" x14ac:dyDescent="0.2">
      <c r="B1170" s="6">
        <f t="shared" si="165"/>
        <v>668</v>
      </c>
      <c r="C1170" s="17"/>
      <c r="D1170" s="17"/>
      <c r="E1170" s="17"/>
      <c r="F1170" s="18"/>
      <c r="G1170" s="19">
        <v>635</v>
      </c>
      <c r="H1170" s="17" t="s">
        <v>130</v>
      </c>
      <c r="I1170" s="20">
        <v>3500</v>
      </c>
      <c r="J1170" s="20">
        <v>2356</v>
      </c>
      <c r="K1170" s="397">
        <f t="shared" si="166"/>
        <v>67.314285714285717</v>
      </c>
      <c r="L1170" s="20"/>
      <c r="M1170" s="20"/>
      <c r="N1170" s="20"/>
      <c r="O1170" s="397"/>
      <c r="P1170" s="20"/>
      <c r="Q1170" s="21">
        <f t="shared" si="162"/>
        <v>3500</v>
      </c>
      <c r="R1170" s="21">
        <f t="shared" si="163"/>
        <v>2356</v>
      </c>
      <c r="S1170" s="448">
        <f t="shared" si="164"/>
        <v>67.314285714285717</v>
      </c>
    </row>
    <row r="1171" spans="2:19" x14ac:dyDescent="0.2">
      <c r="B1171" s="6">
        <f t="shared" si="165"/>
        <v>669</v>
      </c>
      <c r="C1171" s="17"/>
      <c r="D1171" s="17"/>
      <c r="E1171" s="17"/>
      <c r="F1171" s="18"/>
      <c r="G1171" s="19">
        <v>637</v>
      </c>
      <c r="H1171" s="17" t="s">
        <v>119</v>
      </c>
      <c r="I1171" s="20">
        <f>1650+400</f>
        <v>2050</v>
      </c>
      <c r="J1171" s="20">
        <v>1645</v>
      </c>
      <c r="K1171" s="397">
        <f t="shared" si="166"/>
        <v>80.243902439024396</v>
      </c>
      <c r="L1171" s="20"/>
      <c r="M1171" s="20"/>
      <c r="N1171" s="20"/>
      <c r="O1171" s="397"/>
      <c r="P1171" s="20"/>
      <c r="Q1171" s="21">
        <f t="shared" si="162"/>
        <v>2050</v>
      </c>
      <c r="R1171" s="21">
        <f t="shared" si="163"/>
        <v>1645</v>
      </c>
      <c r="S1171" s="448">
        <f t="shared" si="164"/>
        <v>80.243902439024396</v>
      </c>
    </row>
    <row r="1172" spans="2:19" x14ac:dyDescent="0.2">
      <c r="B1172" s="6">
        <f t="shared" si="165"/>
        <v>670</v>
      </c>
      <c r="C1172" s="12"/>
      <c r="D1172" s="12"/>
      <c r="E1172" s="12"/>
      <c r="F1172" s="13" t="s">
        <v>157</v>
      </c>
      <c r="G1172" s="14">
        <v>640</v>
      </c>
      <c r="H1172" s="12" t="s">
        <v>126</v>
      </c>
      <c r="I1172" s="15">
        <v>450</v>
      </c>
      <c r="J1172" s="15">
        <v>277</v>
      </c>
      <c r="K1172" s="397">
        <f t="shared" si="166"/>
        <v>61.55555555555555</v>
      </c>
      <c r="L1172" s="15"/>
      <c r="M1172" s="15"/>
      <c r="N1172" s="15"/>
      <c r="O1172" s="397"/>
      <c r="P1172" s="15"/>
      <c r="Q1172" s="16">
        <f t="shared" si="162"/>
        <v>450</v>
      </c>
      <c r="R1172" s="16">
        <f t="shared" si="163"/>
        <v>277</v>
      </c>
      <c r="S1172" s="448">
        <f t="shared" si="164"/>
        <v>61.55555555555555</v>
      </c>
    </row>
    <row r="1173" spans="2:19" x14ac:dyDescent="0.2">
      <c r="B1173" s="6">
        <f t="shared" si="165"/>
        <v>671</v>
      </c>
      <c r="C1173" s="107"/>
      <c r="D1173" s="107"/>
      <c r="E1173" s="107" t="s">
        <v>93</v>
      </c>
      <c r="F1173" s="108"/>
      <c r="G1173" s="108"/>
      <c r="H1173" s="107" t="s">
        <v>66</v>
      </c>
      <c r="I1173" s="109">
        <f>I1174+I1175+I1176+I1181</f>
        <v>156441</v>
      </c>
      <c r="J1173" s="109">
        <f>J1174+J1175+J1176+J1181</f>
        <v>133181</v>
      </c>
      <c r="K1173" s="415">
        <f t="shared" si="166"/>
        <v>85.131774918339815</v>
      </c>
      <c r="L1173" s="15"/>
      <c r="M1173" s="109">
        <f>M1182</f>
        <v>19200</v>
      </c>
      <c r="N1173" s="109">
        <f>N1182</f>
        <v>18859</v>
      </c>
      <c r="O1173" s="415">
        <f>N1173/M1173*100</f>
        <v>98.223958333333343</v>
      </c>
      <c r="P1173" s="15"/>
      <c r="Q1173" s="110">
        <f t="shared" si="162"/>
        <v>175641</v>
      </c>
      <c r="R1173" s="110">
        <f t="shared" si="163"/>
        <v>152040</v>
      </c>
      <c r="S1173" s="467">
        <f t="shared" si="164"/>
        <v>86.562932344953623</v>
      </c>
    </row>
    <row r="1174" spans="2:19" x14ac:dyDescent="0.2">
      <c r="B1174" s="6">
        <f t="shared" si="165"/>
        <v>672</v>
      </c>
      <c r="C1174" s="12"/>
      <c r="D1174" s="12"/>
      <c r="E1174" s="12"/>
      <c r="F1174" s="13" t="s">
        <v>157</v>
      </c>
      <c r="G1174" s="14">
        <v>610</v>
      </c>
      <c r="H1174" s="12" t="s">
        <v>128</v>
      </c>
      <c r="I1174" s="15">
        <f>42707+3200+3097</f>
        <v>49004</v>
      </c>
      <c r="J1174" s="15">
        <v>48964</v>
      </c>
      <c r="K1174" s="397">
        <f t="shared" si="166"/>
        <v>99.918374010284879</v>
      </c>
      <c r="L1174" s="15"/>
      <c r="M1174" s="15"/>
      <c r="N1174" s="15"/>
      <c r="O1174" s="397"/>
      <c r="P1174" s="15"/>
      <c r="Q1174" s="16">
        <f t="shared" si="162"/>
        <v>49004</v>
      </c>
      <c r="R1174" s="16">
        <f t="shared" si="163"/>
        <v>48964</v>
      </c>
      <c r="S1174" s="448">
        <f t="shared" si="164"/>
        <v>99.918374010284879</v>
      </c>
    </row>
    <row r="1175" spans="2:19" x14ac:dyDescent="0.2">
      <c r="B1175" s="6">
        <f t="shared" si="165"/>
        <v>673</v>
      </c>
      <c r="C1175" s="12"/>
      <c r="D1175" s="12"/>
      <c r="E1175" s="12"/>
      <c r="F1175" s="13" t="s">
        <v>157</v>
      </c>
      <c r="G1175" s="14">
        <v>620</v>
      </c>
      <c r="H1175" s="12" t="s">
        <v>121</v>
      </c>
      <c r="I1175" s="15">
        <f>16242+1150+358</f>
        <v>17750</v>
      </c>
      <c r="J1175" s="15">
        <v>17750</v>
      </c>
      <c r="K1175" s="397">
        <f t="shared" si="166"/>
        <v>100</v>
      </c>
      <c r="L1175" s="15"/>
      <c r="M1175" s="15"/>
      <c r="N1175" s="15"/>
      <c r="O1175" s="397"/>
      <c r="P1175" s="15"/>
      <c r="Q1175" s="16">
        <f t="shared" si="162"/>
        <v>17750</v>
      </c>
      <c r="R1175" s="16">
        <f t="shared" si="163"/>
        <v>17750</v>
      </c>
      <c r="S1175" s="448">
        <f t="shared" si="164"/>
        <v>100</v>
      </c>
    </row>
    <row r="1176" spans="2:19" x14ac:dyDescent="0.2">
      <c r="B1176" s="6">
        <f t="shared" si="165"/>
        <v>674</v>
      </c>
      <c r="C1176" s="12"/>
      <c r="D1176" s="12"/>
      <c r="E1176" s="12"/>
      <c r="F1176" s="13" t="s">
        <v>157</v>
      </c>
      <c r="G1176" s="14">
        <v>630</v>
      </c>
      <c r="H1176" s="12" t="s">
        <v>118</v>
      </c>
      <c r="I1176" s="15">
        <f>SUM(I1177:I1180)</f>
        <v>89237</v>
      </c>
      <c r="J1176" s="15">
        <f>SUM(J1177:J1180)</f>
        <v>66068</v>
      </c>
      <c r="K1176" s="397">
        <f t="shared" si="166"/>
        <v>74.036554344050103</v>
      </c>
      <c r="L1176" s="15"/>
      <c r="M1176" s="15"/>
      <c r="N1176" s="15"/>
      <c r="O1176" s="397"/>
      <c r="P1176" s="15"/>
      <c r="Q1176" s="16">
        <f t="shared" si="162"/>
        <v>89237</v>
      </c>
      <c r="R1176" s="16">
        <f t="shared" si="163"/>
        <v>66068</v>
      </c>
      <c r="S1176" s="448">
        <f t="shared" si="164"/>
        <v>74.036554344050103</v>
      </c>
    </row>
    <row r="1177" spans="2:19" x14ac:dyDescent="0.2">
      <c r="B1177" s="6">
        <f t="shared" si="165"/>
        <v>675</v>
      </c>
      <c r="C1177" s="12"/>
      <c r="D1177" s="12"/>
      <c r="E1177" s="12"/>
      <c r="F1177" s="13"/>
      <c r="G1177" s="19">
        <v>632</v>
      </c>
      <c r="H1177" s="17" t="s">
        <v>131</v>
      </c>
      <c r="I1177" s="20">
        <v>8500</v>
      </c>
      <c r="J1177" s="20">
        <v>8500</v>
      </c>
      <c r="K1177" s="397">
        <f t="shared" si="166"/>
        <v>100</v>
      </c>
      <c r="L1177" s="20"/>
      <c r="M1177" s="20"/>
      <c r="N1177" s="20"/>
      <c r="O1177" s="397"/>
      <c r="P1177" s="20"/>
      <c r="Q1177" s="21">
        <f t="shared" si="162"/>
        <v>8500</v>
      </c>
      <c r="R1177" s="21">
        <f t="shared" si="163"/>
        <v>8500</v>
      </c>
      <c r="S1177" s="448">
        <f t="shared" si="164"/>
        <v>100</v>
      </c>
    </row>
    <row r="1178" spans="2:19" x14ac:dyDescent="0.2">
      <c r="B1178" s="6">
        <f t="shared" si="165"/>
        <v>676</v>
      </c>
      <c r="C1178" s="17"/>
      <c r="D1178" s="17"/>
      <c r="E1178" s="17"/>
      <c r="F1178" s="18"/>
      <c r="G1178" s="19">
        <v>633</v>
      </c>
      <c r="H1178" s="17" t="s">
        <v>122</v>
      </c>
      <c r="I1178" s="20">
        <f>71807-400+800</f>
        <v>72207</v>
      </c>
      <c r="J1178" s="20">
        <v>50763</v>
      </c>
      <c r="K1178" s="397">
        <f t="shared" si="166"/>
        <v>70.302048277867797</v>
      </c>
      <c r="L1178" s="20"/>
      <c r="M1178" s="20"/>
      <c r="N1178" s="20"/>
      <c r="O1178" s="397"/>
      <c r="P1178" s="20"/>
      <c r="Q1178" s="21">
        <f t="shared" si="162"/>
        <v>72207</v>
      </c>
      <c r="R1178" s="21">
        <f t="shared" si="163"/>
        <v>50763</v>
      </c>
      <c r="S1178" s="448">
        <f t="shared" si="164"/>
        <v>70.302048277867797</v>
      </c>
    </row>
    <row r="1179" spans="2:19" x14ac:dyDescent="0.2">
      <c r="B1179" s="6">
        <f t="shared" si="165"/>
        <v>677</v>
      </c>
      <c r="C1179" s="17"/>
      <c r="D1179" s="17"/>
      <c r="E1179" s="17"/>
      <c r="F1179" s="18"/>
      <c r="G1179" s="19">
        <v>635</v>
      </c>
      <c r="H1179" s="17" t="s">
        <v>130</v>
      </c>
      <c r="I1179" s="20">
        <f>3000+3500-800</f>
        <v>5700</v>
      </c>
      <c r="J1179" s="20">
        <v>5363</v>
      </c>
      <c r="K1179" s="397">
        <f t="shared" si="166"/>
        <v>94.087719298245602</v>
      </c>
      <c r="L1179" s="20"/>
      <c r="M1179" s="20"/>
      <c r="N1179" s="20"/>
      <c r="O1179" s="397"/>
      <c r="P1179" s="20"/>
      <c r="Q1179" s="21">
        <f t="shared" si="162"/>
        <v>5700</v>
      </c>
      <c r="R1179" s="21">
        <f t="shared" si="163"/>
        <v>5363</v>
      </c>
      <c r="S1179" s="448">
        <f t="shared" si="164"/>
        <v>94.087719298245602</v>
      </c>
    </row>
    <row r="1180" spans="2:19" x14ac:dyDescent="0.2">
      <c r="B1180" s="6">
        <f t="shared" si="165"/>
        <v>678</v>
      </c>
      <c r="C1180" s="17"/>
      <c r="D1180" s="17"/>
      <c r="E1180" s="17"/>
      <c r="F1180" s="18"/>
      <c r="G1180" s="19">
        <v>637</v>
      </c>
      <c r="H1180" s="17" t="s">
        <v>119</v>
      </c>
      <c r="I1180" s="20">
        <f>2430+400</f>
        <v>2830</v>
      </c>
      <c r="J1180" s="20">
        <v>1442</v>
      </c>
      <c r="K1180" s="397">
        <f t="shared" si="166"/>
        <v>50.954063604240282</v>
      </c>
      <c r="L1180" s="20"/>
      <c r="M1180" s="20"/>
      <c r="N1180" s="20"/>
      <c r="O1180" s="397"/>
      <c r="P1180" s="20"/>
      <c r="Q1180" s="21">
        <f t="shared" si="162"/>
        <v>2830</v>
      </c>
      <c r="R1180" s="21">
        <f t="shared" si="163"/>
        <v>1442</v>
      </c>
      <c r="S1180" s="448">
        <f t="shared" si="164"/>
        <v>50.954063604240282</v>
      </c>
    </row>
    <row r="1181" spans="2:19" x14ac:dyDescent="0.2">
      <c r="B1181" s="6">
        <f t="shared" si="165"/>
        <v>679</v>
      </c>
      <c r="C1181" s="12"/>
      <c r="D1181" s="12"/>
      <c r="E1181" s="12"/>
      <c r="F1181" s="13" t="s">
        <v>157</v>
      </c>
      <c r="G1181" s="14">
        <v>640</v>
      </c>
      <c r="H1181" s="12" t="s">
        <v>126</v>
      </c>
      <c r="I1181" s="15">
        <v>450</v>
      </c>
      <c r="J1181" s="15">
        <v>399</v>
      </c>
      <c r="K1181" s="397">
        <f t="shared" si="166"/>
        <v>88.666666666666671</v>
      </c>
      <c r="L1181" s="15"/>
      <c r="M1181" s="15"/>
      <c r="N1181" s="15"/>
      <c r="O1181" s="397"/>
      <c r="P1181" s="15"/>
      <c r="Q1181" s="16">
        <f t="shared" si="162"/>
        <v>450</v>
      </c>
      <c r="R1181" s="16">
        <f t="shared" si="163"/>
        <v>399</v>
      </c>
      <c r="S1181" s="448">
        <f t="shared" si="164"/>
        <v>88.666666666666671</v>
      </c>
    </row>
    <row r="1182" spans="2:19" x14ac:dyDescent="0.2">
      <c r="B1182" s="6">
        <f t="shared" si="165"/>
        <v>680</v>
      </c>
      <c r="C1182" s="12"/>
      <c r="D1182" s="12"/>
      <c r="E1182" s="12"/>
      <c r="F1182" s="13" t="s">
        <v>157</v>
      </c>
      <c r="G1182" s="14">
        <v>710</v>
      </c>
      <c r="H1182" s="12" t="s">
        <v>172</v>
      </c>
      <c r="I1182" s="15"/>
      <c r="J1182" s="15"/>
      <c r="K1182" s="397"/>
      <c r="L1182" s="15"/>
      <c r="M1182" s="15">
        <f>M1183+M1186</f>
        <v>19200</v>
      </c>
      <c r="N1182" s="15">
        <f>N1183+N1186</f>
        <v>18859</v>
      </c>
      <c r="O1182" s="397">
        <f t="shared" ref="O1182:O1188" si="167">N1182/M1182*100</f>
        <v>98.223958333333343</v>
      </c>
      <c r="P1182" s="15"/>
      <c r="Q1182" s="16">
        <f t="shared" si="162"/>
        <v>19200</v>
      </c>
      <c r="R1182" s="16">
        <f t="shared" si="163"/>
        <v>18859</v>
      </c>
      <c r="S1182" s="448">
        <f t="shared" si="164"/>
        <v>98.223958333333343</v>
      </c>
    </row>
    <row r="1183" spans="2:19" x14ac:dyDescent="0.2">
      <c r="B1183" s="6">
        <f t="shared" si="165"/>
        <v>681</v>
      </c>
      <c r="C1183" s="17"/>
      <c r="D1183" s="17"/>
      <c r="E1183" s="17"/>
      <c r="F1183" s="18"/>
      <c r="G1183" s="19">
        <v>713</v>
      </c>
      <c r="H1183" s="17" t="s">
        <v>216</v>
      </c>
      <c r="I1183" s="20"/>
      <c r="J1183" s="20"/>
      <c r="K1183" s="397"/>
      <c r="L1183" s="20"/>
      <c r="M1183" s="20">
        <f>M1184+M1185</f>
        <v>9200</v>
      </c>
      <c r="N1183" s="20">
        <f>N1184+N1185</f>
        <v>9093</v>
      </c>
      <c r="O1183" s="397">
        <f t="shared" si="167"/>
        <v>98.836956521739125</v>
      </c>
      <c r="P1183" s="20"/>
      <c r="Q1183" s="21">
        <f t="shared" si="162"/>
        <v>9200</v>
      </c>
      <c r="R1183" s="21">
        <f t="shared" si="163"/>
        <v>9093</v>
      </c>
      <c r="S1183" s="448">
        <f t="shared" si="164"/>
        <v>98.836956521739125</v>
      </c>
    </row>
    <row r="1184" spans="2:19" x14ac:dyDescent="0.2">
      <c r="B1184" s="6">
        <f t="shared" si="165"/>
        <v>682</v>
      </c>
      <c r="C1184" s="1"/>
      <c r="D1184" s="1"/>
      <c r="E1184" s="1"/>
      <c r="F1184" s="101"/>
      <c r="G1184" s="23"/>
      <c r="H1184" s="1" t="s">
        <v>336</v>
      </c>
      <c r="I1184" s="24"/>
      <c r="J1184" s="24"/>
      <c r="K1184" s="397"/>
      <c r="L1184" s="24"/>
      <c r="M1184" s="24">
        <f>5800+1200</f>
        <v>7000</v>
      </c>
      <c r="N1184" s="24">
        <v>6893</v>
      </c>
      <c r="O1184" s="397">
        <f t="shared" si="167"/>
        <v>98.471428571428575</v>
      </c>
      <c r="P1184" s="24"/>
      <c r="Q1184" s="26">
        <f t="shared" si="162"/>
        <v>7000</v>
      </c>
      <c r="R1184" s="26">
        <f t="shared" si="163"/>
        <v>6893</v>
      </c>
      <c r="S1184" s="448">
        <f t="shared" si="164"/>
        <v>98.471428571428575</v>
      </c>
    </row>
    <row r="1185" spans="2:19" x14ac:dyDescent="0.2">
      <c r="B1185" s="6">
        <f t="shared" si="165"/>
        <v>683</v>
      </c>
      <c r="C1185" s="1"/>
      <c r="D1185" s="1"/>
      <c r="E1185" s="1"/>
      <c r="F1185" s="101"/>
      <c r="G1185" s="23"/>
      <c r="H1185" s="1" t="s">
        <v>589</v>
      </c>
      <c r="I1185" s="24"/>
      <c r="J1185" s="24"/>
      <c r="K1185" s="397"/>
      <c r="L1185" s="24"/>
      <c r="M1185" s="24">
        <f>1800+400</f>
        <v>2200</v>
      </c>
      <c r="N1185" s="24">
        <v>2200</v>
      </c>
      <c r="O1185" s="397">
        <f t="shared" si="167"/>
        <v>100</v>
      </c>
      <c r="P1185" s="24"/>
      <c r="Q1185" s="26">
        <f t="shared" si="162"/>
        <v>2200</v>
      </c>
      <c r="R1185" s="26">
        <f t="shared" si="163"/>
        <v>2200</v>
      </c>
      <c r="S1185" s="448">
        <f t="shared" si="164"/>
        <v>100</v>
      </c>
    </row>
    <row r="1186" spans="2:19" x14ac:dyDescent="0.2">
      <c r="B1186" s="6">
        <f t="shared" si="165"/>
        <v>684</v>
      </c>
      <c r="C1186" s="17"/>
      <c r="D1186" s="17"/>
      <c r="E1186" s="17"/>
      <c r="F1186" s="18"/>
      <c r="G1186" s="19">
        <v>717</v>
      </c>
      <c r="H1186" s="17" t="s">
        <v>179</v>
      </c>
      <c r="I1186" s="20"/>
      <c r="J1186" s="20"/>
      <c r="K1186" s="397"/>
      <c r="L1186" s="20"/>
      <c r="M1186" s="20">
        <f>M1187</f>
        <v>10000</v>
      </c>
      <c r="N1186" s="20">
        <f>N1187</f>
        <v>9766</v>
      </c>
      <c r="O1186" s="397">
        <f t="shared" si="167"/>
        <v>97.66</v>
      </c>
      <c r="P1186" s="20"/>
      <c r="Q1186" s="21">
        <f t="shared" si="162"/>
        <v>10000</v>
      </c>
      <c r="R1186" s="21">
        <f t="shared" si="163"/>
        <v>9766</v>
      </c>
      <c r="S1186" s="448">
        <f t="shared" si="164"/>
        <v>97.66</v>
      </c>
    </row>
    <row r="1187" spans="2:19" x14ac:dyDescent="0.2">
      <c r="B1187" s="6">
        <f t="shared" si="165"/>
        <v>685</v>
      </c>
      <c r="C1187" s="1"/>
      <c r="D1187" s="1"/>
      <c r="E1187" s="1"/>
      <c r="F1187" s="101"/>
      <c r="G1187" s="23"/>
      <c r="H1187" s="1" t="s">
        <v>590</v>
      </c>
      <c r="I1187" s="24"/>
      <c r="J1187" s="24"/>
      <c r="K1187" s="397"/>
      <c r="L1187" s="24"/>
      <c r="M1187" s="24">
        <v>10000</v>
      </c>
      <c r="N1187" s="24">
        <v>9766</v>
      </c>
      <c r="O1187" s="397">
        <f t="shared" si="167"/>
        <v>97.66</v>
      </c>
      <c r="P1187" s="24"/>
      <c r="Q1187" s="26">
        <f t="shared" si="162"/>
        <v>10000</v>
      </c>
      <c r="R1187" s="26">
        <f t="shared" si="163"/>
        <v>9766</v>
      </c>
      <c r="S1187" s="448">
        <f t="shared" si="164"/>
        <v>97.66</v>
      </c>
    </row>
    <row r="1188" spans="2:19" x14ac:dyDescent="0.2">
      <c r="B1188" s="6">
        <f t="shared" si="165"/>
        <v>686</v>
      </c>
      <c r="C1188" s="107"/>
      <c r="D1188" s="107"/>
      <c r="E1188" s="107" t="s">
        <v>96</v>
      </c>
      <c r="F1188" s="108"/>
      <c r="G1188" s="108"/>
      <c r="H1188" s="107" t="s">
        <v>67</v>
      </c>
      <c r="I1188" s="109">
        <f>I1189+I1190+I1191+I1196</f>
        <v>147469</v>
      </c>
      <c r="J1188" s="109">
        <f>J1189+J1190+J1191+J1196</f>
        <v>129381</v>
      </c>
      <c r="K1188" s="415">
        <f t="shared" ref="K1188:K1196" si="168">J1188/I1188*100</f>
        <v>87.734371291593476</v>
      </c>
      <c r="L1188" s="15"/>
      <c r="M1188" s="109">
        <f>M1197</f>
        <v>4000</v>
      </c>
      <c r="N1188" s="109">
        <f>N1197</f>
        <v>3985</v>
      </c>
      <c r="O1188" s="415">
        <f t="shared" si="167"/>
        <v>99.625</v>
      </c>
      <c r="P1188" s="15"/>
      <c r="Q1188" s="110">
        <f t="shared" si="162"/>
        <v>151469</v>
      </c>
      <c r="R1188" s="110">
        <f t="shared" si="163"/>
        <v>133366</v>
      </c>
      <c r="S1188" s="467">
        <f t="shared" si="164"/>
        <v>88.048379536406784</v>
      </c>
    </row>
    <row r="1189" spans="2:19" x14ac:dyDescent="0.2">
      <c r="B1189" s="6">
        <f t="shared" si="165"/>
        <v>687</v>
      </c>
      <c r="C1189" s="12"/>
      <c r="D1189" s="12"/>
      <c r="E1189" s="12"/>
      <c r="F1189" s="13" t="s">
        <v>157</v>
      </c>
      <c r="G1189" s="14">
        <v>610</v>
      </c>
      <c r="H1189" s="12" t="s">
        <v>128</v>
      </c>
      <c r="I1189" s="15">
        <f>44335+3600+7307</f>
        <v>55242</v>
      </c>
      <c r="J1189" s="15">
        <v>55242</v>
      </c>
      <c r="K1189" s="397">
        <f t="shared" si="168"/>
        <v>100</v>
      </c>
      <c r="L1189" s="15"/>
      <c r="M1189" s="15"/>
      <c r="N1189" s="15"/>
      <c r="O1189" s="397"/>
      <c r="P1189" s="15"/>
      <c r="Q1189" s="16">
        <f t="shared" si="162"/>
        <v>55242</v>
      </c>
      <c r="R1189" s="16">
        <f t="shared" si="163"/>
        <v>55242</v>
      </c>
      <c r="S1189" s="448">
        <f t="shared" si="164"/>
        <v>100</v>
      </c>
    </row>
    <row r="1190" spans="2:19" x14ac:dyDescent="0.2">
      <c r="B1190" s="6">
        <f t="shared" si="165"/>
        <v>688</v>
      </c>
      <c r="C1190" s="12"/>
      <c r="D1190" s="12"/>
      <c r="E1190" s="12"/>
      <c r="F1190" s="13" t="s">
        <v>157</v>
      </c>
      <c r="G1190" s="14">
        <v>620</v>
      </c>
      <c r="H1190" s="12" t="s">
        <v>121</v>
      </c>
      <c r="I1190" s="15">
        <f>16861+1294+400</f>
        <v>18555</v>
      </c>
      <c r="J1190" s="15">
        <v>18555</v>
      </c>
      <c r="K1190" s="397">
        <f t="shared" si="168"/>
        <v>100</v>
      </c>
      <c r="L1190" s="15"/>
      <c r="M1190" s="15"/>
      <c r="N1190" s="15"/>
      <c r="O1190" s="397"/>
      <c r="P1190" s="15"/>
      <c r="Q1190" s="16">
        <f t="shared" si="162"/>
        <v>18555</v>
      </c>
      <c r="R1190" s="16">
        <f t="shared" si="163"/>
        <v>18555</v>
      </c>
      <c r="S1190" s="448">
        <f t="shared" si="164"/>
        <v>100</v>
      </c>
    </row>
    <row r="1191" spans="2:19" x14ac:dyDescent="0.2">
      <c r="B1191" s="6">
        <f t="shared" si="165"/>
        <v>689</v>
      </c>
      <c r="C1191" s="12"/>
      <c r="D1191" s="12"/>
      <c r="E1191" s="12"/>
      <c r="F1191" s="13" t="s">
        <v>157</v>
      </c>
      <c r="G1191" s="14">
        <v>630</v>
      </c>
      <c r="H1191" s="12" t="s">
        <v>118</v>
      </c>
      <c r="I1191" s="15">
        <f>SUM(I1192:I1195)</f>
        <v>73222</v>
      </c>
      <c r="J1191" s="15">
        <f>SUM(J1192:J1195)</f>
        <v>55191</v>
      </c>
      <c r="K1191" s="397">
        <f t="shared" si="168"/>
        <v>75.374887328944851</v>
      </c>
      <c r="L1191" s="15"/>
      <c r="M1191" s="15"/>
      <c r="N1191" s="15"/>
      <c r="O1191" s="397"/>
      <c r="P1191" s="15"/>
      <c r="Q1191" s="16">
        <f t="shared" si="162"/>
        <v>73222</v>
      </c>
      <c r="R1191" s="16">
        <f t="shared" si="163"/>
        <v>55191</v>
      </c>
      <c r="S1191" s="448">
        <f t="shared" si="164"/>
        <v>75.374887328944851</v>
      </c>
    </row>
    <row r="1192" spans="2:19" x14ac:dyDescent="0.2">
      <c r="B1192" s="6">
        <f t="shared" si="165"/>
        <v>690</v>
      </c>
      <c r="C1192" s="12"/>
      <c r="D1192" s="12"/>
      <c r="E1192" s="12"/>
      <c r="F1192" s="13"/>
      <c r="G1192" s="19">
        <v>632</v>
      </c>
      <c r="H1192" s="17" t="s">
        <v>131</v>
      </c>
      <c r="I1192" s="20">
        <f>6500+1000</f>
        <v>7500</v>
      </c>
      <c r="J1192" s="20">
        <v>7500</v>
      </c>
      <c r="K1192" s="397">
        <f t="shared" si="168"/>
        <v>100</v>
      </c>
      <c r="L1192" s="20"/>
      <c r="M1192" s="20"/>
      <c r="N1192" s="20"/>
      <c r="O1192" s="397"/>
      <c r="P1192" s="20"/>
      <c r="Q1192" s="21">
        <f t="shared" si="162"/>
        <v>7500</v>
      </c>
      <c r="R1192" s="21">
        <f t="shared" si="163"/>
        <v>7500</v>
      </c>
      <c r="S1192" s="448">
        <f t="shared" si="164"/>
        <v>100</v>
      </c>
    </row>
    <row r="1193" spans="2:19" x14ac:dyDescent="0.2">
      <c r="B1193" s="6">
        <f t="shared" si="165"/>
        <v>691</v>
      </c>
      <c r="C1193" s="17"/>
      <c r="D1193" s="17"/>
      <c r="E1193" s="17"/>
      <c r="F1193" s="18"/>
      <c r="G1193" s="19">
        <v>633</v>
      </c>
      <c r="H1193" s="17" t="s">
        <v>122</v>
      </c>
      <c r="I1193" s="20">
        <v>61814</v>
      </c>
      <c r="J1193" s="20">
        <v>44553</v>
      </c>
      <c r="K1193" s="397">
        <f t="shared" si="168"/>
        <v>72.075905134759111</v>
      </c>
      <c r="L1193" s="20"/>
      <c r="M1193" s="20"/>
      <c r="N1193" s="20"/>
      <c r="O1193" s="397"/>
      <c r="P1193" s="20"/>
      <c r="Q1193" s="21">
        <f t="shared" ref="Q1193:Q1256" si="169">I1193+M1193</f>
        <v>61814</v>
      </c>
      <c r="R1193" s="21">
        <f t="shared" ref="R1193:R1256" si="170">J1193+N1193</f>
        <v>44553</v>
      </c>
      <c r="S1193" s="448">
        <f t="shared" si="164"/>
        <v>72.075905134759111</v>
      </c>
    </row>
    <row r="1194" spans="2:19" x14ac:dyDescent="0.2">
      <c r="B1194" s="6">
        <f t="shared" si="165"/>
        <v>692</v>
      </c>
      <c r="C1194" s="17"/>
      <c r="D1194" s="17"/>
      <c r="E1194" s="17"/>
      <c r="F1194" s="18"/>
      <c r="G1194" s="19">
        <v>635</v>
      </c>
      <c r="H1194" s="17" t="s">
        <v>130</v>
      </c>
      <c r="I1194" s="20">
        <v>2000</v>
      </c>
      <c r="J1194" s="20">
        <v>1888</v>
      </c>
      <c r="K1194" s="397">
        <f t="shared" si="168"/>
        <v>94.399999999999991</v>
      </c>
      <c r="L1194" s="20"/>
      <c r="M1194" s="20"/>
      <c r="N1194" s="20"/>
      <c r="O1194" s="397"/>
      <c r="P1194" s="20"/>
      <c r="Q1194" s="21">
        <f t="shared" si="169"/>
        <v>2000</v>
      </c>
      <c r="R1194" s="21">
        <f t="shared" si="170"/>
        <v>1888</v>
      </c>
      <c r="S1194" s="448">
        <f t="shared" si="164"/>
        <v>94.399999999999991</v>
      </c>
    </row>
    <row r="1195" spans="2:19" x14ac:dyDescent="0.2">
      <c r="B1195" s="6">
        <f t="shared" si="165"/>
        <v>693</v>
      </c>
      <c r="C1195" s="17"/>
      <c r="D1195" s="17"/>
      <c r="E1195" s="17"/>
      <c r="F1195" s="18"/>
      <c r="G1195" s="19">
        <v>637</v>
      </c>
      <c r="H1195" s="17" t="s">
        <v>119</v>
      </c>
      <c r="I1195" s="20">
        <f>1608+300</f>
        <v>1908</v>
      </c>
      <c r="J1195" s="20">
        <v>1250</v>
      </c>
      <c r="K1195" s="397">
        <f t="shared" si="168"/>
        <v>65.513626834381554</v>
      </c>
      <c r="L1195" s="20"/>
      <c r="M1195" s="20"/>
      <c r="N1195" s="20"/>
      <c r="O1195" s="397"/>
      <c r="P1195" s="20"/>
      <c r="Q1195" s="21">
        <f t="shared" si="169"/>
        <v>1908</v>
      </c>
      <c r="R1195" s="21">
        <f t="shared" si="170"/>
        <v>1250</v>
      </c>
      <c r="S1195" s="448">
        <f t="shared" si="164"/>
        <v>65.513626834381554</v>
      </c>
    </row>
    <row r="1196" spans="2:19" x14ac:dyDescent="0.2">
      <c r="B1196" s="6">
        <f t="shared" si="165"/>
        <v>694</v>
      </c>
      <c r="C1196" s="12"/>
      <c r="D1196" s="12"/>
      <c r="E1196" s="12"/>
      <c r="F1196" s="13" t="s">
        <v>157</v>
      </c>
      <c r="G1196" s="14">
        <v>640</v>
      </c>
      <c r="H1196" s="12" t="s">
        <v>126</v>
      </c>
      <c r="I1196" s="15">
        <v>450</v>
      </c>
      <c r="J1196" s="15">
        <v>393</v>
      </c>
      <c r="K1196" s="397">
        <f t="shared" si="168"/>
        <v>87.333333333333329</v>
      </c>
      <c r="L1196" s="15"/>
      <c r="M1196" s="15"/>
      <c r="N1196" s="15"/>
      <c r="O1196" s="397"/>
      <c r="P1196" s="15"/>
      <c r="Q1196" s="16">
        <f t="shared" si="169"/>
        <v>450</v>
      </c>
      <c r="R1196" s="16">
        <f t="shared" si="170"/>
        <v>393</v>
      </c>
      <c r="S1196" s="448">
        <f t="shared" si="164"/>
        <v>87.333333333333329</v>
      </c>
    </row>
    <row r="1197" spans="2:19" x14ac:dyDescent="0.2">
      <c r="B1197" s="6">
        <f t="shared" si="165"/>
        <v>695</v>
      </c>
      <c r="C1197" s="12"/>
      <c r="D1197" s="12"/>
      <c r="E1197" s="12"/>
      <c r="F1197" s="13" t="s">
        <v>157</v>
      </c>
      <c r="G1197" s="14">
        <v>710</v>
      </c>
      <c r="H1197" s="12" t="s">
        <v>172</v>
      </c>
      <c r="I1197" s="15"/>
      <c r="J1197" s="15"/>
      <c r="K1197" s="397"/>
      <c r="L1197" s="15"/>
      <c r="M1197" s="15">
        <f>M1198+M1201</f>
        <v>4000</v>
      </c>
      <c r="N1197" s="15">
        <f>N1198+N1201</f>
        <v>3985</v>
      </c>
      <c r="O1197" s="397">
        <f>N1197/M1197*100</f>
        <v>99.625</v>
      </c>
      <c r="P1197" s="15"/>
      <c r="Q1197" s="16">
        <f t="shared" si="169"/>
        <v>4000</v>
      </c>
      <c r="R1197" s="16">
        <f t="shared" si="170"/>
        <v>3985</v>
      </c>
      <c r="S1197" s="448">
        <f t="shared" si="164"/>
        <v>99.625</v>
      </c>
    </row>
    <row r="1198" spans="2:19" x14ac:dyDescent="0.2">
      <c r="B1198" s="6">
        <f t="shared" si="165"/>
        <v>696</v>
      </c>
      <c r="C1198" s="12"/>
      <c r="D1198" s="12"/>
      <c r="E1198" s="12"/>
      <c r="F1198" s="18"/>
      <c r="G1198" s="19">
        <v>713</v>
      </c>
      <c r="H1198" s="17" t="s">
        <v>216</v>
      </c>
      <c r="I1198" s="20"/>
      <c r="J1198" s="20"/>
      <c r="K1198" s="397"/>
      <c r="L1198" s="15"/>
      <c r="M1198" s="20">
        <f>M1199+M1200</f>
        <v>4000</v>
      </c>
      <c r="N1198" s="20">
        <f>N1199+N1200</f>
        <v>3985</v>
      </c>
      <c r="O1198" s="397">
        <f>N1198/M1198*100</f>
        <v>99.625</v>
      </c>
      <c r="P1198" s="15"/>
      <c r="Q1198" s="21">
        <f t="shared" si="169"/>
        <v>4000</v>
      </c>
      <c r="R1198" s="21">
        <f t="shared" si="170"/>
        <v>3985</v>
      </c>
      <c r="S1198" s="448">
        <f t="shared" si="164"/>
        <v>99.625</v>
      </c>
    </row>
    <row r="1199" spans="2:19" x14ac:dyDescent="0.2">
      <c r="B1199" s="6">
        <f t="shared" si="165"/>
        <v>697</v>
      </c>
      <c r="C1199" s="12"/>
      <c r="D1199" s="12"/>
      <c r="E1199" s="12"/>
      <c r="F1199" s="101"/>
      <c r="G1199" s="23"/>
      <c r="H1199" s="1" t="s">
        <v>682</v>
      </c>
      <c r="I1199" s="24"/>
      <c r="J1199" s="24"/>
      <c r="K1199" s="397"/>
      <c r="L1199" s="15"/>
      <c r="M1199" s="24">
        <v>4000</v>
      </c>
      <c r="N1199" s="24">
        <v>3985</v>
      </c>
      <c r="O1199" s="397">
        <f>N1199/M1199*100</f>
        <v>99.625</v>
      </c>
      <c r="P1199" s="15"/>
      <c r="Q1199" s="26">
        <f t="shared" si="169"/>
        <v>4000</v>
      </c>
      <c r="R1199" s="26">
        <f t="shared" si="170"/>
        <v>3985</v>
      </c>
      <c r="S1199" s="448">
        <f t="shared" si="164"/>
        <v>99.625</v>
      </c>
    </row>
    <row r="1200" spans="2:19" x14ac:dyDescent="0.2">
      <c r="B1200" s="6">
        <f t="shared" si="165"/>
        <v>698</v>
      </c>
      <c r="C1200" s="107"/>
      <c r="D1200" s="107"/>
      <c r="E1200" s="107" t="s">
        <v>90</v>
      </c>
      <c r="F1200" s="108"/>
      <c r="G1200" s="108"/>
      <c r="H1200" s="107" t="s">
        <v>91</v>
      </c>
      <c r="I1200" s="109">
        <f>I1201+I1202+I1203+I1208</f>
        <v>67091</v>
      </c>
      <c r="J1200" s="109">
        <f>J1201+J1202+J1203+J1208</f>
        <v>59071</v>
      </c>
      <c r="K1200" s="415">
        <f t="shared" ref="K1200:K1243" si="171">J1200/I1200*100</f>
        <v>88.046086658419171</v>
      </c>
      <c r="L1200" s="15"/>
      <c r="M1200" s="109"/>
      <c r="N1200" s="109"/>
      <c r="O1200" s="415"/>
      <c r="P1200" s="15"/>
      <c r="Q1200" s="110">
        <f t="shared" si="169"/>
        <v>67091</v>
      </c>
      <c r="R1200" s="110">
        <f t="shared" si="170"/>
        <v>59071</v>
      </c>
      <c r="S1200" s="467">
        <f t="shared" si="164"/>
        <v>88.046086658419171</v>
      </c>
    </row>
    <row r="1201" spans="2:19" x14ac:dyDescent="0.2">
      <c r="B1201" s="6">
        <f t="shared" si="165"/>
        <v>699</v>
      </c>
      <c r="C1201" s="12"/>
      <c r="D1201" s="12"/>
      <c r="E1201" s="12"/>
      <c r="F1201" s="13" t="s">
        <v>157</v>
      </c>
      <c r="G1201" s="14">
        <v>610</v>
      </c>
      <c r="H1201" s="12" t="s">
        <v>128</v>
      </c>
      <c r="I1201" s="15">
        <f>23331+2000+1660</f>
        <v>26991</v>
      </c>
      <c r="J1201" s="15">
        <v>26991</v>
      </c>
      <c r="K1201" s="397">
        <f t="shared" si="171"/>
        <v>100</v>
      </c>
      <c r="L1201" s="15"/>
      <c r="M1201" s="15"/>
      <c r="N1201" s="15"/>
      <c r="O1201" s="397"/>
      <c r="P1201" s="15"/>
      <c r="Q1201" s="16">
        <f t="shared" si="169"/>
        <v>26991</v>
      </c>
      <c r="R1201" s="16">
        <f t="shared" si="170"/>
        <v>26991</v>
      </c>
      <c r="S1201" s="448">
        <f t="shared" si="164"/>
        <v>100</v>
      </c>
    </row>
    <row r="1202" spans="2:19" x14ac:dyDescent="0.2">
      <c r="B1202" s="6">
        <f t="shared" si="165"/>
        <v>700</v>
      </c>
      <c r="C1202" s="12"/>
      <c r="D1202" s="12"/>
      <c r="E1202" s="12"/>
      <c r="F1202" s="13" t="s">
        <v>157</v>
      </c>
      <c r="G1202" s="14">
        <v>620</v>
      </c>
      <c r="H1202" s="12" t="s">
        <v>121</v>
      </c>
      <c r="I1202" s="15">
        <f>8878+719+238</f>
        <v>9835</v>
      </c>
      <c r="J1202" s="15">
        <v>9835</v>
      </c>
      <c r="K1202" s="397">
        <f t="shared" si="171"/>
        <v>100</v>
      </c>
      <c r="L1202" s="15"/>
      <c r="M1202" s="15"/>
      <c r="N1202" s="15"/>
      <c r="O1202" s="397"/>
      <c r="P1202" s="15"/>
      <c r="Q1202" s="16">
        <f t="shared" si="169"/>
        <v>9835</v>
      </c>
      <c r="R1202" s="16">
        <f t="shared" si="170"/>
        <v>9835</v>
      </c>
      <c r="S1202" s="448">
        <f t="shared" si="164"/>
        <v>100</v>
      </c>
    </row>
    <row r="1203" spans="2:19" x14ac:dyDescent="0.2">
      <c r="B1203" s="6">
        <f t="shared" si="165"/>
        <v>701</v>
      </c>
      <c r="C1203" s="12"/>
      <c r="D1203" s="12"/>
      <c r="E1203" s="12"/>
      <c r="F1203" s="13" t="s">
        <v>157</v>
      </c>
      <c r="G1203" s="14">
        <v>630</v>
      </c>
      <c r="H1203" s="12" t="s">
        <v>118</v>
      </c>
      <c r="I1203" s="15">
        <f>SUM(I1204:I1207)</f>
        <v>29815</v>
      </c>
      <c r="J1203" s="15">
        <f>SUM(J1204:J1207)</f>
        <v>21883</v>
      </c>
      <c r="K1203" s="397">
        <f t="shared" si="171"/>
        <v>73.395941640114032</v>
      </c>
      <c r="L1203" s="15"/>
      <c r="M1203" s="15"/>
      <c r="N1203" s="15"/>
      <c r="O1203" s="397"/>
      <c r="P1203" s="15"/>
      <c r="Q1203" s="16">
        <f t="shared" si="169"/>
        <v>29815</v>
      </c>
      <c r="R1203" s="16">
        <f t="shared" si="170"/>
        <v>21883</v>
      </c>
      <c r="S1203" s="448">
        <f t="shared" si="164"/>
        <v>73.395941640114032</v>
      </c>
    </row>
    <row r="1204" spans="2:19" x14ac:dyDescent="0.2">
      <c r="B1204" s="6">
        <f t="shared" si="165"/>
        <v>702</v>
      </c>
      <c r="C1204" s="12"/>
      <c r="D1204" s="12"/>
      <c r="E1204" s="12"/>
      <c r="F1204" s="13"/>
      <c r="G1204" s="19">
        <v>632</v>
      </c>
      <c r="H1204" s="17" t="s">
        <v>131</v>
      </c>
      <c r="I1204" s="20">
        <v>3400</v>
      </c>
      <c r="J1204" s="20">
        <v>3117</v>
      </c>
      <c r="K1204" s="397">
        <f t="shared" si="171"/>
        <v>91.67647058823529</v>
      </c>
      <c r="L1204" s="20"/>
      <c r="M1204" s="20"/>
      <c r="N1204" s="20"/>
      <c r="O1204" s="397"/>
      <c r="P1204" s="20"/>
      <c r="Q1204" s="21">
        <f t="shared" si="169"/>
        <v>3400</v>
      </c>
      <c r="R1204" s="21">
        <f t="shared" si="170"/>
        <v>3117</v>
      </c>
      <c r="S1204" s="448">
        <f t="shared" si="164"/>
        <v>91.67647058823529</v>
      </c>
    </row>
    <row r="1205" spans="2:19" x14ac:dyDescent="0.2">
      <c r="B1205" s="6">
        <f t="shared" si="165"/>
        <v>703</v>
      </c>
      <c r="C1205" s="17"/>
      <c r="D1205" s="17"/>
      <c r="E1205" s="17"/>
      <c r="F1205" s="18"/>
      <c r="G1205" s="19">
        <v>633</v>
      </c>
      <c r="H1205" s="17" t="s">
        <v>122</v>
      </c>
      <c r="I1205" s="20">
        <v>23795</v>
      </c>
      <c r="J1205" s="20">
        <v>17415</v>
      </c>
      <c r="K1205" s="397">
        <f t="shared" si="171"/>
        <v>73.18764446312251</v>
      </c>
      <c r="L1205" s="20"/>
      <c r="M1205" s="20"/>
      <c r="N1205" s="20"/>
      <c r="O1205" s="397"/>
      <c r="P1205" s="20"/>
      <c r="Q1205" s="21">
        <f t="shared" si="169"/>
        <v>23795</v>
      </c>
      <c r="R1205" s="21">
        <f t="shared" si="170"/>
        <v>17415</v>
      </c>
      <c r="S1205" s="448">
        <f t="shared" si="164"/>
        <v>73.18764446312251</v>
      </c>
    </row>
    <row r="1206" spans="2:19" x14ac:dyDescent="0.2">
      <c r="B1206" s="6">
        <f t="shared" si="165"/>
        <v>704</v>
      </c>
      <c r="C1206" s="17"/>
      <c r="D1206" s="17"/>
      <c r="E1206" s="17"/>
      <c r="F1206" s="18"/>
      <c r="G1206" s="19">
        <v>635</v>
      </c>
      <c r="H1206" s="17" t="s">
        <v>130</v>
      </c>
      <c r="I1206" s="20">
        <v>1000</v>
      </c>
      <c r="J1206" s="20">
        <v>259</v>
      </c>
      <c r="K1206" s="397">
        <f t="shared" si="171"/>
        <v>25.900000000000002</v>
      </c>
      <c r="L1206" s="20"/>
      <c r="M1206" s="20"/>
      <c r="N1206" s="20"/>
      <c r="O1206" s="397"/>
      <c r="P1206" s="20"/>
      <c r="Q1206" s="21">
        <f t="shared" si="169"/>
        <v>1000</v>
      </c>
      <c r="R1206" s="21">
        <f t="shared" si="170"/>
        <v>259</v>
      </c>
      <c r="S1206" s="448">
        <f t="shared" si="164"/>
        <v>25.900000000000002</v>
      </c>
    </row>
    <row r="1207" spans="2:19" x14ac:dyDescent="0.2">
      <c r="B1207" s="6">
        <f t="shared" si="165"/>
        <v>705</v>
      </c>
      <c r="C1207" s="17"/>
      <c r="D1207" s="17"/>
      <c r="E1207" s="17"/>
      <c r="F1207" s="18"/>
      <c r="G1207" s="19">
        <v>637</v>
      </c>
      <c r="H1207" s="17" t="s">
        <v>119</v>
      </c>
      <c r="I1207" s="20">
        <f>1420+200</f>
        <v>1620</v>
      </c>
      <c r="J1207" s="20">
        <v>1092</v>
      </c>
      <c r="K1207" s="397">
        <f t="shared" si="171"/>
        <v>67.407407407407405</v>
      </c>
      <c r="L1207" s="20"/>
      <c r="M1207" s="20"/>
      <c r="N1207" s="20"/>
      <c r="O1207" s="397"/>
      <c r="P1207" s="20"/>
      <c r="Q1207" s="21">
        <f t="shared" si="169"/>
        <v>1620</v>
      </c>
      <c r="R1207" s="21">
        <f t="shared" si="170"/>
        <v>1092</v>
      </c>
      <c r="S1207" s="448">
        <f t="shared" ref="S1207:S1270" si="172">R1207/Q1207*100</f>
        <v>67.407407407407405</v>
      </c>
    </row>
    <row r="1208" spans="2:19" x14ac:dyDescent="0.2">
      <c r="B1208" s="6">
        <f t="shared" ref="B1208:B1271" si="173">B1207+1</f>
        <v>706</v>
      </c>
      <c r="C1208" s="12"/>
      <c r="D1208" s="12"/>
      <c r="E1208" s="12"/>
      <c r="F1208" s="13" t="s">
        <v>157</v>
      </c>
      <c r="G1208" s="14">
        <v>640</v>
      </c>
      <c r="H1208" s="12" t="s">
        <v>126</v>
      </c>
      <c r="I1208" s="15">
        <v>450</v>
      </c>
      <c r="J1208" s="15">
        <v>362</v>
      </c>
      <c r="K1208" s="397">
        <f t="shared" si="171"/>
        <v>80.444444444444443</v>
      </c>
      <c r="L1208" s="15"/>
      <c r="M1208" s="15"/>
      <c r="N1208" s="15"/>
      <c r="O1208" s="397"/>
      <c r="P1208" s="15"/>
      <c r="Q1208" s="16">
        <f t="shared" si="169"/>
        <v>450</v>
      </c>
      <c r="R1208" s="16">
        <f t="shared" si="170"/>
        <v>362</v>
      </c>
      <c r="S1208" s="448">
        <f t="shared" si="172"/>
        <v>80.444444444444443</v>
      </c>
    </row>
    <row r="1209" spans="2:19" x14ac:dyDescent="0.2">
      <c r="B1209" s="6">
        <f t="shared" si="173"/>
        <v>707</v>
      </c>
      <c r="C1209" s="107"/>
      <c r="D1209" s="107"/>
      <c r="E1209" s="107" t="s">
        <v>85</v>
      </c>
      <c r="F1209" s="108"/>
      <c r="G1209" s="108"/>
      <c r="H1209" s="107" t="s">
        <v>193</v>
      </c>
      <c r="I1209" s="109">
        <f>I1210+I1211+I1212+I1217</f>
        <v>67364</v>
      </c>
      <c r="J1209" s="109">
        <f>J1210+J1211+J1212+J1217</f>
        <v>52799</v>
      </c>
      <c r="K1209" s="415">
        <f t="shared" si="171"/>
        <v>78.378659224511608</v>
      </c>
      <c r="L1209" s="15"/>
      <c r="M1209" s="109"/>
      <c r="N1209" s="109"/>
      <c r="O1209" s="415"/>
      <c r="P1209" s="15"/>
      <c r="Q1209" s="110">
        <f t="shared" si="169"/>
        <v>67364</v>
      </c>
      <c r="R1209" s="110">
        <f t="shared" si="170"/>
        <v>52799</v>
      </c>
      <c r="S1209" s="467">
        <f t="shared" si="172"/>
        <v>78.378659224511608</v>
      </c>
    </row>
    <row r="1210" spans="2:19" x14ac:dyDescent="0.2">
      <c r="B1210" s="6">
        <f t="shared" si="173"/>
        <v>708</v>
      </c>
      <c r="C1210" s="12"/>
      <c r="D1210" s="12"/>
      <c r="E1210" s="12"/>
      <c r="F1210" s="13" t="s">
        <v>157</v>
      </c>
      <c r="G1210" s="14">
        <v>610</v>
      </c>
      <c r="H1210" s="12" t="s">
        <v>128</v>
      </c>
      <c r="I1210" s="15">
        <f>21704+1200-540</f>
        <v>22364</v>
      </c>
      <c r="J1210" s="15">
        <v>22364</v>
      </c>
      <c r="K1210" s="397">
        <f t="shared" si="171"/>
        <v>100</v>
      </c>
      <c r="L1210" s="15"/>
      <c r="M1210" s="15"/>
      <c r="N1210" s="15"/>
      <c r="O1210" s="397"/>
      <c r="P1210" s="15"/>
      <c r="Q1210" s="16">
        <f t="shared" si="169"/>
        <v>22364</v>
      </c>
      <c r="R1210" s="16">
        <f t="shared" si="170"/>
        <v>22364</v>
      </c>
      <c r="S1210" s="448">
        <f t="shared" si="172"/>
        <v>100</v>
      </c>
    </row>
    <row r="1211" spans="2:19" x14ac:dyDescent="0.2">
      <c r="B1211" s="6">
        <f t="shared" si="173"/>
        <v>709</v>
      </c>
      <c r="C1211" s="12"/>
      <c r="D1211" s="12"/>
      <c r="E1211" s="12"/>
      <c r="F1211" s="13" t="s">
        <v>157</v>
      </c>
      <c r="G1211" s="14">
        <v>620</v>
      </c>
      <c r="H1211" s="12" t="s">
        <v>121</v>
      </c>
      <c r="I1211" s="15">
        <f>8261+431+165</f>
        <v>8857</v>
      </c>
      <c r="J1211" s="15">
        <v>8723</v>
      </c>
      <c r="K1211" s="397">
        <f t="shared" si="171"/>
        <v>98.487072372135032</v>
      </c>
      <c r="L1211" s="15"/>
      <c r="M1211" s="15"/>
      <c r="N1211" s="15"/>
      <c r="O1211" s="397"/>
      <c r="P1211" s="15"/>
      <c r="Q1211" s="16">
        <f t="shared" si="169"/>
        <v>8857</v>
      </c>
      <c r="R1211" s="16">
        <f t="shared" si="170"/>
        <v>8723</v>
      </c>
      <c r="S1211" s="448">
        <f t="shared" si="172"/>
        <v>98.487072372135032</v>
      </c>
    </row>
    <row r="1212" spans="2:19" x14ac:dyDescent="0.2">
      <c r="B1212" s="6">
        <f t="shared" si="173"/>
        <v>710</v>
      </c>
      <c r="C1212" s="12"/>
      <c r="D1212" s="12"/>
      <c r="E1212" s="12"/>
      <c r="F1212" s="13" t="s">
        <v>157</v>
      </c>
      <c r="G1212" s="14">
        <v>630</v>
      </c>
      <c r="H1212" s="12" t="s">
        <v>118</v>
      </c>
      <c r="I1212" s="15">
        <f>SUM(I1213:I1216)</f>
        <v>35693</v>
      </c>
      <c r="J1212" s="15">
        <f>SUM(J1213:J1216)</f>
        <v>21262</v>
      </c>
      <c r="K1212" s="397">
        <f t="shared" si="171"/>
        <v>59.569103185498562</v>
      </c>
      <c r="L1212" s="15"/>
      <c r="M1212" s="15"/>
      <c r="N1212" s="15"/>
      <c r="O1212" s="397"/>
      <c r="P1212" s="15"/>
      <c r="Q1212" s="16">
        <f t="shared" si="169"/>
        <v>35693</v>
      </c>
      <c r="R1212" s="16">
        <f t="shared" si="170"/>
        <v>21262</v>
      </c>
      <c r="S1212" s="448">
        <f t="shared" si="172"/>
        <v>59.569103185498562</v>
      </c>
    </row>
    <row r="1213" spans="2:19" x14ac:dyDescent="0.2">
      <c r="B1213" s="6">
        <f t="shared" si="173"/>
        <v>711</v>
      </c>
      <c r="C1213" s="12"/>
      <c r="D1213" s="12"/>
      <c r="E1213" s="12"/>
      <c r="F1213" s="13"/>
      <c r="G1213" s="19">
        <v>632</v>
      </c>
      <c r="H1213" s="17" t="s">
        <v>131</v>
      </c>
      <c r="I1213" s="20">
        <v>3900</v>
      </c>
      <c r="J1213" s="20">
        <v>3805</v>
      </c>
      <c r="K1213" s="397">
        <f t="shared" si="171"/>
        <v>97.564102564102555</v>
      </c>
      <c r="L1213" s="20"/>
      <c r="M1213" s="20"/>
      <c r="N1213" s="20"/>
      <c r="O1213" s="397"/>
      <c r="P1213" s="20"/>
      <c r="Q1213" s="21">
        <f t="shared" si="169"/>
        <v>3900</v>
      </c>
      <c r="R1213" s="21">
        <f t="shared" si="170"/>
        <v>3805</v>
      </c>
      <c r="S1213" s="448">
        <f t="shared" si="172"/>
        <v>97.564102564102555</v>
      </c>
    </row>
    <row r="1214" spans="2:19" x14ac:dyDescent="0.2">
      <c r="B1214" s="6">
        <f t="shared" si="173"/>
        <v>712</v>
      </c>
      <c r="C1214" s="17"/>
      <c r="D1214" s="17"/>
      <c r="E1214" s="17"/>
      <c r="F1214" s="18"/>
      <c r="G1214" s="19">
        <v>633</v>
      </c>
      <c r="H1214" s="17" t="s">
        <v>122</v>
      </c>
      <c r="I1214" s="20">
        <v>27353</v>
      </c>
      <c r="J1214" s="20">
        <v>16285</v>
      </c>
      <c r="K1214" s="397">
        <f t="shared" si="171"/>
        <v>59.536431104449235</v>
      </c>
      <c r="L1214" s="20"/>
      <c r="M1214" s="20"/>
      <c r="N1214" s="20"/>
      <c r="O1214" s="397"/>
      <c r="P1214" s="20"/>
      <c r="Q1214" s="21">
        <f t="shared" si="169"/>
        <v>27353</v>
      </c>
      <c r="R1214" s="21">
        <f t="shared" si="170"/>
        <v>16285</v>
      </c>
      <c r="S1214" s="448">
        <f t="shared" si="172"/>
        <v>59.536431104449235</v>
      </c>
    </row>
    <row r="1215" spans="2:19" x14ac:dyDescent="0.2">
      <c r="B1215" s="6">
        <f t="shared" si="173"/>
        <v>713</v>
      </c>
      <c r="C1215" s="17"/>
      <c r="D1215" s="17"/>
      <c r="E1215" s="17"/>
      <c r="F1215" s="18"/>
      <c r="G1215" s="19">
        <v>635</v>
      </c>
      <c r="H1215" s="17" t="s">
        <v>130</v>
      </c>
      <c r="I1215" s="20">
        <v>3000</v>
      </c>
      <c r="J1215" s="20">
        <v>384</v>
      </c>
      <c r="K1215" s="397">
        <f t="shared" si="171"/>
        <v>12.8</v>
      </c>
      <c r="L1215" s="20"/>
      <c r="M1215" s="20"/>
      <c r="N1215" s="20"/>
      <c r="O1215" s="397"/>
      <c r="P1215" s="20"/>
      <c r="Q1215" s="21">
        <f t="shared" si="169"/>
        <v>3000</v>
      </c>
      <c r="R1215" s="21">
        <f t="shared" si="170"/>
        <v>384</v>
      </c>
      <c r="S1215" s="448">
        <f t="shared" si="172"/>
        <v>12.8</v>
      </c>
    </row>
    <row r="1216" spans="2:19" x14ac:dyDescent="0.2">
      <c r="B1216" s="6">
        <f t="shared" si="173"/>
        <v>714</v>
      </c>
      <c r="C1216" s="17"/>
      <c r="D1216" s="17"/>
      <c r="E1216" s="17"/>
      <c r="F1216" s="18"/>
      <c r="G1216" s="19">
        <v>637</v>
      </c>
      <c r="H1216" s="17" t="s">
        <v>119</v>
      </c>
      <c r="I1216" s="20">
        <f>1340+100</f>
        <v>1440</v>
      </c>
      <c r="J1216" s="20">
        <v>788</v>
      </c>
      <c r="K1216" s="397">
        <f t="shared" si="171"/>
        <v>54.722222222222229</v>
      </c>
      <c r="L1216" s="20"/>
      <c r="M1216" s="20"/>
      <c r="N1216" s="20"/>
      <c r="O1216" s="397"/>
      <c r="P1216" s="20"/>
      <c r="Q1216" s="21">
        <f t="shared" si="169"/>
        <v>1440</v>
      </c>
      <c r="R1216" s="21">
        <f t="shared" si="170"/>
        <v>788</v>
      </c>
      <c r="S1216" s="448">
        <f t="shared" si="172"/>
        <v>54.722222222222229</v>
      </c>
    </row>
    <row r="1217" spans="2:19" x14ac:dyDescent="0.2">
      <c r="B1217" s="6">
        <f t="shared" si="173"/>
        <v>715</v>
      </c>
      <c r="C1217" s="12"/>
      <c r="D1217" s="12"/>
      <c r="E1217" s="12"/>
      <c r="F1217" s="13" t="s">
        <v>157</v>
      </c>
      <c r="G1217" s="14">
        <v>640</v>
      </c>
      <c r="H1217" s="12" t="s">
        <v>126</v>
      </c>
      <c r="I1217" s="15">
        <v>450</v>
      </c>
      <c r="J1217" s="15">
        <v>450</v>
      </c>
      <c r="K1217" s="397">
        <f t="shared" si="171"/>
        <v>100</v>
      </c>
      <c r="L1217" s="15"/>
      <c r="M1217" s="15"/>
      <c r="N1217" s="15"/>
      <c r="O1217" s="397"/>
      <c r="P1217" s="15"/>
      <c r="Q1217" s="16">
        <f t="shared" si="169"/>
        <v>450</v>
      </c>
      <c r="R1217" s="16">
        <f t="shared" si="170"/>
        <v>450</v>
      </c>
      <c r="S1217" s="448">
        <f t="shared" si="172"/>
        <v>100</v>
      </c>
    </row>
    <row r="1218" spans="2:19" x14ac:dyDescent="0.2">
      <c r="B1218" s="6">
        <f t="shared" si="173"/>
        <v>716</v>
      </c>
      <c r="C1218" s="107"/>
      <c r="D1218" s="107"/>
      <c r="E1218" s="107" t="s">
        <v>86</v>
      </c>
      <c r="F1218" s="108"/>
      <c r="G1218" s="108"/>
      <c r="H1218" s="107" t="s">
        <v>87</v>
      </c>
      <c r="I1218" s="109">
        <f>I1219+I1220+I1221+I1226</f>
        <v>191834</v>
      </c>
      <c r="J1218" s="109">
        <f>J1219+J1220+J1221+J1226</f>
        <v>165150</v>
      </c>
      <c r="K1218" s="415">
        <f t="shared" si="171"/>
        <v>86.090057028472529</v>
      </c>
      <c r="L1218" s="15"/>
      <c r="M1218" s="109"/>
      <c r="N1218" s="109"/>
      <c r="O1218" s="415"/>
      <c r="P1218" s="15"/>
      <c r="Q1218" s="110">
        <f t="shared" si="169"/>
        <v>191834</v>
      </c>
      <c r="R1218" s="110">
        <f t="shared" si="170"/>
        <v>165150</v>
      </c>
      <c r="S1218" s="467">
        <f t="shared" si="172"/>
        <v>86.090057028472529</v>
      </c>
    </row>
    <row r="1219" spans="2:19" x14ac:dyDescent="0.2">
      <c r="B1219" s="6">
        <f t="shared" si="173"/>
        <v>717</v>
      </c>
      <c r="C1219" s="12"/>
      <c r="D1219" s="12"/>
      <c r="E1219" s="12"/>
      <c r="F1219" s="13" t="s">
        <v>157</v>
      </c>
      <c r="G1219" s="14">
        <v>610</v>
      </c>
      <c r="H1219" s="12" t="s">
        <v>128</v>
      </c>
      <c r="I1219" s="15">
        <f>56004+3600+4013</f>
        <v>63617</v>
      </c>
      <c r="J1219" s="15">
        <v>63616</v>
      </c>
      <c r="K1219" s="397">
        <f t="shared" si="171"/>
        <v>99.998428093119756</v>
      </c>
      <c r="L1219" s="15"/>
      <c r="M1219" s="15"/>
      <c r="N1219" s="15"/>
      <c r="O1219" s="397"/>
      <c r="P1219" s="15"/>
      <c r="Q1219" s="16">
        <f t="shared" si="169"/>
        <v>63617</v>
      </c>
      <c r="R1219" s="16">
        <f t="shared" si="170"/>
        <v>63616</v>
      </c>
      <c r="S1219" s="448">
        <f t="shared" si="172"/>
        <v>99.998428093119756</v>
      </c>
    </row>
    <row r="1220" spans="2:19" x14ac:dyDescent="0.2">
      <c r="B1220" s="6">
        <f t="shared" si="173"/>
        <v>718</v>
      </c>
      <c r="C1220" s="12"/>
      <c r="D1220" s="12"/>
      <c r="E1220" s="12"/>
      <c r="F1220" s="13" t="s">
        <v>157</v>
      </c>
      <c r="G1220" s="14">
        <v>620</v>
      </c>
      <c r="H1220" s="12" t="s">
        <v>121</v>
      </c>
      <c r="I1220" s="15">
        <f>21821+1294+364</f>
        <v>23479</v>
      </c>
      <c r="J1220" s="15">
        <v>23479</v>
      </c>
      <c r="K1220" s="397">
        <f t="shared" si="171"/>
        <v>100</v>
      </c>
      <c r="L1220" s="15"/>
      <c r="M1220" s="15"/>
      <c r="N1220" s="15"/>
      <c r="O1220" s="397"/>
      <c r="P1220" s="15"/>
      <c r="Q1220" s="16">
        <f t="shared" si="169"/>
        <v>23479</v>
      </c>
      <c r="R1220" s="16">
        <f t="shared" si="170"/>
        <v>23479</v>
      </c>
      <c r="S1220" s="448">
        <f t="shared" si="172"/>
        <v>100</v>
      </c>
    </row>
    <row r="1221" spans="2:19" x14ac:dyDescent="0.2">
      <c r="B1221" s="6">
        <f t="shared" si="173"/>
        <v>719</v>
      </c>
      <c r="C1221" s="12"/>
      <c r="D1221" s="12"/>
      <c r="E1221" s="12"/>
      <c r="F1221" s="13" t="s">
        <v>157</v>
      </c>
      <c r="G1221" s="14">
        <v>630</v>
      </c>
      <c r="H1221" s="12" t="s">
        <v>118</v>
      </c>
      <c r="I1221" s="15">
        <f>SUM(I1222:I1225)</f>
        <v>104288</v>
      </c>
      <c r="J1221" s="15">
        <f>SUM(J1222:J1225)</f>
        <v>77667</v>
      </c>
      <c r="K1221" s="397">
        <f t="shared" si="171"/>
        <v>74.473573181957647</v>
      </c>
      <c r="L1221" s="15"/>
      <c r="M1221" s="15"/>
      <c r="N1221" s="15"/>
      <c r="O1221" s="397"/>
      <c r="P1221" s="15"/>
      <c r="Q1221" s="16">
        <f t="shared" si="169"/>
        <v>104288</v>
      </c>
      <c r="R1221" s="16">
        <f t="shared" si="170"/>
        <v>77667</v>
      </c>
      <c r="S1221" s="448">
        <f t="shared" si="172"/>
        <v>74.473573181957647</v>
      </c>
    </row>
    <row r="1222" spans="2:19" x14ac:dyDescent="0.2">
      <c r="B1222" s="6">
        <f t="shared" si="173"/>
        <v>720</v>
      </c>
      <c r="C1222" s="17"/>
      <c r="D1222" s="17"/>
      <c r="E1222" s="17"/>
      <c r="F1222" s="18"/>
      <c r="G1222" s="19">
        <v>632</v>
      </c>
      <c r="H1222" s="17" t="s">
        <v>131</v>
      </c>
      <c r="I1222" s="20">
        <f>1222+10000</f>
        <v>11222</v>
      </c>
      <c r="J1222" s="20">
        <v>10805</v>
      </c>
      <c r="K1222" s="397">
        <f t="shared" si="171"/>
        <v>96.284084833363039</v>
      </c>
      <c r="L1222" s="20"/>
      <c r="M1222" s="20"/>
      <c r="N1222" s="20"/>
      <c r="O1222" s="397"/>
      <c r="P1222" s="20"/>
      <c r="Q1222" s="21">
        <f t="shared" si="169"/>
        <v>11222</v>
      </c>
      <c r="R1222" s="21">
        <f t="shared" si="170"/>
        <v>10805</v>
      </c>
      <c r="S1222" s="448">
        <f t="shared" si="172"/>
        <v>96.284084833363039</v>
      </c>
    </row>
    <row r="1223" spans="2:19" x14ac:dyDescent="0.2">
      <c r="B1223" s="6">
        <f t="shared" si="173"/>
        <v>721</v>
      </c>
      <c r="C1223" s="17"/>
      <c r="D1223" s="17"/>
      <c r="E1223" s="17"/>
      <c r="F1223" s="18"/>
      <c r="G1223" s="19">
        <v>633</v>
      </c>
      <c r="H1223" s="17" t="s">
        <v>122</v>
      </c>
      <c r="I1223" s="20">
        <v>80746</v>
      </c>
      <c r="J1223" s="20">
        <v>56005</v>
      </c>
      <c r="K1223" s="397">
        <f t="shared" si="171"/>
        <v>69.359472915067002</v>
      </c>
      <c r="L1223" s="20"/>
      <c r="M1223" s="20"/>
      <c r="N1223" s="20"/>
      <c r="O1223" s="397"/>
      <c r="P1223" s="20"/>
      <c r="Q1223" s="21">
        <f t="shared" si="169"/>
        <v>80746</v>
      </c>
      <c r="R1223" s="21">
        <f t="shared" si="170"/>
        <v>56005</v>
      </c>
      <c r="S1223" s="448">
        <f t="shared" si="172"/>
        <v>69.359472915067002</v>
      </c>
    </row>
    <row r="1224" spans="2:19" x14ac:dyDescent="0.2">
      <c r="B1224" s="6">
        <f t="shared" si="173"/>
        <v>722</v>
      </c>
      <c r="C1224" s="17"/>
      <c r="D1224" s="17"/>
      <c r="E1224" s="17"/>
      <c r="F1224" s="18"/>
      <c r="G1224" s="19">
        <v>635</v>
      </c>
      <c r="H1224" s="17" t="s">
        <v>130</v>
      </c>
      <c r="I1224" s="20">
        <v>6200</v>
      </c>
      <c r="J1224" s="20">
        <v>5471</v>
      </c>
      <c r="K1224" s="397">
        <f t="shared" si="171"/>
        <v>88.241935483870975</v>
      </c>
      <c r="L1224" s="20"/>
      <c r="M1224" s="20"/>
      <c r="N1224" s="20"/>
      <c r="O1224" s="397"/>
      <c r="P1224" s="20"/>
      <c r="Q1224" s="21">
        <f t="shared" si="169"/>
        <v>6200</v>
      </c>
      <c r="R1224" s="21">
        <f t="shared" si="170"/>
        <v>5471</v>
      </c>
      <c r="S1224" s="448">
        <f t="shared" si="172"/>
        <v>88.241935483870975</v>
      </c>
    </row>
    <row r="1225" spans="2:19" x14ac:dyDescent="0.2">
      <c r="B1225" s="6">
        <f t="shared" si="173"/>
        <v>723</v>
      </c>
      <c r="C1225" s="17"/>
      <c r="D1225" s="17"/>
      <c r="E1225" s="17"/>
      <c r="F1225" s="18"/>
      <c r="G1225" s="19">
        <v>637</v>
      </c>
      <c r="H1225" s="17" t="s">
        <v>119</v>
      </c>
      <c r="I1225" s="20">
        <f>5720+400</f>
        <v>6120</v>
      </c>
      <c r="J1225" s="20">
        <v>5386</v>
      </c>
      <c r="K1225" s="397">
        <f t="shared" si="171"/>
        <v>88.006535947712422</v>
      </c>
      <c r="L1225" s="20"/>
      <c r="M1225" s="20"/>
      <c r="N1225" s="20"/>
      <c r="O1225" s="397"/>
      <c r="P1225" s="20"/>
      <c r="Q1225" s="21">
        <f t="shared" si="169"/>
        <v>6120</v>
      </c>
      <c r="R1225" s="21">
        <f t="shared" si="170"/>
        <v>5386</v>
      </c>
      <c r="S1225" s="448">
        <f t="shared" si="172"/>
        <v>88.006535947712422</v>
      </c>
    </row>
    <row r="1226" spans="2:19" x14ac:dyDescent="0.2">
      <c r="B1226" s="6">
        <f t="shared" si="173"/>
        <v>724</v>
      </c>
      <c r="C1226" s="12"/>
      <c r="D1226" s="12"/>
      <c r="E1226" s="12"/>
      <c r="F1226" s="13" t="s">
        <v>157</v>
      </c>
      <c r="G1226" s="14">
        <v>640</v>
      </c>
      <c r="H1226" s="12" t="s">
        <v>126</v>
      </c>
      <c r="I1226" s="15">
        <v>450</v>
      </c>
      <c r="J1226" s="15">
        <v>388</v>
      </c>
      <c r="K1226" s="397">
        <f t="shared" si="171"/>
        <v>86.222222222222229</v>
      </c>
      <c r="L1226" s="15"/>
      <c r="M1226" s="15"/>
      <c r="N1226" s="15"/>
      <c r="O1226" s="397"/>
      <c r="P1226" s="15"/>
      <c r="Q1226" s="16">
        <f t="shared" si="169"/>
        <v>450</v>
      </c>
      <c r="R1226" s="16">
        <f t="shared" si="170"/>
        <v>388</v>
      </c>
      <c r="S1226" s="448">
        <f t="shared" si="172"/>
        <v>86.222222222222229</v>
      </c>
    </row>
    <row r="1227" spans="2:19" ht="15" x14ac:dyDescent="0.25">
      <c r="B1227" s="6">
        <f t="shared" si="173"/>
        <v>725</v>
      </c>
      <c r="C1227" s="97"/>
      <c r="D1227" s="97"/>
      <c r="E1227" s="97">
        <v>6</v>
      </c>
      <c r="F1227" s="98"/>
      <c r="G1227" s="98"/>
      <c r="H1227" s="97" t="s">
        <v>279</v>
      </c>
      <c r="I1227" s="99">
        <f>I1228+I1229+I1230+I1235+I1236+I1237+I1238+I1243</f>
        <v>428612</v>
      </c>
      <c r="J1227" s="99">
        <f>J1228+J1229+J1230+J1235+J1236+J1237+J1238+J1243</f>
        <v>381424</v>
      </c>
      <c r="K1227" s="414">
        <f t="shared" si="171"/>
        <v>88.990508898490944</v>
      </c>
      <c r="L1227" s="313"/>
      <c r="M1227" s="99">
        <f>M1244</f>
        <v>41379</v>
      </c>
      <c r="N1227" s="99">
        <f>N1244</f>
        <v>37337</v>
      </c>
      <c r="O1227" s="414">
        <f>N1227/M1227*100</f>
        <v>90.23176007153387</v>
      </c>
      <c r="P1227" s="313"/>
      <c r="Q1227" s="100">
        <f t="shared" si="169"/>
        <v>469991</v>
      </c>
      <c r="R1227" s="100">
        <f t="shared" si="170"/>
        <v>418761</v>
      </c>
      <c r="S1227" s="464">
        <f t="shared" si="172"/>
        <v>89.099791272598836</v>
      </c>
    </row>
    <row r="1228" spans="2:19" x14ac:dyDescent="0.2">
      <c r="B1228" s="6">
        <f t="shared" si="173"/>
        <v>726</v>
      </c>
      <c r="C1228" s="12"/>
      <c r="D1228" s="12"/>
      <c r="E1228" s="12"/>
      <c r="F1228" s="13" t="s">
        <v>79</v>
      </c>
      <c r="G1228" s="14">
        <v>610</v>
      </c>
      <c r="H1228" s="12" t="s">
        <v>128</v>
      </c>
      <c r="I1228" s="15">
        <f>53242+10557+55+4915</f>
        <v>68769</v>
      </c>
      <c r="J1228" s="15">
        <v>68769</v>
      </c>
      <c r="K1228" s="397">
        <f t="shared" si="171"/>
        <v>100</v>
      </c>
      <c r="L1228" s="15"/>
      <c r="M1228" s="15"/>
      <c r="N1228" s="15"/>
      <c r="O1228" s="397"/>
      <c r="P1228" s="15"/>
      <c r="Q1228" s="16">
        <f t="shared" si="169"/>
        <v>68769</v>
      </c>
      <c r="R1228" s="16">
        <f t="shared" si="170"/>
        <v>68769</v>
      </c>
      <c r="S1228" s="448">
        <f t="shared" si="172"/>
        <v>100</v>
      </c>
    </row>
    <row r="1229" spans="2:19" x14ac:dyDescent="0.2">
      <c r="B1229" s="6">
        <f t="shared" si="173"/>
        <v>727</v>
      </c>
      <c r="C1229" s="12"/>
      <c r="D1229" s="12"/>
      <c r="E1229" s="12"/>
      <c r="F1229" s="13" t="s">
        <v>79</v>
      </c>
      <c r="G1229" s="14">
        <v>620</v>
      </c>
      <c r="H1229" s="12" t="s">
        <v>121</v>
      </c>
      <c r="I1229" s="15">
        <f>19167+2725-55+3095</f>
        <v>24932</v>
      </c>
      <c r="J1229" s="15">
        <v>24932</v>
      </c>
      <c r="K1229" s="397">
        <f t="shared" si="171"/>
        <v>100</v>
      </c>
      <c r="L1229" s="15"/>
      <c r="M1229" s="15"/>
      <c r="N1229" s="15"/>
      <c r="O1229" s="397"/>
      <c r="P1229" s="15"/>
      <c r="Q1229" s="16">
        <f t="shared" si="169"/>
        <v>24932</v>
      </c>
      <c r="R1229" s="16">
        <f t="shared" si="170"/>
        <v>24932</v>
      </c>
      <c r="S1229" s="448">
        <f t="shared" si="172"/>
        <v>100</v>
      </c>
    </row>
    <row r="1230" spans="2:19" x14ac:dyDescent="0.2">
      <c r="B1230" s="6">
        <f t="shared" si="173"/>
        <v>728</v>
      </c>
      <c r="C1230" s="12"/>
      <c r="D1230" s="12"/>
      <c r="E1230" s="12"/>
      <c r="F1230" s="13" t="s">
        <v>79</v>
      </c>
      <c r="G1230" s="14">
        <v>630</v>
      </c>
      <c r="H1230" s="12" t="s">
        <v>118</v>
      </c>
      <c r="I1230" s="15">
        <f>SUM(I1231:I1234)</f>
        <v>110242</v>
      </c>
      <c r="J1230" s="15">
        <f>SUM(J1231:J1234)</f>
        <v>90061</v>
      </c>
      <c r="K1230" s="397">
        <f t="shared" si="171"/>
        <v>81.693909762159606</v>
      </c>
      <c r="L1230" s="15"/>
      <c r="M1230" s="15"/>
      <c r="N1230" s="15"/>
      <c r="O1230" s="397"/>
      <c r="P1230" s="15"/>
      <c r="Q1230" s="16">
        <f t="shared" si="169"/>
        <v>110242</v>
      </c>
      <c r="R1230" s="16">
        <f t="shared" si="170"/>
        <v>90061</v>
      </c>
      <c r="S1230" s="448">
        <f t="shared" si="172"/>
        <v>81.693909762159606</v>
      </c>
    </row>
    <row r="1231" spans="2:19" x14ac:dyDescent="0.2">
      <c r="B1231" s="6">
        <f t="shared" si="173"/>
        <v>729</v>
      </c>
      <c r="C1231" s="17"/>
      <c r="D1231" s="17"/>
      <c r="E1231" s="17"/>
      <c r="F1231" s="18"/>
      <c r="G1231" s="19">
        <v>632</v>
      </c>
      <c r="H1231" s="17" t="s">
        <v>131</v>
      </c>
      <c r="I1231" s="20">
        <f>26971+1184</f>
        <v>28155</v>
      </c>
      <c r="J1231" s="20">
        <v>15656</v>
      </c>
      <c r="K1231" s="397">
        <f t="shared" si="171"/>
        <v>55.60646421594744</v>
      </c>
      <c r="L1231" s="20"/>
      <c r="M1231" s="20"/>
      <c r="N1231" s="20"/>
      <c r="O1231" s="397"/>
      <c r="P1231" s="20"/>
      <c r="Q1231" s="21">
        <f t="shared" si="169"/>
        <v>28155</v>
      </c>
      <c r="R1231" s="21">
        <f t="shared" si="170"/>
        <v>15656</v>
      </c>
      <c r="S1231" s="448">
        <f t="shared" si="172"/>
        <v>55.60646421594744</v>
      </c>
    </row>
    <row r="1232" spans="2:19" x14ac:dyDescent="0.2">
      <c r="B1232" s="6">
        <f t="shared" si="173"/>
        <v>730</v>
      </c>
      <c r="C1232" s="17"/>
      <c r="D1232" s="17"/>
      <c r="E1232" s="17"/>
      <c r="F1232" s="18"/>
      <c r="G1232" s="19">
        <v>633</v>
      </c>
      <c r="H1232" s="17" t="s">
        <v>122</v>
      </c>
      <c r="I1232" s="20">
        <f>101130-4039-11726-8010</f>
        <v>77355</v>
      </c>
      <c r="J1232" s="20">
        <v>69673</v>
      </c>
      <c r="K1232" s="397">
        <f t="shared" si="171"/>
        <v>90.069161657294288</v>
      </c>
      <c r="L1232" s="20"/>
      <c r="M1232" s="20"/>
      <c r="N1232" s="20"/>
      <c r="O1232" s="397"/>
      <c r="P1232" s="20"/>
      <c r="Q1232" s="21">
        <f t="shared" si="169"/>
        <v>77355</v>
      </c>
      <c r="R1232" s="21">
        <f t="shared" si="170"/>
        <v>69673</v>
      </c>
      <c r="S1232" s="448">
        <f t="shared" si="172"/>
        <v>90.069161657294288</v>
      </c>
    </row>
    <row r="1233" spans="2:19" x14ac:dyDescent="0.2">
      <c r="B1233" s="6">
        <f t="shared" si="173"/>
        <v>731</v>
      </c>
      <c r="C1233" s="17"/>
      <c r="D1233" s="17"/>
      <c r="E1233" s="17"/>
      <c r="F1233" s="18"/>
      <c r="G1233" s="19">
        <v>635</v>
      </c>
      <c r="H1233" s="17" t="s">
        <v>130</v>
      </c>
      <c r="I1233" s="20">
        <f>5821-5186</f>
        <v>635</v>
      </c>
      <c r="J1233" s="20">
        <v>635</v>
      </c>
      <c r="K1233" s="397">
        <f t="shared" si="171"/>
        <v>100</v>
      </c>
      <c r="L1233" s="20"/>
      <c r="M1233" s="20"/>
      <c r="N1233" s="20"/>
      <c r="O1233" s="397"/>
      <c r="P1233" s="20"/>
      <c r="Q1233" s="21">
        <f t="shared" si="169"/>
        <v>635</v>
      </c>
      <c r="R1233" s="21">
        <f t="shared" si="170"/>
        <v>635</v>
      </c>
      <c r="S1233" s="448">
        <f t="shared" si="172"/>
        <v>100</v>
      </c>
    </row>
    <row r="1234" spans="2:19" x14ac:dyDescent="0.2">
      <c r="B1234" s="6">
        <f t="shared" si="173"/>
        <v>732</v>
      </c>
      <c r="C1234" s="17"/>
      <c r="D1234" s="17"/>
      <c r="E1234" s="17"/>
      <c r="F1234" s="18"/>
      <c r="G1234" s="19">
        <v>637</v>
      </c>
      <c r="H1234" s="17" t="s">
        <v>119</v>
      </c>
      <c r="I1234" s="20">
        <f>3019+1078</f>
        <v>4097</v>
      </c>
      <c r="J1234" s="20">
        <v>4097</v>
      </c>
      <c r="K1234" s="397">
        <f t="shared" si="171"/>
        <v>100</v>
      </c>
      <c r="L1234" s="20"/>
      <c r="M1234" s="20"/>
      <c r="N1234" s="20"/>
      <c r="O1234" s="397"/>
      <c r="P1234" s="20"/>
      <c r="Q1234" s="21">
        <f t="shared" si="169"/>
        <v>4097</v>
      </c>
      <c r="R1234" s="21">
        <f t="shared" si="170"/>
        <v>4097</v>
      </c>
      <c r="S1234" s="448">
        <f t="shared" si="172"/>
        <v>100</v>
      </c>
    </row>
    <row r="1235" spans="2:19" x14ac:dyDescent="0.2">
      <c r="B1235" s="6">
        <f t="shared" si="173"/>
        <v>733</v>
      </c>
      <c r="C1235" s="12"/>
      <c r="D1235" s="12"/>
      <c r="E1235" s="12"/>
      <c r="F1235" s="13" t="s">
        <v>79</v>
      </c>
      <c r="G1235" s="14">
        <v>640</v>
      </c>
      <c r="H1235" s="12" t="s">
        <v>126</v>
      </c>
      <c r="I1235" s="15">
        <f>2275-275</f>
        <v>2000</v>
      </c>
      <c r="J1235" s="15">
        <v>0</v>
      </c>
      <c r="K1235" s="397">
        <f t="shared" si="171"/>
        <v>0</v>
      </c>
      <c r="L1235" s="15"/>
      <c r="M1235" s="15"/>
      <c r="N1235" s="15"/>
      <c r="O1235" s="397"/>
      <c r="P1235" s="15"/>
      <c r="Q1235" s="16">
        <f t="shared" si="169"/>
        <v>2000</v>
      </c>
      <c r="R1235" s="16">
        <f t="shared" si="170"/>
        <v>0</v>
      </c>
      <c r="S1235" s="448">
        <f t="shared" si="172"/>
        <v>0</v>
      </c>
    </row>
    <row r="1236" spans="2:19" x14ac:dyDescent="0.2">
      <c r="B1236" s="6">
        <f t="shared" si="173"/>
        <v>734</v>
      </c>
      <c r="C1236" s="12"/>
      <c r="D1236" s="12"/>
      <c r="E1236" s="12"/>
      <c r="F1236" s="13" t="s">
        <v>49</v>
      </c>
      <c r="G1236" s="14">
        <v>610</v>
      </c>
      <c r="H1236" s="12" t="s">
        <v>128</v>
      </c>
      <c r="I1236" s="15">
        <f>58202+5600-333-25</f>
        <v>63444</v>
      </c>
      <c r="J1236" s="15">
        <v>63444</v>
      </c>
      <c r="K1236" s="397">
        <f t="shared" si="171"/>
        <v>100</v>
      </c>
      <c r="L1236" s="15"/>
      <c r="M1236" s="15"/>
      <c r="N1236" s="15"/>
      <c r="O1236" s="397"/>
      <c r="P1236" s="15"/>
      <c r="Q1236" s="16">
        <f t="shared" si="169"/>
        <v>63444</v>
      </c>
      <c r="R1236" s="16">
        <f t="shared" si="170"/>
        <v>63444</v>
      </c>
      <c r="S1236" s="448">
        <f t="shared" si="172"/>
        <v>100</v>
      </c>
    </row>
    <row r="1237" spans="2:19" x14ac:dyDescent="0.2">
      <c r="B1237" s="6">
        <f t="shared" si="173"/>
        <v>735</v>
      </c>
      <c r="C1237" s="12"/>
      <c r="D1237" s="12"/>
      <c r="E1237" s="12"/>
      <c r="F1237" s="13" t="s">
        <v>49</v>
      </c>
      <c r="G1237" s="14">
        <v>620</v>
      </c>
      <c r="H1237" s="12" t="s">
        <v>121</v>
      </c>
      <c r="I1237" s="15">
        <f>20953+2016+25</f>
        <v>22994</v>
      </c>
      <c r="J1237" s="15">
        <v>22994</v>
      </c>
      <c r="K1237" s="397">
        <f t="shared" si="171"/>
        <v>100</v>
      </c>
      <c r="L1237" s="15"/>
      <c r="M1237" s="15"/>
      <c r="N1237" s="15"/>
      <c r="O1237" s="397"/>
      <c r="P1237" s="15"/>
      <c r="Q1237" s="16">
        <f t="shared" si="169"/>
        <v>22994</v>
      </c>
      <c r="R1237" s="16">
        <f t="shared" si="170"/>
        <v>22994</v>
      </c>
      <c r="S1237" s="448">
        <f t="shared" si="172"/>
        <v>100</v>
      </c>
    </row>
    <row r="1238" spans="2:19" x14ac:dyDescent="0.2">
      <c r="B1238" s="6">
        <f t="shared" si="173"/>
        <v>736</v>
      </c>
      <c r="C1238" s="12"/>
      <c r="D1238" s="12"/>
      <c r="E1238" s="12"/>
      <c r="F1238" s="13" t="s">
        <v>49</v>
      </c>
      <c r="G1238" s="14">
        <v>630</v>
      </c>
      <c r="H1238" s="12" t="s">
        <v>118</v>
      </c>
      <c r="I1238" s="15">
        <f>SUM(I1239:I1242)</f>
        <v>132372</v>
      </c>
      <c r="J1238" s="15">
        <f>SUM(J1239:J1242)</f>
        <v>107432</v>
      </c>
      <c r="K1238" s="397">
        <f t="shared" si="171"/>
        <v>81.159157525760733</v>
      </c>
      <c r="L1238" s="15"/>
      <c r="M1238" s="15"/>
      <c r="N1238" s="15"/>
      <c r="O1238" s="397"/>
      <c r="P1238" s="15"/>
      <c r="Q1238" s="16">
        <f t="shared" si="169"/>
        <v>132372</v>
      </c>
      <c r="R1238" s="16">
        <f t="shared" si="170"/>
        <v>107432</v>
      </c>
      <c r="S1238" s="448">
        <f t="shared" si="172"/>
        <v>81.159157525760733</v>
      </c>
    </row>
    <row r="1239" spans="2:19" x14ac:dyDescent="0.2">
      <c r="B1239" s="6">
        <f t="shared" si="173"/>
        <v>737</v>
      </c>
      <c r="C1239" s="17"/>
      <c r="D1239" s="17"/>
      <c r="E1239" s="17"/>
      <c r="F1239" s="18"/>
      <c r="G1239" s="19">
        <v>632</v>
      </c>
      <c r="H1239" s="17" t="s">
        <v>131</v>
      </c>
      <c r="I1239" s="20">
        <f>26972+1080</f>
        <v>28052</v>
      </c>
      <c r="J1239" s="20">
        <v>15552</v>
      </c>
      <c r="K1239" s="397">
        <f t="shared" si="171"/>
        <v>55.439897333523461</v>
      </c>
      <c r="L1239" s="20"/>
      <c r="M1239" s="20"/>
      <c r="N1239" s="20"/>
      <c r="O1239" s="397"/>
      <c r="P1239" s="20"/>
      <c r="Q1239" s="21">
        <f t="shared" si="169"/>
        <v>28052</v>
      </c>
      <c r="R1239" s="21">
        <f t="shared" si="170"/>
        <v>15552</v>
      </c>
      <c r="S1239" s="448">
        <f t="shared" si="172"/>
        <v>55.439897333523461</v>
      </c>
    </row>
    <row r="1240" spans="2:19" x14ac:dyDescent="0.2">
      <c r="B1240" s="6">
        <f t="shared" si="173"/>
        <v>738</v>
      </c>
      <c r="C1240" s="17"/>
      <c r="D1240" s="17"/>
      <c r="E1240" s="17"/>
      <c r="F1240" s="18"/>
      <c r="G1240" s="19">
        <v>633</v>
      </c>
      <c r="H1240" s="17" t="s">
        <v>122</v>
      </c>
      <c r="I1240" s="20">
        <f>104250-4040-726</f>
        <v>99484</v>
      </c>
      <c r="J1240" s="20">
        <v>87045</v>
      </c>
      <c r="K1240" s="397">
        <f t="shared" si="171"/>
        <v>87.496481846327043</v>
      </c>
      <c r="L1240" s="20"/>
      <c r="M1240" s="20"/>
      <c r="N1240" s="20"/>
      <c r="O1240" s="397"/>
      <c r="P1240" s="20"/>
      <c r="Q1240" s="21">
        <f t="shared" si="169"/>
        <v>99484</v>
      </c>
      <c r="R1240" s="21">
        <f t="shared" si="170"/>
        <v>87045</v>
      </c>
      <c r="S1240" s="448">
        <f t="shared" si="172"/>
        <v>87.496481846327043</v>
      </c>
    </row>
    <row r="1241" spans="2:19" x14ac:dyDescent="0.2">
      <c r="B1241" s="6">
        <f t="shared" si="173"/>
        <v>739</v>
      </c>
      <c r="C1241" s="17"/>
      <c r="D1241" s="17"/>
      <c r="E1241" s="17"/>
      <c r="F1241" s="18"/>
      <c r="G1241" s="19">
        <v>635</v>
      </c>
      <c r="H1241" s="17" t="s">
        <v>130</v>
      </c>
      <c r="I1241" s="20">
        <f>5821-5186</f>
        <v>635</v>
      </c>
      <c r="J1241" s="20">
        <v>635</v>
      </c>
      <c r="K1241" s="397">
        <f t="shared" si="171"/>
        <v>100</v>
      </c>
      <c r="L1241" s="20"/>
      <c r="M1241" s="20"/>
      <c r="N1241" s="20"/>
      <c r="O1241" s="397"/>
      <c r="P1241" s="20"/>
      <c r="Q1241" s="21">
        <f t="shared" si="169"/>
        <v>635</v>
      </c>
      <c r="R1241" s="21">
        <f t="shared" si="170"/>
        <v>635</v>
      </c>
      <c r="S1241" s="448">
        <f t="shared" si="172"/>
        <v>100</v>
      </c>
    </row>
    <row r="1242" spans="2:19" x14ac:dyDescent="0.2">
      <c r="B1242" s="6">
        <f t="shared" si="173"/>
        <v>740</v>
      </c>
      <c r="C1242" s="17"/>
      <c r="D1242" s="17"/>
      <c r="E1242" s="17"/>
      <c r="F1242" s="18"/>
      <c r="G1242" s="19">
        <v>637</v>
      </c>
      <c r="H1242" s="17" t="s">
        <v>119</v>
      </c>
      <c r="I1242" s="20">
        <f>3019+1182</f>
        <v>4201</v>
      </c>
      <c r="J1242" s="20">
        <v>4200</v>
      </c>
      <c r="K1242" s="397">
        <f t="shared" si="171"/>
        <v>99.976196143775283</v>
      </c>
      <c r="L1242" s="20"/>
      <c r="M1242" s="20"/>
      <c r="N1242" s="20"/>
      <c r="O1242" s="397"/>
      <c r="P1242" s="20"/>
      <c r="Q1242" s="21">
        <f t="shared" si="169"/>
        <v>4201</v>
      </c>
      <c r="R1242" s="21">
        <f t="shared" si="170"/>
        <v>4200</v>
      </c>
      <c r="S1242" s="448">
        <f t="shared" si="172"/>
        <v>99.976196143775283</v>
      </c>
    </row>
    <row r="1243" spans="2:19" x14ac:dyDescent="0.2">
      <c r="B1243" s="6">
        <f t="shared" si="173"/>
        <v>741</v>
      </c>
      <c r="C1243" s="12"/>
      <c r="D1243" s="12"/>
      <c r="E1243" s="12"/>
      <c r="F1243" s="13" t="s">
        <v>49</v>
      </c>
      <c r="G1243" s="14">
        <v>640</v>
      </c>
      <c r="H1243" s="12" t="s">
        <v>126</v>
      </c>
      <c r="I1243" s="15">
        <f>275+333+3251</f>
        <v>3859</v>
      </c>
      <c r="J1243" s="15">
        <v>3792</v>
      </c>
      <c r="K1243" s="397">
        <f t="shared" si="171"/>
        <v>98.263798911635135</v>
      </c>
      <c r="L1243" s="15"/>
      <c r="M1243" s="15"/>
      <c r="N1243" s="15"/>
      <c r="O1243" s="397"/>
      <c r="P1243" s="15"/>
      <c r="Q1243" s="16">
        <f t="shared" si="169"/>
        <v>3859</v>
      </c>
      <c r="R1243" s="16">
        <f t="shared" si="170"/>
        <v>3792</v>
      </c>
      <c r="S1243" s="448">
        <f t="shared" si="172"/>
        <v>98.263798911635135</v>
      </c>
    </row>
    <row r="1244" spans="2:19" x14ac:dyDescent="0.2">
      <c r="B1244" s="6">
        <f t="shared" si="173"/>
        <v>742</v>
      </c>
      <c r="C1244" s="12"/>
      <c r="D1244" s="12"/>
      <c r="E1244" s="12"/>
      <c r="F1244" s="13" t="s">
        <v>49</v>
      </c>
      <c r="G1244" s="14">
        <v>710</v>
      </c>
      <c r="H1244" s="12" t="s">
        <v>172</v>
      </c>
      <c r="I1244" s="15"/>
      <c r="J1244" s="15"/>
      <c r="K1244" s="397"/>
      <c r="L1244" s="15"/>
      <c r="M1244" s="15">
        <f>M1245+M1247</f>
        <v>41379</v>
      </c>
      <c r="N1244" s="15">
        <f>N1245+N1247</f>
        <v>37337</v>
      </c>
      <c r="O1244" s="397">
        <f t="shared" ref="O1244:O1249" si="174">N1244/M1244*100</f>
        <v>90.23176007153387</v>
      </c>
      <c r="P1244" s="15"/>
      <c r="Q1244" s="16">
        <f t="shared" si="169"/>
        <v>41379</v>
      </c>
      <c r="R1244" s="16">
        <f t="shared" si="170"/>
        <v>37337</v>
      </c>
      <c r="S1244" s="448">
        <f t="shared" si="172"/>
        <v>90.23176007153387</v>
      </c>
    </row>
    <row r="1245" spans="2:19" x14ac:dyDescent="0.2">
      <c r="B1245" s="6">
        <f t="shared" si="173"/>
        <v>743</v>
      </c>
      <c r="C1245" s="12"/>
      <c r="D1245" s="12"/>
      <c r="E1245" s="12"/>
      <c r="F1245" s="13"/>
      <c r="G1245" s="19">
        <v>713</v>
      </c>
      <c r="H1245" s="17" t="s">
        <v>216</v>
      </c>
      <c r="I1245" s="15"/>
      <c r="J1245" s="15"/>
      <c r="K1245" s="397"/>
      <c r="L1245" s="15"/>
      <c r="M1245" s="20">
        <f>M1246</f>
        <v>15379</v>
      </c>
      <c r="N1245" s="20">
        <f>N1246</f>
        <v>15379</v>
      </c>
      <c r="O1245" s="397">
        <f t="shared" si="174"/>
        <v>100</v>
      </c>
      <c r="P1245" s="15"/>
      <c r="Q1245" s="21">
        <f t="shared" si="169"/>
        <v>15379</v>
      </c>
      <c r="R1245" s="21">
        <f t="shared" si="170"/>
        <v>15379</v>
      </c>
      <c r="S1245" s="448">
        <f t="shared" si="172"/>
        <v>100</v>
      </c>
    </row>
    <row r="1246" spans="2:19" x14ac:dyDescent="0.2">
      <c r="B1246" s="6">
        <f t="shared" si="173"/>
        <v>744</v>
      </c>
      <c r="C1246" s="12"/>
      <c r="D1246" s="12"/>
      <c r="E1246" s="12"/>
      <c r="F1246" s="13"/>
      <c r="G1246" s="23"/>
      <c r="H1246" s="1" t="s">
        <v>726</v>
      </c>
      <c r="I1246" s="15"/>
      <c r="J1246" s="15"/>
      <c r="K1246" s="397"/>
      <c r="L1246" s="15"/>
      <c r="M1246" s="24">
        <f>8079+7300</f>
        <v>15379</v>
      </c>
      <c r="N1246" s="24">
        <v>15379</v>
      </c>
      <c r="O1246" s="397">
        <f t="shared" si="174"/>
        <v>100</v>
      </c>
      <c r="P1246" s="15"/>
      <c r="Q1246" s="26">
        <f t="shared" si="169"/>
        <v>15379</v>
      </c>
      <c r="R1246" s="26">
        <f t="shared" si="170"/>
        <v>15379</v>
      </c>
      <c r="S1246" s="448">
        <f t="shared" si="172"/>
        <v>100</v>
      </c>
    </row>
    <row r="1247" spans="2:19" x14ac:dyDescent="0.2">
      <c r="B1247" s="6">
        <f t="shared" si="173"/>
        <v>745</v>
      </c>
      <c r="C1247" s="12"/>
      <c r="D1247" s="12"/>
      <c r="E1247" s="12"/>
      <c r="F1247" s="18"/>
      <c r="G1247" s="19">
        <v>717</v>
      </c>
      <c r="H1247" s="17" t="s">
        <v>179</v>
      </c>
      <c r="I1247" s="15"/>
      <c r="J1247" s="15"/>
      <c r="K1247" s="397"/>
      <c r="L1247" s="15"/>
      <c r="M1247" s="20">
        <f>M1248</f>
        <v>26000</v>
      </c>
      <c r="N1247" s="20">
        <f>N1248</f>
        <v>21958</v>
      </c>
      <c r="O1247" s="397">
        <f t="shared" si="174"/>
        <v>84.453846153846158</v>
      </c>
      <c r="P1247" s="15"/>
      <c r="Q1247" s="21">
        <f t="shared" si="169"/>
        <v>26000</v>
      </c>
      <c r="R1247" s="21">
        <f t="shared" si="170"/>
        <v>21958</v>
      </c>
      <c r="S1247" s="448">
        <f t="shared" si="172"/>
        <v>84.453846153846158</v>
      </c>
    </row>
    <row r="1248" spans="2:19" x14ac:dyDescent="0.2">
      <c r="B1248" s="6">
        <f t="shared" si="173"/>
        <v>746</v>
      </c>
      <c r="C1248" s="12"/>
      <c r="D1248" s="12"/>
      <c r="E1248" s="12"/>
      <c r="F1248" s="101"/>
      <c r="G1248" s="23"/>
      <c r="H1248" s="1" t="s">
        <v>650</v>
      </c>
      <c r="I1248" s="15"/>
      <c r="J1248" s="15"/>
      <c r="K1248" s="397"/>
      <c r="L1248" s="15"/>
      <c r="M1248" s="24">
        <v>26000</v>
      </c>
      <c r="N1248" s="24">
        <v>21958</v>
      </c>
      <c r="O1248" s="397">
        <f t="shared" si="174"/>
        <v>84.453846153846158</v>
      </c>
      <c r="P1248" s="20"/>
      <c r="Q1248" s="21">
        <f t="shared" si="169"/>
        <v>26000</v>
      </c>
      <c r="R1248" s="21">
        <f t="shared" si="170"/>
        <v>21958</v>
      </c>
      <c r="S1248" s="448">
        <f t="shared" si="172"/>
        <v>84.453846153846158</v>
      </c>
    </row>
    <row r="1249" spans="2:19" ht="15" x14ac:dyDescent="0.25">
      <c r="B1249" s="6">
        <f t="shared" si="173"/>
        <v>747</v>
      </c>
      <c r="C1249" s="97"/>
      <c r="D1249" s="97"/>
      <c r="E1249" s="97">
        <v>7</v>
      </c>
      <c r="F1249" s="98"/>
      <c r="G1249" s="98"/>
      <c r="H1249" s="97" t="s">
        <v>281</v>
      </c>
      <c r="I1249" s="99">
        <f>I1250+I1251+I1252+I1255+I1256+I1257+I1258+I1263</f>
        <v>482784</v>
      </c>
      <c r="J1249" s="99">
        <f>J1250+J1251+J1252+J1255+J1256+J1257+J1258+J1263</f>
        <v>475597</v>
      </c>
      <c r="K1249" s="414">
        <f t="shared" ref="K1249:K1263" si="175">J1249/I1249*100</f>
        <v>98.51134254656327</v>
      </c>
      <c r="L1249" s="313"/>
      <c r="M1249" s="99">
        <f>M1264</f>
        <v>1611037</v>
      </c>
      <c r="N1249" s="99">
        <f>N1264</f>
        <v>20681</v>
      </c>
      <c r="O1249" s="414">
        <f t="shared" si="174"/>
        <v>1.2837073263990835</v>
      </c>
      <c r="P1249" s="313"/>
      <c r="Q1249" s="100">
        <f t="shared" si="169"/>
        <v>2093821</v>
      </c>
      <c r="R1249" s="100">
        <f t="shared" si="170"/>
        <v>496278</v>
      </c>
      <c r="S1249" s="464">
        <f t="shared" si="172"/>
        <v>23.702026104428221</v>
      </c>
    </row>
    <row r="1250" spans="2:19" x14ac:dyDescent="0.2">
      <c r="B1250" s="6">
        <f t="shared" si="173"/>
        <v>748</v>
      </c>
      <c r="C1250" s="12"/>
      <c r="D1250" s="12"/>
      <c r="E1250" s="12"/>
      <c r="F1250" s="13" t="s">
        <v>79</v>
      </c>
      <c r="G1250" s="14">
        <v>610</v>
      </c>
      <c r="H1250" s="12" t="s">
        <v>128</v>
      </c>
      <c r="I1250" s="15">
        <f>64120+2120</f>
        <v>66240</v>
      </c>
      <c r="J1250" s="15">
        <v>66240</v>
      </c>
      <c r="K1250" s="397">
        <f t="shared" si="175"/>
        <v>100</v>
      </c>
      <c r="L1250" s="15"/>
      <c r="M1250" s="15"/>
      <c r="N1250" s="15"/>
      <c r="O1250" s="397"/>
      <c r="P1250" s="15"/>
      <c r="Q1250" s="16">
        <f t="shared" si="169"/>
        <v>66240</v>
      </c>
      <c r="R1250" s="16">
        <f t="shared" si="170"/>
        <v>66240</v>
      </c>
      <c r="S1250" s="448">
        <f t="shared" si="172"/>
        <v>100</v>
      </c>
    </row>
    <row r="1251" spans="2:19" x14ac:dyDescent="0.2">
      <c r="B1251" s="6">
        <f t="shared" si="173"/>
        <v>749</v>
      </c>
      <c r="C1251" s="12"/>
      <c r="D1251" s="12"/>
      <c r="E1251" s="12"/>
      <c r="F1251" s="13" t="s">
        <v>79</v>
      </c>
      <c r="G1251" s="14">
        <v>620</v>
      </c>
      <c r="H1251" s="12" t="s">
        <v>121</v>
      </c>
      <c r="I1251" s="15">
        <f>24560+800</f>
        <v>25360</v>
      </c>
      <c r="J1251" s="15">
        <v>25360</v>
      </c>
      <c r="K1251" s="397">
        <f t="shared" si="175"/>
        <v>100</v>
      </c>
      <c r="L1251" s="15"/>
      <c r="M1251" s="15"/>
      <c r="N1251" s="15"/>
      <c r="O1251" s="397"/>
      <c r="P1251" s="15"/>
      <c r="Q1251" s="16">
        <f t="shared" si="169"/>
        <v>25360</v>
      </c>
      <c r="R1251" s="16">
        <f t="shared" si="170"/>
        <v>25360</v>
      </c>
      <c r="S1251" s="448">
        <f t="shared" si="172"/>
        <v>100</v>
      </c>
    </row>
    <row r="1252" spans="2:19" x14ac:dyDescent="0.2">
      <c r="B1252" s="6">
        <f t="shared" si="173"/>
        <v>750</v>
      </c>
      <c r="C1252" s="12"/>
      <c r="D1252" s="12"/>
      <c r="E1252" s="12"/>
      <c r="F1252" s="13" t="s">
        <v>79</v>
      </c>
      <c r="G1252" s="14">
        <v>630</v>
      </c>
      <c r="H1252" s="12" t="s">
        <v>118</v>
      </c>
      <c r="I1252" s="15">
        <f>SUM(I1253:I1254)</f>
        <v>127000</v>
      </c>
      <c r="J1252" s="15">
        <f>SUM(J1253:J1254)</f>
        <v>121710</v>
      </c>
      <c r="K1252" s="397">
        <f t="shared" si="175"/>
        <v>95.834645669291348</v>
      </c>
      <c r="L1252" s="15"/>
      <c r="M1252" s="15"/>
      <c r="N1252" s="15"/>
      <c r="O1252" s="397"/>
      <c r="P1252" s="15"/>
      <c r="Q1252" s="16">
        <f t="shared" si="169"/>
        <v>127000</v>
      </c>
      <c r="R1252" s="16">
        <f t="shared" si="170"/>
        <v>121710</v>
      </c>
      <c r="S1252" s="448">
        <f t="shared" si="172"/>
        <v>95.834645669291348</v>
      </c>
    </row>
    <row r="1253" spans="2:19" x14ac:dyDescent="0.2">
      <c r="B1253" s="6">
        <f t="shared" si="173"/>
        <v>751</v>
      </c>
      <c r="C1253" s="17"/>
      <c r="D1253" s="17"/>
      <c r="E1253" s="17"/>
      <c r="F1253" s="18"/>
      <c r="G1253" s="19">
        <v>633</v>
      </c>
      <c r="H1253" s="17" t="s">
        <v>122</v>
      </c>
      <c r="I1253" s="20">
        <f>101000+10000+10000</f>
        <v>121000</v>
      </c>
      <c r="J1253" s="20">
        <v>115710</v>
      </c>
      <c r="K1253" s="397">
        <f t="shared" si="175"/>
        <v>95.628099173553721</v>
      </c>
      <c r="L1253" s="20"/>
      <c r="M1253" s="20"/>
      <c r="N1253" s="20"/>
      <c r="O1253" s="397"/>
      <c r="P1253" s="20"/>
      <c r="Q1253" s="21">
        <f t="shared" si="169"/>
        <v>121000</v>
      </c>
      <c r="R1253" s="21">
        <f t="shared" si="170"/>
        <v>115710</v>
      </c>
      <c r="S1253" s="448">
        <f t="shared" si="172"/>
        <v>95.628099173553721</v>
      </c>
    </row>
    <row r="1254" spans="2:19" x14ac:dyDescent="0.2">
      <c r="B1254" s="6">
        <f t="shared" si="173"/>
        <v>752</v>
      </c>
      <c r="C1254" s="17"/>
      <c r="D1254" s="17"/>
      <c r="E1254" s="17"/>
      <c r="F1254" s="18"/>
      <c r="G1254" s="19">
        <v>637</v>
      </c>
      <c r="H1254" s="17" t="s">
        <v>119</v>
      </c>
      <c r="I1254" s="20">
        <v>6000</v>
      </c>
      <c r="J1254" s="20">
        <v>6000</v>
      </c>
      <c r="K1254" s="397">
        <f t="shared" si="175"/>
        <v>100</v>
      </c>
      <c r="L1254" s="20"/>
      <c r="M1254" s="20"/>
      <c r="N1254" s="20"/>
      <c r="O1254" s="397"/>
      <c r="P1254" s="20"/>
      <c r="Q1254" s="21">
        <f t="shared" si="169"/>
        <v>6000</v>
      </c>
      <c r="R1254" s="21">
        <f t="shared" si="170"/>
        <v>6000</v>
      </c>
      <c r="S1254" s="448">
        <f t="shared" si="172"/>
        <v>100</v>
      </c>
    </row>
    <row r="1255" spans="2:19" x14ac:dyDescent="0.2">
      <c r="B1255" s="6">
        <f t="shared" si="173"/>
        <v>753</v>
      </c>
      <c r="C1255" s="12"/>
      <c r="D1255" s="12"/>
      <c r="E1255" s="12"/>
      <c r="F1255" s="13" t="s">
        <v>79</v>
      </c>
      <c r="G1255" s="14">
        <v>640</v>
      </c>
      <c r="H1255" s="12" t="s">
        <v>126</v>
      </c>
      <c r="I1255" s="15">
        <f>900+1947</f>
        <v>2847</v>
      </c>
      <c r="J1255" s="15">
        <v>2847</v>
      </c>
      <c r="K1255" s="397">
        <f t="shared" si="175"/>
        <v>100</v>
      </c>
      <c r="L1255" s="15"/>
      <c r="M1255" s="15"/>
      <c r="N1255" s="15"/>
      <c r="O1255" s="397"/>
      <c r="P1255" s="15"/>
      <c r="Q1255" s="16">
        <f t="shared" si="169"/>
        <v>2847</v>
      </c>
      <c r="R1255" s="16">
        <f t="shared" si="170"/>
        <v>2847</v>
      </c>
      <c r="S1255" s="448">
        <f t="shared" si="172"/>
        <v>100</v>
      </c>
    </row>
    <row r="1256" spans="2:19" x14ac:dyDescent="0.2">
      <c r="B1256" s="6">
        <f t="shared" si="173"/>
        <v>754</v>
      </c>
      <c r="C1256" s="12"/>
      <c r="D1256" s="12"/>
      <c r="E1256" s="12"/>
      <c r="F1256" s="13" t="s">
        <v>49</v>
      </c>
      <c r="G1256" s="14">
        <v>610</v>
      </c>
      <c r="H1256" s="12" t="s">
        <v>128</v>
      </c>
      <c r="I1256" s="15">
        <f>82248+9600+1000</f>
        <v>92848</v>
      </c>
      <c r="J1256" s="15">
        <v>92487</v>
      </c>
      <c r="K1256" s="397">
        <f t="shared" si="175"/>
        <v>99.611192486644839</v>
      </c>
      <c r="L1256" s="15"/>
      <c r="M1256" s="15"/>
      <c r="N1256" s="15"/>
      <c r="O1256" s="397"/>
      <c r="P1256" s="15"/>
      <c r="Q1256" s="16">
        <f t="shared" si="169"/>
        <v>92848</v>
      </c>
      <c r="R1256" s="16">
        <f t="shared" si="170"/>
        <v>92487</v>
      </c>
      <c r="S1256" s="448">
        <f t="shared" si="172"/>
        <v>99.611192486644839</v>
      </c>
    </row>
    <row r="1257" spans="2:19" x14ac:dyDescent="0.2">
      <c r="B1257" s="6">
        <f t="shared" si="173"/>
        <v>755</v>
      </c>
      <c r="C1257" s="12"/>
      <c r="D1257" s="12"/>
      <c r="E1257" s="12"/>
      <c r="F1257" s="13" t="s">
        <v>49</v>
      </c>
      <c r="G1257" s="14">
        <v>620</v>
      </c>
      <c r="H1257" s="12" t="s">
        <v>121</v>
      </c>
      <c r="I1257" s="15">
        <f>30500+3451+320</f>
        <v>34271</v>
      </c>
      <c r="J1257" s="15">
        <v>34238</v>
      </c>
      <c r="K1257" s="397">
        <f t="shared" si="175"/>
        <v>99.903708674973018</v>
      </c>
      <c r="L1257" s="15"/>
      <c r="M1257" s="15"/>
      <c r="N1257" s="15"/>
      <c r="O1257" s="397"/>
      <c r="P1257" s="15"/>
      <c r="Q1257" s="16">
        <f t="shared" ref="Q1257:Q1320" si="176">I1257+M1257</f>
        <v>34271</v>
      </c>
      <c r="R1257" s="16">
        <f t="shared" ref="R1257:R1320" si="177">J1257+N1257</f>
        <v>34238</v>
      </c>
      <c r="S1257" s="448">
        <f t="shared" si="172"/>
        <v>99.903708674973018</v>
      </c>
    </row>
    <row r="1258" spans="2:19" x14ac:dyDescent="0.2">
      <c r="B1258" s="6">
        <f t="shared" si="173"/>
        <v>756</v>
      </c>
      <c r="C1258" s="12"/>
      <c r="D1258" s="12"/>
      <c r="E1258" s="12"/>
      <c r="F1258" s="13" t="s">
        <v>49</v>
      </c>
      <c r="G1258" s="14">
        <v>630</v>
      </c>
      <c r="H1258" s="12" t="s">
        <v>118</v>
      </c>
      <c r="I1258" s="15">
        <f>SUM(I1259:I1262)</f>
        <v>133668</v>
      </c>
      <c r="J1258" s="15">
        <f>SUM(J1259:J1262)</f>
        <v>132165</v>
      </c>
      <c r="K1258" s="397">
        <f t="shared" si="175"/>
        <v>98.875572313493137</v>
      </c>
      <c r="L1258" s="15"/>
      <c r="M1258" s="15"/>
      <c r="N1258" s="15"/>
      <c r="O1258" s="397"/>
      <c r="P1258" s="15"/>
      <c r="Q1258" s="16">
        <f t="shared" si="176"/>
        <v>133668</v>
      </c>
      <c r="R1258" s="16">
        <f t="shared" si="177"/>
        <v>132165</v>
      </c>
      <c r="S1258" s="448">
        <f t="shared" si="172"/>
        <v>98.875572313493137</v>
      </c>
    </row>
    <row r="1259" spans="2:19" x14ac:dyDescent="0.2">
      <c r="B1259" s="6">
        <f t="shared" si="173"/>
        <v>757</v>
      </c>
      <c r="C1259" s="17"/>
      <c r="D1259" s="17"/>
      <c r="E1259" s="17"/>
      <c r="F1259" s="18"/>
      <c r="G1259" s="19">
        <v>632</v>
      </c>
      <c r="H1259" s="17" t="s">
        <v>131</v>
      </c>
      <c r="I1259" s="20">
        <v>4000</v>
      </c>
      <c r="J1259" s="20">
        <v>4000</v>
      </c>
      <c r="K1259" s="397">
        <f t="shared" si="175"/>
        <v>100</v>
      </c>
      <c r="L1259" s="20"/>
      <c r="M1259" s="20"/>
      <c r="N1259" s="20"/>
      <c r="O1259" s="397"/>
      <c r="P1259" s="20"/>
      <c r="Q1259" s="21">
        <f t="shared" si="176"/>
        <v>4000</v>
      </c>
      <c r="R1259" s="21">
        <f t="shared" si="177"/>
        <v>4000</v>
      </c>
      <c r="S1259" s="448">
        <f t="shared" si="172"/>
        <v>100</v>
      </c>
    </row>
    <row r="1260" spans="2:19" x14ac:dyDescent="0.2">
      <c r="B1260" s="6">
        <f t="shared" si="173"/>
        <v>758</v>
      </c>
      <c r="C1260" s="17"/>
      <c r="D1260" s="17"/>
      <c r="E1260" s="17"/>
      <c r="F1260" s="18"/>
      <c r="G1260" s="19">
        <v>633</v>
      </c>
      <c r="H1260" s="17" t="s">
        <v>122</v>
      </c>
      <c r="I1260" s="20">
        <f>132000-7282-13500+10000</f>
        <v>121218</v>
      </c>
      <c r="J1260" s="20">
        <v>119715</v>
      </c>
      <c r="K1260" s="397">
        <f t="shared" si="175"/>
        <v>98.760085135870909</v>
      </c>
      <c r="L1260" s="20"/>
      <c r="M1260" s="20"/>
      <c r="N1260" s="20"/>
      <c r="O1260" s="397"/>
      <c r="P1260" s="20"/>
      <c r="Q1260" s="21">
        <f t="shared" si="176"/>
        <v>121218</v>
      </c>
      <c r="R1260" s="21">
        <f t="shared" si="177"/>
        <v>119715</v>
      </c>
      <c r="S1260" s="448">
        <f t="shared" si="172"/>
        <v>98.760085135870909</v>
      </c>
    </row>
    <row r="1261" spans="2:19" x14ac:dyDescent="0.2">
      <c r="B1261" s="6">
        <f t="shared" si="173"/>
        <v>759</v>
      </c>
      <c r="C1261" s="17"/>
      <c r="D1261" s="17"/>
      <c r="E1261" s="17"/>
      <c r="F1261" s="18"/>
      <c r="G1261" s="19">
        <v>635</v>
      </c>
      <c r="H1261" s="17" t="s">
        <v>130</v>
      </c>
      <c r="I1261" s="20">
        <v>3000</v>
      </c>
      <c r="J1261" s="20">
        <v>3000</v>
      </c>
      <c r="K1261" s="397">
        <f t="shared" si="175"/>
        <v>100</v>
      </c>
      <c r="L1261" s="20"/>
      <c r="M1261" s="20"/>
      <c r="N1261" s="20"/>
      <c r="O1261" s="397"/>
      <c r="P1261" s="20"/>
      <c r="Q1261" s="21">
        <f t="shared" si="176"/>
        <v>3000</v>
      </c>
      <c r="R1261" s="21">
        <f t="shared" si="177"/>
        <v>3000</v>
      </c>
      <c r="S1261" s="448">
        <f t="shared" si="172"/>
        <v>100</v>
      </c>
    </row>
    <row r="1262" spans="2:19" x14ac:dyDescent="0.2">
      <c r="B1262" s="6">
        <f t="shared" si="173"/>
        <v>760</v>
      </c>
      <c r="C1262" s="17"/>
      <c r="D1262" s="17"/>
      <c r="E1262" s="17"/>
      <c r="F1262" s="18"/>
      <c r="G1262" s="19">
        <v>637</v>
      </c>
      <c r="H1262" s="17" t="s">
        <v>119</v>
      </c>
      <c r="I1262" s="20">
        <v>5450</v>
      </c>
      <c r="J1262" s="20">
        <v>5450</v>
      </c>
      <c r="K1262" s="397">
        <f t="shared" si="175"/>
        <v>100</v>
      </c>
      <c r="L1262" s="20"/>
      <c r="M1262" s="20"/>
      <c r="N1262" s="20"/>
      <c r="O1262" s="397"/>
      <c r="P1262" s="20"/>
      <c r="Q1262" s="21">
        <f t="shared" si="176"/>
        <v>5450</v>
      </c>
      <c r="R1262" s="21">
        <f t="shared" si="177"/>
        <v>5450</v>
      </c>
      <c r="S1262" s="448">
        <f t="shared" si="172"/>
        <v>100</v>
      </c>
    </row>
    <row r="1263" spans="2:19" x14ac:dyDescent="0.2">
      <c r="B1263" s="6">
        <f t="shared" si="173"/>
        <v>761</v>
      </c>
      <c r="C1263" s="12"/>
      <c r="D1263" s="12"/>
      <c r="E1263" s="12"/>
      <c r="F1263" s="13" t="s">
        <v>49</v>
      </c>
      <c r="G1263" s="14">
        <v>640</v>
      </c>
      <c r="H1263" s="12" t="s">
        <v>126</v>
      </c>
      <c r="I1263" s="15">
        <v>550</v>
      </c>
      <c r="J1263" s="15">
        <v>550</v>
      </c>
      <c r="K1263" s="397">
        <f t="shared" si="175"/>
        <v>100</v>
      </c>
      <c r="L1263" s="15"/>
      <c r="M1263" s="15"/>
      <c r="N1263" s="15"/>
      <c r="O1263" s="397"/>
      <c r="P1263" s="15"/>
      <c r="Q1263" s="16">
        <f t="shared" si="176"/>
        <v>550</v>
      </c>
      <c r="R1263" s="16">
        <f t="shared" si="177"/>
        <v>550</v>
      </c>
      <c r="S1263" s="448">
        <f t="shared" si="172"/>
        <v>100</v>
      </c>
    </row>
    <row r="1264" spans="2:19" x14ac:dyDescent="0.2">
      <c r="B1264" s="6">
        <f t="shared" si="173"/>
        <v>762</v>
      </c>
      <c r="C1264" s="12"/>
      <c r="D1264" s="12"/>
      <c r="E1264" s="12"/>
      <c r="F1264" s="13" t="s">
        <v>49</v>
      </c>
      <c r="G1264" s="14">
        <v>710</v>
      </c>
      <c r="H1264" s="12" t="s">
        <v>172</v>
      </c>
      <c r="I1264" s="15"/>
      <c r="J1264" s="15"/>
      <c r="K1264" s="397"/>
      <c r="L1264" s="15"/>
      <c r="M1264" s="15">
        <f>M1265+M1269</f>
        <v>1611037</v>
      </c>
      <c r="N1264" s="15">
        <f>N1265+N1269</f>
        <v>20681</v>
      </c>
      <c r="O1264" s="397">
        <f t="shared" ref="O1264:O1270" si="178">N1264/M1264*100</f>
        <v>1.2837073263990835</v>
      </c>
      <c r="P1264" s="15"/>
      <c r="Q1264" s="16">
        <f t="shared" si="176"/>
        <v>1611037</v>
      </c>
      <c r="R1264" s="16">
        <f t="shared" si="177"/>
        <v>20681</v>
      </c>
      <c r="S1264" s="448">
        <f t="shared" si="172"/>
        <v>1.2837073263990835</v>
      </c>
    </row>
    <row r="1265" spans="2:19" x14ac:dyDescent="0.2">
      <c r="B1265" s="6">
        <f t="shared" si="173"/>
        <v>763</v>
      </c>
      <c r="C1265" s="12"/>
      <c r="D1265" s="12"/>
      <c r="E1265" s="12"/>
      <c r="F1265" s="18"/>
      <c r="G1265" s="19">
        <v>713</v>
      </c>
      <c r="H1265" s="17" t="s">
        <v>216</v>
      </c>
      <c r="I1265" s="15"/>
      <c r="J1265" s="15"/>
      <c r="K1265" s="397"/>
      <c r="L1265" s="15"/>
      <c r="M1265" s="20">
        <f>M1266+M1267+M1268</f>
        <v>386623</v>
      </c>
      <c r="N1265" s="20">
        <f>N1266+N1267+N1268</f>
        <v>19508</v>
      </c>
      <c r="O1265" s="397">
        <f t="shared" si="178"/>
        <v>5.0457422346833996</v>
      </c>
      <c r="P1265" s="15"/>
      <c r="Q1265" s="21">
        <f t="shared" si="176"/>
        <v>386623</v>
      </c>
      <c r="R1265" s="21">
        <f t="shared" si="177"/>
        <v>19508</v>
      </c>
      <c r="S1265" s="448">
        <f t="shared" si="172"/>
        <v>5.0457422346833996</v>
      </c>
    </row>
    <row r="1266" spans="2:19" x14ac:dyDescent="0.2">
      <c r="B1266" s="6">
        <f t="shared" si="173"/>
        <v>764</v>
      </c>
      <c r="C1266" s="12"/>
      <c r="D1266" s="12"/>
      <c r="E1266" s="12"/>
      <c r="F1266" s="101"/>
      <c r="G1266" s="23"/>
      <c r="H1266" s="1" t="s">
        <v>655</v>
      </c>
      <c r="I1266" s="15"/>
      <c r="J1266" s="15"/>
      <c r="K1266" s="397"/>
      <c r="L1266" s="15"/>
      <c r="M1266" s="24">
        <v>7282</v>
      </c>
      <c r="N1266" s="24">
        <v>7282</v>
      </c>
      <c r="O1266" s="397">
        <f t="shared" si="178"/>
        <v>100</v>
      </c>
      <c r="P1266" s="15"/>
      <c r="Q1266" s="26">
        <f t="shared" si="176"/>
        <v>7282</v>
      </c>
      <c r="R1266" s="26">
        <f t="shared" si="177"/>
        <v>7282</v>
      </c>
      <c r="S1266" s="448">
        <f t="shared" si="172"/>
        <v>100</v>
      </c>
    </row>
    <row r="1267" spans="2:19" x14ac:dyDescent="0.2">
      <c r="B1267" s="6">
        <f t="shared" si="173"/>
        <v>765</v>
      </c>
      <c r="C1267" s="12"/>
      <c r="D1267" s="12"/>
      <c r="E1267" s="12"/>
      <c r="F1267" s="101"/>
      <c r="G1267" s="23"/>
      <c r="H1267" s="1" t="s">
        <v>686</v>
      </c>
      <c r="I1267" s="15"/>
      <c r="J1267" s="15"/>
      <c r="K1267" s="397"/>
      <c r="L1267" s="15"/>
      <c r="M1267" s="24">
        <v>13500</v>
      </c>
      <c r="N1267" s="24">
        <v>12226</v>
      </c>
      <c r="O1267" s="397">
        <f t="shared" si="178"/>
        <v>90.56296296296297</v>
      </c>
      <c r="P1267" s="15"/>
      <c r="Q1267" s="26">
        <f t="shared" si="176"/>
        <v>13500</v>
      </c>
      <c r="R1267" s="26">
        <f t="shared" si="177"/>
        <v>12226</v>
      </c>
      <c r="S1267" s="448">
        <f t="shared" si="172"/>
        <v>90.56296296296297</v>
      </c>
    </row>
    <row r="1268" spans="2:19" ht="24" x14ac:dyDescent="0.2">
      <c r="B1268" s="6">
        <f t="shared" si="173"/>
        <v>766</v>
      </c>
      <c r="C1268" s="12"/>
      <c r="D1268" s="12"/>
      <c r="E1268" s="12"/>
      <c r="F1268" s="101"/>
      <c r="G1268" s="23"/>
      <c r="H1268" s="39" t="s">
        <v>723</v>
      </c>
      <c r="I1268" s="15"/>
      <c r="J1268" s="15"/>
      <c r="K1268" s="397"/>
      <c r="L1268" s="15"/>
      <c r="M1268" s="24">
        <v>365841</v>
      </c>
      <c r="N1268" s="24">
        <v>0</v>
      </c>
      <c r="O1268" s="397">
        <f t="shared" si="178"/>
        <v>0</v>
      </c>
      <c r="P1268" s="15"/>
      <c r="Q1268" s="26">
        <f t="shared" si="176"/>
        <v>365841</v>
      </c>
      <c r="R1268" s="26">
        <f t="shared" si="177"/>
        <v>0</v>
      </c>
      <c r="S1268" s="448">
        <f t="shared" si="172"/>
        <v>0</v>
      </c>
    </row>
    <row r="1269" spans="2:19" x14ac:dyDescent="0.2">
      <c r="B1269" s="6">
        <f t="shared" si="173"/>
        <v>767</v>
      </c>
      <c r="C1269" s="12"/>
      <c r="D1269" s="12"/>
      <c r="E1269" s="12"/>
      <c r="F1269" s="101"/>
      <c r="G1269" s="19">
        <v>717</v>
      </c>
      <c r="H1269" s="17" t="s">
        <v>179</v>
      </c>
      <c r="I1269" s="15"/>
      <c r="J1269" s="15"/>
      <c r="K1269" s="397"/>
      <c r="L1269" s="15"/>
      <c r="M1269" s="30">
        <f>M1270</f>
        <v>1224414</v>
      </c>
      <c r="N1269" s="30">
        <f>N1270</f>
        <v>1173</v>
      </c>
      <c r="O1269" s="398">
        <f t="shared" si="178"/>
        <v>9.5800930077571803E-2</v>
      </c>
      <c r="P1269" s="15"/>
      <c r="Q1269" s="21">
        <f t="shared" si="176"/>
        <v>1224414</v>
      </c>
      <c r="R1269" s="21">
        <f t="shared" si="177"/>
        <v>1173</v>
      </c>
      <c r="S1269" s="448">
        <f t="shared" si="172"/>
        <v>9.5800930077571803E-2</v>
      </c>
    </row>
    <row r="1270" spans="2:19" ht="24" x14ac:dyDescent="0.2">
      <c r="B1270" s="6">
        <f t="shared" si="173"/>
        <v>768</v>
      </c>
      <c r="C1270" s="12"/>
      <c r="D1270" s="12"/>
      <c r="E1270" s="12"/>
      <c r="F1270" s="101"/>
      <c r="G1270" s="23"/>
      <c r="H1270" s="39" t="s">
        <v>716</v>
      </c>
      <c r="I1270" s="15"/>
      <c r="J1270" s="15"/>
      <c r="K1270" s="397"/>
      <c r="L1270" s="15"/>
      <c r="M1270" s="294">
        <v>1224414</v>
      </c>
      <c r="N1270" s="294">
        <v>1173</v>
      </c>
      <c r="O1270" s="398">
        <f t="shared" si="178"/>
        <v>9.5800930077571803E-2</v>
      </c>
      <c r="P1270" s="15"/>
      <c r="Q1270" s="26">
        <f t="shared" si="176"/>
        <v>1224414</v>
      </c>
      <c r="R1270" s="26">
        <f t="shared" si="177"/>
        <v>1173</v>
      </c>
      <c r="S1270" s="448">
        <f t="shared" si="172"/>
        <v>9.5800930077571803E-2</v>
      </c>
    </row>
    <row r="1271" spans="2:19" ht="15" x14ac:dyDescent="0.25">
      <c r="B1271" s="6">
        <f t="shared" si="173"/>
        <v>769</v>
      </c>
      <c r="C1271" s="97"/>
      <c r="D1271" s="97"/>
      <c r="E1271" s="97">
        <v>8</v>
      </c>
      <c r="F1271" s="98"/>
      <c r="G1271" s="98"/>
      <c r="H1271" s="97" t="s">
        <v>6</v>
      </c>
      <c r="I1271" s="99">
        <v>0</v>
      </c>
      <c r="J1271" s="99">
        <v>0</v>
      </c>
      <c r="K1271" s="414">
        <v>0</v>
      </c>
      <c r="L1271" s="313"/>
      <c r="M1271" s="99"/>
      <c r="N1271" s="99"/>
      <c r="O1271" s="414"/>
      <c r="P1271" s="313"/>
      <c r="Q1271" s="100">
        <f t="shared" si="176"/>
        <v>0</v>
      </c>
      <c r="R1271" s="100">
        <f t="shared" si="177"/>
        <v>0</v>
      </c>
      <c r="S1271" s="464">
        <v>0</v>
      </c>
    </row>
    <row r="1272" spans="2:19" ht="15" x14ac:dyDescent="0.25">
      <c r="B1272" s="6">
        <f t="shared" ref="B1272:B1335" si="179">B1271+1</f>
        <v>770</v>
      </c>
      <c r="C1272" s="97"/>
      <c r="D1272" s="97"/>
      <c r="E1272" s="97">
        <v>9</v>
      </c>
      <c r="F1272" s="98"/>
      <c r="G1272" s="98"/>
      <c r="H1272" s="97" t="s">
        <v>4</v>
      </c>
      <c r="I1272" s="99">
        <f>I1273+I1274+I1275+I1280+I1281+I1282+I1283+I1288</f>
        <v>428784</v>
      </c>
      <c r="J1272" s="99">
        <f>J1273+J1274+J1275+J1280+J1281+J1282+J1283+J1288</f>
        <v>417553</v>
      </c>
      <c r="K1272" s="414">
        <f t="shared" ref="K1272:K1288" si="180">J1272/I1272*100</f>
        <v>97.380732490018289</v>
      </c>
      <c r="L1272" s="313"/>
      <c r="M1272" s="99">
        <f>M1289</f>
        <v>5753</v>
      </c>
      <c r="N1272" s="99">
        <f>N1289</f>
        <v>5753</v>
      </c>
      <c r="O1272" s="414">
        <f>N1272/M1272*100</f>
        <v>100</v>
      </c>
      <c r="P1272" s="313"/>
      <c r="Q1272" s="100">
        <f t="shared" si="176"/>
        <v>434537</v>
      </c>
      <c r="R1272" s="100">
        <f t="shared" si="177"/>
        <v>423306</v>
      </c>
      <c r="S1272" s="464">
        <f t="shared" ref="S1272:S1303" si="181">R1272/Q1272*100</f>
        <v>97.415409965089282</v>
      </c>
    </row>
    <row r="1273" spans="2:19" x14ac:dyDescent="0.2">
      <c r="B1273" s="6">
        <f t="shared" si="179"/>
        <v>771</v>
      </c>
      <c r="C1273" s="12"/>
      <c r="D1273" s="12"/>
      <c r="E1273" s="12"/>
      <c r="F1273" s="13" t="s">
        <v>79</v>
      </c>
      <c r="G1273" s="14">
        <v>610</v>
      </c>
      <c r="H1273" s="12" t="s">
        <v>128</v>
      </c>
      <c r="I1273" s="15">
        <v>52000</v>
      </c>
      <c r="J1273" s="15">
        <v>52000</v>
      </c>
      <c r="K1273" s="397">
        <f t="shared" si="180"/>
        <v>100</v>
      </c>
      <c r="L1273" s="15"/>
      <c r="M1273" s="15"/>
      <c r="N1273" s="15"/>
      <c r="O1273" s="397"/>
      <c r="P1273" s="15"/>
      <c r="Q1273" s="16">
        <f t="shared" si="176"/>
        <v>52000</v>
      </c>
      <c r="R1273" s="16">
        <f t="shared" si="177"/>
        <v>52000</v>
      </c>
      <c r="S1273" s="448">
        <f t="shared" si="181"/>
        <v>100</v>
      </c>
    </row>
    <row r="1274" spans="2:19" x14ac:dyDescent="0.2">
      <c r="B1274" s="6">
        <f t="shared" si="179"/>
        <v>772</v>
      </c>
      <c r="C1274" s="12"/>
      <c r="D1274" s="12"/>
      <c r="E1274" s="12"/>
      <c r="F1274" s="13" t="s">
        <v>79</v>
      </c>
      <c r="G1274" s="14">
        <v>620</v>
      </c>
      <c r="H1274" s="12" t="s">
        <v>121</v>
      </c>
      <c r="I1274" s="15">
        <f>18980+923</f>
        <v>19903</v>
      </c>
      <c r="J1274" s="15">
        <v>19903</v>
      </c>
      <c r="K1274" s="397">
        <f t="shared" si="180"/>
        <v>100</v>
      </c>
      <c r="L1274" s="15"/>
      <c r="M1274" s="15"/>
      <c r="N1274" s="15"/>
      <c r="O1274" s="397"/>
      <c r="P1274" s="15"/>
      <c r="Q1274" s="16">
        <f t="shared" si="176"/>
        <v>19903</v>
      </c>
      <c r="R1274" s="16">
        <f t="shared" si="177"/>
        <v>19903</v>
      </c>
      <c r="S1274" s="448">
        <f t="shared" si="181"/>
        <v>100</v>
      </c>
    </row>
    <row r="1275" spans="2:19" x14ac:dyDescent="0.2">
      <c r="B1275" s="6">
        <f t="shared" si="179"/>
        <v>773</v>
      </c>
      <c r="C1275" s="12"/>
      <c r="D1275" s="12"/>
      <c r="E1275" s="12"/>
      <c r="F1275" s="13" t="s">
        <v>79</v>
      </c>
      <c r="G1275" s="14">
        <v>630</v>
      </c>
      <c r="H1275" s="12" t="s">
        <v>118</v>
      </c>
      <c r="I1275" s="15">
        <f>SUM(I1276:I1279)</f>
        <v>119806</v>
      </c>
      <c r="J1275" s="15">
        <f>SUM(J1276:J1279)</f>
        <v>118147</v>
      </c>
      <c r="K1275" s="397">
        <f t="shared" si="180"/>
        <v>98.615261339164988</v>
      </c>
      <c r="L1275" s="15"/>
      <c r="M1275" s="15"/>
      <c r="N1275" s="15"/>
      <c r="O1275" s="397"/>
      <c r="P1275" s="15"/>
      <c r="Q1275" s="16">
        <f t="shared" si="176"/>
        <v>119806</v>
      </c>
      <c r="R1275" s="16">
        <f t="shared" si="177"/>
        <v>118147</v>
      </c>
      <c r="S1275" s="448">
        <f t="shared" si="181"/>
        <v>98.615261339164988</v>
      </c>
    </row>
    <row r="1276" spans="2:19" x14ac:dyDescent="0.2">
      <c r="B1276" s="6">
        <f t="shared" si="179"/>
        <v>774</v>
      </c>
      <c r="C1276" s="17"/>
      <c r="D1276" s="17"/>
      <c r="E1276" s="17"/>
      <c r="F1276" s="18"/>
      <c r="G1276" s="19">
        <v>632</v>
      </c>
      <c r="H1276" s="17" t="s">
        <v>131</v>
      </c>
      <c r="I1276" s="20">
        <f>15200-948</f>
        <v>14252</v>
      </c>
      <c r="J1276" s="20">
        <v>14251</v>
      </c>
      <c r="K1276" s="397">
        <f t="shared" si="180"/>
        <v>99.992983440920568</v>
      </c>
      <c r="L1276" s="20"/>
      <c r="M1276" s="20"/>
      <c r="N1276" s="20"/>
      <c r="O1276" s="397"/>
      <c r="P1276" s="20"/>
      <c r="Q1276" s="21">
        <f t="shared" si="176"/>
        <v>14252</v>
      </c>
      <c r="R1276" s="21">
        <f t="shared" si="177"/>
        <v>14251</v>
      </c>
      <c r="S1276" s="448">
        <f t="shared" si="181"/>
        <v>99.992983440920568</v>
      </c>
    </row>
    <row r="1277" spans="2:19" x14ac:dyDescent="0.2">
      <c r="B1277" s="6">
        <f t="shared" si="179"/>
        <v>775</v>
      </c>
      <c r="C1277" s="17"/>
      <c r="D1277" s="17"/>
      <c r="E1277" s="17"/>
      <c r="F1277" s="18"/>
      <c r="G1277" s="19">
        <v>633</v>
      </c>
      <c r="H1277" s="17" t="s">
        <v>122</v>
      </c>
      <c r="I1277" s="20">
        <f>123054-32000</f>
        <v>91054</v>
      </c>
      <c r="J1277" s="20">
        <v>89396</v>
      </c>
      <c r="K1277" s="397">
        <f t="shared" si="180"/>
        <v>98.179102510598099</v>
      </c>
      <c r="L1277" s="20"/>
      <c r="M1277" s="20"/>
      <c r="N1277" s="20"/>
      <c r="O1277" s="397"/>
      <c r="P1277" s="20"/>
      <c r="Q1277" s="21">
        <f t="shared" si="176"/>
        <v>91054</v>
      </c>
      <c r="R1277" s="21">
        <f t="shared" si="177"/>
        <v>89396</v>
      </c>
      <c r="S1277" s="448">
        <f t="shared" si="181"/>
        <v>98.179102510598099</v>
      </c>
    </row>
    <row r="1278" spans="2:19" x14ac:dyDescent="0.2">
      <c r="B1278" s="6">
        <f t="shared" si="179"/>
        <v>776</v>
      </c>
      <c r="C1278" s="17"/>
      <c r="D1278" s="17"/>
      <c r="E1278" s="17"/>
      <c r="F1278" s="18"/>
      <c r="G1278" s="19">
        <v>635</v>
      </c>
      <c r="H1278" s="17" t="s">
        <v>130</v>
      </c>
      <c r="I1278" s="20">
        <v>6000</v>
      </c>
      <c r="J1278" s="20">
        <v>6000</v>
      </c>
      <c r="K1278" s="397">
        <f t="shared" si="180"/>
        <v>100</v>
      </c>
      <c r="L1278" s="20"/>
      <c r="M1278" s="20"/>
      <c r="N1278" s="20"/>
      <c r="O1278" s="397"/>
      <c r="P1278" s="20"/>
      <c r="Q1278" s="21">
        <f t="shared" si="176"/>
        <v>6000</v>
      </c>
      <c r="R1278" s="21">
        <f t="shared" si="177"/>
        <v>6000</v>
      </c>
      <c r="S1278" s="448">
        <f t="shared" si="181"/>
        <v>100</v>
      </c>
    </row>
    <row r="1279" spans="2:19" x14ac:dyDescent="0.2">
      <c r="B1279" s="6">
        <f t="shared" si="179"/>
        <v>777</v>
      </c>
      <c r="C1279" s="17"/>
      <c r="D1279" s="17"/>
      <c r="E1279" s="17"/>
      <c r="F1279" s="18"/>
      <c r="G1279" s="19">
        <v>637</v>
      </c>
      <c r="H1279" s="17" t="s">
        <v>119</v>
      </c>
      <c r="I1279" s="20">
        <v>8500</v>
      </c>
      <c r="J1279" s="20">
        <v>8500</v>
      </c>
      <c r="K1279" s="397">
        <f t="shared" si="180"/>
        <v>100</v>
      </c>
      <c r="L1279" s="20"/>
      <c r="M1279" s="20"/>
      <c r="N1279" s="20"/>
      <c r="O1279" s="397"/>
      <c r="P1279" s="20"/>
      <c r="Q1279" s="21">
        <f t="shared" si="176"/>
        <v>8500</v>
      </c>
      <c r="R1279" s="21">
        <f t="shared" si="177"/>
        <v>8500</v>
      </c>
      <c r="S1279" s="448">
        <f t="shared" si="181"/>
        <v>100</v>
      </c>
    </row>
    <row r="1280" spans="2:19" x14ac:dyDescent="0.2">
      <c r="B1280" s="6">
        <f t="shared" si="179"/>
        <v>778</v>
      </c>
      <c r="C1280" s="12"/>
      <c r="D1280" s="12"/>
      <c r="E1280" s="12"/>
      <c r="F1280" s="13" t="s">
        <v>79</v>
      </c>
      <c r="G1280" s="14">
        <v>640</v>
      </c>
      <c r="H1280" s="12" t="s">
        <v>126</v>
      </c>
      <c r="I1280" s="15">
        <f>500+332+948</f>
        <v>1780</v>
      </c>
      <c r="J1280" s="15">
        <v>1780</v>
      </c>
      <c r="K1280" s="397">
        <f t="shared" si="180"/>
        <v>100</v>
      </c>
      <c r="L1280" s="15"/>
      <c r="M1280" s="15"/>
      <c r="N1280" s="15"/>
      <c r="O1280" s="397"/>
      <c r="P1280" s="15"/>
      <c r="Q1280" s="16">
        <f t="shared" si="176"/>
        <v>1780</v>
      </c>
      <c r="R1280" s="16">
        <f t="shared" si="177"/>
        <v>1780</v>
      </c>
      <c r="S1280" s="448">
        <f t="shared" si="181"/>
        <v>100</v>
      </c>
    </row>
    <row r="1281" spans="2:19" x14ac:dyDescent="0.2">
      <c r="B1281" s="6">
        <f t="shared" si="179"/>
        <v>779</v>
      </c>
      <c r="C1281" s="12"/>
      <c r="D1281" s="12"/>
      <c r="E1281" s="12"/>
      <c r="F1281" s="13" t="s">
        <v>49</v>
      </c>
      <c r="G1281" s="14">
        <v>610</v>
      </c>
      <c r="H1281" s="12" t="s">
        <v>128</v>
      </c>
      <c r="I1281" s="15">
        <f>52000+6400+1900</f>
        <v>60300</v>
      </c>
      <c r="J1281" s="15">
        <v>60300</v>
      </c>
      <c r="K1281" s="397">
        <f t="shared" si="180"/>
        <v>100</v>
      </c>
      <c r="L1281" s="15"/>
      <c r="M1281" s="15"/>
      <c r="N1281" s="15"/>
      <c r="O1281" s="397"/>
      <c r="P1281" s="15"/>
      <c r="Q1281" s="16">
        <f t="shared" si="176"/>
        <v>60300</v>
      </c>
      <c r="R1281" s="16">
        <f t="shared" si="177"/>
        <v>60300</v>
      </c>
      <c r="S1281" s="448">
        <f t="shared" si="181"/>
        <v>100</v>
      </c>
    </row>
    <row r="1282" spans="2:19" x14ac:dyDescent="0.2">
      <c r="B1282" s="6">
        <f t="shared" si="179"/>
        <v>780</v>
      </c>
      <c r="C1282" s="12"/>
      <c r="D1282" s="12"/>
      <c r="E1282" s="12"/>
      <c r="F1282" s="13" t="s">
        <v>49</v>
      </c>
      <c r="G1282" s="14">
        <v>620</v>
      </c>
      <c r="H1282" s="12" t="s">
        <v>121</v>
      </c>
      <c r="I1282" s="15">
        <f>18980+924+2301+684</f>
        <v>22889</v>
      </c>
      <c r="J1282" s="15">
        <v>22889</v>
      </c>
      <c r="K1282" s="397">
        <f t="shared" si="180"/>
        <v>100</v>
      </c>
      <c r="L1282" s="15"/>
      <c r="M1282" s="15"/>
      <c r="N1282" s="15"/>
      <c r="O1282" s="397"/>
      <c r="P1282" s="15"/>
      <c r="Q1282" s="16">
        <f t="shared" si="176"/>
        <v>22889</v>
      </c>
      <c r="R1282" s="16">
        <f t="shared" si="177"/>
        <v>22889</v>
      </c>
      <c r="S1282" s="448">
        <f t="shared" si="181"/>
        <v>100</v>
      </c>
    </row>
    <row r="1283" spans="2:19" x14ac:dyDescent="0.2">
      <c r="B1283" s="6">
        <f t="shared" si="179"/>
        <v>781</v>
      </c>
      <c r="C1283" s="12"/>
      <c r="D1283" s="12"/>
      <c r="E1283" s="12"/>
      <c r="F1283" s="13" t="s">
        <v>49</v>
      </c>
      <c r="G1283" s="14">
        <v>630</v>
      </c>
      <c r="H1283" s="12" t="s">
        <v>118</v>
      </c>
      <c r="I1283" s="15">
        <f>SUM(I1284:I1287)</f>
        <v>148738</v>
      </c>
      <c r="J1283" s="15">
        <f>SUM(J1284:J1287)</f>
        <v>139166</v>
      </c>
      <c r="K1283" s="397">
        <f t="shared" si="180"/>
        <v>93.564522852263707</v>
      </c>
      <c r="L1283" s="15"/>
      <c r="M1283" s="15"/>
      <c r="N1283" s="15"/>
      <c r="O1283" s="397"/>
      <c r="P1283" s="15"/>
      <c r="Q1283" s="16">
        <f t="shared" si="176"/>
        <v>148738</v>
      </c>
      <c r="R1283" s="16">
        <f t="shared" si="177"/>
        <v>139166</v>
      </c>
      <c r="S1283" s="448">
        <f t="shared" si="181"/>
        <v>93.564522852263707</v>
      </c>
    </row>
    <row r="1284" spans="2:19" x14ac:dyDescent="0.2">
      <c r="B1284" s="6">
        <f t="shared" si="179"/>
        <v>782</v>
      </c>
      <c r="C1284" s="17"/>
      <c r="D1284" s="17"/>
      <c r="E1284" s="17"/>
      <c r="F1284" s="18"/>
      <c r="G1284" s="19">
        <v>632</v>
      </c>
      <c r="H1284" s="17" t="s">
        <v>131</v>
      </c>
      <c r="I1284" s="20">
        <f>15200-948</f>
        <v>14252</v>
      </c>
      <c r="J1284" s="20">
        <v>14251</v>
      </c>
      <c r="K1284" s="397">
        <f t="shared" si="180"/>
        <v>99.992983440920568</v>
      </c>
      <c r="L1284" s="20"/>
      <c r="M1284" s="20"/>
      <c r="N1284" s="20"/>
      <c r="O1284" s="397"/>
      <c r="P1284" s="20"/>
      <c r="Q1284" s="21">
        <f t="shared" si="176"/>
        <v>14252</v>
      </c>
      <c r="R1284" s="21">
        <f t="shared" si="177"/>
        <v>14251</v>
      </c>
      <c r="S1284" s="448">
        <f t="shared" si="181"/>
        <v>99.992983440920568</v>
      </c>
    </row>
    <row r="1285" spans="2:19" x14ac:dyDescent="0.2">
      <c r="B1285" s="6">
        <f t="shared" si="179"/>
        <v>783</v>
      </c>
      <c r="C1285" s="17"/>
      <c r="D1285" s="17"/>
      <c r="E1285" s="17"/>
      <c r="F1285" s="18"/>
      <c r="G1285" s="19">
        <v>633</v>
      </c>
      <c r="H1285" s="17" t="s">
        <v>122</v>
      </c>
      <c r="I1285" s="20">
        <f>130917-5753-5178</f>
        <v>119986</v>
      </c>
      <c r="J1285" s="20">
        <v>110481</v>
      </c>
      <c r="K1285" s="397">
        <f t="shared" si="180"/>
        <v>92.078242461620519</v>
      </c>
      <c r="L1285" s="20"/>
      <c r="M1285" s="20"/>
      <c r="N1285" s="20"/>
      <c r="O1285" s="397"/>
      <c r="P1285" s="20"/>
      <c r="Q1285" s="21">
        <f t="shared" si="176"/>
        <v>119986</v>
      </c>
      <c r="R1285" s="21">
        <f t="shared" si="177"/>
        <v>110481</v>
      </c>
      <c r="S1285" s="448">
        <f t="shared" si="181"/>
        <v>92.078242461620519</v>
      </c>
    </row>
    <row r="1286" spans="2:19" x14ac:dyDescent="0.2">
      <c r="B1286" s="6">
        <f t="shared" si="179"/>
        <v>784</v>
      </c>
      <c r="C1286" s="17"/>
      <c r="D1286" s="17"/>
      <c r="E1286" s="17"/>
      <c r="F1286" s="18"/>
      <c r="G1286" s="19">
        <v>635</v>
      </c>
      <c r="H1286" s="17" t="s">
        <v>130</v>
      </c>
      <c r="I1286" s="20">
        <v>6000</v>
      </c>
      <c r="J1286" s="20">
        <v>6000</v>
      </c>
      <c r="K1286" s="397">
        <f t="shared" si="180"/>
        <v>100</v>
      </c>
      <c r="L1286" s="20"/>
      <c r="M1286" s="20"/>
      <c r="N1286" s="20"/>
      <c r="O1286" s="397"/>
      <c r="P1286" s="20"/>
      <c r="Q1286" s="21">
        <f t="shared" si="176"/>
        <v>6000</v>
      </c>
      <c r="R1286" s="21">
        <f t="shared" si="177"/>
        <v>6000</v>
      </c>
      <c r="S1286" s="448">
        <f t="shared" si="181"/>
        <v>100</v>
      </c>
    </row>
    <row r="1287" spans="2:19" x14ac:dyDescent="0.2">
      <c r="B1287" s="6">
        <f t="shared" si="179"/>
        <v>785</v>
      </c>
      <c r="C1287" s="17"/>
      <c r="D1287" s="17"/>
      <c r="E1287" s="17"/>
      <c r="F1287" s="18"/>
      <c r="G1287" s="19">
        <v>637</v>
      </c>
      <c r="H1287" s="17" t="s">
        <v>119</v>
      </c>
      <c r="I1287" s="20">
        <v>8500</v>
      </c>
      <c r="J1287" s="20">
        <v>8434</v>
      </c>
      <c r="K1287" s="397">
        <f t="shared" si="180"/>
        <v>99.223529411764716</v>
      </c>
      <c r="L1287" s="20"/>
      <c r="M1287" s="20"/>
      <c r="N1287" s="20"/>
      <c r="O1287" s="397"/>
      <c r="P1287" s="20"/>
      <c r="Q1287" s="21">
        <f t="shared" si="176"/>
        <v>8500</v>
      </c>
      <c r="R1287" s="21">
        <f t="shared" si="177"/>
        <v>8434</v>
      </c>
      <c r="S1287" s="448">
        <f t="shared" si="181"/>
        <v>99.223529411764716</v>
      </c>
    </row>
    <row r="1288" spans="2:19" x14ac:dyDescent="0.2">
      <c r="B1288" s="6">
        <f t="shared" si="179"/>
        <v>786</v>
      </c>
      <c r="C1288" s="12"/>
      <c r="D1288" s="12"/>
      <c r="E1288" s="12"/>
      <c r="F1288" s="13" t="s">
        <v>49</v>
      </c>
      <c r="G1288" s="14">
        <v>640</v>
      </c>
      <c r="H1288" s="12" t="s">
        <v>126</v>
      </c>
      <c r="I1288" s="15">
        <f>2088+332+948</f>
        <v>3368</v>
      </c>
      <c r="J1288" s="15">
        <v>3368</v>
      </c>
      <c r="K1288" s="397">
        <f t="shared" si="180"/>
        <v>100</v>
      </c>
      <c r="L1288" s="15"/>
      <c r="M1288" s="15"/>
      <c r="N1288" s="15"/>
      <c r="O1288" s="397"/>
      <c r="P1288" s="15"/>
      <c r="Q1288" s="16">
        <f t="shared" si="176"/>
        <v>3368</v>
      </c>
      <c r="R1288" s="16">
        <f t="shared" si="177"/>
        <v>3368</v>
      </c>
      <c r="S1288" s="448">
        <f t="shared" si="181"/>
        <v>100</v>
      </c>
    </row>
    <row r="1289" spans="2:19" x14ac:dyDescent="0.2">
      <c r="B1289" s="6">
        <f t="shared" si="179"/>
        <v>787</v>
      </c>
      <c r="C1289" s="12"/>
      <c r="D1289" s="12"/>
      <c r="E1289" s="12"/>
      <c r="F1289" s="13" t="s">
        <v>49</v>
      </c>
      <c r="G1289" s="14">
        <v>710</v>
      </c>
      <c r="H1289" s="12" t="s">
        <v>172</v>
      </c>
      <c r="I1289" s="15"/>
      <c r="J1289" s="15"/>
      <c r="K1289" s="397"/>
      <c r="L1289" s="15"/>
      <c r="M1289" s="15">
        <f>M1290</f>
        <v>5753</v>
      </c>
      <c r="N1289" s="15">
        <f>N1290</f>
        <v>5753</v>
      </c>
      <c r="O1289" s="397">
        <f>N1289/M1289*100</f>
        <v>100</v>
      </c>
      <c r="P1289" s="15"/>
      <c r="Q1289" s="16">
        <f t="shared" si="176"/>
        <v>5753</v>
      </c>
      <c r="R1289" s="16">
        <f t="shared" si="177"/>
        <v>5753</v>
      </c>
      <c r="S1289" s="448">
        <f t="shared" si="181"/>
        <v>100</v>
      </c>
    </row>
    <row r="1290" spans="2:19" x14ac:dyDescent="0.2">
      <c r="B1290" s="6">
        <f t="shared" si="179"/>
        <v>788</v>
      </c>
      <c r="C1290" s="12"/>
      <c r="D1290" s="12"/>
      <c r="E1290" s="12"/>
      <c r="F1290" s="18"/>
      <c r="G1290" s="19">
        <v>713</v>
      </c>
      <c r="H1290" s="17" t="s">
        <v>216</v>
      </c>
      <c r="I1290" s="15"/>
      <c r="J1290" s="15"/>
      <c r="K1290" s="397"/>
      <c r="L1290" s="15"/>
      <c r="M1290" s="20">
        <f>M1291</f>
        <v>5753</v>
      </c>
      <c r="N1290" s="20">
        <f>N1291</f>
        <v>5753</v>
      </c>
      <c r="O1290" s="397">
        <f>N1290/M1290*100</f>
        <v>100</v>
      </c>
      <c r="P1290" s="15"/>
      <c r="Q1290" s="21">
        <f t="shared" si="176"/>
        <v>5753</v>
      </c>
      <c r="R1290" s="21">
        <f t="shared" si="177"/>
        <v>5753</v>
      </c>
      <c r="S1290" s="448">
        <f t="shared" si="181"/>
        <v>100</v>
      </c>
    </row>
    <row r="1291" spans="2:19" x14ac:dyDescent="0.2">
      <c r="B1291" s="6">
        <f t="shared" si="179"/>
        <v>789</v>
      </c>
      <c r="C1291" s="12"/>
      <c r="D1291" s="12"/>
      <c r="E1291" s="12"/>
      <c r="F1291" s="101"/>
      <c r="G1291" s="23"/>
      <c r="H1291" s="1" t="s">
        <v>710</v>
      </c>
      <c r="I1291" s="15"/>
      <c r="J1291" s="15"/>
      <c r="K1291" s="397"/>
      <c r="L1291" s="15"/>
      <c r="M1291" s="24">
        <v>5753</v>
      </c>
      <c r="N1291" s="24">
        <v>5753</v>
      </c>
      <c r="O1291" s="397">
        <f>N1291/M1291*100</f>
        <v>100</v>
      </c>
      <c r="P1291" s="15"/>
      <c r="Q1291" s="26">
        <f t="shared" si="176"/>
        <v>5753</v>
      </c>
      <c r="R1291" s="26">
        <f t="shared" si="177"/>
        <v>5753</v>
      </c>
      <c r="S1291" s="448">
        <f t="shared" si="181"/>
        <v>100</v>
      </c>
    </row>
    <row r="1292" spans="2:19" ht="15" x14ac:dyDescent="0.25">
      <c r="B1292" s="6">
        <f t="shared" si="179"/>
        <v>790</v>
      </c>
      <c r="C1292" s="97"/>
      <c r="D1292" s="97"/>
      <c r="E1292" s="97">
        <v>10</v>
      </c>
      <c r="F1292" s="98"/>
      <c r="G1292" s="98"/>
      <c r="H1292" s="97" t="s">
        <v>0</v>
      </c>
      <c r="I1292" s="99">
        <f>I1293+I1295+I1296+I1297+I1302+I1303+I1304+I1305+I1310</f>
        <v>509028</v>
      </c>
      <c r="J1292" s="99">
        <f>J1293+J1295+J1296+J1297+J1302+J1303+J1304+J1305+J1310</f>
        <v>452667</v>
      </c>
      <c r="K1292" s="414">
        <f t="shared" ref="K1292:K1310" si="182">J1292/I1292*100</f>
        <v>88.927721068389161</v>
      </c>
      <c r="L1292" s="313"/>
      <c r="M1292" s="99">
        <f>M1311</f>
        <v>32700</v>
      </c>
      <c r="N1292" s="99">
        <f>N1311</f>
        <v>32660</v>
      </c>
      <c r="O1292" s="414">
        <f>N1292/M1292*100</f>
        <v>99.877675840978597</v>
      </c>
      <c r="P1292" s="313"/>
      <c r="Q1292" s="100">
        <f t="shared" si="176"/>
        <v>541728</v>
      </c>
      <c r="R1292" s="100">
        <f t="shared" si="177"/>
        <v>485327</v>
      </c>
      <c r="S1292" s="464">
        <f t="shared" si="181"/>
        <v>89.588686573335693</v>
      </c>
    </row>
    <row r="1293" spans="2:19" x14ac:dyDescent="0.2">
      <c r="B1293" s="6">
        <f t="shared" si="179"/>
        <v>791</v>
      </c>
      <c r="C1293" s="12"/>
      <c r="D1293" s="12"/>
      <c r="E1293" s="12"/>
      <c r="F1293" s="13" t="s">
        <v>157</v>
      </c>
      <c r="G1293" s="14">
        <v>630</v>
      </c>
      <c r="H1293" s="12" t="s">
        <v>118</v>
      </c>
      <c r="I1293" s="15">
        <f>I1294</f>
        <v>51031</v>
      </c>
      <c r="J1293" s="15">
        <f>J1294</f>
        <v>44049</v>
      </c>
      <c r="K1293" s="397">
        <f t="shared" si="182"/>
        <v>86.318120358213633</v>
      </c>
      <c r="L1293" s="15"/>
      <c r="M1293" s="15"/>
      <c r="N1293" s="15"/>
      <c r="O1293" s="397"/>
      <c r="P1293" s="15"/>
      <c r="Q1293" s="16">
        <f t="shared" si="176"/>
        <v>51031</v>
      </c>
      <c r="R1293" s="16">
        <f t="shared" si="177"/>
        <v>44049</v>
      </c>
      <c r="S1293" s="448">
        <f t="shared" si="181"/>
        <v>86.318120358213633</v>
      </c>
    </row>
    <row r="1294" spans="2:19" x14ac:dyDescent="0.2">
      <c r="B1294" s="6">
        <f t="shared" si="179"/>
        <v>792</v>
      </c>
      <c r="C1294" s="17"/>
      <c r="D1294" s="17"/>
      <c r="E1294" s="17"/>
      <c r="F1294" s="18"/>
      <c r="G1294" s="19">
        <v>633</v>
      </c>
      <c r="H1294" s="17" t="s">
        <v>122</v>
      </c>
      <c r="I1294" s="20">
        <f>77973-26942</f>
        <v>51031</v>
      </c>
      <c r="J1294" s="20">
        <v>44049</v>
      </c>
      <c r="K1294" s="397">
        <f t="shared" si="182"/>
        <v>86.318120358213633</v>
      </c>
      <c r="L1294" s="20"/>
      <c r="M1294" s="20"/>
      <c r="N1294" s="20"/>
      <c r="O1294" s="397"/>
      <c r="P1294" s="20"/>
      <c r="Q1294" s="21">
        <f t="shared" si="176"/>
        <v>51031</v>
      </c>
      <c r="R1294" s="21">
        <f t="shared" si="177"/>
        <v>44049</v>
      </c>
      <c r="S1294" s="448">
        <f t="shared" si="181"/>
        <v>86.318120358213633</v>
      </c>
    </row>
    <row r="1295" spans="2:19" x14ac:dyDescent="0.2">
      <c r="B1295" s="6">
        <f t="shared" si="179"/>
        <v>793</v>
      </c>
      <c r="C1295" s="12"/>
      <c r="D1295" s="12"/>
      <c r="E1295" s="12"/>
      <c r="F1295" s="13" t="s">
        <v>79</v>
      </c>
      <c r="G1295" s="14">
        <v>610</v>
      </c>
      <c r="H1295" s="12" t="s">
        <v>128</v>
      </c>
      <c r="I1295" s="15">
        <f>54656+3600-100+3976-53</f>
        <v>62079</v>
      </c>
      <c r="J1295" s="15">
        <v>62079</v>
      </c>
      <c r="K1295" s="397">
        <f t="shared" si="182"/>
        <v>100</v>
      </c>
      <c r="L1295" s="15"/>
      <c r="M1295" s="15"/>
      <c r="N1295" s="15"/>
      <c r="O1295" s="397"/>
      <c r="P1295" s="15"/>
      <c r="Q1295" s="16">
        <f t="shared" si="176"/>
        <v>62079</v>
      </c>
      <c r="R1295" s="16">
        <f t="shared" si="177"/>
        <v>62079</v>
      </c>
      <c r="S1295" s="448">
        <f t="shared" si="181"/>
        <v>100</v>
      </c>
    </row>
    <row r="1296" spans="2:19" x14ac:dyDescent="0.2">
      <c r="B1296" s="6">
        <f t="shared" si="179"/>
        <v>794</v>
      </c>
      <c r="C1296" s="12"/>
      <c r="D1296" s="12"/>
      <c r="E1296" s="12"/>
      <c r="F1296" s="13" t="s">
        <v>79</v>
      </c>
      <c r="G1296" s="14">
        <v>620</v>
      </c>
      <c r="H1296" s="12" t="s">
        <v>121</v>
      </c>
      <c r="I1296" s="15">
        <f>19650+1295+1430+53</f>
        <v>22428</v>
      </c>
      <c r="J1296" s="15">
        <v>22428</v>
      </c>
      <c r="K1296" s="397">
        <f t="shared" si="182"/>
        <v>100</v>
      </c>
      <c r="L1296" s="15"/>
      <c r="M1296" s="15"/>
      <c r="N1296" s="15"/>
      <c r="O1296" s="397"/>
      <c r="P1296" s="15"/>
      <c r="Q1296" s="16">
        <f t="shared" si="176"/>
        <v>22428</v>
      </c>
      <c r="R1296" s="16">
        <f t="shared" si="177"/>
        <v>22428</v>
      </c>
      <c r="S1296" s="448">
        <f t="shared" si="181"/>
        <v>100</v>
      </c>
    </row>
    <row r="1297" spans="2:19" x14ac:dyDescent="0.2">
      <c r="B1297" s="6">
        <f t="shared" si="179"/>
        <v>795</v>
      </c>
      <c r="C1297" s="12"/>
      <c r="D1297" s="12"/>
      <c r="E1297" s="12"/>
      <c r="F1297" s="13" t="s">
        <v>79</v>
      </c>
      <c r="G1297" s="14">
        <v>630</v>
      </c>
      <c r="H1297" s="12" t="s">
        <v>118</v>
      </c>
      <c r="I1297" s="15">
        <f>SUM(I1298:I1301)</f>
        <v>106082</v>
      </c>
      <c r="J1297" s="15">
        <f>SUM(J1298:J1301)</f>
        <v>92709</v>
      </c>
      <c r="K1297" s="397">
        <f t="shared" si="182"/>
        <v>87.39371429648763</v>
      </c>
      <c r="L1297" s="15"/>
      <c r="M1297" s="15"/>
      <c r="N1297" s="15"/>
      <c r="O1297" s="397"/>
      <c r="P1297" s="15"/>
      <c r="Q1297" s="16">
        <f t="shared" si="176"/>
        <v>106082</v>
      </c>
      <c r="R1297" s="16">
        <f t="shared" si="177"/>
        <v>92709</v>
      </c>
      <c r="S1297" s="448">
        <f t="shared" si="181"/>
        <v>87.39371429648763</v>
      </c>
    </row>
    <row r="1298" spans="2:19" x14ac:dyDescent="0.2">
      <c r="B1298" s="6">
        <f t="shared" si="179"/>
        <v>796</v>
      </c>
      <c r="C1298" s="17"/>
      <c r="D1298" s="17"/>
      <c r="E1298" s="17"/>
      <c r="F1298" s="18"/>
      <c r="G1298" s="19">
        <v>632</v>
      </c>
      <c r="H1298" s="17" t="s">
        <v>131</v>
      </c>
      <c r="I1298" s="20">
        <f>16250+2000</f>
        <v>18250</v>
      </c>
      <c r="J1298" s="20">
        <v>16733</v>
      </c>
      <c r="K1298" s="397">
        <f t="shared" si="182"/>
        <v>91.68767123287671</v>
      </c>
      <c r="L1298" s="20"/>
      <c r="M1298" s="20"/>
      <c r="N1298" s="20"/>
      <c r="O1298" s="397"/>
      <c r="P1298" s="20"/>
      <c r="Q1298" s="21">
        <f t="shared" si="176"/>
        <v>18250</v>
      </c>
      <c r="R1298" s="21">
        <f t="shared" si="177"/>
        <v>16733</v>
      </c>
      <c r="S1298" s="448">
        <f t="shared" si="181"/>
        <v>91.68767123287671</v>
      </c>
    </row>
    <row r="1299" spans="2:19" x14ac:dyDescent="0.2">
      <c r="B1299" s="6">
        <f t="shared" si="179"/>
        <v>797</v>
      </c>
      <c r="C1299" s="17"/>
      <c r="D1299" s="17"/>
      <c r="E1299" s="17"/>
      <c r="F1299" s="18"/>
      <c r="G1299" s="19">
        <v>633</v>
      </c>
      <c r="H1299" s="17" t="s">
        <v>122</v>
      </c>
      <c r="I1299" s="20">
        <f>78024-2447-1002-2593</f>
        <v>71982</v>
      </c>
      <c r="J1299" s="20">
        <v>62798</v>
      </c>
      <c r="K1299" s="397">
        <f t="shared" si="182"/>
        <v>87.241254758133977</v>
      </c>
      <c r="L1299" s="20"/>
      <c r="M1299" s="20"/>
      <c r="N1299" s="20"/>
      <c r="O1299" s="397"/>
      <c r="P1299" s="20"/>
      <c r="Q1299" s="21">
        <f t="shared" si="176"/>
        <v>71982</v>
      </c>
      <c r="R1299" s="21">
        <f t="shared" si="177"/>
        <v>62798</v>
      </c>
      <c r="S1299" s="448">
        <f t="shared" si="181"/>
        <v>87.241254758133977</v>
      </c>
    </row>
    <row r="1300" spans="2:19" x14ac:dyDescent="0.2">
      <c r="B1300" s="6">
        <f t="shared" si="179"/>
        <v>798</v>
      </c>
      <c r="C1300" s="17"/>
      <c r="D1300" s="17"/>
      <c r="E1300" s="17"/>
      <c r="F1300" s="18"/>
      <c r="G1300" s="19">
        <v>635</v>
      </c>
      <c r="H1300" s="17" t="s">
        <v>130</v>
      </c>
      <c r="I1300" s="20">
        <v>7000</v>
      </c>
      <c r="J1300" s="20">
        <v>7000</v>
      </c>
      <c r="K1300" s="397">
        <f t="shared" si="182"/>
        <v>100</v>
      </c>
      <c r="L1300" s="20"/>
      <c r="M1300" s="20"/>
      <c r="N1300" s="20"/>
      <c r="O1300" s="397"/>
      <c r="P1300" s="20"/>
      <c r="Q1300" s="21">
        <f t="shared" si="176"/>
        <v>7000</v>
      </c>
      <c r="R1300" s="21">
        <f t="shared" si="177"/>
        <v>7000</v>
      </c>
      <c r="S1300" s="448">
        <f t="shared" si="181"/>
        <v>100</v>
      </c>
    </row>
    <row r="1301" spans="2:19" x14ac:dyDescent="0.2">
      <c r="B1301" s="6">
        <f t="shared" si="179"/>
        <v>799</v>
      </c>
      <c r="C1301" s="17"/>
      <c r="D1301" s="17"/>
      <c r="E1301" s="17"/>
      <c r="F1301" s="18"/>
      <c r="G1301" s="19">
        <v>637</v>
      </c>
      <c r="H1301" s="17" t="s">
        <v>119</v>
      </c>
      <c r="I1301" s="20">
        <v>8850</v>
      </c>
      <c r="J1301" s="20">
        <v>6178</v>
      </c>
      <c r="K1301" s="397">
        <f t="shared" si="182"/>
        <v>69.807909604519764</v>
      </c>
      <c r="L1301" s="20"/>
      <c r="M1301" s="20"/>
      <c r="N1301" s="20"/>
      <c r="O1301" s="397"/>
      <c r="P1301" s="20"/>
      <c r="Q1301" s="21">
        <f t="shared" si="176"/>
        <v>8850</v>
      </c>
      <c r="R1301" s="21">
        <f t="shared" si="177"/>
        <v>6178</v>
      </c>
      <c r="S1301" s="448">
        <f t="shared" si="181"/>
        <v>69.807909604519764</v>
      </c>
    </row>
    <row r="1302" spans="2:19" x14ac:dyDescent="0.2">
      <c r="B1302" s="6">
        <f t="shared" si="179"/>
        <v>800</v>
      </c>
      <c r="C1302" s="12"/>
      <c r="D1302" s="12"/>
      <c r="E1302" s="12"/>
      <c r="F1302" s="13" t="s">
        <v>79</v>
      </c>
      <c r="G1302" s="14">
        <v>640</v>
      </c>
      <c r="H1302" s="12" t="s">
        <v>126</v>
      </c>
      <c r="I1302" s="15">
        <f>500+1102+368</f>
        <v>1970</v>
      </c>
      <c r="J1302" s="15">
        <v>1916</v>
      </c>
      <c r="K1302" s="397">
        <f t="shared" si="182"/>
        <v>97.258883248730967</v>
      </c>
      <c r="L1302" s="15"/>
      <c r="M1302" s="15"/>
      <c r="N1302" s="15"/>
      <c r="O1302" s="397"/>
      <c r="P1302" s="15"/>
      <c r="Q1302" s="16">
        <f t="shared" si="176"/>
        <v>1970</v>
      </c>
      <c r="R1302" s="16">
        <f t="shared" si="177"/>
        <v>1916</v>
      </c>
      <c r="S1302" s="448">
        <f t="shared" si="181"/>
        <v>97.258883248730967</v>
      </c>
    </row>
    <row r="1303" spans="2:19" x14ac:dyDescent="0.2">
      <c r="B1303" s="6">
        <f t="shared" si="179"/>
        <v>801</v>
      </c>
      <c r="C1303" s="12"/>
      <c r="D1303" s="12"/>
      <c r="E1303" s="12"/>
      <c r="F1303" s="13" t="s">
        <v>49</v>
      </c>
      <c r="G1303" s="14">
        <v>610</v>
      </c>
      <c r="H1303" s="12" t="s">
        <v>128</v>
      </c>
      <c r="I1303" s="15">
        <f>54485+6600-1906+1208</f>
        <v>60387</v>
      </c>
      <c r="J1303" s="15">
        <v>60387</v>
      </c>
      <c r="K1303" s="397">
        <f t="shared" si="182"/>
        <v>100</v>
      </c>
      <c r="L1303" s="15"/>
      <c r="M1303" s="15"/>
      <c r="N1303" s="15"/>
      <c r="O1303" s="397"/>
      <c r="P1303" s="15"/>
      <c r="Q1303" s="16">
        <f t="shared" si="176"/>
        <v>60387</v>
      </c>
      <c r="R1303" s="16">
        <f t="shared" si="177"/>
        <v>60387</v>
      </c>
      <c r="S1303" s="448">
        <f t="shared" si="181"/>
        <v>100</v>
      </c>
    </row>
    <row r="1304" spans="2:19" x14ac:dyDescent="0.2">
      <c r="B1304" s="6">
        <f t="shared" si="179"/>
        <v>802</v>
      </c>
      <c r="C1304" s="12"/>
      <c r="D1304" s="12"/>
      <c r="E1304" s="12"/>
      <c r="F1304" s="13" t="s">
        <v>49</v>
      </c>
      <c r="G1304" s="14">
        <v>620</v>
      </c>
      <c r="H1304" s="12" t="s">
        <v>121</v>
      </c>
      <c r="I1304" s="15">
        <f>20544+110+2397-685-1207</f>
        <v>21159</v>
      </c>
      <c r="J1304" s="15">
        <v>21158</v>
      </c>
      <c r="K1304" s="397">
        <f t="shared" si="182"/>
        <v>99.99527387872773</v>
      </c>
      <c r="L1304" s="15"/>
      <c r="M1304" s="15"/>
      <c r="N1304" s="15"/>
      <c r="O1304" s="397"/>
      <c r="P1304" s="15"/>
      <c r="Q1304" s="16">
        <f t="shared" si="176"/>
        <v>21159</v>
      </c>
      <c r="R1304" s="16">
        <f t="shared" si="177"/>
        <v>21158</v>
      </c>
      <c r="S1304" s="448">
        <f t="shared" ref="S1304:S1335" si="183">R1304/Q1304*100</f>
        <v>99.99527387872773</v>
      </c>
    </row>
    <row r="1305" spans="2:19" x14ac:dyDescent="0.2">
      <c r="B1305" s="6">
        <f t="shared" si="179"/>
        <v>803</v>
      </c>
      <c r="C1305" s="12"/>
      <c r="D1305" s="12"/>
      <c r="E1305" s="12"/>
      <c r="F1305" s="13" t="s">
        <v>49</v>
      </c>
      <c r="G1305" s="14">
        <v>630</v>
      </c>
      <c r="H1305" s="12" t="s">
        <v>118</v>
      </c>
      <c r="I1305" s="15">
        <f>SUM(I1306:I1309)</f>
        <v>180128</v>
      </c>
      <c r="J1305" s="15">
        <f>SUM(J1306:J1309)</f>
        <v>146925</v>
      </c>
      <c r="K1305" s="397">
        <f t="shared" si="182"/>
        <v>81.566996802273934</v>
      </c>
      <c r="L1305" s="15"/>
      <c r="M1305" s="15"/>
      <c r="N1305" s="15"/>
      <c r="O1305" s="397"/>
      <c r="P1305" s="15"/>
      <c r="Q1305" s="16">
        <f t="shared" si="176"/>
        <v>180128</v>
      </c>
      <c r="R1305" s="16">
        <f t="shared" si="177"/>
        <v>146925</v>
      </c>
      <c r="S1305" s="448">
        <f t="shared" si="183"/>
        <v>81.566996802273934</v>
      </c>
    </row>
    <row r="1306" spans="2:19" x14ac:dyDescent="0.2">
      <c r="B1306" s="6">
        <f t="shared" si="179"/>
        <v>804</v>
      </c>
      <c r="C1306" s="17"/>
      <c r="D1306" s="17"/>
      <c r="E1306" s="17"/>
      <c r="F1306" s="18"/>
      <c r="G1306" s="19">
        <v>632</v>
      </c>
      <c r="H1306" s="17" t="s">
        <v>131</v>
      </c>
      <c r="I1306" s="20">
        <f>16260+2000</f>
        <v>18260</v>
      </c>
      <c r="J1306" s="20">
        <v>16744</v>
      </c>
      <c r="K1306" s="397">
        <f t="shared" si="182"/>
        <v>91.697699890470972</v>
      </c>
      <c r="L1306" s="20"/>
      <c r="M1306" s="20"/>
      <c r="N1306" s="20"/>
      <c r="O1306" s="397"/>
      <c r="P1306" s="20"/>
      <c r="Q1306" s="21">
        <f t="shared" si="176"/>
        <v>18260</v>
      </c>
      <c r="R1306" s="21">
        <f t="shared" si="177"/>
        <v>16744</v>
      </c>
      <c r="S1306" s="448">
        <f t="shared" si="183"/>
        <v>91.697699890470972</v>
      </c>
    </row>
    <row r="1307" spans="2:19" x14ac:dyDescent="0.2">
      <c r="B1307" s="6">
        <f t="shared" si="179"/>
        <v>805</v>
      </c>
      <c r="C1307" s="17"/>
      <c r="D1307" s="17"/>
      <c r="E1307" s="17"/>
      <c r="F1307" s="18"/>
      <c r="G1307" s="19">
        <v>633</v>
      </c>
      <c r="H1307" s="17" t="s">
        <v>122</v>
      </c>
      <c r="I1307" s="20">
        <f>121425-2448-87+27128</f>
        <v>146018</v>
      </c>
      <c r="J1307" s="20">
        <v>116639</v>
      </c>
      <c r="K1307" s="397">
        <f t="shared" si="182"/>
        <v>79.879877823282058</v>
      </c>
      <c r="L1307" s="20"/>
      <c r="M1307" s="20"/>
      <c r="N1307" s="20"/>
      <c r="O1307" s="397"/>
      <c r="P1307" s="20"/>
      <c r="Q1307" s="21">
        <f t="shared" si="176"/>
        <v>146018</v>
      </c>
      <c r="R1307" s="21">
        <f t="shared" si="177"/>
        <v>116639</v>
      </c>
      <c r="S1307" s="448">
        <f t="shared" si="183"/>
        <v>79.879877823282058</v>
      </c>
    </row>
    <row r="1308" spans="2:19" x14ac:dyDescent="0.2">
      <c r="B1308" s="6">
        <f t="shared" si="179"/>
        <v>806</v>
      </c>
      <c r="C1308" s="17"/>
      <c r="D1308" s="17"/>
      <c r="E1308" s="17"/>
      <c r="F1308" s="18"/>
      <c r="G1308" s="19">
        <v>635</v>
      </c>
      <c r="H1308" s="17" t="s">
        <v>130</v>
      </c>
      <c r="I1308" s="20">
        <v>7000</v>
      </c>
      <c r="J1308" s="20">
        <v>6555</v>
      </c>
      <c r="K1308" s="397">
        <f t="shared" si="182"/>
        <v>93.642857142857139</v>
      </c>
      <c r="L1308" s="20"/>
      <c r="M1308" s="20"/>
      <c r="N1308" s="20"/>
      <c r="O1308" s="397"/>
      <c r="P1308" s="20"/>
      <c r="Q1308" s="21">
        <f t="shared" si="176"/>
        <v>7000</v>
      </c>
      <c r="R1308" s="21">
        <f t="shared" si="177"/>
        <v>6555</v>
      </c>
      <c r="S1308" s="448">
        <f t="shared" si="183"/>
        <v>93.642857142857139</v>
      </c>
    </row>
    <row r="1309" spans="2:19" x14ac:dyDescent="0.2">
      <c r="B1309" s="6">
        <f t="shared" si="179"/>
        <v>807</v>
      </c>
      <c r="C1309" s="17"/>
      <c r="D1309" s="17"/>
      <c r="E1309" s="17"/>
      <c r="F1309" s="18"/>
      <c r="G1309" s="19">
        <v>637</v>
      </c>
      <c r="H1309" s="17" t="s">
        <v>119</v>
      </c>
      <c r="I1309" s="20">
        <v>8850</v>
      </c>
      <c r="J1309" s="20">
        <v>6987</v>
      </c>
      <c r="K1309" s="397">
        <f t="shared" si="182"/>
        <v>78.949152542372886</v>
      </c>
      <c r="L1309" s="20"/>
      <c r="M1309" s="20"/>
      <c r="N1309" s="20"/>
      <c r="O1309" s="397"/>
      <c r="P1309" s="20"/>
      <c r="Q1309" s="21">
        <f t="shared" si="176"/>
        <v>8850</v>
      </c>
      <c r="R1309" s="21">
        <f t="shared" si="177"/>
        <v>6987</v>
      </c>
      <c r="S1309" s="448">
        <f t="shared" si="183"/>
        <v>78.949152542372886</v>
      </c>
    </row>
    <row r="1310" spans="2:19" x14ac:dyDescent="0.2">
      <c r="B1310" s="6">
        <f t="shared" si="179"/>
        <v>808</v>
      </c>
      <c r="C1310" s="12"/>
      <c r="D1310" s="12"/>
      <c r="E1310" s="12"/>
      <c r="F1310" s="13" t="s">
        <v>49</v>
      </c>
      <c r="G1310" s="14">
        <v>640</v>
      </c>
      <c r="H1310" s="12" t="s">
        <v>126</v>
      </c>
      <c r="I1310" s="15">
        <f>3160+287+318-1</f>
        <v>3764</v>
      </c>
      <c r="J1310" s="15">
        <v>1016</v>
      </c>
      <c r="K1310" s="397">
        <f t="shared" si="182"/>
        <v>26.992561105207223</v>
      </c>
      <c r="L1310" s="15"/>
      <c r="M1310" s="15"/>
      <c r="N1310" s="15"/>
      <c r="O1310" s="397"/>
      <c r="P1310" s="15"/>
      <c r="Q1310" s="16">
        <f t="shared" si="176"/>
        <v>3764</v>
      </c>
      <c r="R1310" s="16">
        <f t="shared" si="177"/>
        <v>1016</v>
      </c>
      <c r="S1310" s="448">
        <f t="shared" si="183"/>
        <v>26.992561105207223</v>
      </c>
    </row>
    <row r="1311" spans="2:19" x14ac:dyDescent="0.2">
      <c r="B1311" s="6">
        <f t="shared" si="179"/>
        <v>809</v>
      </c>
      <c r="C1311" s="12"/>
      <c r="D1311" s="12"/>
      <c r="E1311" s="12"/>
      <c r="F1311" s="13" t="s">
        <v>49</v>
      </c>
      <c r="G1311" s="14">
        <v>710</v>
      </c>
      <c r="H1311" s="12" t="s">
        <v>172</v>
      </c>
      <c r="I1311" s="15"/>
      <c r="J1311" s="15"/>
      <c r="K1311" s="397"/>
      <c r="L1311" s="15"/>
      <c r="M1311" s="15">
        <f>M1312</f>
        <v>32700</v>
      </c>
      <c r="N1311" s="15">
        <f>N1312</f>
        <v>32660</v>
      </c>
      <c r="O1311" s="397">
        <f>N1311/M1311*100</f>
        <v>99.877675840978597</v>
      </c>
      <c r="P1311" s="15"/>
      <c r="Q1311" s="16">
        <f t="shared" si="176"/>
        <v>32700</v>
      </c>
      <c r="R1311" s="16">
        <f t="shared" si="177"/>
        <v>32660</v>
      </c>
      <c r="S1311" s="448">
        <f t="shared" si="183"/>
        <v>99.877675840978597</v>
      </c>
    </row>
    <row r="1312" spans="2:19" x14ac:dyDescent="0.2">
      <c r="B1312" s="6">
        <f t="shared" si="179"/>
        <v>810</v>
      </c>
      <c r="C1312" s="12"/>
      <c r="D1312" s="12"/>
      <c r="E1312" s="12"/>
      <c r="F1312" s="18"/>
      <c r="G1312" s="19">
        <v>713</v>
      </c>
      <c r="H1312" s="17" t="s">
        <v>216</v>
      </c>
      <c r="I1312" s="15"/>
      <c r="J1312" s="15"/>
      <c r="K1312" s="397"/>
      <c r="L1312" s="15"/>
      <c r="M1312" s="20">
        <f>M1313</f>
        <v>32700</v>
      </c>
      <c r="N1312" s="20">
        <f>N1313</f>
        <v>32660</v>
      </c>
      <c r="O1312" s="397">
        <f>N1312/M1312*100</f>
        <v>99.877675840978597</v>
      </c>
      <c r="P1312" s="15"/>
      <c r="Q1312" s="21">
        <f t="shared" si="176"/>
        <v>32700</v>
      </c>
      <c r="R1312" s="21">
        <f t="shared" si="177"/>
        <v>32660</v>
      </c>
      <c r="S1312" s="448">
        <f t="shared" si="183"/>
        <v>99.877675840978597</v>
      </c>
    </row>
    <row r="1313" spans="2:19" x14ac:dyDescent="0.2">
      <c r="B1313" s="6">
        <f t="shared" si="179"/>
        <v>811</v>
      </c>
      <c r="C1313" s="12"/>
      <c r="D1313" s="12"/>
      <c r="E1313" s="12"/>
      <c r="F1313" s="101"/>
      <c r="G1313" s="23"/>
      <c r="H1313" s="1" t="s">
        <v>651</v>
      </c>
      <c r="I1313" s="15"/>
      <c r="J1313" s="15"/>
      <c r="K1313" s="397"/>
      <c r="L1313" s="15"/>
      <c r="M1313" s="24">
        <v>32700</v>
      </c>
      <c r="N1313" s="24">
        <v>32660</v>
      </c>
      <c r="O1313" s="397">
        <f>N1313/M1313*100</f>
        <v>99.877675840978597</v>
      </c>
      <c r="P1313" s="15"/>
      <c r="Q1313" s="26">
        <f t="shared" si="176"/>
        <v>32700</v>
      </c>
      <c r="R1313" s="26">
        <f t="shared" si="177"/>
        <v>32660</v>
      </c>
      <c r="S1313" s="448">
        <f t="shared" si="183"/>
        <v>99.877675840978597</v>
      </c>
    </row>
    <row r="1314" spans="2:19" ht="15" x14ac:dyDescent="0.25">
      <c r="B1314" s="6">
        <f t="shared" si="179"/>
        <v>812</v>
      </c>
      <c r="C1314" s="97"/>
      <c r="D1314" s="97"/>
      <c r="E1314" s="97">
        <v>11</v>
      </c>
      <c r="F1314" s="98"/>
      <c r="G1314" s="98"/>
      <c r="H1314" s="97" t="s">
        <v>7</v>
      </c>
      <c r="I1314" s="99">
        <f>I1315+I1316+I1317+I1322+I1323+I1324+I1325+I1330</f>
        <v>695822</v>
      </c>
      <c r="J1314" s="99">
        <f>J1315+J1316+J1317+J1322+J1323+J1324+J1325+J1330</f>
        <v>670630</v>
      </c>
      <c r="K1314" s="414">
        <f t="shared" ref="K1314:K1330" si="184">J1314/I1314*100</f>
        <v>96.379533846299765</v>
      </c>
      <c r="L1314" s="313"/>
      <c r="M1314" s="99">
        <f>M1331</f>
        <v>19258</v>
      </c>
      <c r="N1314" s="99">
        <f>N1331</f>
        <v>19258</v>
      </c>
      <c r="O1314" s="414">
        <f>N1314/M1314*100</f>
        <v>100</v>
      </c>
      <c r="P1314" s="313"/>
      <c r="Q1314" s="100">
        <f t="shared" si="176"/>
        <v>715080</v>
      </c>
      <c r="R1314" s="100">
        <f t="shared" si="177"/>
        <v>689888</v>
      </c>
      <c r="S1314" s="464">
        <f t="shared" si="183"/>
        <v>96.477037534261896</v>
      </c>
    </row>
    <row r="1315" spans="2:19" x14ac:dyDescent="0.2">
      <c r="B1315" s="6">
        <f t="shared" si="179"/>
        <v>813</v>
      </c>
      <c r="C1315" s="12"/>
      <c r="D1315" s="12"/>
      <c r="E1315" s="12"/>
      <c r="F1315" s="13" t="s">
        <v>79</v>
      </c>
      <c r="G1315" s="14">
        <v>610</v>
      </c>
      <c r="H1315" s="12" t="s">
        <v>128</v>
      </c>
      <c r="I1315" s="15">
        <f>77150+1170</f>
        <v>78320</v>
      </c>
      <c r="J1315" s="15">
        <v>77209</v>
      </c>
      <c r="K1315" s="397">
        <f t="shared" si="184"/>
        <v>98.581460674157313</v>
      </c>
      <c r="L1315" s="15"/>
      <c r="M1315" s="15"/>
      <c r="N1315" s="15"/>
      <c r="O1315" s="397"/>
      <c r="P1315" s="15"/>
      <c r="Q1315" s="16">
        <f t="shared" si="176"/>
        <v>78320</v>
      </c>
      <c r="R1315" s="16">
        <f t="shared" si="177"/>
        <v>77209</v>
      </c>
      <c r="S1315" s="448">
        <f t="shared" si="183"/>
        <v>98.581460674157313</v>
      </c>
    </row>
    <row r="1316" spans="2:19" x14ac:dyDescent="0.2">
      <c r="B1316" s="6">
        <f t="shared" si="179"/>
        <v>814</v>
      </c>
      <c r="C1316" s="12"/>
      <c r="D1316" s="12"/>
      <c r="E1316" s="12"/>
      <c r="F1316" s="13" t="s">
        <v>79</v>
      </c>
      <c r="G1316" s="14">
        <v>620</v>
      </c>
      <c r="H1316" s="12" t="s">
        <v>121</v>
      </c>
      <c r="I1316" s="15">
        <f>30300+420</f>
        <v>30720</v>
      </c>
      <c r="J1316" s="15">
        <v>30073</v>
      </c>
      <c r="K1316" s="397">
        <f t="shared" si="184"/>
        <v>97.893880208333329</v>
      </c>
      <c r="L1316" s="15"/>
      <c r="M1316" s="15"/>
      <c r="N1316" s="15"/>
      <c r="O1316" s="397"/>
      <c r="P1316" s="15"/>
      <c r="Q1316" s="16">
        <f t="shared" si="176"/>
        <v>30720</v>
      </c>
      <c r="R1316" s="16">
        <f t="shared" si="177"/>
        <v>30073</v>
      </c>
      <c r="S1316" s="448">
        <f t="shared" si="183"/>
        <v>97.893880208333329</v>
      </c>
    </row>
    <row r="1317" spans="2:19" x14ac:dyDescent="0.2">
      <c r="B1317" s="6">
        <f t="shared" si="179"/>
        <v>815</v>
      </c>
      <c r="C1317" s="12"/>
      <c r="D1317" s="12"/>
      <c r="E1317" s="12"/>
      <c r="F1317" s="13" t="s">
        <v>79</v>
      </c>
      <c r="G1317" s="14">
        <v>630</v>
      </c>
      <c r="H1317" s="12" t="s">
        <v>118</v>
      </c>
      <c r="I1317" s="15">
        <f>SUM(I1318:I1321)</f>
        <v>36364</v>
      </c>
      <c r="J1317" s="15">
        <f>SUM(J1318:J1321)</f>
        <v>36364</v>
      </c>
      <c r="K1317" s="397">
        <f t="shared" si="184"/>
        <v>100</v>
      </c>
      <c r="L1317" s="15"/>
      <c r="M1317" s="15"/>
      <c r="N1317" s="15"/>
      <c r="O1317" s="397"/>
      <c r="P1317" s="15"/>
      <c r="Q1317" s="16">
        <f t="shared" si="176"/>
        <v>36364</v>
      </c>
      <c r="R1317" s="16">
        <f t="shared" si="177"/>
        <v>36364</v>
      </c>
      <c r="S1317" s="448">
        <f t="shared" si="183"/>
        <v>100</v>
      </c>
    </row>
    <row r="1318" spans="2:19" x14ac:dyDescent="0.2">
      <c r="B1318" s="6">
        <f t="shared" si="179"/>
        <v>816</v>
      </c>
      <c r="C1318" s="17"/>
      <c r="D1318" s="17"/>
      <c r="E1318" s="17"/>
      <c r="F1318" s="18"/>
      <c r="G1318" s="19">
        <v>632</v>
      </c>
      <c r="H1318" s="17" t="s">
        <v>131</v>
      </c>
      <c r="I1318" s="20">
        <v>17204</v>
      </c>
      <c r="J1318" s="20">
        <v>17204</v>
      </c>
      <c r="K1318" s="397">
        <f t="shared" si="184"/>
        <v>100</v>
      </c>
      <c r="L1318" s="20"/>
      <c r="M1318" s="20"/>
      <c r="N1318" s="20"/>
      <c r="O1318" s="397"/>
      <c r="P1318" s="20"/>
      <c r="Q1318" s="21">
        <f t="shared" si="176"/>
        <v>17204</v>
      </c>
      <c r="R1318" s="21">
        <f t="shared" si="177"/>
        <v>17204</v>
      </c>
      <c r="S1318" s="448">
        <f t="shared" si="183"/>
        <v>100</v>
      </c>
    </row>
    <row r="1319" spans="2:19" x14ac:dyDescent="0.2">
      <c r="B1319" s="6">
        <f t="shared" si="179"/>
        <v>817</v>
      </c>
      <c r="C1319" s="17"/>
      <c r="D1319" s="17"/>
      <c r="E1319" s="17"/>
      <c r="F1319" s="18"/>
      <c r="G1319" s="19">
        <v>633</v>
      </c>
      <c r="H1319" s="17" t="s">
        <v>122</v>
      </c>
      <c r="I1319" s="20">
        <v>9300</v>
      </c>
      <c r="J1319" s="20">
        <v>9300</v>
      </c>
      <c r="K1319" s="397">
        <f t="shared" si="184"/>
        <v>100</v>
      </c>
      <c r="L1319" s="20"/>
      <c r="M1319" s="20"/>
      <c r="N1319" s="20"/>
      <c r="O1319" s="397"/>
      <c r="P1319" s="20"/>
      <c r="Q1319" s="21">
        <f t="shared" si="176"/>
        <v>9300</v>
      </c>
      <c r="R1319" s="21">
        <f t="shared" si="177"/>
        <v>9300</v>
      </c>
      <c r="S1319" s="448">
        <f t="shared" si="183"/>
        <v>100</v>
      </c>
    </row>
    <row r="1320" spans="2:19" x14ac:dyDescent="0.2">
      <c r="B1320" s="6">
        <f t="shared" si="179"/>
        <v>818</v>
      </c>
      <c r="C1320" s="17"/>
      <c r="D1320" s="17"/>
      <c r="E1320" s="17"/>
      <c r="F1320" s="18"/>
      <c r="G1320" s="19">
        <v>635</v>
      </c>
      <c r="H1320" s="17" t="s">
        <v>130</v>
      </c>
      <c r="I1320" s="20">
        <f>2800+1500</f>
        <v>4300</v>
      </c>
      <c r="J1320" s="20">
        <v>4300</v>
      </c>
      <c r="K1320" s="397">
        <f t="shared" si="184"/>
        <v>100</v>
      </c>
      <c r="L1320" s="20"/>
      <c r="M1320" s="20"/>
      <c r="N1320" s="20"/>
      <c r="O1320" s="397"/>
      <c r="P1320" s="20"/>
      <c r="Q1320" s="21">
        <f t="shared" si="176"/>
        <v>4300</v>
      </c>
      <c r="R1320" s="21">
        <f t="shared" si="177"/>
        <v>4300</v>
      </c>
      <c r="S1320" s="448">
        <f t="shared" si="183"/>
        <v>100</v>
      </c>
    </row>
    <row r="1321" spans="2:19" x14ac:dyDescent="0.2">
      <c r="B1321" s="6">
        <f t="shared" si="179"/>
        <v>819</v>
      </c>
      <c r="C1321" s="17"/>
      <c r="D1321" s="17"/>
      <c r="E1321" s="17"/>
      <c r="F1321" s="18"/>
      <c r="G1321" s="19">
        <v>637</v>
      </c>
      <c r="H1321" s="17" t="s">
        <v>119</v>
      </c>
      <c r="I1321" s="20">
        <f>7060-1500</f>
        <v>5560</v>
      </c>
      <c r="J1321" s="20">
        <v>5560</v>
      </c>
      <c r="K1321" s="397">
        <f t="shared" si="184"/>
        <v>100</v>
      </c>
      <c r="L1321" s="20"/>
      <c r="M1321" s="20"/>
      <c r="N1321" s="20"/>
      <c r="O1321" s="397"/>
      <c r="P1321" s="20"/>
      <c r="Q1321" s="21">
        <f t="shared" ref="Q1321:Q1384" si="185">I1321+M1321</f>
        <v>5560</v>
      </c>
      <c r="R1321" s="21">
        <f t="shared" ref="R1321:R1384" si="186">J1321+N1321</f>
        <v>5560</v>
      </c>
      <c r="S1321" s="448">
        <f t="shared" si="183"/>
        <v>100</v>
      </c>
    </row>
    <row r="1322" spans="2:19" x14ac:dyDescent="0.2">
      <c r="B1322" s="6">
        <f t="shared" si="179"/>
        <v>820</v>
      </c>
      <c r="C1322" s="12"/>
      <c r="D1322" s="12"/>
      <c r="E1322" s="12"/>
      <c r="F1322" s="13" t="s">
        <v>79</v>
      </c>
      <c r="G1322" s="14">
        <v>640</v>
      </c>
      <c r="H1322" s="12" t="s">
        <v>126</v>
      </c>
      <c r="I1322" s="15">
        <v>3790</v>
      </c>
      <c r="J1322" s="15">
        <v>3790</v>
      </c>
      <c r="K1322" s="397">
        <f t="shared" si="184"/>
        <v>100</v>
      </c>
      <c r="L1322" s="15"/>
      <c r="M1322" s="15"/>
      <c r="N1322" s="15"/>
      <c r="O1322" s="397"/>
      <c r="P1322" s="15"/>
      <c r="Q1322" s="16">
        <f t="shared" si="185"/>
        <v>3790</v>
      </c>
      <c r="R1322" s="16">
        <f t="shared" si="186"/>
        <v>3790</v>
      </c>
      <c r="S1322" s="448">
        <f t="shared" si="183"/>
        <v>100</v>
      </c>
    </row>
    <row r="1323" spans="2:19" x14ac:dyDescent="0.2">
      <c r="B1323" s="6">
        <f t="shared" si="179"/>
        <v>821</v>
      </c>
      <c r="C1323" s="12"/>
      <c r="D1323" s="12"/>
      <c r="E1323" s="12"/>
      <c r="F1323" s="13" t="s">
        <v>49</v>
      </c>
      <c r="G1323" s="14">
        <v>610</v>
      </c>
      <c r="H1323" s="12" t="s">
        <v>128</v>
      </c>
      <c r="I1323" s="15">
        <f>107200+8800+2262</f>
        <v>118262</v>
      </c>
      <c r="J1323" s="15">
        <v>118262</v>
      </c>
      <c r="K1323" s="397">
        <f t="shared" si="184"/>
        <v>100</v>
      </c>
      <c r="L1323" s="15"/>
      <c r="M1323" s="15"/>
      <c r="N1323" s="15"/>
      <c r="O1323" s="397"/>
      <c r="P1323" s="15"/>
      <c r="Q1323" s="16">
        <f t="shared" si="185"/>
        <v>118262</v>
      </c>
      <c r="R1323" s="16">
        <f t="shared" si="186"/>
        <v>118262</v>
      </c>
      <c r="S1323" s="448">
        <f t="shared" si="183"/>
        <v>100</v>
      </c>
    </row>
    <row r="1324" spans="2:19" x14ac:dyDescent="0.2">
      <c r="B1324" s="6">
        <f t="shared" si="179"/>
        <v>822</v>
      </c>
      <c r="C1324" s="12"/>
      <c r="D1324" s="12"/>
      <c r="E1324" s="12"/>
      <c r="F1324" s="13" t="s">
        <v>49</v>
      </c>
      <c r="G1324" s="14">
        <v>620</v>
      </c>
      <c r="H1324" s="12" t="s">
        <v>121</v>
      </c>
      <c r="I1324" s="15">
        <f>44910+3186+823</f>
        <v>48919</v>
      </c>
      <c r="J1324" s="15">
        <v>42803</v>
      </c>
      <c r="K1324" s="397">
        <f t="shared" si="184"/>
        <v>87.497700280054787</v>
      </c>
      <c r="L1324" s="15"/>
      <c r="M1324" s="15"/>
      <c r="N1324" s="15"/>
      <c r="O1324" s="397"/>
      <c r="P1324" s="15"/>
      <c r="Q1324" s="16">
        <f t="shared" si="185"/>
        <v>48919</v>
      </c>
      <c r="R1324" s="16">
        <f t="shared" si="186"/>
        <v>42803</v>
      </c>
      <c r="S1324" s="448">
        <f t="shared" si="183"/>
        <v>87.497700280054787</v>
      </c>
    </row>
    <row r="1325" spans="2:19" x14ac:dyDescent="0.2">
      <c r="B1325" s="6">
        <f t="shared" si="179"/>
        <v>823</v>
      </c>
      <c r="C1325" s="12"/>
      <c r="D1325" s="12"/>
      <c r="E1325" s="12"/>
      <c r="F1325" s="13" t="s">
        <v>49</v>
      </c>
      <c r="G1325" s="14">
        <v>630</v>
      </c>
      <c r="H1325" s="12" t="s">
        <v>118</v>
      </c>
      <c r="I1325" s="15">
        <f>SUM(I1326:I1329)</f>
        <v>375847</v>
      </c>
      <c r="J1325" s="15">
        <f>SUM(J1326:J1329)</f>
        <v>358579</v>
      </c>
      <c r="K1325" s="397">
        <f t="shared" si="184"/>
        <v>95.405577269474023</v>
      </c>
      <c r="L1325" s="15"/>
      <c r="M1325" s="15"/>
      <c r="N1325" s="15"/>
      <c r="O1325" s="397"/>
      <c r="P1325" s="15"/>
      <c r="Q1325" s="16">
        <f t="shared" si="185"/>
        <v>375847</v>
      </c>
      <c r="R1325" s="16">
        <f t="shared" si="186"/>
        <v>358579</v>
      </c>
      <c r="S1325" s="448">
        <f t="shared" si="183"/>
        <v>95.405577269474023</v>
      </c>
    </row>
    <row r="1326" spans="2:19" x14ac:dyDescent="0.2">
      <c r="B1326" s="6">
        <f t="shared" si="179"/>
        <v>824</v>
      </c>
      <c r="C1326" s="17"/>
      <c r="D1326" s="17"/>
      <c r="E1326" s="17"/>
      <c r="F1326" s="18"/>
      <c r="G1326" s="19">
        <v>632</v>
      </c>
      <c r="H1326" s="17" t="s">
        <v>131</v>
      </c>
      <c r="I1326" s="20">
        <v>21194</v>
      </c>
      <c r="J1326" s="20">
        <v>21194</v>
      </c>
      <c r="K1326" s="397">
        <f t="shared" si="184"/>
        <v>100</v>
      </c>
      <c r="L1326" s="20"/>
      <c r="M1326" s="20"/>
      <c r="N1326" s="20"/>
      <c r="O1326" s="397"/>
      <c r="P1326" s="20"/>
      <c r="Q1326" s="21">
        <f t="shared" si="185"/>
        <v>21194</v>
      </c>
      <c r="R1326" s="21">
        <f t="shared" si="186"/>
        <v>21194</v>
      </c>
      <c r="S1326" s="448">
        <f t="shared" si="183"/>
        <v>100</v>
      </c>
    </row>
    <row r="1327" spans="2:19" x14ac:dyDescent="0.2">
      <c r="B1327" s="6">
        <f t="shared" si="179"/>
        <v>825</v>
      </c>
      <c r="C1327" s="17"/>
      <c r="D1327" s="17"/>
      <c r="E1327" s="17"/>
      <c r="F1327" s="18"/>
      <c r="G1327" s="19">
        <v>633</v>
      </c>
      <c r="H1327" s="17" t="s">
        <v>122</v>
      </c>
      <c r="I1327" s="20">
        <f>232920+6120-6500-67-12758+98738</f>
        <v>318453</v>
      </c>
      <c r="J1327" s="20">
        <v>304537</v>
      </c>
      <c r="K1327" s="397">
        <f t="shared" si="184"/>
        <v>95.630124382561945</v>
      </c>
      <c r="L1327" s="20"/>
      <c r="M1327" s="20"/>
      <c r="N1327" s="20"/>
      <c r="O1327" s="397"/>
      <c r="P1327" s="20"/>
      <c r="Q1327" s="21">
        <f t="shared" si="185"/>
        <v>318453</v>
      </c>
      <c r="R1327" s="21">
        <f t="shared" si="186"/>
        <v>304537</v>
      </c>
      <c r="S1327" s="448">
        <f t="shared" si="183"/>
        <v>95.630124382561945</v>
      </c>
    </row>
    <row r="1328" spans="2:19" x14ac:dyDescent="0.2">
      <c r="B1328" s="6">
        <f t="shared" si="179"/>
        <v>826</v>
      </c>
      <c r="C1328" s="17"/>
      <c r="D1328" s="17"/>
      <c r="E1328" s="17"/>
      <c r="F1328" s="18"/>
      <c r="G1328" s="19">
        <v>635</v>
      </c>
      <c r="H1328" s="17" t="s">
        <v>130</v>
      </c>
      <c r="I1328" s="20">
        <f>4100+1500</f>
        <v>5600</v>
      </c>
      <c r="J1328" s="20">
        <v>5600</v>
      </c>
      <c r="K1328" s="397">
        <f t="shared" si="184"/>
        <v>100</v>
      </c>
      <c r="L1328" s="20"/>
      <c r="M1328" s="20"/>
      <c r="N1328" s="20"/>
      <c r="O1328" s="397"/>
      <c r="P1328" s="20"/>
      <c r="Q1328" s="21">
        <f t="shared" si="185"/>
        <v>5600</v>
      </c>
      <c r="R1328" s="21">
        <f t="shared" si="186"/>
        <v>5600</v>
      </c>
      <c r="S1328" s="448">
        <f t="shared" si="183"/>
        <v>100</v>
      </c>
    </row>
    <row r="1329" spans="2:19" x14ac:dyDescent="0.2">
      <c r="B1329" s="6">
        <f t="shared" si="179"/>
        <v>827</v>
      </c>
      <c r="C1329" s="17"/>
      <c r="D1329" s="17"/>
      <c r="E1329" s="17"/>
      <c r="F1329" s="18"/>
      <c r="G1329" s="19">
        <v>637</v>
      </c>
      <c r="H1329" s="17" t="s">
        <v>119</v>
      </c>
      <c r="I1329" s="20">
        <f>32100-1500</f>
        <v>30600</v>
      </c>
      <c r="J1329" s="20">
        <v>27248</v>
      </c>
      <c r="K1329" s="397">
        <f t="shared" si="184"/>
        <v>89.045751633986924</v>
      </c>
      <c r="L1329" s="20"/>
      <c r="M1329" s="20"/>
      <c r="N1329" s="20"/>
      <c r="O1329" s="397"/>
      <c r="P1329" s="20"/>
      <c r="Q1329" s="21">
        <f t="shared" si="185"/>
        <v>30600</v>
      </c>
      <c r="R1329" s="21">
        <f t="shared" si="186"/>
        <v>27248</v>
      </c>
      <c r="S1329" s="448">
        <f t="shared" si="183"/>
        <v>89.045751633986924</v>
      </c>
    </row>
    <row r="1330" spans="2:19" x14ac:dyDescent="0.2">
      <c r="B1330" s="6">
        <f t="shared" si="179"/>
        <v>828</v>
      </c>
      <c r="C1330" s="12"/>
      <c r="D1330" s="12"/>
      <c r="E1330" s="12"/>
      <c r="F1330" s="13" t="s">
        <v>49</v>
      </c>
      <c r="G1330" s="14">
        <v>640</v>
      </c>
      <c r="H1330" s="12" t="s">
        <v>126</v>
      </c>
      <c r="I1330" s="15">
        <v>3600</v>
      </c>
      <c r="J1330" s="15">
        <v>3550</v>
      </c>
      <c r="K1330" s="397">
        <f t="shared" si="184"/>
        <v>98.611111111111114</v>
      </c>
      <c r="L1330" s="15"/>
      <c r="M1330" s="15"/>
      <c r="N1330" s="15"/>
      <c r="O1330" s="397"/>
      <c r="P1330" s="15"/>
      <c r="Q1330" s="16">
        <f t="shared" si="185"/>
        <v>3600</v>
      </c>
      <c r="R1330" s="16">
        <f t="shared" si="186"/>
        <v>3550</v>
      </c>
      <c r="S1330" s="448">
        <f t="shared" si="183"/>
        <v>98.611111111111114</v>
      </c>
    </row>
    <row r="1331" spans="2:19" x14ac:dyDescent="0.2">
      <c r="B1331" s="6">
        <f t="shared" si="179"/>
        <v>829</v>
      </c>
      <c r="C1331" s="12"/>
      <c r="D1331" s="12"/>
      <c r="E1331" s="12"/>
      <c r="F1331" s="13" t="s">
        <v>49</v>
      </c>
      <c r="G1331" s="14">
        <v>710</v>
      </c>
      <c r="H1331" s="12" t="s">
        <v>172</v>
      </c>
      <c r="I1331" s="15"/>
      <c r="J1331" s="15"/>
      <c r="K1331" s="397"/>
      <c r="L1331" s="15"/>
      <c r="M1331" s="15">
        <f>M1332</f>
        <v>19258</v>
      </c>
      <c r="N1331" s="15">
        <f>N1332</f>
        <v>19258</v>
      </c>
      <c r="O1331" s="397">
        <f>N1331/M1331*100</f>
        <v>100</v>
      </c>
      <c r="P1331" s="15"/>
      <c r="Q1331" s="16">
        <f t="shared" si="185"/>
        <v>19258</v>
      </c>
      <c r="R1331" s="16">
        <f t="shared" si="186"/>
        <v>19258</v>
      </c>
      <c r="S1331" s="448">
        <f t="shared" si="183"/>
        <v>100</v>
      </c>
    </row>
    <row r="1332" spans="2:19" x14ac:dyDescent="0.2">
      <c r="B1332" s="6">
        <f t="shared" si="179"/>
        <v>830</v>
      </c>
      <c r="C1332" s="12"/>
      <c r="D1332" s="12"/>
      <c r="E1332" s="12"/>
      <c r="F1332" s="18"/>
      <c r="G1332" s="19">
        <v>713</v>
      </c>
      <c r="H1332" s="17" t="s">
        <v>216</v>
      </c>
      <c r="I1332" s="15"/>
      <c r="J1332" s="15"/>
      <c r="K1332" s="397"/>
      <c r="L1332" s="15"/>
      <c r="M1332" s="20">
        <f>M1333+M1334</f>
        <v>19258</v>
      </c>
      <c r="N1332" s="20">
        <f>N1333+N1334</f>
        <v>19258</v>
      </c>
      <c r="O1332" s="397">
        <f>N1332/M1332*100</f>
        <v>100</v>
      </c>
      <c r="P1332" s="15"/>
      <c r="Q1332" s="21">
        <f t="shared" si="185"/>
        <v>19258</v>
      </c>
      <c r="R1332" s="21">
        <f t="shared" si="186"/>
        <v>19258</v>
      </c>
      <c r="S1332" s="448">
        <f t="shared" si="183"/>
        <v>100</v>
      </c>
    </row>
    <row r="1333" spans="2:19" x14ac:dyDescent="0.2">
      <c r="B1333" s="6">
        <f t="shared" si="179"/>
        <v>831</v>
      </c>
      <c r="C1333" s="12"/>
      <c r="D1333" s="12"/>
      <c r="E1333" s="12"/>
      <c r="F1333" s="101"/>
      <c r="G1333" s="23"/>
      <c r="H1333" s="1" t="s">
        <v>682</v>
      </c>
      <c r="I1333" s="15"/>
      <c r="J1333" s="15"/>
      <c r="K1333" s="397"/>
      <c r="L1333" s="15"/>
      <c r="M1333" s="24">
        <f>6500-222</f>
        <v>6278</v>
      </c>
      <c r="N1333" s="24">
        <v>6278</v>
      </c>
      <c r="O1333" s="397">
        <f>N1333/M1333*100</f>
        <v>100</v>
      </c>
      <c r="P1333" s="15"/>
      <c r="Q1333" s="26">
        <f t="shared" si="185"/>
        <v>6278</v>
      </c>
      <c r="R1333" s="26">
        <f t="shared" si="186"/>
        <v>6278</v>
      </c>
      <c r="S1333" s="448">
        <f t="shared" si="183"/>
        <v>100</v>
      </c>
    </row>
    <row r="1334" spans="2:19" x14ac:dyDescent="0.2">
      <c r="B1334" s="6">
        <f t="shared" si="179"/>
        <v>832</v>
      </c>
      <c r="C1334" s="12"/>
      <c r="D1334" s="12"/>
      <c r="E1334" s="12"/>
      <c r="F1334" s="101"/>
      <c r="G1334" s="23"/>
      <c r="H1334" s="1" t="s">
        <v>753</v>
      </c>
      <c r="I1334" s="15"/>
      <c r="J1334" s="15"/>
      <c r="K1334" s="397"/>
      <c r="L1334" s="15"/>
      <c r="M1334" s="24">
        <v>12980</v>
      </c>
      <c r="N1334" s="24">
        <v>12980</v>
      </c>
      <c r="O1334" s="397">
        <f>N1334/M1334*100</f>
        <v>100</v>
      </c>
      <c r="P1334" s="15"/>
      <c r="Q1334" s="26">
        <f t="shared" si="185"/>
        <v>12980</v>
      </c>
      <c r="R1334" s="26">
        <f t="shared" si="186"/>
        <v>12980</v>
      </c>
      <c r="S1334" s="448">
        <f t="shared" si="183"/>
        <v>100</v>
      </c>
    </row>
    <row r="1335" spans="2:19" ht="15" x14ac:dyDescent="0.25">
      <c r="B1335" s="6">
        <f t="shared" si="179"/>
        <v>833</v>
      </c>
      <c r="C1335" s="97"/>
      <c r="D1335" s="97"/>
      <c r="E1335" s="97">
        <v>12</v>
      </c>
      <c r="F1335" s="98"/>
      <c r="G1335" s="98"/>
      <c r="H1335" s="97" t="s">
        <v>5</v>
      </c>
      <c r="I1335" s="99">
        <f>I1336+I1337+I1338+I1343+I1344+I1345+I1346+I1352</f>
        <v>578776</v>
      </c>
      <c r="J1335" s="99">
        <f>J1336+J1337+J1338+J1343+J1344+J1345+J1346+J1352</f>
        <v>559193</v>
      </c>
      <c r="K1335" s="414">
        <f t="shared" ref="K1335:K1352" si="187">J1335/I1335*100</f>
        <v>96.616480296349536</v>
      </c>
      <c r="L1335" s="313"/>
      <c r="M1335" s="99">
        <f>M1353</f>
        <v>11439</v>
      </c>
      <c r="N1335" s="99">
        <f>N1353</f>
        <v>11439</v>
      </c>
      <c r="O1335" s="414">
        <f>N1335/M1335*100</f>
        <v>100</v>
      </c>
      <c r="P1335" s="313"/>
      <c r="Q1335" s="100">
        <f t="shared" si="185"/>
        <v>590215</v>
      </c>
      <c r="R1335" s="100">
        <f t="shared" si="186"/>
        <v>570632</v>
      </c>
      <c r="S1335" s="464">
        <f t="shared" si="183"/>
        <v>96.682056538718939</v>
      </c>
    </row>
    <row r="1336" spans="2:19" x14ac:dyDescent="0.2">
      <c r="B1336" s="6">
        <f t="shared" ref="B1336:B1395" si="188">B1335+1</f>
        <v>834</v>
      </c>
      <c r="C1336" s="12"/>
      <c r="D1336" s="12"/>
      <c r="E1336" s="12"/>
      <c r="F1336" s="13" t="s">
        <v>79</v>
      </c>
      <c r="G1336" s="14">
        <v>610</v>
      </c>
      <c r="H1336" s="12" t="s">
        <v>128</v>
      </c>
      <c r="I1336" s="15">
        <v>67900</v>
      </c>
      <c r="J1336" s="15">
        <v>67900</v>
      </c>
      <c r="K1336" s="397">
        <f t="shared" si="187"/>
        <v>100</v>
      </c>
      <c r="L1336" s="15"/>
      <c r="M1336" s="15"/>
      <c r="N1336" s="15"/>
      <c r="O1336" s="397"/>
      <c r="P1336" s="15"/>
      <c r="Q1336" s="16">
        <f t="shared" si="185"/>
        <v>67900</v>
      </c>
      <c r="R1336" s="16">
        <f t="shared" si="186"/>
        <v>67900</v>
      </c>
      <c r="S1336" s="448">
        <f t="shared" ref="S1336:S1367" si="189">R1336/Q1336*100</f>
        <v>100</v>
      </c>
    </row>
    <row r="1337" spans="2:19" x14ac:dyDescent="0.2">
      <c r="B1337" s="6">
        <f t="shared" si="188"/>
        <v>835</v>
      </c>
      <c r="C1337" s="12"/>
      <c r="D1337" s="12"/>
      <c r="E1337" s="12"/>
      <c r="F1337" s="13" t="s">
        <v>79</v>
      </c>
      <c r="G1337" s="14">
        <v>620</v>
      </c>
      <c r="H1337" s="12" t="s">
        <v>121</v>
      </c>
      <c r="I1337" s="15">
        <v>25220</v>
      </c>
      <c r="J1337" s="15">
        <v>25220</v>
      </c>
      <c r="K1337" s="397">
        <f t="shared" si="187"/>
        <v>100</v>
      </c>
      <c r="L1337" s="15"/>
      <c r="M1337" s="15"/>
      <c r="N1337" s="15"/>
      <c r="O1337" s="397"/>
      <c r="P1337" s="15"/>
      <c r="Q1337" s="16">
        <f t="shared" si="185"/>
        <v>25220</v>
      </c>
      <c r="R1337" s="16">
        <f t="shared" si="186"/>
        <v>25220</v>
      </c>
      <c r="S1337" s="448">
        <f t="shared" si="189"/>
        <v>100</v>
      </c>
    </row>
    <row r="1338" spans="2:19" x14ac:dyDescent="0.2">
      <c r="B1338" s="6">
        <f t="shared" si="188"/>
        <v>836</v>
      </c>
      <c r="C1338" s="12"/>
      <c r="D1338" s="12"/>
      <c r="E1338" s="12"/>
      <c r="F1338" s="13" t="s">
        <v>79</v>
      </c>
      <c r="G1338" s="14">
        <v>630</v>
      </c>
      <c r="H1338" s="12" t="s">
        <v>118</v>
      </c>
      <c r="I1338" s="15">
        <f>SUM(I1339:I1342)</f>
        <v>199795</v>
      </c>
      <c r="J1338" s="15">
        <f>SUM(J1339:J1342)</f>
        <v>184500</v>
      </c>
      <c r="K1338" s="397">
        <f t="shared" si="187"/>
        <v>92.344653269601338</v>
      </c>
      <c r="L1338" s="15"/>
      <c r="M1338" s="15"/>
      <c r="N1338" s="15"/>
      <c r="O1338" s="397"/>
      <c r="P1338" s="15"/>
      <c r="Q1338" s="16">
        <f t="shared" si="185"/>
        <v>199795</v>
      </c>
      <c r="R1338" s="16">
        <f t="shared" si="186"/>
        <v>184500</v>
      </c>
      <c r="S1338" s="448">
        <f t="shared" si="189"/>
        <v>92.344653269601338</v>
      </c>
    </row>
    <row r="1339" spans="2:19" x14ac:dyDescent="0.2">
      <c r="B1339" s="6">
        <f t="shared" si="188"/>
        <v>837</v>
      </c>
      <c r="C1339" s="17"/>
      <c r="D1339" s="17"/>
      <c r="E1339" s="17"/>
      <c r="F1339" s="18"/>
      <c r="G1339" s="19">
        <v>632</v>
      </c>
      <c r="H1339" s="17" t="s">
        <v>131</v>
      </c>
      <c r="I1339" s="20">
        <v>15600</v>
      </c>
      <c r="J1339" s="20">
        <v>15600</v>
      </c>
      <c r="K1339" s="397">
        <f t="shared" si="187"/>
        <v>100</v>
      </c>
      <c r="L1339" s="20"/>
      <c r="M1339" s="20"/>
      <c r="N1339" s="20"/>
      <c r="O1339" s="397"/>
      <c r="P1339" s="20"/>
      <c r="Q1339" s="21">
        <f t="shared" si="185"/>
        <v>15600</v>
      </c>
      <c r="R1339" s="21">
        <f t="shared" si="186"/>
        <v>15600</v>
      </c>
      <c r="S1339" s="448">
        <f t="shared" si="189"/>
        <v>100</v>
      </c>
    </row>
    <row r="1340" spans="2:19" x14ac:dyDescent="0.2">
      <c r="B1340" s="6">
        <f t="shared" si="188"/>
        <v>838</v>
      </c>
      <c r="C1340" s="17"/>
      <c r="D1340" s="17"/>
      <c r="E1340" s="17"/>
      <c r="F1340" s="18"/>
      <c r="G1340" s="19">
        <v>633</v>
      </c>
      <c r="H1340" s="17" t="s">
        <v>122</v>
      </c>
      <c r="I1340" s="20">
        <v>153000</v>
      </c>
      <c r="J1340" s="20">
        <v>137705</v>
      </c>
      <c r="K1340" s="397">
        <f t="shared" si="187"/>
        <v>90.003267973856211</v>
      </c>
      <c r="L1340" s="20"/>
      <c r="M1340" s="20"/>
      <c r="N1340" s="20"/>
      <c r="O1340" s="397"/>
      <c r="P1340" s="20"/>
      <c r="Q1340" s="21">
        <f t="shared" si="185"/>
        <v>153000</v>
      </c>
      <c r="R1340" s="21">
        <f t="shared" si="186"/>
        <v>137705</v>
      </c>
      <c r="S1340" s="448">
        <f t="shared" si="189"/>
        <v>90.003267973856211</v>
      </c>
    </row>
    <row r="1341" spans="2:19" x14ac:dyDescent="0.2">
      <c r="B1341" s="6">
        <f t="shared" si="188"/>
        <v>839</v>
      </c>
      <c r="C1341" s="17"/>
      <c r="D1341" s="17"/>
      <c r="E1341" s="17"/>
      <c r="F1341" s="18"/>
      <c r="G1341" s="19">
        <v>635</v>
      </c>
      <c r="H1341" s="17" t="s">
        <v>130</v>
      </c>
      <c r="I1341" s="20">
        <v>3000</v>
      </c>
      <c r="J1341" s="20">
        <v>3000</v>
      </c>
      <c r="K1341" s="397">
        <f t="shared" si="187"/>
        <v>100</v>
      </c>
      <c r="L1341" s="20"/>
      <c r="M1341" s="20"/>
      <c r="N1341" s="20"/>
      <c r="O1341" s="397"/>
      <c r="P1341" s="20"/>
      <c r="Q1341" s="21">
        <f t="shared" si="185"/>
        <v>3000</v>
      </c>
      <c r="R1341" s="21">
        <f t="shared" si="186"/>
        <v>3000</v>
      </c>
      <c r="S1341" s="448">
        <f t="shared" si="189"/>
        <v>100</v>
      </c>
    </row>
    <row r="1342" spans="2:19" x14ac:dyDescent="0.2">
      <c r="B1342" s="6">
        <f t="shared" si="188"/>
        <v>840</v>
      </c>
      <c r="C1342" s="17"/>
      <c r="D1342" s="17"/>
      <c r="E1342" s="17"/>
      <c r="F1342" s="18"/>
      <c r="G1342" s="19">
        <v>637</v>
      </c>
      <c r="H1342" s="17" t="s">
        <v>119</v>
      </c>
      <c r="I1342" s="20">
        <v>28195</v>
      </c>
      <c r="J1342" s="20">
        <v>28195</v>
      </c>
      <c r="K1342" s="397">
        <f t="shared" si="187"/>
        <v>100</v>
      </c>
      <c r="L1342" s="20"/>
      <c r="M1342" s="20"/>
      <c r="N1342" s="20"/>
      <c r="O1342" s="397"/>
      <c r="P1342" s="20"/>
      <c r="Q1342" s="21">
        <f t="shared" si="185"/>
        <v>28195</v>
      </c>
      <c r="R1342" s="21">
        <f t="shared" si="186"/>
        <v>28195</v>
      </c>
      <c r="S1342" s="448">
        <f t="shared" si="189"/>
        <v>100</v>
      </c>
    </row>
    <row r="1343" spans="2:19" x14ac:dyDescent="0.2">
      <c r="B1343" s="6">
        <f t="shared" si="188"/>
        <v>841</v>
      </c>
      <c r="C1343" s="12"/>
      <c r="D1343" s="12"/>
      <c r="E1343" s="12"/>
      <c r="F1343" s="13" t="s">
        <v>79</v>
      </c>
      <c r="G1343" s="14">
        <v>640</v>
      </c>
      <c r="H1343" s="12" t="s">
        <v>126</v>
      </c>
      <c r="I1343" s="15">
        <v>1500</v>
      </c>
      <c r="J1343" s="15">
        <v>623</v>
      </c>
      <c r="K1343" s="397">
        <f t="shared" si="187"/>
        <v>41.533333333333331</v>
      </c>
      <c r="L1343" s="15"/>
      <c r="M1343" s="15"/>
      <c r="N1343" s="15"/>
      <c r="O1343" s="397"/>
      <c r="P1343" s="15"/>
      <c r="Q1343" s="16">
        <f t="shared" si="185"/>
        <v>1500</v>
      </c>
      <c r="R1343" s="16">
        <f t="shared" si="186"/>
        <v>623</v>
      </c>
      <c r="S1343" s="448">
        <f t="shared" si="189"/>
        <v>41.533333333333331</v>
      </c>
    </row>
    <row r="1344" spans="2:19" x14ac:dyDescent="0.2">
      <c r="B1344" s="6">
        <f t="shared" si="188"/>
        <v>842</v>
      </c>
      <c r="C1344" s="12"/>
      <c r="D1344" s="12"/>
      <c r="E1344" s="12"/>
      <c r="F1344" s="13" t="s">
        <v>49</v>
      </c>
      <c r="G1344" s="14">
        <v>610</v>
      </c>
      <c r="H1344" s="12" t="s">
        <v>128</v>
      </c>
      <c r="I1344" s="15">
        <f>67900+8880</f>
        <v>76780</v>
      </c>
      <c r="J1344" s="15">
        <v>76780</v>
      </c>
      <c r="K1344" s="397">
        <f t="shared" si="187"/>
        <v>100</v>
      </c>
      <c r="L1344" s="15"/>
      <c r="M1344" s="15"/>
      <c r="N1344" s="15"/>
      <c r="O1344" s="397"/>
      <c r="P1344" s="15"/>
      <c r="Q1344" s="16">
        <f t="shared" si="185"/>
        <v>76780</v>
      </c>
      <c r="R1344" s="16">
        <f t="shared" si="186"/>
        <v>76780</v>
      </c>
      <c r="S1344" s="448">
        <f t="shared" si="189"/>
        <v>100</v>
      </c>
    </row>
    <row r="1345" spans="2:19" x14ac:dyDescent="0.2">
      <c r="B1345" s="6">
        <f t="shared" si="188"/>
        <v>843</v>
      </c>
      <c r="C1345" s="12"/>
      <c r="D1345" s="12"/>
      <c r="E1345" s="12"/>
      <c r="F1345" s="13" t="s">
        <v>49</v>
      </c>
      <c r="G1345" s="14">
        <v>620</v>
      </c>
      <c r="H1345" s="12" t="s">
        <v>121</v>
      </c>
      <c r="I1345" s="15">
        <f>25220+3215+3740</f>
        <v>32175</v>
      </c>
      <c r="J1345" s="15">
        <f>28435+3740</f>
        <v>32175</v>
      </c>
      <c r="K1345" s="397">
        <f t="shared" si="187"/>
        <v>100</v>
      </c>
      <c r="L1345" s="15"/>
      <c r="M1345" s="15"/>
      <c r="N1345" s="15"/>
      <c r="O1345" s="397"/>
      <c r="P1345" s="15"/>
      <c r="Q1345" s="16">
        <f t="shared" si="185"/>
        <v>32175</v>
      </c>
      <c r="R1345" s="16">
        <f t="shared" si="186"/>
        <v>32175</v>
      </c>
      <c r="S1345" s="448">
        <f t="shared" si="189"/>
        <v>100</v>
      </c>
    </row>
    <row r="1346" spans="2:19" x14ac:dyDescent="0.2">
      <c r="B1346" s="6">
        <f t="shared" si="188"/>
        <v>844</v>
      </c>
      <c r="C1346" s="12"/>
      <c r="D1346" s="12"/>
      <c r="E1346" s="12"/>
      <c r="F1346" s="13" t="s">
        <v>49</v>
      </c>
      <c r="G1346" s="14">
        <v>630</v>
      </c>
      <c r="H1346" s="12" t="s">
        <v>118</v>
      </c>
      <c r="I1346" s="15">
        <f>SUM(I1347:I1351)</f>
        <v>173006</v>
      </c>
      <c r="J1346" s="15">
        <f>SUM(J1347:J1351)</f>
        <v>169361</v>
      </c>
      <c r="K1346" s="397">
        <f t="shared" si="187"/>
        <v>97.893136654220086</v>
      </c>
      <c r="L1346" s="15"/>
      <c r="M1346" s="15"/>
      <c r="N1346" s="15"/>
      <c r="O1346" s="397"/>
      <c r="P1346" s="15"/>
      <c r="Q1346" s="16">
        <f t="shared" si="185"/>
        <v>173006</v>
      </c>
      <c r="R1346" s="16">
        <f t="shared" si="186"/>
        <v>169361</v>
      </c>
      <c r="S1346" s="448">
        <f t="shared" si="189"/>
        <v>97.893136654220086</v>
      </c>
    </row>
    <row r="1347" spans="2:19" x14ac:dyDescent="0.2">
      <c r="B1347" s="6">
        <f t="shared" si="188"/>
        <v>845</v>
      </c>
      <c r="C1347" s="17"/>
      <c r="D1347" s="17"/>
      <c r="E1347" s="17"/>
      <c r="F1347" s="18"/>
      <c r="G1347" s="19">
        <v>631</v>
      </c>
      <c r="H1347" s="17" t="s">
        <v>124</v>
      </c>
      <c r="I1347" s="20">
        <v>55</v>
      </c>
      <c r="J1347" s="20">
        <v>55</v>
      </c>
      <c r="K1347" s="397">
        <f t="shared" si="187"/>
        <v>100</v>
      </c>
      <c r="L1347" s="20"/>
      <c r="M1347" s="20"/>
      <c r="N1347" s="20"/>
      <c r="O1347" s="397"/>
      <c r="P1347" s="20"/>
      <c r="Q1347" s="21">
        <f t="shared" si="185"/>
        <v>55</v>
      </c>
      <c r="R1347" s="21">
        <f t="shared" si="186"/>
        <v>55</v>
      </c>
      <c r="S1347" s="448">
        <f t="shared" si="189"/>
        <v>100</v>
      </c>
    </row>
    <row r="1348" spans="2:19" x14ac:dyDescent="0.2">
      <c r="B1348" s="6">
        <f t="shared" si="188"/>
        <v>846</v>
      </c>
      <c r="C1348" s="17"/>
      <c r="D1348" s="17"/>
      <c r="E1348" s="17"/>
      <c r="F1348" s="18"/>
      <c r="G1348" s="19">
        <v>632</v>
      </c>
      <c r="H1348" s="17" t="s">
        <v>131</v>
      </c>
      <c r="I1348" s="20">
        <v>15600</v>
      </c>
      <c r="J1348" s="20">
        <v>15600</v>
      </c>
      <c r="K1348" s="397">
        <f t="shared" si="187"/>
        <v>100</v>
      </c>
      <c r="L1348" s="20"/>
      <c r="M1348" s="20"/>
      <c r="N1348" s="20"/>
      <c r="O1348" s="397"/>
      <c r="P1348" s="20"/>
      <c r="Q1348" s="21">
        <f t="shared" si="185"/>
        <v>15600</v>
      </c>
      <c r="R1348" s="21">
        <f t="shared" si="186"/>
        <v>15600</v>
      </c>
      <c r="S1348" s="448">
        <f t="shared" si="189"/>
        <v>100</v>
      </c>
    </row>
    <row r="1349" spans="2:19" x14ac:dyDescent="0.2">
      <c r="B1349" s="6">
        <f t="shared" si="188"/>
        <v>847</v>
      </c>
      <c r="C1349" s="17"/>
      <c r="D1349" s="17"/>
      <c r="E1349" s="17"/>
      <c r="F1349" s="18"/>
      <c r="G1349" s="19">
        <v>633</v>
      </c>
      <c r="H1349" s="17" t="s">
        <v>122</v>
      </c>
      <c r="I1349" s="20">
        <f>153000-13839+1500</f>
        <v>140661</v>
      </c>
      <c r="J1349" s="20">
        <v>137016</v>
      </c>
      <c r="K1349" s="397">
        <f t="shared" si="187"/>
        <v>97.408663382174169</v>
      </c>
      <c r="L1349" s="20"/>
      <c r="M1349" s="20"/>
      <c r="N1349" s="20"/>
      <c r="O1349" s="397"/>
      <c r="P1349" s="20"/>
      <c r="Q1349" s="21">
        <f t="shared" si="185"/>
        <v>140661</v>
      </c>
      <c r="R1349" s="21">
        <f t="shared" si="186"/>
        <v>137016</v>
      </c>
      <c r="S1349" s="448">
        <f t="shared" si="189"/>
        <v>97.408663382174169</v>
      </c>
    </row>
    <row r="1350" spans="2:19" x14ac:dyDescent="0.2">
      <c r="B1350" s="6">
        <f t="shared" si="188"/>
        <v>848</v>
      </c>
      <c r="C1350" s="17"/>
      <c r="D1350" s="17"/>
      <c r="E1350" s="17"/>
      <c r="F1350" s="18"/>
      <c r="G1350" s="19">
        <v>635</v>
      </c>
      <c r="H1350" s="17" t="s">
        <v>130</v>
      </c>
      <c r="I1350" s="20">
        <v>6150</v>
      </c>
      <c r="J1350" s="20">
        <v>6150</v>
      </c>
      <c r="K1350" s="397">
        <f t="shared" si="187"/>
        <v>100</v>
      </c>
      <c r="L1350" s="20"/>
      <c r="M1350" s="20"/>
      <c r="N1350" s="20"/>
      <c r="O1350" s="397"/>
      <c r="P1350" s="20"/>
      <c r="Q1350" s="21">
        <f t="shared" si="185"/>
        <v>6150</v>
      </c>
      <c r="R1350" s="21">
        <f t="shared" si="186"/>
        <v>6150</v>
      </c>
      <c r="S1350" s="448">
        <f t="shared" si="189"/>
        <v>100</v>
      </c>
    </row>
    <row r="1351" spans="2:19" x14ac:dyDescent="0.2">
      <c r="B1351" s="6">
        <f t="shared" si="188"/>
        <v>849</v>
      </c>
      <c r="C1351" s="17"/>
      <c r="D1351" s="17"/>
      <c r="E1351" s="17"/>
      <c r="F1351" s="18"/>
      <c r="G1351" s="19">
        <v>637</v>
      </c>
      <c r="H1351" s="17" t="s">
        <v>119</v>
      </c>
      <c r="I1351" s="20">
        <v>10540</v>
      </c>
      <c r="J1351" s="20">
        <v>10540</v>
      </c>
      <c r="K1351" s="397">
        <f t="shared" si="187"/>
        <v>100</v>
      </c>
      <c r="L1351" s="20"/>
      <c r="M1351" s="20"/>
      <c r="N1351" s="20"/>
      <c r="O1351" s="397"/>
      <c r="P1351" s="20"/>
      <c r="Q1351" s="21">
        <f t="shared" si="185"/>
        <v>10540</v>
      </c>
      <c r="R1351" s="21">
        <f t="shared" si="186"/>
        <v>10540</v>
      </c>
      <c r="S1351" s="448">
        <f t="shared" si="189"/>
        <v>100</v>
      </c>
    </row>
    <row r="1352" spans="2:19" x14ac:dyDescent="0.2">
      <c r="B1352" s="6">
        <f t="shared" si="188"/>
        <v>850</v>
      </c>
      <c r="C1352" s="12"/>
      <c r="D1352" s="12"/>
      <c r="E1352" s="12"/>
      <c r="F1352" s="13" t="s">
        <v>49</v>
      </c>
      <c r="G1352" s="14">
        <v>640</v>
      </c>
      <c r="H1352" s="12" t="s">
        <v>126</v>
      </c>
      <c r="I1352" s="15">
        <f>1500+2400-1500</f>
        <v>2400</v>
      </c>
      <c r="J1352" s="15">
        <v>2634</v>
      </c>
      <c r="K1352" s="397">
        <f t="shared" si="187"/>
        <v>109.74999999999999</v>
      </c>
      <c r="L1352" s="15"/>
      <c r="M1352" s="15"/>
      <c r="N1352" s="15"/>
      <c r="O1352" s="397"/>
      <c r="P1352" s="15"/>
      <c r="Q1352" s="16">
        <f t="shared" si="185"/>
        <v>2400</v>
      </c>
      <c r="R1352" s="16">
        <f t="shared" si="186"/>
        <v>2634</v>
      </c>
      <c r="S1352" s="448">
        <f t="shared" si="189"/>
        <v>109.74999999999999</v>
      </c>
    </row>
    <row r="1353" spans="2:19" x14ac:dyDescent="0.2">
      <c r="B1353" s="6">
        <f t="shared" si="188"/>
        <v>851</v>
      </c>
      <c r="C1353" s="12"/>
      <c r="D1353" s="12"/>
      <c r="E1353" s="12"/>
      <c r="F1353" s="13" t="s">
        <v>49</v>
      </c>
      <c r="G1353" s="14">
        <v>710</v>
      </c>
      <c r="H1353" s="12" t="s">
        <v>172</v>
      </c>
      <c r="I1353" s="15"/>
      <c r="J1353" s="15"/>
      <c r="K1353" s="397"/>
      <c r="L1353" s="15"/>
      <c r="M1353" s="15">
        <f>M1354</f>
        <v>11439</v>
      </c>
      <c r="N1353" s="15">
        <f>N1354</f>
        <v>11439</v>
      </c>
      <c r="O1353" s="397">
        <f>N1353/M1353*100</f>
        <v>100</v>
      </c>
      <c r="P1353" s="15"/>
      <c r="Q1353" s="16">
        <f t="shared" si="185"/>
        <v>11439</v>
      </c>
      <c r="R1353" s="16">
        <f t="shared" si="186"/>
        <v>11439</v>
      </c>
      <c r="S1353" s="448">
        <f t="shared" si="189"/>
        <v>100</v>
      </c>
    </row>
    <row r="1354" spans="2:19" x14ac:dyDescent="0.2">
      <c r="B1354" s="6">
        <f t="shared" si="188"/>
        <v>852</v>
      </c>
      <c r="C1354" s="12"/>
      <c r="D1354" s="12"/>
      <c r="E1354" s="12"/>
      <c r="F1354" s="18"/>
      <c r="G1354" s="19">
        <v>713</v>
      </c>
      <c r="H1354" s="17" t="s">
        <v>216</v>
      </c>
      <c r="I1354" s="15"/>
      <c r="J1354" s="15"/>
      <c r="K1354" s="397"/>
      <c r="L1354" s="15"/>
      <c r="M1354" s="20">
        <f>M1355</f>
        <v>11439</v>
      </c>
      <c r="N1354" s="20">
        <f>N1355</f>
        <v>11439</v>
      </c>
      <c r="O1354" s="397">
        <f>N1354/M1354*100</f>
        <v>100</v>
      </c>
      <c r="P1354" s="15"/>
      <c r="Q1354" s="21">
        <f t="shared" si="185"/>
        <v>11439</v>
      </c>
      <c r="R1354" s="21">
        <f t="shared" si="186"/>
        <v>11439</v>
      </c>
      <c r="S1354" s="448">
        <f t="shared" si="189"/>
        <v>100</v>
      </c>
    </row>
    <row r="1355" spans="2:19" x14ac:dyDescent="0.2">
      <c r="B1355" s="6">
        <f t="shared" si="188"/>
        <v>853</v>
      </c>
      <c r="C1355" s="12"/>
      <c r="D1355" s="12"/>
      <c r="E1355" s="12"/>
      <c r="F1355" s="101"/>
      <c r="G1355" s="23"/>
      <c r="H1355" s="1" t="s">
        <v>707</v>
      </c>
      <c r="I1355" s="15"/>
      <c r="J1355" s="15"/>
      <c r="K1355" s="397"/>
      <c r="L1355" s="15"/>
      <c r="M1355" s="24">
        <v>11439</v>
      </c>
      <c r="N1355" s="24">
        <v>11439</v>
      </c>
      <c r="O1355" s="397">
        <f>N1355/M1355*100</f>
        <v>100</v>
      </c>
      <c r="P1355" s="15"/>
      <c r="Q1355" s="26">
        <f t="shared" si="185"/>
        <v>11439</v>
      </c>
      <c r="R1355" s="26">
        <f t="shared" si="186"/>
        <v>11439</v>
      </c>
      <c r="S1355" s="448">
        <f t="shared" si="189"/>
        <v>100</v>
      </c>
    </row>
    <row r="1356" spans="2:19" ht="15" x14ac:dyDescent="0.25">
      <c r="B1356" s="6">
        <f t="shared" si="188"/>
        <v>854</v>
      </c>
      <c r="C1356" s="97"/>
      <c r="D1356" s="97"/>
      <c r="E1356" s="97">
        <v>13</v>
      </c>
      <c r="F1356" s="98"/>
      <c r="G1356" s="98"/>
      <c r="H1356" s="97" t="s">
        <v>12</v>
      </c>
      <c r="I1356" s="99">
        <f>I1360+I1361+I1362+I1368+I1369+I1370+I1371+I1357</f>
        <v>306497</v>
      </c>
      <c r="J1356" s="99">
        <f>J1360+J1361+J1362+J1368+J1369+J1370+J1371+J1357</f>
        <v>312843</v>
      </c>
      <c r="K1356" s="414">
        <f t="shared" ref="K1356:K1375" si="190">J1356/I1356*100</f>
        <v>102.07049334903769</v>
      </c>
      <c r="L1356" s="313"/>
      <c r="M1356" s="99">
        <f>M1376</f>
        <v>11387</v>
      </c>
      <c r="N1356" s="99">
        <f>N1376</f>
        <v>11387</v>
      </c>
      <c r="O1356" s="414">
        <f>N1356/M1356*100</f>
        <v>100</v>
      </c>
      <c r="P1356" s="313"/>
      <c r="Q1356" s="100">
        <f t="shared" si="185"/>
        <v>317884</v>
      </c>
      <c r="R1356" s="100">
        <f t="shared" si="186"/>
        <v>324230</v>
      </c>
      <c r="S1356" s="464">
        <f t="shared" si="189"/>
        <v>101.99632570371581</v>
      </c>
    </row>
    <row r="1357" spans="2:19" x14ac:dyDescent="0.2">
      <c r="B1357" s="6">
        <f t="shared" si="188"/>
        <v>855</v>
      </c>
      <c r="C1357" s="12"/>
      <c r="D1357" s="12"/>
      <c r="E1357" s="12"/>
      <c r="F1357" s="13" t="s">
        <v>157</v>
      </c>
      <c r="G1357" s="14">
        <v>630</v>
      </c>
      <c r="H1357" s="12" t="s">
        <v>118</v>
      </c>
      <c r="I1357" s="15">
        <f>I1358+I1359</f>
        <v>25886</v>
      </c>
      <c r="J1357" s="15">
        <f>J1358+J1359</f>
        <v>25886</v>
      </c>
      <c r="K1357" s="397">
        <f t="shared" si="190"/>
        <v>100</v>
      </c>
      <c r="L1357" s="15"/>
      <c r="M1357" s="15"/>
      <c r="N1357" s="15"/>
      <c r="O1357" s="397"/>
      <c r="P1357" s="15"/>
      <c r="Q1357" s="16">
        <f t="shared" si="185"/>
        <v>25886</v>
      </c>
      <c r="R1357" s="16">
        <f t="shared" si="186"/>
        <v>25886</v>
      </c>
      <c r="S1357" s="448">
        <f t="shared" si="189"/>
        <v>100</v>
      </c>
    </row>
    <row r="1358" spans="2:19" x14ac:dyDescent="0.2">
      <c r="B1358" s="6">
        <f t="shared" si="188"/>
        <v>856</v>
      </c>
      <c r="C1358" s="17"/>
      <c r="D1358" s="17"/>
      <c r="E1358" s="17"/>
      <c r="F1358" s="18"/>
      <c r="G1358" s="19">
        <v>633</v>
      </c>
      <c r="H1358" s="17" t="s">
        <v>122</v>
      </c>
      <c r="I1358" s="20">
        <f>25886-6203</f>
        <v>19683</v>
      </c>
      <c r="J1358" s="20">
        <v>19683</v>
      </c>
      <c r="K1358" s="397">
        <f t="shared" si="190"/>
        <v>100</v>
      </c>
      <c r="L1358" s="20"/>
      <c r="M1358" s="20"/>
      <c r="N1358" s="20"/>
      <c r="O1358" s="397"/>
      <c r="P1358" s="20"/>
      <c r="Q1358" s="21">
        <f t="shared" si="185"/>
        <v>19683</v>
      </c>
      <c r="R1358" s="21">
        <f t="shared" si="186"/>
        <v>19683</v>
      </c>
      <c r="S1358" s="448">
        <f t="shared" si="189"/>
        <v>100</v>
      </c>
    </row>
    <row r="1359" spans="2:19" x14ac:dyDescent="0.2">
      <c r="B1359" s="6">
        <f t="shared" si="188"/>
        <v>857</v>
      </c>
      <c r="C1359" s="17"/>
      <c r="D1359" s="17"/>
      <c r="E1359" s="17"/>
      <c r="F1359" s="18"/>
      <c r="G1359" s="19">
        <v>637</v>
      </c>
      <c r="H1359" s="17" t="s">
        <v>119</v>
      </c>
      <c r="I1359" s="20">
        <v>6203</v>
      </c>
      <c r="J1359" s="20">
        <v>6203</v>
      </c>
      <c r="K1359" s="397">
        <f t="shared" si="190"/>
        <v>100</v>
      </c>
      <c r="L1359" s="20"/>
      <c r="M1359" s="20"/>
      <c r="N1359" s="20"/>
      <c r="O1359" s="397"/>
      <c r="P1359" s="20"/>
      <c r="Q1359" s="21">
        <f t="shared" si="185"/>
        <v>6203</v>
      </c>
      <c r="R1359" s="21">
        <f t="shared" si="186"/>
        <v>6203</v>
      </c>
      <c r="S1359" s="448">
        <f t="shared" si="189"/>
        <v>100</v>
      </c>
    </row>
    <row r="1360" spans="2:19" x14ac:dyDescent="0.2">
      <c r="B1360" s="6">
        <f t="shared" si="188"/>
        <v>858</v>
      </c>
      <c r="C1360" s="12"/>
      <c r="D1360" s="12"/>
      <c r="E1360" s="12"/>
      <c r="F1360" s="13" t="s">
        <v>79</v>
      </c>
      <c r="G1360" s="14">
        <v>610</v>
      </c>
      <c r="H1360" s="12" t="s">
        <v>128</v>
      </c>
      <c r="I1360" s="15">
        <f>49000+1595</f>
        <v>50595</v>
      </c>
      <c r="J1360" s="15">
        <v>50595</v>
      </c>
      <c r="K1360" s="397">
        <f t="shared" si="190"/>
        <v>100</v>
      </c>
      <c r="L1360" s="15"/>
      <c r="M1360" s="15"/>
      <c r="N1360" s="15"/>
      <c r="O1360" s="397"/>
      <c r="P1360" s="15"/>
      <c r="Q1360" s="16">
        <f t="shared" si="185"/>
        <v>50595</v>
      </c>
      <c r="R1360" s="16">
        <f t="shared" si="186"/>
        <v>50595</v>
      </c>
      <c r="S1360" s="448">
        <f t="shared" si="189"/>
        <v>100</v>
      </c>
    </row>
    <row r="1361" spans="2:19" x14ac:dyDescent="0.2">
      <c r="B1361" s="6">
        <f t="shared" si="188"/>
        <v>859</v>
      </c>
      <c r="C1361" s="12"/>
      <c r="D1361" s="12"/>
      <c r="E1361" s="12"/>
      <c r="F1361" s="13" t="s">
        <v>79</v>
      </c>
      <c r="G1361" s="14">
        <v>620</v>
      </c>
      <c r="H1361" s="12" t="s">
        <v>121</v>
      </c>
      <c r="I1361" s="15">
        <f>17248+574</f>
        <v>17822</v>
      </c>
      <c r="J1361" s="15">
        <v>17822</v>
      </c>
      <c r="K1361" s="397">
        <f t="shared" si="190"/>
        <v>100</v>
      </c>
      <c r="L1361" s="15"/>
      <c r="M1361" s="15"/>
      <c r="N1361" s="15"/>
      <c r="O1361" s="397"/>
      <c r="P1361" s="15"/>
      <c r="Q1361" s="16">
        <f t="shared" si="185"/>
        <v>17822</v>
      </c>
      <c r="R1361" s="16">
        <f t="shared" si="186"/>
        <v>17822</v>
      </c>
      <c r="S1361" s="448">
        <f t="shared" si="189"/>
        <v>100</v>
      </c>
    </row>
    <row r="1362" spans="2:19" x14ac:dyDescent="0.2">
      <c r="B1362" s="6">
        <f t="shared" si="188"/>
        <v>860</v>
      </c>
      <c r="C1362" s="12"/>
      <c r="D1362" s="12"/>
      <c r="E1362" s="12"/>
      <c r="F1362" s="13" t="s">
        <v>79</v>
      </c>
      <c r="G1362" s="14">
        <v>630</v>
      </c>
      <c r="H1362" s="12" t="s">
        <v>118</v>
      </c>
      <c r="I1362" s="15">
        <f>SUM(I1363:I1367)</f>
        <v>62906</v>
      </c>
      <c r="J1362" s="15">
        <f>SUM(J1363:J1367)</f>
        <v>60583</v>
      </c>
      <c r="K1362" s="397">
        <f t="shared" si="190"/>
        <v>96.307188503481385</v>
      </c>
      <c r="L1362" s="15"/>
      <c r="M1362" s="15"/>
      <c r="N1362" s="15"/>
      <c r="O1362" s="397"/>
      <c r="P1362" s="15"/>
      <c r="Q1362" s="16">
        <f t="shared" si="185"/>
        <v>62906</v>
      </c>
      <c r="R1362" s="16">
        <f t="shared" si="186"/>
        <v>60583</v>
      </c>
      <c r="S1362" s="448">
        <f t="shared" si="189"/>
        <v>96.307188503481385</v>
      </c>
    </row>
    <row r="1363" spans="2:19" x14ac:dyDescent="0.2">
      <c r="B1363" s="6">
        <f t="shared" si="188"/>
        <v>861</v>
      </c>
      <c r="C1363" s="12"/>
      <c r="D1363" s="12"/>
      <c r="E1363" s="12"/>
      <c r="F1363" s="13"/>
      <c r="G1363" s="19">
        <v>631</v>
      </c>
      <c r="H1363" s="17" t="s">
        <v>124</v>
      </c>
      <c r="I1363" s="20">
        <v>116</v>
      </c>
      <c r="J1363" s="20">
        <v>116</v>
      </c>
      <c r="K1363" s="397">
        <f t="shared" si="190"/>
        <v>100</v>
      </c>
      <c r="L1363" s="20"/>
      <c r="M1363" s="20"/>
      <c r="N1363" s="20"/>
      <c r="O1363" s="397"/>
      <c r="P1363" s="20"/>
      <c r="Q1363" s="21">
        <f t="shared" si="185"/>
        <v>116</v>
      </c>
      <c r="R1363" s="21">
        <f t="shared" si="186"/>
        <v>116</v>
      </c>
      <c r="S1363" s="448">
        <f t="shared" si="189"/>
        <v>100</v>
      </c>
    </row>
    <row r="1364" spans="2:19" x14ac:dyDescent="0.2">
      <c r="B1364" s="6">
        <f t="shared" si="188"/>
        <v>862</v>
      </c>
      <c r="C1364" s="17"/>
      <c r="D1364" s="17"/>
      <c r="E1364" s="17"/>
      <c r="F1364" s="18"/>
      <c r="G1364" s="19">
        <v>632</v>
      </c>
      <c r="H1364" s="17" t="s">
        <v>131</v>
      </c>
      <c r="I1364" s="20">
        <f>13180-116</f>
        <v>13064</v>
      </c>
      <c r="J1364" s="20">
        <v>13064</v>
      </c>
      <c r="K1364" s="397">
        <f t="shared" si="190"/>
        <v>100</v>
      </c>
      <c r="L1364" s="20"/>
      <c r="M1364" s="20"/>
      <c r="N1364" s="20"/>
      <c r="O1364" s="397"/>
      <c r="P1364" s="20"/>
      <c r="Q1364" s="21">
        <f t="shared" si="185"/>
        <v>13064</v>
      </c>
      <c r="R1364" s="21">
        <f t="shared" si="186"/>
        <v>13064</v>
      </c>
      <c r="S1364" s="448">
        <f t="shared" si="189"/>
        <v>100</v>
      </c>
    </row>
    <row r="1365" spans="2:19" x14ac:dyDescent="0.2">
      <c r="B1365" s="6">
        <f t="shared" si="188"/>
        <v>863</v>
      </c>
      <c r="C1365" s="17"/>
      <c r="D1365" s="17"/>
      <c r="E1365" s="17"/>
      <c r="F1365" s="18"/>
      <c r="G1365" s="19">
        <v>633</v>
      </c>
      <c r="H1365" s="17" t="s">
        <v>122</v>
      </c>
      <c r="I1365" s="20">
        <f>46913-5437-7239</f>
        <v>34237</v>
      </c>
      <c r="J1365" s="20">
        <v>33203</v>
      </c>
      <c r="K1365" s="397">
        <f t="shared" si="190"/>
        <v>96.979875573210279</v>
      </c>
      <c r="L1365" s="20"/>
      <c r="M1365" s="20"/>
      <c r="N1365" s="20"/>
      <c r="O1365" s="397"/>
      <c r="P1365" s="20"/>
      <c r="Q1365" s="21">
        <f t="shared" si="185"/>
        <v>34237</v>
      </c>
      <c r="R1365" s="21">
        <f t="shared" si="186"/>
        <v>33203</v>
      </c>
      <c r="S1365" s="448">
        <f t="shared" si="189"/>
        <v>96.979875573210279</v>
      </c>
    </row>
    <row r="1366" spans="2:19" x14ac:dyDescent="0.2">
      <c r="B1366" s="6">
        <f t="shared" si="188"/>
        <v>864</v>
      </c>
      <c r="C1366" s="17"/>
      <c r="D1366" s="17"/>
      <c r="E1366" s="17"/>
      <c r="F1366" s="18"/>
      <c r="G1366" s="19">
        <v>635</v>
      </c>
      <c r="H1366" s="17" t="s">
        <v>130</v>
      </c>
      <c r="I1366" s="20">
        <f>10600+1289</f>
        <v>11889</v>
      </c>
      <c r="J1366" s="20">
        <v>10600</v>
      </c>
      <c r="K1366" s="397">
        <f t="shared" si="190"/>
        <v>89.158045251913535</v>
      </c>
      <c r="L1366" s="20"/>
      <c r="M1366" s="20"/>
      <c r="N1366" s="20"/>
      <c r="O1366" s="397"/>
      <c r="P1366" s="20"/>
      <c r="Q1366" s="21">
        <f t="shared" si="185"/>
        <v>11889</v>
      </c>
      <c r="R1366" s="21">
        <f t="shared" si="186"/>
        <v>10600</v>
      </c>
      <c r="S1366" s="448">
        <f t="shared" si="189"/>
        <v>89.158045251913535</v>
      </c>
    </row>
    <row r="1367" spans="2:19" x14ac:dyDescent="0.2">
      <c r="B1367" s="6">
        <f t="shared" si="188"/>
        <v>865</v>
      </c>
      <c r="C1367" s="17"/>
      <c r="D1367" s="17"/>
      <c r="E1367" s="17"/>
      <c r="F1367" s="18"/>
      <c r="G1367" s="19">
        <v>637</v>
      </c>
      <c r="H1367" s="17" t="s">
        <v>119</v>
      </c>
      <c r="I1367" s="20">
        <f>4100-500</f>
        <v>3600</v>
      </c>
      <c r="J1367" s="20">
        <v>3600</v>
      </c>
      <c r="K1367" s="397">
        <f t="shared" si="190"/>
        <v>100</v>
      </c>
      <c r="L1367" s="20"/>
      <c r="M1367" s="20"/>
      <c r="N1367" s="20"/>
      <c r="O1367" s="397"/>
      <c r="P1367" s="20"/>
      <c r="Q1367" s="21">
        <f t="shared" si="185"/>
        <v>3600</v>
      </c>
      <c r="R1367" s="21">
        <f t="shared" si="186"/>
        <v>3600</v>
      </c>
      <c r="S1367" s="448">
        <f t="shared" si="189"/>
        <v>100</v>
      </c>
    </row>
    <row r="1368" spans="2:19" x14ac:dyDescent="0.2">
      <c r="B1368" s="6">
        <f t="shared" si="188"/>
        <v>866</v>
      </c>
      <c r="C1368" s="12"/>
      <c r="D1368" s="12"/>
      <c r="E1368" s="12"/>
      <c r="F1368" s="13" t="s">
        <v>79</v>
      </c>
      <c r="G1368" s="14">
        <v>640</v>
      </c>
      <c r="H1368" s="12" t="s">
        <v>126</v>
      </c>
      <c r="I1368" s="15">
        <f>300+500</f>
        <v>800</v>
      </c>
      <c r="J1368" s="15">
        <v>800</v>
      </c>
      <c r="K1368" s="397">
        <f t="shared" si="190"/>
        <v>100</v>
      </c>
      <c r="L1368" s="15"/>
      <c r="M1368" s="15"/>
      <c r="N1368" s="15"/>
      <c r="O1368" s="397"/>
      <c r="P1368" s="15"/>
      <c r="Q1368" s="16">
        <f t="shared" si="185"/>
        <v>800</v>
      </c>
      <c r="R1368" s="16">
        <f t="shared" si="186"/>
        <v>800</v>
      </c>
      <c r="S1368" s="448">
        <f t="shared" ref="S1368:S1395" si="191">R1368/Q1368*100</f>
        <v>100</v>
      </c>
    </row>
    <row r="1369" spans="2:19" x14ac:dyDescent="0.2">
      <c r="B1369" s="6">
        <f t="shared" si="188"/>
        <v>867</v>
      </c>
      <c r="C1369" s="12"/>
      <c r="D1369" s="12"/>
      <c r="E1369" s="12"/>
      <c r="F1369" s="13" t="s">
        <v>49</v>
      </c>
      <c r="G1369" s="14">
        <v>610</v>
      </c>
      <c r="H1369" s="12" t="s">
        <v>128</v>
      </c>
      <c r="I1369" s="15">
        <f>42868+4400</f>
        <v>47268</v>
      </c>
      <c r="J1369" s="15">
        <v>47268</v>
      </c>
      <c r="K1369" s="397">
        <f t="shared" si="190"/>
        <v>100</v>
      </c>
      <c r="L1369" s="15"/>
      <c r="M1369" s="15"/>
      <c r="N1369" s="15"/>
      <c r="O1369" s="397"/>
      <c r="P1369" s="15"/>
      <c r="Q1369" s="16">
        <f t="shared" si="185"/>
        <v>47268</v>
      </c>
      <c r="R1369" s="16">
        <f t="shared" si="186"/>
        <v>47268</v>
      </c>
      <c r="S1369" s="448">
        <f t="shared" si="191"/>
        <v>100</v>
      </c>
    </row>
    <row r="1370" spans="2:19" x14ac:dyDescent="0.2">
      <c r="B1370" s="6">
        <f t="shared" si="188"/>
        <v>868</v>
      </c>
      <c r="C1370" s="12"/>
      <c r="D1370" s="12"/>
      <c r="E1370" s="12"/>
      <c r="F1370" s="13" t="s">
        <v>49</v>
      </c>
      <c r="G1370" s="14">
        <v>620</v>
      </c>
      <c r="H1370" s="12" t="s">
        <v>121</v>
      </c>
      <c r="I1370" s="15">
        <f>15090+1582</f>
        <v>16672</v>
      </c>
      <c r="J1370" s="15">
        <v>16672</v>
      </c>
      <c r="K1370" s="397">
        <f t="shared" si="190"/>
        <v>100</v>
      </c>
      <c r="L1370" s="15"/>
      <c r="M1370" s="15"/>
      <c r="N1370" s="15"/>
      <c r="O1370" s="397"/>
      <c r="P1370" s="15"/>
      <c r="Q1370" s="16">
        <f t="shared" si="185"/>
        <v>16672</v>
      </c>
      <c r="R1370" s="16">
        <f t="shared" si="186"/>
        <v>16672</v>
      </c>
      <c r="S1370" s="448">
        <f t="shared" si="191"/>
        <v>100</v>
      </c>
    </row>
    <row r="1371" spans="2:19" x14ac:dyDescent="0.2">
      <c r="B1371" s="6">
        <f t="shared" si="188"/>
        <v>869</v>
      </c>
      <c r="C1371" s="12"/>
      <c r="D1371" s="12"/>
      <c r="E1371" s="12"/>
      <c r="F1371" s="13" t="s">
        <v>49</v>
      </c>
      <c r="G1371" s="14">
        <v>630</v>
      </c>
      <c r="H1371" s="12" t="s">
        <v>118</v>
      </c>
      <c r="I1371" s="15">
        <f>SUM(I1372:I1375)</f>
        <v>84548</v>
      </c>
      <c r="J1371" s="15">
        <f>SUM(J1372:J1375)</f>
        <v>93217</v>
      </c>
      <c r="K1371" s="397">
        <f t="shared" si="190"/>
        <v>110.2533472110517</v>
      </c>
      <c r="L1371" s="15"/>
      <c r="M1371" s="15"/>
      <c r="N1371" s="15"/>
      <c r="O1371" s="397"/>
      <c r="P1371" s="15"/>
      <c r="Q1371" s="16">
        <f t="shared" si="185"/>
        <v>84548</v>
      </c>
      <c r="R1371" s="16">
        <f t="shared" si="186"/>
        <v>93217</v>
      </c>
      <c r="S1371" s="448">
        <f t="shared" si="191"/>
        <v>110.2533472110517</v>
      </c>
    </row>
    <row r="1372" spans="2:19" x14ac:dyDescent="0.2">
      <c r="B1372" s="6">
        <f t="shared" si="188"/>
        <v>870</v>
      </c>
      <c r="C1372" s="17"/>
      <c r="D1372" s="17"/>
      <c r="E1372" s="17"/>
      <c r="F1372" s="18"/>
      <c r="G1372" s="19">
        <v>632</v>
      </c>
      <c r="H1372" s="17" t="s">
        <v>131</v>
      </c>
      <c r="I1372" s="20">
        <v>15300</v>
      </c>
      <c r="J1372" s="20">
        <v>15300</v>
      </c>
      <c r="K1372" s="397">
        <f t="shared" si="190"/>
        <v>100</v>
      </c>
      <c r="L1372" s="20"/>
      <c r="M1372" s="20"/>
      <c r="N1372" s="20"/>
      <c r="O1372" s="397"/>
      <c r="P1372" s="20"/>
      <c r="Q1372" s="21">
        <f t="shared" si="185"/>
        <v>15300</v>
      </c>
      <c r="R1372" s="21">
        <f t="shared" si="186"/>
        <v>15300</v>
      </c>
      <c r="S1372" s="448">
        <f t="shared" si="191"/>
        <v>100</v>
      </c>
    </row>
    <row r="1373" spans="2:19" x14ac:dyDescent="0.2">
      <c r="B1373" s="6">
        <f t="shared" si="188"/>
        <v>871</v>
      </c>
      <c r="C1373" s="17"/>
      <c r="D1373" s="17"/>
      <c r="E1373" s="17"/>
      <c r="F1373" s="18"/>
      <c r="G1373" s="19">
        <v>633</v>
      </c>
      <c r="H1373" s="17" t="s">
        <v>122</v>
      </c>
      <c r="I1373" s="20">
        <v>62738</v>
      </c>
      <c r="J1373" s="20">
        <v>63445</v>
      </c>
      <c r="K1373" s="397">
        <f t="shared" si="190"/>
        <v>101.12690873155026</v>
      </c>
      <c r="L1373" s="20"/>
      <c r="M1373" s="20"/>
      <c r="N1373" s="20"/>
      <c r="O1373" s="397"/>
      <c r="P1373" s="20"/>
      <c r="Q1373" s="21">
        <f t="shared" si="185"/>
        <v>62738</v>
      </c>
      <c r="R1373" s="21">
        <f t="shared" si="186"/>
        <v>63445</v>
      </c>
      <c r="S1373" s="448">
        <f t="shared" si="191"/>
        <v>101.12690873155026</v>
      </c>
    </row>
    <row r="1374" spans="2:19" x14ac:dyDescent="0.2">
      <c r="B1374" s="6">
        <f t="shared" si="188"/>
        <v>872</v>
      </c>
      <c r="C1374" s="17"/>
      <c r="D1374" s="17"/>
      <c r="E1374" s="17"/>
      <c r="F1374" s="18"/>
      <c r="G1374" s="19">
        <v>635</v>
      </c>
      <c r="H1374" s="17" t="s">
        <v>130</v>
      </c>
      <c r="I1374" s="20">
        <v>2600</v>
      </c>
      <c r="J1374" s="20">
        <v>2600</v>
      </c>
      <c r="K1374" s="397">
        <f t="shared" si="190"/>
        <v>100</v>
      </c>
      <c r="L1374" s="20"/>
      <c r="M1374" s="20"/>
      <c r="N1374" s="20"/>
      <c r="O1374" s="397"/>
      <c r="P1374" s="20"/>
      <c r="Q1374" s="21">
        <f t="shared" si="185"/>
        <v>2600</v>
      </c>
      <c r="R1374" s="21">
        <f t="shared" si="186"/>
        <v>2600</v>
      </c>
      <c r="S1374" s="448">
        <f t="shared" si="191"/>
        <v>100</v>
      </c>
    </row>
    <row r="1375" spans="2:19" x14ac:dyDescent="0.2">
      <c r="B1375" s="6">
        <f t="shared" si="188"/>
        <v>873</v>
      </c>
      <c r="C1375" s="17"/>
      <c r="D1375" s="17"/>
      <c r="E1375" s="17"/>
      <c r="F1375" s="18"/>
      <c r="G1375" s="19">
        <v>637</v>
      </c>
      <c r="H1375" s="17" t="s">
        <v>119</v>
      </c>
      <c r="I1375" s="20">
        <f>3610+300</f>
        <v>3910</v>
      </c>
      <c r="J1375" s="20">
        <v>11872</v>
      </c>
      <c r="K1375" s="397">
        <f t="shared" si="190"/>
        <v>303.63171355498719</v>
      </c>
      <c r="L1375" s="20"/>
      <c r="M1375" s="20"/>
      <c r="N1375" s="20"/>
      <c r="O1375" s="397"/>
      <c r="P1375" s="20"/>
      <c r="Q1375" s="21">
        <f t="shared" si="185"/>
        <v>3910</v>
      </c>
      <c r="R1375" s="21">
        <f t="shared" si="186"/>
        <v>11872</v>
      </c>
      <c r="S1375" s="448">
        <f t="shared" si="191"/>
        <v>303.63171355498719</v>
      </c>
    </row>
    <row r="1376" spans="2:19" x14ac:dyDescent="0.2">
      <c r="B1376" s="6">
        <f t="shared" si="188"/>
        <v>874</v>
      </c>
      <c r="C1376" s="12"/>
      <c r="D1376" s="12"/>
      <c r="E1376" s="12"/>
      <c r="F1376" s="13" t="s">
        <v>79</v>
      </c>
      <c r="G1376" s="14">
        <v>710</v>
      </c>
      <c r="H1376" s="12" t="s">
        <v>172</v>
      </c>
      <c r="I1376" s="15"/>
      <c r="J1376" s="15"/>
      <c r="K1376" s="397"/>
      <c r="L1376" s="15"/>
      <c r="M1376" s="15">
        <f>M1377</f>
        <v>11387</v>
      </c>
      <c r="N1376" s="15">
        <f>N1377</f>
        <v>11387</v>
      </c>
      <c r="O1376" s="397">
        <f>N1376/M1376*100</f>
        <v>100</v>
      </c>
      <c r="P1376" s="15"/>
      <c r="Q1376" s="16">
        <f t="shared" si="185"/>
        <v>11387</v>
      </c>
      <c r="R1376" s="16">
        <f t="shared" si="186"/>
        <v>11387</v>
      </c>
      <c r="S1376" s="448">
        <f t="shared" si="191"/>
        <v>100</v>
      </c>
    </row>
    <row r="1377" spans="2:19" x14ac:dyDescent="0.2">
      <c r="B1377" s="6">
        <f t="shared" si="188"/>
        <v>875</v>
      </c>
      <c r="C1377" s="12"/>
      <c r="D1377" s="12"/>
      <c r="E1377" s="12"/>
      <c r="F1377" s="18"/>
      <c r="G1377" s="19">
        <v>713</v>
      </c>
      <c r="H1377" s="17" t="s">
        <v>216</v>
      </c>
      <c r="I1377" s="15"/>
      <c r="J1377" s="15"/>
      <c r="K1377" s="397"/>
      <c r="L1377" s="15"/>
      <c r="M1377" s="20">
        <f>M1378</f>
        <v>11387</v>
      </c>
      <c r="N1377" s="20">
        <f>N1378</f>
        <v>11387</v>
      </c>
      <c r="O1377" s="397">
        <f>N1377/M1377*100</f>
        <v>100</v>
      </c>
      <c r="P1377" s="15"/>
      <c r="Q1377" s="21">
        <f t="shared" si="185"/>
        <v>11387</v>
      </c>
      <c r="R1377" s="21">
        <f t="shared" si="186"/>
        <v>11387</v>
      </c>
      <c r="S1377" s="448">
        <f t="shared" si="191"/>
        <v>100</v>
      </c>
    </row>
    <row r="1378" spans="2:19" x14ac:dyDescent="0.2">
      <c r="B1378" s="6">
        <f t="shared" si="188"/>
        <v>876</v>
      </c>
      <c r="C1378" s="12"/>
      <c r="D1378" s="12"/>
      <c r="E1378" s="12"/>
      <c r="F1378" s="101"/>
      <c r="G1378" s="23"/>
      <c r="H1378" s="1" t="s">
        <v>683</v>
      </c>
      <c r="I1378" s="15"/>
      <c r="J1378" s="15"/>
      <c r="K1378" s="397"/>
      <c r="L1378" s="15"/>
      <c r="M1378" s="24">
        <f>5437+5950</f>
        <v>11387</v>
      </c>
      <c r="N1378" s="24">
        <v>11387</v>
      </c>
      <c r="O1378" s="397">
        <f>N1378/M1378*100</f>
        <v>100</v>
      </c>
      <c r="P1378" s="15"/>
      <c r="Q1378" s="26">
        <f t="shared" si="185"/>
        <v>11387</v>
      </c>
      <c r="R1378" s="26">
        <f t="shared" si="186"/>
        <v>11387</v>
      </c>
      <c r="S1378" s="448">
        <f t="shared" si="191"/>
        <v>100</v>
      </c>
    </row>
    <row r="1379" spans="2:19" ht="15" x14ac:dyDescent="0.2">
      <c r="B1379" s="6">
        <f t="shared" si="188"/>
        <v>877</v>
      </c>
      <c r="C1379" s="9">
        <v>5</v>
      </c>
      <c r="D1379" s="637" t="s">
        <v>117</v>
      </c>
      <c r="E1379" s="638"/>
      <c r="F1379" s="638"/>
      <c r="G1379" s="638"/>
      <c r="H1379" s="638"/>
      <c r="I1379" s="10">
        <f>I1380+I1383+I1390</f>
        <v>126323</v>
      </c>
      <c r="J1379" s="10">
        <f>J1380+J1383+J1390</f>
        <v>103643</v>
      </c>
      <c r="K1379" s="395">
        <f t="shared" ref="K1379:K1395" si="192">J1379/I1379*100</f>
        <v>82.046024872746841</v>
      </c>
      <c r="L1379" s="312"/>
      <c r="M1379" s="10"/>
      <c r="N1379" s="10"/>
      <c r="O1379" s="395"/>
      <c r="P1379" s="312"/>
      <c r="Q1379" s="31">
        <f t="shared" si="185"/>
        <v>126323</v>
      </c>
      <c r="R1379" s="31">
        <f t="shared" si="186"/>
        <v>103643</v>
      </c>
      <c r="S1379" s="449">
        <f t="shared" si="191"/>
        <v>82.046024872746841</v>
      </c>
    </row>
    <row r="1380" spans="2:19" x14ac:dyDescent="0.2">
      <c r="B1380" s="6">
        <f t="shared" si="188"/>
        <v>878</v>
      </c>
      <c r="C1380" s="107"/>
      <c r="D1380" s="107"/>
      <c r="E1380" s="107"/>
      <c r="F1380" s="108"/>
      <c r="G1380" s="108"/>
      <c r="H1380" s="107" t="s">
        <v>125</v>
      </c>
      <c r="I1380" s="109">
        <f>I1381</f>
        <v>4900</v>
      </c>
      <c r="J1380" s="109">
        <f>J1381</f>
        <v>4162</v>
      </c>
      <c r="K1380" s="415">
        <f t="shared" si="192"/>
        <v>84.938775510204081</v>
      </c>
      <c r="L1380" s="15"/>
      <c r="M1380" s="109"/>
      <c r="N1380" s="109"/>
      <c r="O1380" s="415"/>
      <c r="P1380" s="15"/>
      <c r="Q1380" s="110">
        <f t="shared" si="185"/>
        <v>4900</v>
      </c>
      <c r="R1380" s="110">
        <f t="shared" si="186"/>
        <v>4162</v>
      </c>
      <c r="S1380" s="467">
        <f t="shared" si="191"/>
        <v>84.938775510204081</v>
      </c>
    </row>
    <row r="1381" spans="2:19" x14ac:dyDescent="0.2">
      <c r="B1381" s="6">
        <f t="shared" si="188"/>
        <v>879</v>
      </c>
      <c r="C1381" s="12"/>
      <c r="D1381" s="12"/>
      <c r="E1381" s="12"/>
      <c r="F1381" s="13" t="s">
        <v>50</v>
      </c>
      <c r="G1381" s="14">
        <v>630</v>
      </c>
      <c r="H1381" s="12" t="s">
        <v>118</v>
      </c>
      <c r="I1381" s="15">
        <v>4900</v>
      </c>
      <c r="J1381" s="15">
        <f>J1382</f>
        <v>4162</v>
      </c>
      <c r="K1381" s="397">
        <f t="shared" si="192"/>
        <v>84.938775510204081</v>
      </c>
      <c r="L1381" s="15"/>
      <c r="M1381" s="15"/>
      <c r="N1381" s="15"/>
      <c r="O1381" s="397"/>
      <c r="P1381" s="15"/>
      <c r="Q1381" s="16">
        <f t="shared" si="185"/>
        <v>4900</v>
      </c>
      <c r="R1381" s="16">
        <f t="shared" si="186"/>
        <v>4162</v>
      </c>
      <c r="S1381" s="448">
        <f t="shared" si="191"/>
        <v>84.938775510204081</v>
      </c>
    </row>
    <row r="1382" spans="2:19" x14ac:dyDescent="0.2">
      <c r="B1382" s="6">
        <f t="shared" si="188"/>
        <v>880</v>
      </c>
      <c r="C1382" s="17"/>
      <c r="D1382" s="17"/>
      <c r="E1382" s="17"/>
      <c r="F1382" s="18"/>
      <c r="G1382" s="19">
        <v>633</v>
      </c>
      <c r="H1382" s="17" t="s">
        <v>122</v>
      </c>
      <c r="I1382" s="20">
        <v>4900</v>
      </c>
      <c r="J1382" s="20">
        <v>4162</v>
      </c>
      <c r="K1382" s="397">
        <f t="shared" si="192"/>
        <v>84.938775510204081</v>
      </c>
      <c r="L1382" s="20"/>
      <c r="M1382" s="20"/>
      <c r="N1382" s="20"/>
      <c r="O1382" s="397"/>
      <c r="P1382" s="20"/>
      <c r="Q1382" s="21">
        <f t="shared" si="185"/>
        <v>4900</v>
      </c>
      <c r="R1382" s="21">
        <f t="shared" si="186"/>
        <v>4162</v>
      </c>
      <c r="S1382" s="448">
        <f t="shared" si="191"/>
        <v>84.938775510204081</v>
      </c>
    </row>
    <row r="1383" spans="2:19" x14ac:dyDescent="0.2">
      <c r="B1383" s="6">
        <f t="shared" si="188"/>
        <v>881</v>
      </c>
      <c r="C1383" s="107"/>
      <c r="D1383" s="107"/>
      <c r="E1383" s="107"/>
      <c r="F1383" s="108"/>
      <c r="G1383" s="108"/>
      <c r="H1383" s="107" t="s">
        <v>120</v>
      </c>
      <c r="I1383" s="109">
        <f>I1384+I1385+I1386+I1389</f>
        <v>91073</v>
      </c>
      <c r="J1383" s="109">
        <f>J1384+J1385+J1386+J1389</f>
        <v>69131</v>
      </c>
      <c r="K1383" s="415">
        <f t="shared" si="192"/>
        <v>75.907239247636511</v>
      </c>
      <c r="L1383" s="15"/>
      <c r="M1383" s="109"/>
      <c r="N1383" s="109"/>
      <c r="O1383" s="415"/>
      <c r="P1383" s="15"/>
      <c r="Q1383" s="110">
        <f t="shared" si="185"/>
        <v>91073</v>
      </c>
      <c r="R1383" s="110">
        <f t="shared" si="186"/>
        <v>69131</v>
      </c>
      <c r="S1383" s="467">
        <f t="shared" si="191"/>
        <v>75.907239247636511</v>
      </c>
    </row>
    <row r="1384" spans="2:19" x14ac:dyDescent="0.2">
      <c r="B1384" s="6">
        <f t="shared" si="188"/>
        <v>882</v>
      </c>
      <c r="C1384" s="12"/>
      <c r="D1384" s="12"/>
      <c r="E1384" s="12"/>
      <c r="F1384" s="13" t="s">
        <v>50</v>
      </c>
      <c r="G1384" s="14">
        <v>610</v>
      </c>
      <c r="H1384" s="12" t="s">
        <v>128</v>
      </c>
      <c r="I1384" s="15">
        <f>42000+19320+1920-1200-500</f>
        <v>61540</v>
      </c>
      <c r="J1384" s="15">
        <f>42885+1920</f>
        <v>44805</v>
      </c>
      <c r="K1384" s="397">
        <f t="shared" si="192"/>
        <v>72.80630484237895</v>
      </c>
      <c r="L1384" s="15"/>
      <c r="M1384" s="15"/>
      <c r="N1384" s="15"/>
      <c r="O1384" s="397"/>
      <c r="P1384" s="15"/>
      <c r="Q1384" s="16">
        <f t="shared" si="185"/>
        <v>61540</v>
      </c>
      <c r="R1384" s="16">
        <f t="shared" si="186"/>
        <v>44805</v>
      </c>
      <c r="S1384" s="448">
        <f t="shared" si="191"/>
        <v>72.80630484237895</v>
      </c>
    </row>
    <row r="1385" spans="2:19" x14ac:dyDescent="0.2">
      <c r="B1385" s="6">
        <f t="shared" si="188"/>
        <v>883</v>
      </c>
      <c r="C1385" s="12"/>
      <c r="D1385" s="12"/>
      <c r="E1385" s="12"/>
      <c r="F1385" s="13" t="s">
        <v>50</v>
      </c>
      <c r="G1385" s="14">
        <v>620</v>
      </c>
      <c r="H1385" s="12" t="s">
        <v>121</v>
      </c>
      <c r="I1385" s="15">
        <f>15519+7140+690</f>
        <v>23349</v>
      </c>
      <c r="J1385" s="15">
        <f>18884+690</f>
        <v>19574</v>
      </c>
      <c r="K1385" s="397">
        <f t="shared" si="192"/>
        <v>83.83228403786029</v>
      </c>
      <c r="L1385" s="15"/>
      <c r="M1385" s="15"/>
      <c r="N1385" s="15"/>
      <c r="O1385" s="397"/>
      <c r="P1385" s="15"/>
      <c r="Q1385" s="16">
        <f t="shared" ref="Q1385:Q1395" si="193">I1385+M1385</f>
        <v>23349</v>
      </c>
      <c r="R1385" s="16">
        <f t="shared" ref="R1385:R1395" si="194">J1385+N1385</f>
        <v>19574</v>
      </c>
      <c r="S1385" s="448">
        <f t="shared" si="191"/>
        <v>83.83228403786029</v>
      </c>
    </row>
    <row r="1386" spans="2:19" x14ac:dyDescent="0.2">
      <c r="B1386" s="6">
        <f t="shared" si="188"/>
        <v>884</v>
      </c>
      <c r="C1386" s="12"/>
      <c r="D1386" s="12"/>
      <c r="E1386" s="12"/>
      <c r="F1386" s="13" t="s">
        <v>50</v>
      </c>
      <c r="G1386" s="14">
        <v>630</v>
      </c>
      <c r="H1386" s="12" t="s">
        <v>118</v>
      </c>
      <c r="I1386" s="15">
        <f>SUM(I1387:I1388)</f>
        <v>2984</v>
      </c>
      <c r="J1386" s="15">
        <f>SUM(J1387:J1388)</f>
        <v>2514</v>
      </c>
      <c r="K1386" s="397">
        <f t="shared" si="192"/>
        <v>84.249329758713131</v>
      </c>
      <c r="L1386" s="15"/>
      <c r="M1386" s="15"/>
      <c r="N1386" s="15"/>
      <c r="O1386" s="397"/>
      <c r="P1386" s="15"/>
      <c r="Q1386" s="16">
        <f t="shared" si="193"/>
        <v>2984</v>
      </c>
      <c r="R1386" s="16">
        <f t="shared" si="194"/>
        <v>2514</v>
      </c>
      <c r="S1386" s="448">
        <f t="shared" si="191"/>
        <v>84.249329758713131</v>
      </c>
    </row>
    <row r="1387" spans="2:19" x14ac:dyDescent="0.2">
      <c r="B1387" s="6">
        <f t="shared" si="188"/>
        <v>885</v>
      </c>
      <c r="C1387" s="17"/>
      <c r="D1387" s="17"/>
      <c r="E1387" s="17"/>
      <c r="F1387" s="18"/>
      <c r="G1387" s="19">
        <v>633</v>
      </c>
      <c r="H1387" s="17" t="s">
        <v>122</v>
      </c>
      <c r="I1387" s="20">
        <f>400+1068</f>
        <v>1468</v>
      </c>
      <c r="J1387" s="20">
        <v>1068</v>
      </c>
      <c r="K1387" s="397">
        <f t="shared" si="192"/>
        <v>72.752043596730246</v>
      </c>
      <c r="L1387" s="20"/>
      <c r="M1387" s="20"/>
      <c r="N1387" s="20"/>
      <c r="O1387" s="397"/>
      <c r="P1387" s="20"/>
      <c r="Q1387" s="21">
        <f t="shared" si="193"/>
        <v>1468</v>
      </c>
      <c r="R1387" s="21">
        <f t="shared" si="194"/>
        <v>1068</v>
      </c>
      <c r="S1387" s="448">
        <f t="shared" si="191"/>
        <v>72.752043596730246</v>
      </c>
    </row>
    <row r="1388" spans="2:19" x14ac:dyDescent="0.2">
      <c r="B1388" s="6">
        <f t="shared" si="188"/>
        <v>886</v>
      </c>
      <c r="C1388" s="17"/>
      <c r="D1388" s="17"/>
      <c r="E1388" s="17"/>
      <c r="F1388" s="18"/>
      <c r="G1388" s="19">
        <v>637</v>
      </c>
      <c r="H1388" s="17" t="s">
        <v>119</v>
      </c>
      <c r="I1388" s="20">
        <f>1316+200</f>
        <v>1516</v>
      </c>
      <c r="J1388" s="20">
        <f>1171+275</f>
        <v>1446</v>
      </c>
      <c r="K1388" s="397">
        <f t="shared" si="192"/>
        <v>95.382585751978894</v>
      </c>
      <c r="L1388" s="20"/>
      <c r="M1388" s="20"/>
      <c r="N1388" s="20"/>
      <c r="O1388" s="397"/>
      <c r="P1388" s="20"/>
      <c r="Q1388" s="21">
        <f t="shared" si="193"/>
        <v>1516</v>
      </c>
      <c r="R1388" s="21">
        <f t="shared" si="194"/>
        <v>1446</v>
      </c>
      <c r="S1388" s="448">
        <f t="shared" si="191"/>
        <v>95.382585751978894</v>
      </c>
    </row>
    <row r="1389" spans="2:19" x14ac:dyDescent="0.2">
      <c r="B1389" s="6">
        <f t="shared" si="188"/>
        <v>887</v>
      </c>
      <c r="C1389" s="17"/>
      <c r="D1389" s="17"/>
      <c r="E1389" s="17"/>
      <c r="F1389" s="18" t="s">
        <v>50</v>
      </c>
      <c r="G1389" s="14">
        <v>640</v>
      </c>
      <c r="H1389" s="12" t="s">
        <v>126</v>
      </c>
      <c r="I1389" s="15">
        <f>1700+1000+500</f>
        <v>3200</v>
      </c>
      <c r="J1389" s="15">
        <v>2238</v>
      </c>
      <c r="K1389" s="397">
        <f t="shared" si="192"/>
        <v>69.9375</v>
      </c>
      <c r="L1389" s="15"/>
      <c r="M1389" s="20"/>
      <c r="N1389" s="20"/>
      <c r="O1389" s="397"/>
      <c r="P1389" s="20"/>
      <c r="Q1389" s="21">
        <f t="shared" si="193"/>
        <v>3200</v>
      </c>
      <c r="R1389" s="21">
        <f t="shared" si="194"/>
        <v>2238</v>
      </c>
      <c r="S1389" s="448">
        <f t="shared" si="191"/>
        <v>69.9375</v>
      </c>
    </row>
    <row r="1390" spans="2:19" x14ac:dyDescent="0.2">
      <c r="B1390" s="6">
        <f t="shared" si="188"/>
        <v>888</v>
      </c>
      <c r="C1390" s="112"/>
      <c r="D1390" s="112"/>
      <c r="E1390" s="112"/>
      <c r="F1390" s="113"/>
      <c r="G1390" s="114"/>
      <c r="H1390" s="112" t="s">
        <v>334</v>
      </c>
      <c r="I1390" s="115">
        <f>I1391</f>
        <v>30350</v>
      </c>
      <c r="J1390" s="115">
        <f>J1391</f>
        <v>30350</v>
      </c>
      <c r="K1390" s="416">
        <f t="shared" si="192"/>
        <v>100</v>
      </c>
      <c r="L1390" s="15"/>
      <c r="M1390" s="115"/>
      <c r="N1390" s="115"/>
      <c r="O1390" s="416"/>
      <c r="P1390" s="15"/>
      <c r="Q1390" s="116">
        <f t="shared" si="193"/>
        <v>30350</v>
      </c>
      <c r="R1390" s="116">
        <f t="shared" si="194"/>
        <v>30350</v>
      </c>
      <c r="S1390" s="469">
        <f t="shared" si="191"/>
        <v>100</v>
      </c>
    </row>
    <row r="1391" spans="2:19" x14ac:dyDescent="0.2">
      <c r="B1391" s="6">
        <f t="shared" si="188"/>
        <v>889</v>
      </c>
      <c r="C1391" s="12"/>
      <c r="D1391" s="12"/>
      <c r="E1391" s="12"/>
      <c r="F1391" s="13" t="s">
        <v>50</v>
      </c>
      <c r="G1391" s="14">
        <v>640</v>
      </c>
      <c r="H1391" s="12" t="s">
        <v>126</v>
      </c>
      <c r="I1391" s="15">
        <f>SUM(I1392:I1395)</f>
        <v>30350</v>
      </c>
      <c r="J1391" s="15">
        <f>SUM(J1392:J1395)</f>
        <v>30350</v>
      </c>
      <c r="K1391" s="397">
        <f t="shared" si="192"/>
        <v>100</v>
      </c>
      <c r="L1391" s="15"/>
      <c r="M1391" s="15"/>
      <c r="N1391" s="15"/>
      <c r="O1391" s="397"/>
      <c r="P1391" s="15"/>
      <c r="Q1391" s="16">
        <f t="shared" si="193"/>
        <v>30350</v>
      </c>
      <c r="R1391" s="16">
        <f t="shared" si="194"/>
        <v>30350</v>
      </c>
      <c r="S1391" s="448">
        <f t="shared" si="191"/>
        <v>100</v>
      </c>
    </row>
    <row r="1392" spans="2:19" x14ac:dyDescent="0.2">
      <c r="B1392" s="6">
        <f t="shared" si="188"/>
        <v>890</v>
      </c>
      <c r="C1392" s="17"/>
      <c r="D1392" s="17"/>
      <c r="E1392" s="17"/>
      <c r="F1392" s="18"/>
      <c r="G1392" s="19"/>
      <c r="H1392" s="17" t="s">
        <v>261</v>
      </c>
      <c r="I1392" s="20">
        <f>15000+620</f>
        <v>15620</v>
      </c>
      <c r="J1392" s="20">
        <v>15620</v>
      </c>
      <c r="K1392" s="397">
        <f t="shared" si="192"/>
        <v>100</v>
      </c>
      <c r="L1392" s="20"/>
      <c r="M1392" s="20"/>
      <c r="N1392" s="20"/>
      <c r="O1392" s="397"/>
      <c r="P1392" s="20"/>
      <c r="Q1392" s="21">
        <f t="shared" si="193"/>
        <v>15620</v>
      </c>
      <c r="R1392" s="21">
        <f t="shared" si="194"/>
        <v>15620</v>
      </c>
      <c r="S1392" s="448">
        <f t="shared" si="191"/>
        <v>100</v>
      </c>
    </row>
    <row r="1393" spans="2:19" x14ac:dyDescent="0.2">
      <c r="B1393" s="6">
        <f t="shared" si="188"/>
        <v>891</v>
      </c>
      <c r="C1393" s="17"/>
      <c r="D1393" s="17"/>
      <c r="E1393" s="17"/>
      <c r="F1393" s="18"/>
      <c r="G1393" s="19"/>
      <c r="H1393" s="17" t="s">
        <v>13</v>
      </c>
      <c r="I1393" s="20">
        <f>15000-620-3500</f>
        <v>10880</v>
      </c>
      <c r="J1393" s="20">
        <v>10880</v>
      </c>
      <c r="K1393" s="397">
        <f t="shared" si="192"/>
        <v>100</v>
      </c>
      <c r="L1393" s="20"/>
      <c r="M1393" s="20"/>
      <c r="N1393" s="20"/>
      <c r="O1393" s="397"/>
      <c r="P1393" s="20"/>
      <c r="Q1393" s="21">
        <f t="shared" si="193"/>
        <v>10880</v>
      </c>
      <c r="R1393" s="21">
        <f t="shared" si="194"/>
        <v>10880</v>
      </c>
      <c r="S1393" s="448">
        <f t="shared" si="191"/>
        <v>100</v>
      </c>
    </row>
    <row r="1394" spans="2:19" ht="24" x14ac:dyDescent="0.2">
      <c r="B1394" s="6">
        <f t="shared" si="188"/>
        <v>892</v>
      </c>
      <c r="C1394" s="17"/>
      <c r="D1394" s="17"/>
      <c r="E1394" s="17"/>
      <c r="F1394" s="18"/>
      <c r="G1394" s="19"/>
      <c r="H1394" s="340" t="s">
        <v>737</v>
      </c>
      <c r="I1394" s="20">
        <v>350</v>
      </c>
      <c r="J1394" s="20">
        <v>350</v>
      </c>
      <c r="K1394" s="397">
        <f t="shared" si="192"/>
        <v>100</v>
      </c>
      <c r="L1394" s="20"/>
      <c r="M1394" s="20"/>
      <c r="N1394" s="20"/>
      <c r="O1394" s="397"/>
      <c r="P1394" s="20"/>
      <c r="Q1394" s="21">
        <f t="shared" si="193"/>
        <v>350</v>
      </c>
      <c r="R1394" s="21">
        <f t="shared" si="194"/>
        <v>350</v>
      </c>
      <c r="S1394" s="448">
        <f t="shared" si="191"/>
        <v>100</v>
      </c>
    </row>
    <row r="1395" spans="2:19" ht="24" x14ac:dyDescent="0.2">
      <c r="B1395" s="159">
        <f t="shared" si="188"/>
        <v>893</v>
      </c>
      <c r="C1395" s="270"/>
      <c r="D1395" s="270"/>
      <c r="E1395" s="270"/>
      <c r="F1395" s="271"/>
      <c r="G1395" s="272"/>
      <c r="H1395" s="466" t="s">
        <v>669</v>
      </c>
      <c r="I1395" s="273">
        <v>3500</v>
      </c>
      <c r="J1395" s="273">
        <v>3500</v>
      </c>
      <c r="K1395" s="406">
        <f t="shared" si="192"/>
        <v>100</v>
      </c>
      <c r="L1395" s="273"/>
      <c r="M1395" s="273"/>
      <c r="N1395" s="273"/>
      <c r="O1395" s="406"/>
      <c r="P1395" s="273"/>
      <c r="Q1395" s="274">
        <f t="shared" si="193"/>
        <v>3500</v>
      </c>
      <c r="R1395" s="274">
        <f t="shared" si="194"/>
        <v>3500</v>
      </c>
      <c r="S1395" s="454">
        <f t="shared" si="191"/>
        <v>100</v>
      </c>
    </row>
    <row r="1399" spans="2:19" ht="27.75" x14ac:dyDescent="0.4">
      <c r="B1399" s="658" t="s">
        <v>389</v>
      </c>
      <c r="C1399" s="658"/>
      <c r="D1399" s="658"/>
      <c r="E1399" s="658"/>
      <c r="F1399" s="658"/>
      <c r="G1399" s="658"/>
      <c r="H1399" s="658"/>
      <c r="I1399" s="658"/>
      <c r="J1399" s="658"/>
      <c r="K1399" s="658"/>
      <c r="L1399" s="658"/>
      <c r="M1399" s="658"/>
      <c r="N1399" s="658"/>
      <c r="O1399" s="658"/>
      <c r="P1399" s="658"/>
      <c r="Q1399" s="658"/>
      <c r="R1399" s="3"/>
      <c r="S1399" s="154"/>
    </row>
    <row r="1400" spans="2:19" x14ac:dyDescent="0.2">
      <c r="B1400" s="631" t="s">
        <v>432</v>
      </c>
      <c r="C1400" s="632"/>
      <c r="D1400" s="632"/>
      <c r="E1400" s="632"/>
      <c r="F1400" s="632"/>
      <c r="G1400" s="632"/>
      <c r="H1400" s="632"/>
      <c r="I1400" s="632"/>
      <c r="J1400" s="632"/>
      <c r="K1400" s="632"/>
      <c r="L1400" s="632"/>
      <c r="M1400" s="632"/>
      <c r="N1400" s="632"/>
      <c r="O1400" s="632"/>
      <c r="P1400" s="632"/>
      <c r="Q1400" s="624" t="s">
        <v>761</v>
      </c>
      <c r="R1400" s="624" t="s">
        <v>757</v>
      </c>
      <c r="S1400" s="641" t="s">
        <v>758</v>
      </c>
    </row>
    <row r="1401" spans="2:19" x14ac:dyDescent="0.2">
      <c r="B1401" s="633"/>
      <c r="C1401" s="634" t="s">
        <v>111</v>
      </c>
      <c r="D1401" s="634" t="s">
        <v>112</v>
      </c>
      <c r="E1401" s="634"/>
      <c r="F1401" s="634" t="s">
        <v>113</v>
      </c>
      <c r="G1401" s="627" t="s">
        <v>114</v>
      </c>
      <c r="H1401" s="628" t="s">
        <v>115</v>
      </c>
      <c r="I1401" s="626" t="s">
        <v>759</v>
      </c>
      <c r="J1401" s="626" t="s">
        <v>757</v>
      </c>
      <c r="K1401" s="643" t="s">
        <v>758</v>
      </c>
      <c r="L1401" s="310"/>
      <c r="M1401" s="626" t="s">
        <v>760</v>
      </c>
      <c r="N1401" s="626" t="s">
        <v>757</v>
      </c>
      <c r="O1401" s="652" t="s">
        <v>758</v>
      </c>
      <c r="P1401" s="310"/>
      <c r="Q1401" s="625"/>
      <c r="R1401" s="625"/>
      <c r="S1401" s="642"/>
    </row>
    <row r="1402" spans="2:19" x14ac:dyDescent="0.2">
      <c r="B1402" s="633"/>
      <c r="C1402" s="634"/>
      <c r="D1402" s="634"/>
      <c r="E1402" s="634"/>
      <c r="F1402" s="634"/>
      <c r="G1402" s="627"/>
      <c r="H1402" s="628"/>
      <c r="I1402" s="626"/>
      <c r="J1402" s="626"/>
      <c r="K1402" s="643"/>
      <c r="L1402" s="310"/>
      <c r="M1402" s="626"/>
      <c r="N1402" s="626"/>
      <c r="O1402" s="652"/>
      <c r="P1402" s="310"/>
      <c r="Q1402" s="625"/>
      <c r="R1402" s="625"/>
      <c r="S1402" s="642"/>
    </row>
    <row r="1403" spans="2:19" x14ac:dyDescent="0.2">
      <c r="B1403" s="633"/>
      <c r="C1403" s="634"/>
      <c r="D1403" s="634"/>
      <c r="E1403" s="634"/>
      <c r="F1403" s="634"/>
      <c r="G1403" s="627"/>
      <c r="H1403" s="628"/>
      <c r="I1403" s="626"/>
      <c r="J1403" s="626"/>
      <c r="K1403" s="643"/>
      <c r="L1403" s="310"/>
      <c r="M1403" s="626"/>
      <c r="N1403" s="626"/>
      <c r="O1403" s="652"/>
      <c r="P1403" s="310"/>
      <c r="Q1403" s="625"/>
      <c r="R1403" s="625"/>
      <c r="S1403" s="642"/>
    </row>
    <row r="1404" spans="2:19" x14ac:dyDescent="0.2">
      <c r="B1404" s="633"/>
      <c r="C1404" s="634"/>
      <c r="D1404" s="634"/>
      <c r="E1404" s="634"/>
      <c r="F1404" s="634"/>
      <c r="G1404" s="627"/>
      <c r="H1404" s="628"/>
      <c r="I1404" s="626"/>
      <c r="J1404" s="626"/>
      <c r="K1404" s="643"/>
      <c r="L1404" s="310"/>
      <c r="M1404" s="626"/>
      <c r="N1404" s="626"/>
      <c r="O1404" s="652"/>
      <c r="P1404" s="310"/>
      <c r="Q1404" s="625"/>
      <c r="R1404" s="625"/>
      <c r="S1404" s="642"/>
    </row>
    <row r="1405" spans="2:19" ht="15.75" x14ac:dyDescent="0.2">
      <c r="B1405" s="6">
        <v>1</v>
      </c>
      <c r="C1405" s="659" t="s">
        <v>389</v>
      </c>
      <c r="D1405" s="660"/>
      <c r="E1405" s="660"/>
      <c r="F1405" s="660"/>
      <c r="G1405" s="660"/>
      <c r="H1405" s="661"/>
      <c r="I1405" s="7">
        <f>I1406+I1409+I1426+I1496</f>
        <v>3054044</v>
      </c>
      <c r="J1405" s="7">
        <f>J1406+J1409+J1426+J1496</f>
        <v>2872838</v>
      </c>
      <c r="K1405" s="399">
        <f t="shared" ref="K1405:K1423" si="195">J1405/I1405*100</f>
        <v>94.066686662012728</v>
      </c>
      <c r="L1405" s="311"/>
      <c r="M1405" s="7">
        <f>M1496+M1426+M1409+M1406</f>
        <v>45384891</v>
      </c>
      <c r="N1405" s="7">
        <f>N1496+N1426+N1409+N1406</f>
        <v>19989754</v>
      </c>
      <c r="O1405" s="399">
        <f>N1405/M1405*100</f>
        <v>44.044953198191003</v>
      </c>
      <c r="P1405" s="311"/>
      <c r="Q1405" s="8">
        <f t="shared" ref="Q1405:Q1436" si="196">I1405+M1405</f>
        <v>48438935</v>
      </c>
      <c r="R1405" s="8">
        <f t="shared" ref="R1405:R1436" si="197">J1405+N1405</f>
        <v>22862592</v>
      </c>
      <c r="S1405" s="445">
        <f t="shared" ref="S1405:S1436" si="198">R1405/Q1405*100</f>
        <v>47.198791633218192</v>
      </c>
    </row>
    <row r="1406" spans="2:19" ht="15" x14ac:dyDescent="0.2">
      <c r="B1406" s="6">
        <f t="shared" ref="B1406:B1437" si="199">B1405+1</f>
        <v>2</v>
      </c>
      <c r="C1406" s="9">
        <v>1</v>
      </c>
      <c r="D1406" s="662" t="s">
        <v>225</v>
      </c>
      <c r="E1406" s="663"/>
      <c r="F1406" s="663"/>
      <c r="G1406" s="663"/>
      <c r="H1406" s="664"/>
      <c r="I1406" s="10">
        <f>I1407</f>
        <v>6000</v>
      </c>
      <c r="J1406" s="10">
        <f>J1407</f>
        <v>5957</v>
      </c>
      <c r="K1406" s="395">
        <f t="shared" si="195"/>
        <v>99.283333333333331</v>
      </c>
      <c r="L1406" s="312"/>
      <c r="M1406" s="10"/>
      <c r="N1406" s="10"/>
      <c r="O1406" s="395"/>
      <c r="P1406" s="312"/>
      <c r="Q1406" s="31">
        <f t="shared" si="196"/>
        <v>6000</v>
      </c>
      <c r="R1406" s="31">
        <f t="shared" si="197"/>
        <v>5957</v>
      </c>
      <c r="S1406" s="449">
        <f t="shared" si="198"/>
        <v>99.283333333333331</v>
      </c>
    </row>
    <row r="1407" spans="2:19" x14ac:dyDescent="0.2">
      <c r="B1407" s="6">
        <f t="shared" si="199"/>
        <v>3</v>
      </c>
      <c r="C1407" s="12"/>
      <c r="D1407" s="12"/>
      <c r="E1407" s="12"/>
      <c r="F1407" s="13" t="s">
        <v>176</v>
      </c>
      <c r="G1407" s="14">
        <v>630</v>
      </c>
      <c r="H1407" s="12" t="s">
        <v>118</v>
      </c>
      <c r="I1407" s="15">
        <f>I1408</f>
        <v>6000</v>
      </c>
      <c r="J1407" s="15">
        <f>J1408</f>
        <v>5957</v>
      </c>
      <c r="K1407" s="397">
        <f t="shared" si="195"/>
        <v>99.283333333333331</v>
      </c>
      <c r="L1407" s="15"/>
      <c r="M1407" s="15"/>
      <c r="N1407" s="15"/>
      <c r="O1407" s="397"/>
      <c r="P1407" s="15"/>
      <c r="Q1407" s="16">
        <f t="shared" si="196"/>
        <v>6000</v>
      </c>
      <c r="R1407" s="16">
        <f t="shared" si="197"/>
        <v>5957</v>
      </c>
      <c r="S1407" s="448">
        <f t="shared" si="198"/>
        <v>99.283333333333331</v>
      </c>
    </row>
    <row r="1408" spans="2:19" x14ac:dyDescent="0.2">
      <c r="B1408" s="6">
        <f t="shared" si="199"/>
        <v>4</v>
      </c>
      <c r="C1408" s="17"/>
      <c r="D1408" s="17"/>
      <c r="E1408" s="17"/>
      <c r="F1408" s="18"/>
      <c r="G1408" s="19">
        <v>637</v>
      </c>
      <c r="H1408" s="17" t="s">
        <v>119</v>
      </c>
      <c r="I1408" s="20">
        <v>6000</v>
      </c>
      <c r="J1408" s="20">
        <v>5957</v>
      </c>
      <c r="K1408" s="397">
        <f t="shared" si="195"/>
        <v>99.283333333333331</v>
      </c>
      <c r="L1408" s="20"/>
      <c r="M1408" s="20"/>
      <c r="N1408" s="20"/>
      <c r="O1408" s="397"/>
      <c r="P1408" s="20"/>
      <c r="Q1408" s="21">
        <f t="shared" si="196"/>
        <v>6000</v>
      </c>
      <c r="R1408" s="21">
        <f t="shared" si="197"/>
        <v>5957</v>
      </c>
      <c r="S1408" s="448">
        <f t="shared" si="198"/>
        <v>99.283333333333331</v>
      </c>
    </row>
    <row r="1409" spans="2:19" ht="15" x14ac:dyDescent="0.2">
      <c r="B1409" s="6">
        <f t="shared" si="199"/>
        <v>5</v>
      </c>
      <c r="C1409" s="9">
        <v>2</v>
      </c>
      <c r="D1409" s="662" t="s">
        <v>356</v>
      </c>
      <c r="E1409" s="663"/>
      <c r="F1409" s="663"/>
      <c r="G1409" s="663"/>
      <c r="H1409" s="664"/>
      <c r="I1409" s="10">
        <f>I1410</f>
        <v>227000</v>
      </c>
      <c r="J1409" s="10">
        <f>J1410</f>
        <v>227000</v>
      </c>
      <c r="K1409" s="395">
        <f t="shared" si="195"/>
        <v>100</v>
      </c>
      <c r="L1409" s="312"/>
      <c r="M1409" s="10">
        <f>M1424</f>
        <v>22200</v>
      </c>
      <c r="N1409" s="10">
        <f>N1424</f>
        <v>22200</v>
      </c>
      <c r="O1409" s="395">
        <f>N1409/M1409*100</f>
        <v>100</v>
      </c>
      <c r="P1409" s="312"/>
      <c r="Q1409" s="31">
        <f t="shared" si="196"/>
        <v>249200</v>
      </c>
      <c r="R1409" s="31">
        <f t="shared" si="197"/>
        <v>249200</v>
      </c>
      <c r="S1409" s="449">
        <f t="shared" si="198"/>
        <v>100</v>
      </c>
    </row>
    <row r="1410" spans="2:19" x14ac:dyDescent="0.2">
      <c r="B1410" s="6">
        <f t="shared" si="199"/>
        <v>6</v>
      </c>
      <c r="C1410" s="470"/>
      <c r="D1410" s="470"/>
      <c r="E1410" s="470"/>
      <c r="F1410" s="471" t="s">
        <v>176</v>
      </c>
      <c r="G1410" s="472">
        <v>640</v>
      </c>
      <c r="H1410" s="470" t="s">
        <v>126</v>
      </c>
      <c r="I1410" s="473">
        <f>SUM(I1411:I1423)</f>
        <v>227000</v>
      </c>
      <c r="J1410" s="473">
        <f>SUM(J1411:J1423)</f>
        <v>227000</v>
      </c>
      <c r="K1410" s="396">
        <f t="shared" si="195"/>
        <v>100</v>
      </c>
      <c r="L1410" s="473"/>
      <c r="M1410" s="473"/>
      <c r="N1410" s="473"/>
      <c r="O1410" s="396"/>
      <c r="P1410" s="473"/>
      <c r="Q1410" s="474">
        <f t="shared" si="196"/>
        <v>227000</v>
      </c>
      <c r="R1410" s="474">
        <f t="shared" si="197"/>
        <v>227000</v>
      </c>
      <c r="S1410" s="450">
        <f t="shared" si="198"/>
        <v>100</v>
      </c>
    </row>
    <row r="1411" spans="2:19" x14ac:dyDescent="0.2">
      <c r="B1411" s="6">
        <f t="shared" si="199"/>
        <v>7</v>
      </c>
      <c r="C1411" s="32"/>
      <c r="D1411" s="32"/>
      <c r="E1411" s="32"/>
      <c r="F1411" s="152"/>
      <c r="G1411" s="152"/>
      <c r="H1411" s="59" t="s">
        <v>430</v>
      </c>
      <c r="I1411" s="35">
        <f>40000-4386</f>
        <v>35614</v>
      </c>
      <c r="J1411" s="35">
        <v>35614</v>
      </c>
      <c r="K1411" s="396">
        <f t="shared" si="195"/>
        <v>100</v>
      </c>
      <c r="L1411" s="35"/>
      <c r="M1411" s="36"/>
      <c r="N1411" s="36"/>
      <c r="O1411" s="396"/>
      <c r="P1411" s="36"/>
      <c r="Q1411" s="37">
        <f t="shared" si="196"/>
        <v>35614</v>
      </c>
      <c r="R1411" s="37">
        <f t="shared" si="197"/>
        <v>35614</v>
      </c>
      <c r="S1411" s="450">
        <f t="shared" si="198"/>
        <v>100</v>
      </c>
    </row>
    <row r="1412" spans="2:19" x14ac:dyDescent="0.2">
      <c r="B1412" s="6">
        <f t="shared" si="199"/>
        <v>8</v>
      </c>
      <c r="C1412" s="32"/>
      <c r="D1412" s="32"/>
      <c r="E1412" s="32"/>
      <c r="F1412" s="152"/>
      <c r="G1412" s="152"/>
      <c r="H1412" s="59" t="s">
        <v>429</v>
      </c>
      <c r="I1412" s="35">
        <v>35000</v>
      </c>
      <c r="J1412" s="35">
        <v>35000</v>
      </c>
      <c r="K1412" s="396">
        <f t="shared" si="195"/>
        <v>100</v>
      </c>
      <c r="L1412" s="35"/>
      <c r="M1412" s="36"/>
      <c r="N1412" s="36"/>
      <c r="O1412" s="396"/>
      <c r="P1412" s="36"/>
      <c r="Q1412" s="37">
        <f t="shared" si="196"/>
        <v>35000</v>
      </c>
      <c r="R1412" s="37">
        <f t="shared" si="197"/>
        <v>35000</v>
      </c>
      <c r="S1412" s="450">
        <f t="shared" si="198"/>
        <v>100</v>
      </c>
    </row>
    <row r="1413" spans="2:19" ht="24" x14ac:dyDescent="0.2">
      <c r="B1413" s="6">
        <f t="shared" si="199"/>
        <v>9</v>
      </c>
      <c r="C1413" s="32"/>
      <c r="D1413" s="32"/>
      <c r="E1413" s="32"/>
      <c r="F1413" s="152"/>
      <c r="G1413" s="152"/>
      <c r="H1413" s="34" t="s">
        <v>638</v>
      </c>
      <c r="I1413" s="35">
        <v>4386</v>
      </c>
      <c r="J1413" s="35">
        <v>4386</v>
      </c>
      <c r="K1413" s="396">
        <f t="shared" si="195"/>
        <v>100</v>
      </c>
      <c r="L1413" s="35"/>
      <c r="M1413" s="36"/>
      <c r="N1413" s="36"/>
      <c r="O1413" s="396"/>
      <c r="P1413" s="36"/>
      <c r="Q1413" s="37">
        <f t="shared" si="196"/>
        <v>4386</v>
      </c>
      <c r="R1413" s="37">
        <f t="shared" si="197"/>
        <v>4386</v>
      </c>
      <c r="S1413" s="450">
        <f t="shared" si="198"/>
        <v>100</v>
      </c>
    </row>
    <row r="1414" spans="2:19" ht="24" x14ac:dyDescent="0.2">
      <c r="B1414" s="6">
        <f t="shared" si="199"/>
        <v>10</v>
      </c>
      <c r="C1414" s="32"/>
      <c r="D1414" s="32"/>
      <c r="E1414" s="32"/>
      <c r="F1414" s="152"/>
      <c r="G1414" s="152"/>
      <c r="H1414" s="34" t="s">
        <v>616</v>
      </c>
      <c r="I1414" s="35">
        <v>3000</v>
      </c>
      <c r="J1414" s="35">
        <v>3000</v>
      </c>
      <c r="K1414" s="396">
        <f t="shared" si="195"/>
        <v>100</v>
      </c>
      <c r="L1414" s="35"/>
      <c r="M1414" s="36"/>
      <c r="N1414" s="36"/>
      <c r="O1414" s="396"/>
      <c r="P1414" s="36"/>
      <c r="Q1414" s="37">
        <f t="shared" si="196"/>
        <v>3000</v>
      </c>
      <c r="R1414" s="37">
        <f t="shared" si="197"/>
        <v>3000</v>
      </c>
      <c r="S1414" s="450">
        <f t="shared" si="198"/>
        <v>100</v>
      </c>
    </row>
    <row r="1415" spans="2:19" x14ac:dyDescent="0.2">
      <c r="B1415" s="6">
        <f t="shared" si="199"/>
        <v>11</v>
      </c>
      <c r="C1415" s="32"/>
      <c r="D1415" s="32"/>
      <c r="E1415" s="32"/>
      <c r="F1415" s="152"/>
      <c r="G1415" s="152"/>
      <c r="H1415" s="34" t="s">
        <v>625</v>
      </c>
      <c r="I1415" s="35">
        <v>40500</v>
      </c>
      <c r="J1415" s="35">
        <v>40500</v>
      </c>
      <c r="K1415" s="396">
        <f t="shared" si="195"/>
        <v>100</v>
      </c>
      <c r="L1415" s="35"/>
      <c r="M1415" s="36"/>
      <c r="N1415" s="36"/>
      <c r="O1415" s="396"/>
      <c r="P1415" s="36"/>
      <c r="Q1415" s="37">
        <f t="shared" si="196"/>
        <v>40500</v>
      </c>
      <c r="R1415" s="37">
        <f t="shared" si="197"/>
        <v>40500</v>
      </c>
      <c r="S1415" s="450">
        <f t="shared" si="198"/>
        <v>100</v>
      </c>
    </row>
    <row r="1416" spans="2:19" ht="24" x14ac:dyDescent="0.2">
      <c r="B1416" s="6">
        <f t="shared" si="199"/>
        <v>12</v>
      </c>
      <c r="C1416" s="32"/>
      <c r="D1416" s="32"/>
      <c r="E1416" s="32"/>
      <c r="F1416" s="152"/>
      <c r="G1416" s="152"/>
      <c r="H1416" s="34" t="s">
        <v>670</v>
      </c>
      <c r="I1416" s="35">
        <v>3000</v>
      </c>
      <c r="J1416" s="35">
        <v>3000</v>
      </c>
      <c r="K1416" s="396">
        <f t="shared" si="195"/>
        <v>100</v>
      </c>
      <c r="L1416" s="35"/>
      <c r="M1416" s="36"/>
      <c r="N1416" s="36"/>
      <c r="O1416" s="396"/>
      <c r="P1416" s="36"/>
      <c r="Q1416" s="37">
        <f t="shared" si="196"/>
        <v>3000</v>
      </c>
      <c r="R1416" s="37">
        <f t="shared" si="197"/>
        <v>3000</v>
      </c>
      <c r="S1416" s="450">
        <f t="shared" si="198"/>
        <v>100</v>
      </c>
    </row>
    <row r="1417" spans="2:19" ht="24" x14ac:dyDescent="0.2">
      <c r="B1417" s="6">
        <f t="shared" si="199"/>
        <v>13</v>
      </c>
      <c r="C1417" s="32"/>
      <c r="D1417" s="32"/>
      <c r="E1417" s="32"/>
      <c r="F1417" s="152"/>
      <c r="G1417" s="152"/>
      <c r="H1417" s="34" t="s">
        <v>722</v>
      </c>
      <c r="I1417" s="35">
        <v>1000</v>
      </c>
      <c r="J1417" s="35">
        <v>1000</v>
      </c>
      <c r="K1417" s="396">
        <f t="shared" si="195"/>
        <v>100</v>
      </c>
      <c r="L1417" s="35"/>
      <c r="M1417" s="36"/>
      <c r="N1417" s="36"/>
      <c r="O1417" s="396"/>
      <c r="P1417" s="36"/>
      <c r="Q1417" s="37">
        <f t="shared" si="196"/>
        <v>1000</v>
      </c>
      <c r="R1417" s="37">
        <f t="shared" si="197"/>
        <v>1000</v>
      </c>
      <c r="S1417" s="450">
        <f t="shared" si="198"/>
        <v>100</v>
      </c>
    </row>
    <row r="1418" spans="2:19" ht="24" x14ac:dyDescent="0.2">
      <c r="B1418" s="6">
        <f t="shared" si="199"/>
        <v>14</v>
      </c>
      <c r="C1418" s="32"/>
      <c r="D1418" s="32"/>
      <c r="E1418" s="32"/>
      <c r="F1418" s="152"/>
      <c r="G1418" s="152"/>
      <c r="H1418" s="34" t="s">
        <v>626</v>
      </c>
      <c r="I1418" s="35">
        <v>40500</v>
      </c>
      <c r="J1418" s="35">
        <v>40500</v>
      </c>
      <c r="K1418" s="396">
        <f t="shared" si="195"/>
        <v>100</v>
      </c>
      <c r="L1418" s="35"/>
      <c r="M1418" s="36"/>
      <c r="N1418" s="36"/>
      <c r="O1418" s="396"/>
      <c r="P1418" s="36"/>
      <c r="Q1418" s="37">
        <f t="shared" si="196"/>
        <v>40500</v>
      </c>
      <c r="R1418" s="37">
        <f t="shared" si="197"/>
        <v>40500</v>
      </c>
      <c r="S1418" s="450">
        <f t="shared" si="198"/>
        <v>100</v>
      </c>
    </row>
    <row r="1419" spans="2:19" ht="24" x14ac:dyDescent="0.2">
      <c r="B1419" s="6">
        <f t="shared" si="199"/>
        <v>15</v>
      </c>
      <c r="C1419" s="32"/>
      <c r="D1419" s="32"/>
      <c r="E1419" s="32"/>
      <c r="F1419" s="152"/>
      <c r="G1419" s="152"/>
      <c r="H1419" s="34" t="s">
        <v>627</v>
      </c>
      <c r="I1419" s="35">
        <f>12000+5000</f>
        <v>17000</v>
      </c>
      <c r="J1419" s="35">
        <v>17000</v>
      </c>
      <c r="K1419" s="396">
        <f t="shared" si="195"/>
        <v>100</v>
      </c>
      <c r="L1419" s="35"/>
      <c r="M1419" s="36"/>
      <c r="N1419" s="36"/>
      <c r="O1419" s="396"/>
      <c r="P1419" s="36"/>
      <c r="Q1419" s="37">
        <f t="shared" si="196"/>
        <v>17000</v>
      </c>
      <c r="R1419" s="37">
        <f t="shared" si="197"/>
        <v>17000</v>
      </c>
      <c r="S1419" s="450">
        <f t="shared" si="198"/>
        <v>100</v>
      </c>
    </row>
    <row r="1420" spans="2:19" ht="24" x14ac:dyDescent="0.2">
      <c r="B1420" s="6">
        <f t="shared" si="199"/>
        <v>16</v>
      </c>
      <c r="C1420" s="32"/>
      <c r="D1420" s="32"/>
      <c r="E1420" s="32"/>
      <c r="F1420" s="152"/>
      <c r="G1420" s="152"/>
      <c r="H1420" s="34" t="s">
        <v>628</v>
      </c>
      <c r="I1420" s="35">
        <v>15000</v>
      </c>
      <c r="J1420" s="35">
        <v>15000</v>
      </c>
      <c r="K1420" s="396">
        <f t="shared" si="195"/>
        <v>100</v>
      </c>
      <c r="L1420" s="35"/>
      <c r="M1420" s="36"/>
      <c r="N1420" s="36"/>
      <c r="O1420" s="396"/>
      <c r="P1420" s="36"/>
      <c r="Q1420" s="37">
        <f t="shared" si="196"/>
        <v>15000</v>
      </c>
      <c r="R1420" s="37">
        <f t="shared" si="197"/>
        <v>15000</v>
      </c>
      <c r="S1420" s="450">
        <f t="shared" si="198"/>
        <v>100</v>
      </c>
    </row>
    <row r="1421" spans="2:19" ht="24" x14ac:dyDescent="0.2">
      <c r="B1421" s="6">
        <f t="shared" si="199"/>
        <v>17</v>
      </c>
      <c r="C1421" s="32"/>
      <c r="D1421" s="32"/>
      <c r="E1421" s="32"/>
      <c r="F1421" s="152"/>
      <c r="G1421" s="152"/>
      <c r="H1421" s="34" t="s">
        <v>629</v>
      </c>
      <c r="I1421" s="35">
        <v>12000</v>
      </c>
      <c r="J1421" s="35">
        <v>12000</v>
      </c>
      <c r="K1421" s="396">
        <f t="shared" si="195"/>
        <v>100</v>
      </c>
      <c r="L1421" s="35"/>
      <c r="M1421" s="36"/>
      <c r="N1421" s="36"/>
      <c r="O1421" s="396"/>
      <c r="P1421" s="36"/>
      <c r="Q1421" s="37">
        <f t="shared" si="196"/>
        <v>12000</v>
      </c>
      <c r="R1421" s="37">
        <f t="shared" si="197"/>
        <v>12000</v>
      </c>
      <c r="S1421" s="450">
        <f t="shared" si="198"/>
        <v>100</v>
      </c>
    </row>
    <row r="1422" spans="2:19" x14ac:dyDescent="0.2">
      <c r="B1422" s="6">
        <f t="shared" si="199"/>
        <v>18</v>
      </c>
      <c r="C1422" s="32"/>
      <c r="D1422" s="32"/>
      <c r="E1422" s="32"/>
      <c r="F1422" s="152"/>
      <c r="G1422" s="152"/>
      <c r="H1422" s="59" t="s">
        <v>615</v>
      </c>
      <c r="I1422" s="35">
        <v>10000</v>
      </c>
      <c r="J1422" s="35">
        <v>10000</v>
      </c>
      <c r="K1422" s="396">
        <f t="shared" si="195"/>
        <v>100</v>
      </c>
      <c r="L1422" s="35"/>
      <c r="M1422" s="36"/>
      <c r="N1422" s="36"/>
      <c r="O1422" s="396"/>
      <c r="P1422" s="36"/>
      <c r="Q1422" s="37">
        <f t="shared" si="196"/>
        <v>10000</v>
      </c>
      <c r="R1422" s="37">
        <f t="shared" si="197"/>
        <v>10000</v>
      </c>
      <c r="S1422" s="450">
        <f t="shared" si="198"/>
        <v>100</v>
      </c>
    </row>
    <row r="1423" spans="2:19" x14ac:dyDescent="0.2">
      <c r="B1423" s="6">
        <f t="shared" si="199"/>
        <v>19</v>
      </c>
      <c r="C1423" s="32"/>
      <c r="D1423" s="32"/>
      <c r="E1423" s="32"/>
      <c r="F1423" s="152"/>
      <c r="G1423" s="152"/>
      <c r="H1423" s="59" t="s">
        <v>532</v>
      </c>
      <c r="I1423" s="35">
        <v>10000</v>
      </c>
      <c r="J1423" s="35">
        <v>10000</v>
      </c>
      <c r="K1423" s="396">
        <f t="shared" si="195"/>
        <v>100</v>
      </c>
      <c r="L1423" s="35"/>
      <c r="M1423" s="36"/>
      <c r="N1423" s="36"/>
      <c r="O1423" s="396"/>
      <c r="P1423" s="36"/>
      <c r="Q1423" s="37">
        <f t="shared" si="196"/>
        <v>10000</v>
      </c>
      <c r="R1423" s="37">
        <f t="shared" si="197"/>
        <v>10000</v>
      </c>
      <c r="S1423" s="450">
        <f t="shared" si="198"/>
        <v>100</v>
      </c>
    </row>
    <row r="1424" spans="2:19" x14ac:dyDescent="0.2">
      <c r="B1424" s="6">
        <f t="shared" si="199"/>
        <v>20</v>
      </c>
      <c r="C1424" s="32"/>
      <c r="D1424" s="32"/>
      <c r="E1424" s="32"/>
      <c r="F1424" s="471" t="s">
        <v>176</v>
      </c>
      <c r="G1424" s="472">
        <v>720</v>
      </c>
      <c r="H1424" s="470" t="s">
        <v>3</v>
      </c>
      <c r="I1424" s="473"/>
      <c r="J1424" s="473"/>
      <c r="K1424" s="396"/>
      <c r="L1424" s="473"/>
      <c r="M1424" s="473">
        <f>M1425</f>
        <v>22200</v>
      </c>
      <c r="N1424" s="473">
        <f>N1425</f>
        <v>22200</v>
      </c>
      <c r="O1424" s="396">
        <f>N1424/M1424*100</f>
        <v>100</v>
      </c>
      <c r="P1424" s="473"/>
      <c r="Q1424" s="474">
        <f t="shared" si="196"/>
        <v>22200</v>
      </c>
      <c r="R1424" s="474">
        <f t="shared" si="197"/>
        <v>22200</v>
      </c>
      <c r="S1424" s="450">
        <f t="shared" si="198"/>
        <v>100</v>
      </c>
    </row>
    <row r="1425" spans="2:19" ht="24" x14ac:dyDescent="0.2">
      <c r="B1425" s="6">
        <f t="shared" si="199"/>
        <v>21</v>
      </c>
      <c r="C1425" s="32"/>
      <c r="D1425" s="32"/>
      <c r="E1425" s="32"/>
      <c r="F1425" s="152"/>
      <c r="G1425" s="152"/>
      <c r="H1425" s="34" t="s">
        <v>685</v>
      </c>
      <c r="I1425" s="35"/>
      <c r="J1425" s="35"/>
      <c r="K1425" s="396"/>
      <c r="L1425" s="35"/>
      <c r="M1425" s="35">
        <v>22200</v>
      </c>
      <c r="N1425" s="35">
        <v>22200</v>
      </c>
      <c r="O1425" s="396">
        <f>N1425/M1425*100</f>
        <v>100</v>
      </c>
      <c r="P1425" s="36"/>
      <c r="Q1425" s="37">
        <f t="shared" si="196"/>
        <v>22200</v>
      </c>
      <c r="R1425" s="37">
        <f t="shared" si="197"/>
        <v>22200</v>
      </c>
      <c r="S1425" s="450">
        <f t="shared" si="198"/>
        <v>100</v>
      </c>
    </row>
    <row r="1426" spans="2:19" ht="15" x14ac:dyDescent="0.2">
      <c r="B1426" s="6">
        <f t="shared" si="199"/>
        <v>22</v>
      </c>
      <c r="C1426" s="9">
        <v>3</v>
      </c>
      <c r="D1426" s="637" t="s">
        <v>195</v>
      </c>
      <c r="E1426" s="638"/>
      <c r="F1426" s="638"/>
      <c r="G1426" s="638"/>
      <c r="H1426" s="638"/>
      <c r="I1426" s="10">
        <f>I1427+I1436+I1446+I1482+I1495</f>
        <v>2577861</v>
      </c>
      <c r="J1426" s="10">
        <f>J1427+J1436+J1446+J1482+J1495</f>
        <v>2439372</v>
      </c>
      <c r="K1426" s="395">
        <f>J1426/I1426*100</f>
        <v>94.627755336691934</v>
      </c>
      <c r="L1426" s="312"/>
      <c r="M1426" s="10">
        <f>M1427+M1436+M1446+M1482+M1495</f>
        <v>10852338</v>
      </c>
      <c r="N1426" s="10">
        <f>N1427+N1436+N1446+N1482+N1495</f>
        <v>10669316</v>
      </c>
      <c r="O1426" s="395">
        <f>N1426/M1426*100</f>
        <v>98.313524698548832</v>
      </c>
      <c r="P1426" s="312"/>
      <c r="Q1426" s="31">
        <f t="shared" si="196"/>
        <v>13430199</v>
      </c>
      <c r="R1426" s="31">
        <f t="shared" si="197"/>
        <v>13108688</v>
      </c>
      <c r="S1426" s="449">
        <f t="shared" si="198"/>
        <v>97.606059299642538</v>
      </c>
    </row>
    <row r="1427" spans="2:19" ht="15" x14ac:dyDescent="0.25">
      <c r="B1427" s="6">
        <f t="shared" si="199"/>
        <v>23</v>
      </c>
      <c r="C1427" s="27"/>
      <c r="D1427" s="27">
        <v>1</v>
      </c>
      <c r="E1427" s="639" t="s">
        <v>194</v>
      </c>
      <c r="F1427" s="640"/>
      <c r="G1427" s="640"/>
      <c r="H1427" s="640"/>
      <c r="I1427" s="28">
        <f>I1428</f>
        <v>252980</v>
      </c>
      <c r="J1427" s="28">
        <f>J1428</f>
        <v>252538</v>
      </c>
      <c r="K1427" s="404">
        <f>J1427/I1427*100</f>
        <v>99.825282631038021</v>
      </c>
      <c r="L1427" s="313"/>
      <c r="M1427" s="28">
        <f>M1431</f>
        <v>1373180</v>
      </c>
      <c r="N1427" s="28">
        <f>N1431</f>
        <v>1345032</v>
      </c>
      <c r="O1427" s="404">
        <f>N1427/M1427*100</f>
        <v>97.950159483825857</v>
      </c>
      <c r="P1427" s="313"/>
      <c r="Q1427" s="29">
        <f t="shared" si="196"/>
        <v>1626160</v>
      </c>
      <c r="R1427" s="29">
        <f t="shared" si="197"/>
        <v>1597570</v>
      </c>
      <c r="S1427" s="447">
        <f t="shared" si="198"/>
        <v>98.241870418654983</v>
      </c>
    </row>
    <row r="1428" spans="2:19" x14ac:dyDescent="0.2">
      <c r="B1428" s="6">
        <f t="shared" si="199"/>
        <v>24</v>
      </c>
      <c r="C1428" s="12"/>
      <c r="D1428" s="12"/>
      <c r="E1428" s="12"/>
      <c r="F1428" s="13" t="s">
        <v>176</v>
      </c>
      <c r="G1428" s="14">
        <v>630</v>
      </c>
      <c r="H1428" s="12" t="s">
        <v>118</v>
      </c>
      <c r="I1428" s="15">
        <f>I1429+I1430</f>
        <v>252980</v>
      </c>
      <c r="J1428" s="15">
        <f>J1429+J1430</f>
        <v>252538</v>
      </c>
      <c r="K1428" s="397">
        <f>J1428/I1428*100</f>
        <v>99.825282631038021</v>
      </c>
      <c r="L1428" s="15"/>
      <c r="M1428" s="15"/>
      <c r="N1428" s="15"/>
      <c r="O1428" s="397"/>
      <c r="P1428" s="15"/>
      <c r="Q1428" s="16">
        <f t="shared" si="196"/>
        <v>252980</v>
      </c>
      <c r="R1428" s="16">
        <f t="shared" si="197"/>
        <v>252538</v>
      </c>
      <c r="S1428" s="448">
        <f t="shared" si="198"/>
        <v>99.825282631038021</v>
      </c>
    </row>
    <row r="1429" spans="2:19" x14ac:dyDescent="0.2">
      <c r="B1429" s="6">
        <f t="shared" si="199"/>
        <v>25</v>
      </c>
      <c r="C1429" s="17"/>
      <c r="D1429" s="17"/>
      <c r="E1429" s="17"/>
      <c r="F1429" s="18"/>
      <c r="G1429" s="19">
        <v>636</v>
      </c>
      <c r="H1429" s="17" t="s">
        <v>123</v>
      </c>
      <c r="I1429" s="20">
        <v>250000</v>
      </c>
      <c r="J1429" s="20">
        <v>250000</v>
      </c>
      <c r="K1429" s="397">
        <f>J1429/I1429*100</f>
        <v>100</v>
      </c>
      <c r="L1429" s="20"/>
      <c r="M1429" s="20"/>
      <c r="N1429" s="20"/>
      <c r="O1429" s="397"/>
      <c r="P1429" s="20"/>
      <c r="Q1429" s="21">
        <f t="shared" si="196"/>
        <v>250000</v>
      </c>
      <c r="R1429" s="21">
        <f t="shared" si="197"/>
        <v>250000</v>
      </c>
      <c r="S1429" s="448">
        <f t="shared" si="198"/>
        <v>100</v>
      </c>
    </row>
    <row r="1430" spans="2:19" x14ac:dyDescent="0.2">
      <c r="B1430" s="6">
        <f t="shared" si="199"/>
        <v>26</v>
      </c>
      <c r="C1430" s="17"/>
      <c r="D1430" s="17"/>
      <c r="E1430" s="17"/>
      <c r="F1430" s="18"/>
      <c r="G1430" s="19">
        <v>637</v>
      </c>
      <c r="H1430" s="17" t="s">
        <v>119</v>
      </c>
      <c r="I1430" s="20">
        <v>2980</v>
      </c>
      <c r="J1430" s="20">
        <v>2538</v>
      </c>
      <c r="K1430" s="397">
        <f>J1430/I1430*100</f>
        <v>85.167785234899327</v>
      </c>
      <c r="L1430" s="20"/>
      <c r="M1430" s="15"/>
      <c r="N1430" s="15"/>
      <c r="O1430" s="397"/>
      <c r="P1430" s="20"/>
      <c r="Q1430" s="21">
        <f t="shared" si="196"/>
        <v>2980</v>
      </c>
      <c r="R1430" s="21">
        <f t="shared" si="197"/>
        <v>2538</v>
      </c>
      <c r="S1430" s="448">
        <f t="shared" si="198"/>
        <v>85.167785234899327</v>
      </c>
    </row>
    <row r="1431" spans="2:19" x14ac:dyDescent="0.2">
      <c r="B1431" s="6">
        <f t="shared" si="199"/>
        <v>27</v>
      </c>
      <c r="C1431" s="17"/>
      <c r="D1431" s="17"/>
      <c r="E1431" s="17"/>
      <c r="F1431" s="13" t="s">
        <v>176</v>
      </c>
      <c r="G1431" s="14">
        <v>710</v>
      </c>
      <c r="H1431" s="12" t="s">
        <v>172</v>
      </c>
      <c r="I1431" s="20"/>
      <c r="J1431" s="20"/>
      <c r="K1431" s="397"/>
      <c r="L1431" s="20"/>
      <c r="M1431" s="15">
        <f>M1432</f>
        <v>1373180</v>
      </c>
      <c r="N1431" s="15">
        <f>N1432</f>
        <v>1345032</v>
      </c>
      <c r="O1431" s="397">
        <f t="shared" ref="O1431:O1436" si="200">N1431/M1431*100</f>
        <v>97.950159483825857</v>
      </c>
      <c r="P1431" s="20"/>
      <c r="Q1431" s="21">
        <f t="shared" si="196"/>
        <v>1373180</v>
      </c>
      <c r="R1431" s="21">
        <f t="shared" si="197"/>
        <v>1345032</v>
      </c>
      <c r="S1431" s="448">
        <f t="shared" si="198"/>
        <v>97.950159483825857</v>
      </c>
    </row>
    <row r="1432" spans="2:19" x14ac:dyDescent="0.2">
      <c r="B1432" s="6">
        <f t="shared" si="199"/>
        <v>28</v>
      </c>
      <c r="C1432" s="17"/>
      <c r="D1432" s="17"/>
      <c r="E1432" s="17"/>
      <c r="F1432" s="18"/>
      <c r="G1432" s="19">
        <v>717</v>
      </c>
      <c r="H1432" s="17" t="s">
        <v>179</v>
      </c>
      <c r="I1432" s="20"/>
      <c r="J1432" s="20"/>
      <c r="K1432" s="397"/>
      <c r="L1432" s="20"/>
      <c r="M1432" s="20">
        <f>M1435+M1433+M1434</f>
        <v>1373180</v>
      </c>
      <c r="N1432" s="20">
        <f>N1435+N1433+N1434</f>
        <v>1345032</v>
      </c>
      <c r="O1432" s="397">
        <f t="shared" si="200"/>
        <v>97.950159483825857</v>
      </c>
      <c r="P1432" s="20"/>
      <c r="Q1432" s="21">
        <f t="shared" si="196"/>
        <v>1373180</v>
      </c>
      <c r="R1432" s="21">
        <f t="shared" si="197"/>
        <v>1345032</v>
      </c>
      <c r="S1432" s="448">
        <f t="shared" si="198"/>
        <v>97.950159483825857</v>
      </c>
    </row>
    <row r="1433" spans="2:19" x14ac:dyDescent="0.2">
      <c r="B1433" s="6">
        <f t="shared" si="199"/>
        <v>29</v>
      </c>
      <c r="C1433" s="17"/>
      <c r="D1433" s="17"/>
      <c r="E1433" s="17"/>
      <c r="F1433" s="18"/>
      <c r="G1433" s="19"/>
      <c r="H1433" s="1" t="s">
        <v>636</v>
      </c>
      <c r="I1433" s="20"/>
      <c r="J1433" s="20"/>
      <c r="K1433" s="397"/>
      <c r="L1433" s="20"/>
      <c r="M1433" s="24">
        <v>5500</v>
      </c>
      <c r="N1433" s="24">
        <v>5046</v>
      </c>
      <c r="O1433" s="397">
        <f t="shared" si="200"/>
        <v>91.745454545454535</v>
      </c>
      <c r="P1433" s="24"/>
      <c r="Q1433" s="26">
        <f t="shared" si="196"/>
        <v>5500</v>
      </c>
      <c r="R1433" s="26">
        <f t="shared" si="197"/>
        <v>5046</v>
      </c>
      <c r="S1433" s="448">
        <f t="shared" si="198"/>
        <v>91.745454545454535</v>
      </c>
    </row>
    <row r="1434" spans="2:19" x14ac:dyDescent="0.2">
      <c r="B1434" s="6">
        <f t="shared" si="199"/>
        <v>30</v>
      </c>
      <c r="C1434" s="17"/>
      <c r="D1434" s="17"/>
      <c r="E1434" s="17"/>
      <c r="F1434" s="18"/>
      <c r="G1434" s="19"/>
      <c r="H1434" s="1" t="s">
        <v>746</v>
      </c>
      <c r="I1434" s="20"/>
      <c r="J1434" s="20"/>
      <c r="K1434" s="397"/>
      <c r="L1434" s="20"/>
      <c r="M1434" s="24">
        <v>27650</v>
      </c>
      <c r="N1434" s="24"/>
      <c r="O1434" s="397">
        <f t="shared" si="200"/>
        <v>0</v>
      </c>
      <c r="P1434" s="24"/>
      <c r="Q1434" s="26">
        <f t="shared" si="196"/>
        <v>27650</v>
      </c>
      <c r="R1434" s="26">
        <f t="shared" si="197"/>
        <v>0</v>
      </c>
      <c r="S1434" s="448">
        <f t="shared" si="198"/>
        <v>0</v>
      </c>
    </row>
    <row r="1435" spans="2:19" x14ac:dyDescent="0.2">
      <c r="B1435" s="6">
        <f t="shared" si="199"/>
        <v>31</v>
      </c>
      <c r="C1435" s="17"/>
      <c r="D1435" s="17"/>
      <c r="E1435" s="17"/>
      <c r="F1435" s="101"/>
      <c r="G1435" s="23"/>
      <c r="H1435" s="1" t="s">
        <v>630</v>
      </c>
      <c r="I1435" s="20"/>
      <c r="J1435" s="20"/>
      <c r="K1435" s="397"/>
      <c r="L1435" s="20"/>
      <c r="M1435" s="24">
        <f>1208630+78200+21200+6000+11000+15000</f>
        <v>1340030</v>
      </c>
      <c r="N1435" s="24">
        <v>1339986</v>
      </c>
      <c r="O1435" s="397">
        <f t="shared" si="200"/>
        <v>99.996716491421836</v>
      </c>
      <c r="P1435" s="24"/>
      <c r="Q1435" s="26">
        <f t="shared" si="196"/>
        <v>1340030</v>
      </c>
      <c r="R1435" s="26">
        <f t="shared" si="197"/>
        <v>1339986</v>
      </c>
      <c r="S1435" s="448">
        <f t="shared" si="198"/>
        <v>99.996716491421836</v>
      </c>
    </row>
    <row r="1436" spans="2:19" ht="15" x14ac:dyDescent="0.25">
      <c r="B1436" s="6">
        <f t="shared" si="199"/>
        <v>32</v>
      </c>
      <c r="C1436" s="27"/>
      <c r="D1436" s="27">
        <v>2</v>
      </c>
      <c r="E1436" s="639" t="s">
        <v>196</v>
      </c>
      <c r="F1436" s="640"/>
      <c r="G1436" s="640"/>
      <c r="H1436" s="640"/>
      <c r="I1436" s="28">
        <f>I1437</f>
        <v>522050</v>
      </c>
      <c r="J1436" s="28">
        <f>J1437</f>
        <v>515077</v>
      </c>
      <c r="K1436" s="404">
        <f>J1436/I1436*100</f>
        <v>98.664304185422864</v>
      </c>
      <c r="L1436" s="313"/>
      <c r="M1436" s="28">
        <f>M1441</f>
        <v>29850</v>
      </c>
      <c r="N1436" s="28">
        <f>N1441</f>
        <v>20856</v>
      </c>
      <c r="O1436" s="404">
        <f t="shared" si="200"/>
        <v>69.869346733668351</v>
      </c>
      <c r="P1436" s="313"/>
      <c r="Q1436" s="29">
        <f t="shared" si="196"/>
        <v>551900</v>
      </c>
      <c r="R1436" s="29">
        <f t="shared" si="197"/>
        <v>535933</v>
      </c>
      <c r="S1436" s="447">
        <f t="shared" si="198"/>
        <v>97.106903424533428</v>
      </c>
    </row>
    <row r="1437" spans="2:19" x14ac:dyDescent="0.2">
      <c r="B1437" s="6">
        <f t="shared" si="199"/>
        <v>33</v>
      </c>
      <c r="C1437" s="12"/>
      <c r="D1437" s="12"/>
      <c r="E1437" s="12"/>
      <c r="F1437" s="13" t="s">
        <v>176</v>
      </c>
      <c r="G1437" s="14">
        <v>630</v>
      </c>
      <c r="H1437" s="12" t="s">
        <v>118</v>
      </c>
      <c r="I1437" s="15">
        <f>SUM(I1438:I1440)</f>
        <v>522050</v>
      </c>
      <c r="J1437" s="15">
        <f>SUM(J1438:J1440)</f>
        <v>515077</v>
      </c>
      <c r="K1437" s="397">
        <f>J1437/I1437*100</f>
        <v>98.664304185422864</v>
      </c>
      <c r="L1437" s="15"/>
      <c r="M1437" s="15"/>
      <c r="N1437" s="15"/>
      <c r="O1437" s="397"/>
      <c r="P1437" s="15"/>
      <c r="Q1437" s="16">
        <f t="shared" ref="Q1437:Q1468" si="201">I1437+M1437</f>
        <v>522050</v>
      </c>
      <c r="R1437" s="16">
        <f t="shared" ref="R1437:R1468" si="202">J1437+N1437</f>
        <v>515077</v>
      </c>
      <c r="S1437" s="448">
        <f t="shared" ref="S1437:S1468" si="203">R1437/Q1437*100</f>
        <v>98.664304185422864</v>
      </c>
    </row>
    <row r="1438" spans="2:19" x14ac:dyDescent="0.2">
      <c r="B1438" s="6">
        <f t="shared" ref="B1438:B1469" si="204">B1437+1</f>
        <v>34</v>
      </c>
      <c r="C1438" s="17"/>
      <c r="D1438" s="17"/>
      <c r="E1438" s="17"/>
      <c r="F1438" s="18"/>
      <c r="G1438" s="19">
        <v>632</v>
      </c>
      <c r="H1438" s="17" t="s">
        <v>131</v>
      </c>
      <c r="I1438" s="20">
        <v>20800</v>
      </c>
      <c r="J1438" s="20">
        <v>14418</v>
      </c>
      <c r="K1438" s="397">
        <f>J1438/I1438*100</f>
        <v>69.317307692307693</v>
      </c>
      <c r="L1438" s="20"/>
      <c r="M1438" s="20"/>
      <c r="N1438" s="20"/>
      <c r="O1438" s="397"/>
      <c r="P1438" s="20"/>
      <c r="Q1438" s="21">
        <f t="shared" si="201"/>
        <v>20800</v>
      </c>
      <c r="R1438" s="21">
        <f t="shared" si="202"/>
        <v>14418</v>
      </c>
      <c r="S1438" s="448">
        <f t="shared" si="203"/>
        <v>69.317307692307693</v>
      </c>
    </row>
    <row r="1439" spans="2:19" x14ac:dyDescent="0.2">
      <c r="B1439" s="6">
        <f t="shared" si="204"/>
        <v>35</v>
      </c>
      <c r="C1439" s="17"/>
      <c r="D1439" s="17"/>
      <c r="E1439" s="17"/>
      <c r="F1439" s="18"/>
      <c r="G1439" s="19">
        <v>636</v>
      </c>
      <c r="H1439" s="17" t="s">
        <v>123</v>
      </c>
      <c r="I1439" s="20">
        <v>500000</v>
      </c>
      <c r="J1439" s="20">
        <v>500000</v>
      </c>
      <c r="K1439" s="397">
        <f>J1439/I1439*100</f>
        <v>100</v>
      </c>
      <c r="L1439" s="20"/>
      <c r="M1439" s="20"/>
      <c r="N1439" s="20"/>
      <c r="O1439" s="397"/>
      <c r="P1439" s="20"/>
      <c r="Q1439" s="21">
        <f t="shared" si="201"/>
        <v>500000</v>
      </c>
      <c r="R1439" s="21">
        <f t="shared" si="202"/>
        <v>500000</v>
      </c>
      <c r="S1439" s="448">
        <f t="shared" si="203"/>
        <v>100</v>
      </c>
    </row>
    <row r="1440" spans="2:19" x14ac:dyDescent="0.2">
      <c r="B1440" s="6">
        <f t="shared" si="204"/>
        <v>36</v>
      </c>
      <c r="C1440" s="17"/>
      <c r="D1440" s="17"/>
      <c r="E1440" s="17"/>
      <c r="F1440" s="18"/>
      <c r="G1440" s="19">
        <v>637</v>
      </c>
      <c r="H1440" s="17" t="s">
        <v>119</v>
      </c>
      <c r="I1440" s="20">
        <v>1250</v>
      </c>
      <c r="J1440" s="20">
        <v>659</v>
      </c>
      <c r="K1440" s="397">
        <f>J1440/I1440*100</f>
        <v>52.72</v>
      </c>
      <c r="L1440" s="20"/>
      <c r="M1440" s="20"/>
      <c r="N1440" s="20"/>
      <c r="O1440" s="397"/>
      <c r="P1440" s="20"/>
      <c r="Q1440" s="21">
        <f t="shared" si="201"/>
        <v>1250</v>
      </c>
      <c r="R1440" s="21">
        <f t="shared" si="202"/>
        <v>659</v>
      </c>
      <c r="S1440" s="448">
        <f t="shared" si="203"/>
        <v>52.72</v>
      </c>
    </row>
    <row r="1441" spans="2:19" x14ac:dyDescent="0.2">
      <c r="B1441" s="6">
        <f t="shared" si="204"/>
        <v>37</v>
      </c>
      <c r="C1441" s="12"/>
      <c r="D1441" s="12"/>
      <c r="E1441" s="12"/>
      <c r="F1441" s="13" t="s">
        <v>176</v>
      </c>
      <c r="G1441" s="14">
        <v>710</v>
      </c>
      <c r="H1441" s="12" t="s">
        <v>172</v>
      </c>
      <c r="I1441" s="15"/>
      <c r="J1441" s="15"/>
      <c r="K1441" s="397"/>
      <c r="L1441" s="15"/>
      <c r="M1441" s="15">
        <f>M1442+M1445</f>
        <v>29850</v>
      </c>
      <c r="N1441" s="15">
        <f>N1442+N1445</f>
        <v>20856</v>
      </c>
      <c r="O1441" s="397">
        <f t="shared" ref="O1441:O1446" si="205">N1441/M1441*100</f>
        <v>69.869346733668351</v>
      </c>
      <c r="P1441" s="15"/>
      <c r="Q1441" s="16">
        <f t="shared" si="201"/>
        <v>29850</v>
      </c>
      <c r="R1441" s="16">
        <f t="shared" si="202"/>
        <v>20856</v>
      </c>
      <c r="S1441" s="448">
        <f t="shared" si="203"/>
        <v>69.869346733668351</v>
      </c>
    </row>
    <row r="1442" spans="2:19" x14ac:dyDescent="0.2">
      <c r="B1442" s="6">
        <f t="shared" si="204"/>
        <v>38</v>
      </c>
      <c r="C1442" s="17"/>
      <c r="D1442" s="17"/>
      <c r="E1442" s="17"/>
      <c r="F1442" s="18"/>
      <c r="G1442" s="19">
        <v>717</v>
      </c>
      <c r="H1442" s="17" t="s">
        <v>179</v>
      </c>
      <c r="I1442" s="20"/>
      <c r="J1442" s="20"/>
      <c r="K1442" s="397"/>
      <c r="L1442" s="20"/>
      <c r="M1442" s="20">
        <f>SUM(M1443:M1444)</f>
        <v>17050</v>
      </c>
      <c r="N1442" s="20">
        <f>SUM(N1443:N1444)</f>
        <v>8056</v>
      </c>
      <c r="O1442" s="397">
        <f t="shared" si="205"/>
        <v>47.249266862170089</v>
      </c>
      <c r="P1442" s="20"/>
      <c r="Q1442" s="21">
        <f t="shared" si="201"/>
        <v>17050</v>
      </c>
      <c r="R1442" s="21">
        <f t="shared" si="202"/>
        <v>8056</v>
      </c>
      <c r="S1442" s="448">
        <f t="shared" si="203"/>
        <v>47.249266862170089</v>
      </c>
    </row>
    <row r="1443" spans="2:19" ht="24" x14ac:dyDescent="0.2">
      <c r="B1443" s="6">
        <f t="shared" si="204"/>
        <v>39</v>
      </c>
      <c r="C1443" s="32"/>
      <c r="D1443" s="32"/>
      <c r="E1443" s="32"/>
      <c r="F1443" s="152"/>
      <c r="G1443" s="152"/>
      <c r="H1443" s="34" t="s">
        <v>479</v>
      </c>
      <c r="I1443" s="35"/>
      <c r="J1443" s="35"/>
      <c r="K1443" s="396"/>
      <c r="L1443" s="35"/>
      <c r="M1443" s="35">
        <f>21750-12800</f>
        <v>8950</v>
      </c>
      <c r="N1443" s="35">
        <v>0</v>
      </c>
      <c r="O1443" s="396">
        <f t="shared" si="205"/>
        <v>0</v>
      </c>
      <c r="P1443" s="35"/>
      <c r="Q1443" s="37">
        <f t="shared" si="201"/>
        <v>8950</v>
      </c>
      <c r="R1443" s="37">
        <f t="shared" si="202"/>
        <v>0</v>
      </c>
      <c r="S1443" s="450">
        <f t="shared" si="203"/>
        <v>0</v>
      </c>
    </row>
    <row r="1444" spans="2:19" ht="24" x14ac:dyDescent="0.2">
      <c r="B1444" s="6">
        <f t="shared" si="204"/>
        <v>40</v>
      </c>
      <c r="C1444" s="32"/>
      <c r="D1444" s="32"/>
      <c r="E1444" s="32"/>
      <c r="F1444" s="152"/>
      <c r="G1444" s="152"/>
      <c r="H1444" s="34" t="s">
        <v>733</v>
      </c>
      <c r="I1444" s="35"/>
      <c r="J1444" s="35"/>
      <c r="K1444" s="396"/>
      <c r="L1444" s="35"/>
      <c r="M1444" s="35">
        <v>8100</v>
      </c>
      <c r="N1444" s="35">
        <v>8056</v>
      </c>
      <c r="O1444" s="396">
        <f t="shared" si="205"/>
        <v>99.456790123456798</v>
      </c>
      <c r="P1444" s="35"/>
      <c r="Q1444" s="37">
        <f t="shared" si="201"/>
        <v>8100</v>
      </c>
      <c r="R1444" s="37">
        <f t="shared" si="202"/>
        <v>8056</v>
      </c>
      <c r="S1444" s="450">
        <f t="shared" si="203"/>
        <v>99.456790123456798</v>
      </c>
    </row>
    <row r="1445" spans="2:19" x14ac:dyDescent="0.2">
      <c r="B1445" s="6">
        <f t="shared" si="204"/>
        <v>41</v>
      </c>
      <c r="C1445" s="22"/>
      <c r="D1445" s="22"/>
      <c r="E1445" s="22"/>
      <c r="F1445" s="124"/>
      <c r="G1445" s="365">
        <v>719</v>
      </c>
      <c r="H1445" s="340" t="s">
        <v>620</v>
      </c>
      <c r="I1445" s="20"/>
      <c r="J1445" s="20"/>
      <c r="K1445" s="397"/>
      <c r="L1445" s="20"/>
      <c r="M1445" s="20">
        <v>12800</v>
      </c>
      <c r="N1445" s="20">
        <v>12800</v>
      </c>
      <c r="O1445" s="397">
        <f t="shared" si="205"/>
        <v>100</v>
      </c>
      <c r="P1445" s="20"/>
      <c r="Q1445" s="26">
        <f t="shared" si="201"/>
        <v>12800</v>
      </c>
      <c r="R1445" s="26">
        <f t="shared" si="202"/>
        <v>12800</v>
      </c>
      <c r="S1445" s="448">
        <f t="shared" si="203"/>
        <v>100</v>
      </c>
    </row>
    <row r="1446" spans="2:19" ht="15" x14ac:dyDescent="0.25">
      <c r="B1446" s="6">
        <f t="shared" si="204"/>
        <v>42</v>
      </c>
      <c r="C1446" s="27"/>
      <c r="D1446" s="27">
        <v>3</v>
      </c>
      <c r="E1446" s="639" t="s">
        <v>197</v>
      </c>
      <c r="F1446" s="640"/>
      <c r="G1446" s="640"/>
      <c r="H1446" s="640"/>
      <c r="I1446" s="28">
        <f>I1447+I1461+I1479</f>
        <v>828346</v>
      </c>
      <c r="J1446" s="28">
        <f>J1447+J1461+J1479</f>
        <v>786098</v>
      </c>
      <c r="K1446" s="404">
        <f>J1446/I1446*100</f>
        <v>94.899715819234956</v>
      </c>
      <c r="L1446" s="313"/>
      <c r="M1446" s="28">
        <f>M1449+M1461+M1456</f>
        <v>9177808</v>
      </c>
      <c r="N1446" s="28">
        <f>N1449+N1461+N1456</f>
        <v>9040208</v>
      </c>
      <c r="O1446" s="404">
        <f t="shared" si="205"/>
        <v>98.500731329310881</v>
      </c>
      <c r="P1446" s="313"/>
      <c r="Q1446" s="29">
        <f t="shared" si="201"/>
        <v>10006154</v>
      </c>
      <c r="R1446" s="29">
        <f t="shared" si="202"/>
        <v>9826306</v>
      </c>
      <c r="S1446" s="447">
        <f t="shared" si="203"/>
        <v>98.202626103895668</v>
      </c>
    </row>
    <row r="1447" spans="2:19" x14ac:dyDescent="0.2">
      <c r="B1447" s="6">
        <f t="shared" si="204"/>
        <v>43</v>
      </c>
      <c r="C1447" s="12"/>
      <c r="D1447" s="12"/>
      <c r="E1447" s="12"/>
      <c r="F1447" s="13" t="s">
        <v>176</v>
      </c>
      <c r="G1447" s="14">
        <v>630</v>
      </c>
      <c r="H1447" s="12" t="s">
        <v>118</v>
      </c>
      <c r="I1447" s="15">
        <f>I1448</f>
        <v>8900</v>
      </c>
      <c r="J1447" s="15">
        <f>J1448</f>
        <v>7140</v>
      </c>
      <c r="K1447" s="397">
        <f>J1447/I1447*100</f>
        <v>80.224719101123597</v>
      </c>
      <c r="L1447" s="15"/>
      <c r="M1447" s="15"/>
      <c r="N1447" s="15"/>
      <c r="O1447" s="397"/>
      <c r="P1447" s="15"/>
      <c r="Q1447" s="16">
        <f t="shared" si="201"/>
        <v>8900</v>
      </c>
      <c r="R1447" s="16">
        <f t="shared" si="202"/>
        <v>7140</v>
      </c>
      <c r="S1447" s="448">
        <f t="shared" si="203"/>
        <v>80.224719101123597</v>
      </c>
    </row>
    <row r="1448" spans="2:19" x14ac:dyDescent="0.2">
      <c r="B1448" s="6">
        <f t="shared" si="204"/>
        <v>44</v>
      </c>
      <c r="C1448" s="17"/>
      <c r="D1448" s="17"/>
      <c r="E1448" s="17"/>
      <c r="F1448" s="18"/>
      <c r="G1448" s="19">
        <v>637</v>
      </c>
      <c r="H1448" s="17" t="s">
        <v>119</v>
      </c>
      <c r="I1448" s="20">
        <v>8900</v>
      </c>
      <c r="J1448" s="20">
        <v>7140</v>
      </c>
      <c r="K1448" s="397">
        <f>J1448/I1448*100</f>
        <v>80.224719101123597</v>
      </c>
      <c r="L1448" s="20"/>
      <c r="M1448" s="20"/>
      <c r="N1448" s="20"/>
      <c r="O1448" s="397"/>
      <c r="P1448" s="20"/>
      <c r="Q1448" s="21">
        <f t="shared" si="201"/>
        <v>8900</v>
      </c>
      <c r="R1448" s="21">
        <f t="shared" si="202"/>
        <v>7140</v>
      </c>
      <c r="S1448" s="448">
        <f t="shared" si="203"/>
        <v>80.224719101123597</v>
      </c>
    </row>
    <row r="1449" spans="2:19" x14ac:dyDescent="0.2">
      <c r="B1449" s="6">
        <f t="shared" si="204"/>
        <v>45</v>
      </c>
      <c r="C1449" s="12"/>
      <c r="D1449" s="12"/>
      <c r="E1449" s="12"/>
      <c r="F1449" s="13" t="s">
        <v>176</v>
      </c>
      <c r="G1449" s="14">
        <v>710</v>
      </c>
      <c r="H1449" s="12" t="s">
        <v>172</v>
      </c>
      <c r="I1449" s="15"/>
      <c r="J1449" s="15"/>
      <c r="K1449" s="397"/>
      <c r="L1449" s="15"/>
      <c r="M1449" s="15">
        <f>M1452+M1450</f>
        <v>267300</v>
      </c>
      <c r="N1449" s="15">
        <f>N1452+N1450</f>
        <v>266880</v>
      </c>
      <c r="O1449" s="397">
        <f t="shared" ref="O1449:O1461" si="206">N1449/M1449*100</f>
        <v>99.84287317620651</v>
      </c>
      <c r="P1449" s="15"/>
      <c r="Q1449" s="16">
        <f t="shared" si="201"/>
        <v>267300</v>
      </c>
      <c r="R1449" s="16">
        <f t="shared" si="202"/>
        <v>266880</v>
      </c>
      <c r="S1449" s="448">
        <f t="shared" si="203"/>
        <v>99.84287317620651</v>
      </c>
    </row>
    <row r="1450" spans="2:19" x14ac:dyDescent="0.2">
      <c r="B1450" s="6">
        <f t="shared" si="204"/>
        <v>46</v>
      </c>
      <c r="C1450" s="12"/>
      <c r="D1450" s="12"/>
      <c r="E1450" s="12"/>
      <c r="F1450" s="13"/>
      <c r="G1450" s="74">
        <v>716</v>
      </c>
      <c r="H1450" s="72" t="s">
        <v>213</v>
      </c>
      <c r="I1450" s="75"/>
      <c r="J1450" s="75"/>
      <c r="K1450" s="408"/>
      <c r="L1450" s="75"/>
      <c r="M1450" s="75">
        <f>M1451</f>
        <v>30000</v>
      </c>
      <c r="N1450" s="75">
        <f>N1451</f>
        <v>30000</v>
      </c>
      <c r="O1450" s="408">
        <f t="shared" si="206"/>
        <v>100</v>
      </c>
      <c r="P1450" s="75"/>
      <c r="Q1450" s="77">
        <f t="shared" si="201"/>
        <v>30000</v>
      </c>
      <c r="R1450" s="77">
        <f t="shared" si="202"/>
        <v>30000</v>
      </c>
      <c r="S1450" s="457">
        <f t="shared" si="203"/>
        <v>100</v>
      </c>
    </row>
    <row r="1451" spans="2:19" x14ac:dyDescent="0.2">
      <c r="B1451" s="6">
        <f t="shared" si="204"/>
        <v>47</v>
      </c>
      <c r="C1451" s="12"/>
      <c r="D1451" s="12"/>
      <c r="E1451" s="12"/>
      <c r="F1451" s="13"/>
      <c r="G1451" s="341"/>
      <c r="H1451" s="1" t="s">
        <v>591</v>
      </c>
      <c r="I1451" s="24"/>
      <c r="J1451" s="24"/>
      <c r="K1451" s="397"/>
      <c r="L1451" s="24"/>
      <c r="M1451" s="24">
        <v>30000</v>
      </c>
      <c r="N1451" s="24">
        <v>30000</v>
      </c>
      <c r="O1451" s="397">
        <f t="shared" si="206"/>
        <v>100</v>
      </c>
      <c r="P1451" s="24"/>
      <c r="Q1451" s="26">
        <f t="shared" si="201"/>
        <v>30000</v>
      </c>
      <c r="R1451" s="26">
        <f t="shared" si="202"/>
        <v>30000</v>
      </c>
      <c r="S1451" s="448">
        <f t="shared" si="203"/>
        <v>100</v>
      </c>
    </row>
    <row r="1452" spans="2:19" x14ac:dyDescent="0.2">
      <c r="B1452" s="6">
        <f t="shared" si="204"/>
        <v>48</v>
      </c>
      <c r="C1452" s="17"/>
      <c r="D1452" s="17"/>
      <c r="E1452" s="17"/>
      <c r="F1452" s="18"/>
      <c r="G1452" s="19">
        <v>717</v>
      </c>
      <c r="H1452" s="17" t="s">
        <v>179</v>
      </c>
      <c r="I1452" s="20"/>
      <c r="J1452" s="20"/>
      <c r="K1452" s="397"/>
      <c r="L1452" s="20"/>
      <c r="M1452" s="20">
        <f>M1453+M1454+M1455</f>
        <v>237300</v>
      </c>
      <c r="N1452" s="20">
        <f>N1453+N1454+N1455</f>
        <v>236880</v>
      </c>
      <c r="O1452" s="397">
        <f t="shared" si="206"/>
        <v>99.823008849557525</v>
      </c>
      <c r="P1452" s="20"/>
      <c r="Q1452" s="21">
        <f t="shared" si="201"/>
        <v>237300</v>
      </c>
      <c r="R1452" s="21">
        <f t="shared" si="202"/>
        <v>236880</v>
      </c>
      <c r="S1452" s="448">
        <f t="shared" si="203"/>
        <v>99.823008849557525</v>
      </c>
    </row>
    <row r="1453" spans="2:19" x14ac:dyDescent="0.2">
      <c r="B1453" s="6">
        <f t="shared" si="204"/>
        <v>49</v>
      </c>
      <c r="C1453" s="22"/>
      <c r="D1453" s="22"/>
      <c r="E1453" s="22"/>
      <c r="F1453" s="13"/>
      <c r="G1453" s="124"/>
      <c r="H1453" s="1" t="s">
        <v>410</v>
      </c>
      <c r="I1453" s="24"/>
      <c r="J1453" s="24"/>
      <c r="K1453" s="397"/>
      <c r="L1453" s="24"/>
      <c r="M1453" s="24">
        <f>215900-22800-1000</f>
        <v>192100</v>
      </c>
      <c r="N1453" s="24">
        <v>191812</v>
      </c>
      <c r="O1453" s="397">
        <f t="shared" si="206"/>
        <v>99.850078084331074</v>
      </c>
      <c r="P1453" s="24"/>
      <c r="Q1453" s="26">
        <f t="shared" si="201"/>
        <v>192100</v>
      </c>
      <c r="R1453" s="26">
        <f t="shared" si="202"/>
        <v>191812</v>
      </c>
      <c r="S1453" s="448">
        <f t="shared" si="203"/>
        <v>99.850078084331074</v>
      </c>
    </row>
    <row r="1454" spans="2:19" x14ac:dyDescent="0.2">
      <c r="B1454" s="6">
        <f t="shared" si="204"/>
        <v>50</v>
      </c>
      <c r="C1454" s="22"/>
      <c r="D1454" s="22"/>
      <c r="E1454" s="22"/>
      <c r="F1454" s="13"/>
      <c r="G1454" s="124"/>
      <c r="H1454" s="1" t="s">
        <v>702</v>
      </c>
      <c r="I1454" s="24"/>
      <c r="J1454" s="24"/>
      <c r="K1454" s="397"/>
      <c r="L1454" s="24"/>
      <c r="M1454" s="24">
        <v>22400</v>
      </c>
      <c r="N1454" s="24">
        <v>22335</v>
      </c>
      <c r="O1454" s="397">
        <f t="shared" si="206"/>
        <v>99.709821428571431</v>
      </c>
      <c r="P1454" s="24"/>
      <c r="Q1454" s="26">
        <f t="shared" si="201"/>
        <v>22400</v>
      </c>
      <c r="R1454" s="26">
        <f t="shared" si="202"/>
        <v>22335</v>
      </c>
      <c r="S1454" s="448">
        <f t="shared" si="203"/>
        <v>99.709821428571431</v>
      </c>
    </row>
    <row r="1455" spans="2:19" x14ac:dyDescent="0.2">
      <c r="B1455" s="6">
        <f t="shared" si="204"/>
        <v>51</v>
      </c>
      <c r="C1455" s="22"/>
      <c r="D1455" s="22"/>
      <c r="E1455" s="22"/>
      <c r="F1455" s="13"/>
      <c r="G1455" s="124"/>
      <c r="H1455" s="1" t="s">
        <v>745</v>
      </c>
      <c r="I1455" s="24"/>
      <c r="J1455" s="24"/>
      <c r="K1455" s="397"/>
      <c r="L1455" s="24"/>
      <c r="M1455" s="24">
        <v>22800</v>
      </c>
      <c r="N1455" s="24">
        <v>22733</v>
      </c>
      <c r="O1455" s="397">
        <f t="shared" si="206"/>
        <v>99.706140350877192</v>
      </c>
      <c r="P1455" s="24"/>
      <c r="Q1455" s="26">
        <f t="shared" si="201"/>
        <v>22800</v>
      </c>
      <c r="R1455" s="26">
        <f t="shared" si="202"/>
        <v>22733</v>
      </c>
      <c r="S1455" s="448">
        <f t="shared" si="203"/>
        <v>99.706140350877192</v>
      </c>
    </row>
    <row r="1456" spans="2:19" x14ac:dyDescent="0.2">
      <c r="B1456" s="6">
        <f t="shared" si="204"/>
        <v>52</v>
      </c>
      <c r="C1456" s="12"/>
      <c r="D1456" s="12"/>
      <c r="E1456" s="12"/>
      <c r="F1456" s="13" t="s">
        <v>719</v>
      </c>
      <c r="G1456" s="14">
        <v>710</v>
      </c>
      <c r="H1456" s="12" t="s">
        <v>172</v>
      </c>
      <c r="I1456" s="15"/>
      <c r="J1456" s="15"/>
      <c r="K1456" s="397"/>
      <c r="L1456" s="15"/>
      <c r="M1456" s="15">
        <f>M1457+M1459</f>
        <v>8815908</v>
      </c>
      <c r="N1456" s="15">
        <f>N1457+N1459</f>
        <v>8679429</v>
      </c>
      <c r="O1456" s="397">
        <f t="shared" si="206"/>
        <v>98.451900813846976</v>
      </c>
      <c r="P1456" s="15"/>
      <c r="Q1456" s="16">
        <f t="shared" si="201"/>
        <v>8815908</v>
      </c>
      <c r="R1456" s="16">
        <f t="shared" si="202"/>
        <v>8679429</v>
      </c>
      <c r="S1456" s="448">
        <f t="shared" si="203"/>
        <v>98.451900813846976</v>
      </c>
    </row>
    <row r="1457" spans="2:19" x14ac:dyDescent="0.2">
      <c r="B1457" s="6">
        <f t="shared" si="204"/>
        <v>53</v>
      </c>
      <c r="C1457" s="12"/>
      <c r="D1457" s="12"/>
      <c r="E1457" s="12"/>
      <c r="F1457" s="13"/>
      <c r="G1457" s="74">
        <v>716</v>
      </c>
      <c r="H1457" s="72" t="s">
        <v>213</v>
      </c>
      <c r="I1457" s="75"/>
      <c r="J1457" s="75"/>
      <c r="K1457" s="408"/>
      <c r="L1457" s="75"/>
      <c r="M1457" s="75">
        <f>M1458</f>
        <v>97800</v>
      </c>
      <c r="N1457" s="75">
        <f>N1458</f>
        <v>47300</v>
      </c>
      <c r="O1457" s="408">
        <f t="shared" si="206"/>
        <v>48.3640081799591</v>
      </c>
      <c r="P1457" s="75"/>
      <c r="Q1457" s="77">
        <f t="shared" si="201"/>
        <v>97800</v>
      </c>
      <c r="R1457" s="77">
        <f t="shared" si="202"/>
        <v>47300</v>
      </c>
      <c r="S1457" s="457">
        <f t="shared" si="203"/>
        <v>48.3640081799591</v>
      </c>
    </row>
    <row r="1458" spans="2:19" x14ac:dyDescent="0.2">
      <c r="B1458" s="6">
        <f t="shared" si="204"/>
        <v>54</v>
      </c>
      <c r="C1458" s="12"/>
      <c r="D1458" s="12"/>
      <c r="E1458" s="12"/>
      <c r="F1458" s="13"/>
      <c r="G1458" s="74"/>
      <c r="H1458" s="82" t="s">
        <v>268</v>
      </c>
      <c r="I1458" s="75"/>
      <c r="J1458" s="75"/>
      <c r="K1458" s="408"/>
      <c r="L1458" s="75"/>
      <c r="M1458" s="85">
        <f>48000+49800</f>
        <v>97800</v>
      </c>
      <c r="N1458" s="85">
        <v>47300</v>
      </c>
      <c r="O1458" s="408">
        <f t="shared" si="206"/>
        <v>48.3640081799591</v>
      </c>
      <c r="P1458" s="85"/>
      <c r="Q1458" s="86">
        <f t="shared" si="201"/>
        <v>97800</v>
      </c>
      <c r="R1458" s="86">
        <f t="shared" si="202"/>
        <v>47300</v>
      </c>
      <c r="S1458" s="457">
        <f t="shared" si="203"/>
        <v>48.3640081799591</v>
      </c>
    </row>
    <row r="1459" spans="2:19" x14ac:dyDescent="0.2">
      <c r="B1459" s="6">
        <f t="shared" si="204"/>
        <v>55</v>
      </c>
      <c r="C1459" s="17"/>
      <c r="D1459" s="17"/>
      <c r="E1459" s="17"/>
      <c r="F1459" s="18"/>
      <c r="G1459" s="19">
        <v>717</v>
      </c>
      <c r="H1459" s="17" t="s">
        <v>179</v>
      </c>
      <c r="I1459" s="20"/>
      <c r="J1459" s="20"/>
      <c r="K1459" s="397"/>
      <c r="L1459" s="20"/>
      <c r="M1459" s="20">
        <f>M1460</f>
        <v>8718108</v>
      </c>
      <c r="N1459" s="20">
        <f>N1460</f>
        <v>8632129</v>
      </c>
      <c r="O1459" s="397">
        <f t="shared" si="206"/>
        <v>99.013788312785294</v>
      </c>
      <c r="P1459" s="20"/>
      <c r="Q1459" s="21">
        <f t="shared" si="201"/>
        <v>8718108</v>
      </c>
      <c r="R1459" s="21">
        <f t="shared" si="202"/>
        <v>8632129</v>
      </c>
      <c r="S1459" s="448">
        <f t="shared" si="203"/>
        <v>99.013788312785294</v>
      </c>
    </row>
    <row r="1460" spans="2:19" x14ac:dyDescent="0.2">
      <c r="B1460" s="6">
        <f t="shared" si="204"/>
        <v>56</v>
      </c>
      <c r="C1460" s="22"/>
      <c r="D1460" s="22"/>
      <c r="E1460" s="22"/>
      <c r="F1460" s="13"/>
      <c r="G1460" s="124"/>
      <c r="H1460" s="1" t="s">
        <v>268</v>
      </c>
      <c r="I1460" s="24"/>
      <c r="J1460" s="24"/>
      <c r="K1460" s="397"/>
      <c r="L1460" s="24"/>
      <c r="M1460" s="24">
        <f>11200745-48000-2773987+251000+88350</f>
        <v>8718108</v>
      </c>
      <c r="N1460" s="24">
        <v>8632129</v>
      </c>
      <c r="O1460" s="397">
        <f t="shared" si="206"/>
        <v>99.013788312785294</v>
      </c>
      <c r="P1460" s="24"/>
      <c r="Q1460" s="26">
        <f t="shared" si="201"/>
        <v>8718108</v>
      </c>
      <c r="R1460" s="26">
        <f t="shared" si="202"/>
        <v>8632129</v>
      </c>
      <c r="S1460" s="448">
        <f t="shared" si="203"/>
        <v>99.013788312785294</v>
      </c>
    </row>
    <row r="1461" spans="2:19" ht="15" x14ac:dyDescent="0.25">
      <c r="B1461" s="6">
        <f t="shared" si="204"/>
        <v>57</v>
      </c>
      <c r="C1461" s="97"/>
      <c r="D1461" s="97"/>
      <c r="E1461" s="97">
        <v>2</v>
      </c>
      <c r="F1461" s="98"/>
      <c r="G1461" s="98"/>
      <c r="H1461" s="97" t="s">
        <v>11</v>
      </c>
      <c r="I1461" s="99">
        <f>I1462+I1463+I1464+I1470</f>
        <v>779446</v>
      </c>
      <c r="J1461" s="99">
        <f>J1462+J1463+J1464+J1470</f>
        <v>738958</v>
      </c>
      <c r="K1461" s="414">
        <f t="shared" ref="K1461:K1470" si="207">J1461/I1461*100</f>
        <v>94.8055413716922</v>
      </c>
      <c r="L1461" s="313"/>
      <c r="M1461" s="99">
        <f>M1471</f>
        <v>94600</v>
      </c>
      <c r="N1461" s="99">
        <f>N1471</f>
        <v>93899</v>
      </c>
      <c r="O1461" s="414">
        <f t="shared" si="206"/>
        <v>99.258985200845657</v>
      </c>
      <c r="P1461" s="313"/>
      <c r="Q1461" s="100">
        <f t="shared" si="201"/>
        <v>874046</v>
      </c>
      <c r="R1461" s="100">
        <f t="shared" si="202"/>
        <v>832857</v>
      </c>
      <c r="S1461" s="464">
        <f t="shared" si="203"/>
        <v>95.28754779496731</v>
      </c>
    </row>
    <row r="1462" spans="2:19" x14ac:dyDescent="0.2">
      <c r="B1462" s="6">
        <f t="shared" si="204"/>
        <v>58</v>
      </c>
      <c r="C1462" s="12"/>
      <c r="D1462" s="12"/>
      <c r="E1462" s="12"/>
      <c r="F1462" s="13" t="s">
        <v>176</v>
      </c>
      <c r="G1462" s="14">
        <v>610</v>
      </c>
      <c r="H1462" s="12" t="s">
        <v>128</v>
      </c>
      <c r="I1462" s="15">
        <f>103195+5600</f>
        <v>108795</v>
      </c>
      <c r="J1462" s="15">
        <v>108675</v>
      </c>
      <c r="K1462" s="397">
        <f t="shared" si="207"/>
        <v>99.8897008134565</v>
      </c>
      <c r="L1462" s="15"/>
      <c r="M1462" s="15"/>
      <c r="N1462" s="15"/>
      <c r="O1462" s="397"/>
      <c r="P1462" s="15"/>
      <c r="Q1462" s="16">
        <f t="shared" si="201"/>
        <v>108795</v>
      </c>
      <c r="R1462" s="16">
        <f t="shared" si="202"/>
        <v>108675</v>
      </c>
      <c r="S1462" s="448">
        <f t="shared" si="203"/>
        <v>99.8897008134565</v>
      </c>
    </row>
    <row r="1463" spans="2:19" x14ac:dyDescent="0.2">
      <c r="B1463" s="6">
        <f t="shared" si="204"/>
        <v>59</v>
      </c>
      <c r="C1463" s="12"/>
      <c r="D1463" s="12"/>
      <c r="E1463" s="12"/>
      <c r="F1463" s="13" t="s">
        <v>176</v>
      </c>
      <c r="G1463" s="14">
        <v>620</v>
      </c>
      <c r="H1463" s="12" t="s">
        <v>121</v>
      </c>
      <c r="I1463" s="15">
        <f>39595+1881</f>
        <v>41476</v>
      </c>
      <c r="J1463" s="15">
        <v>39437</v>
      </c>
      <c r="K1463" s="397">
        <f t="shared" si="207"/>
        <v>95.083903944449801</v>
      </c>
      <c r="L1463" s="15"/>
      <c r="M1463" s="15"/>
      <c r="N1463" s="15"/>
      <c r="O1463" s="397"/>
      <c r="P1463" s="15"/>
      <c r="Q1463" s="16">
        <f t="shared" si="201"/>
        <v>41476</v>
      </c>
      <c r="R1463" s="16">
        <f t="shared" si="202"/>
        <v>39437</v>
      </c>
      <c r="S1463" s="448">
        <f t="shared" si="203"/>
        <v>95.083903944449801</v>
      </c>
    </row>
    <row r="1464" spans="2:19" x14ac:dyDescent="0.2">
      <c r="B1464" s="6">
        <f t="shared" si="204"/>
        <v>60</v>
      </c>
      <c r="C1464" s="12"/>
      <c r="D1464" s="12"/>
      <c r="E1464" s="12"/>
      <c r="F1464" s="13" t="s">
        <v>176</v>
      </c>
      <c r="G1464" s="14">
        <v>630</v>
      </c>
      <c r="H1464" s="12" t="s">
        <v>118</v>
      </c>
      <c r="I1464" s="15">
        <f>SUM(I1465:I1469)</f>
        <v>618575</v>
      </c>
      <c r="J1464" s="15">
        <f>SUM(J1465:J1469)</f>
        <v>581372</v>
      </c>
      <c r="K1464" s="397">
        <f t="shared" si="207"/>
        <v>93.985692923251023</v>
      </c>
      <c r="L1464" s="15"/>
      <c r="M1464" s="15"/>
      <c r="N1464" s="15"/>
      <c r="O1464" s="397"/>
      <c r="P1464" s="15"/>
      <c r="Q1464" s="16">
        <f t="shared" si="201"/>
        <v>618575</v>
      </c>
      <c r="R1464" s="16">
        <f t="shared" si="202"/>
        <v>581372</v>
      </c>
      <c r="S1464" s="448">
        <f t="shared" si="203"/>
        <v>93.985692923251023</v>
      </c>
    </row>
    <row r="1465" spans="2:19" x14ac:dyDescent="0.2">
      <c r="B1465" s="6">
        <f t="shared" si="204"/>
        <v>61</v>
      </c>
      <c r="C1465" s="17"/>
      <c r="D1465" s="17"/>
      <c r="E1465" s="17"/>
      <c r="F1465" s="18"/>
      <c r="G1465" s="19">
        <v>632</v>
      </c>
      <c r="H1465" s="17" t="s">
        <v>131</v>
      </c>
      <c r="I1465" s="20">
        <v>392000</v>
      </c>
      <c r="J1465" s="20">
        <v>369355</v>
      </c>
      <c r="K1465" s="397">
        <f t="shared" si="207"/>
        <v>94.223214285714292</v>
      </c>
      <c r="L1465" s="20"/>
      <c r="M1465" s="20"/>
      <c r="N1465" s="20"/>
      <c r="O1465" s="397"/>
      <c r="P1465" s="20"/>
      <c r="Q1465" s="21">
        <f t="shared" si="201"/>
        <v>392000</v>
      </c>
      <c r="R1465" s="21">
        <f t="shared" si="202"/>
        <v>369355</v>
      </c>
      <c r="S1465" s="448">
        <f t="shared" si="203"/>
        <v>94.223214285714292</v>
      </c>
    </row>
    <row r="1466" spans="2:19" x14ac:dyDescent="0.2">
      <c r="B1466" s="6">
        <f t="shared" si="204"/>
        <v>62</v>
      </c>
      <c r="C1466" s="17"/>
      <c r="D1466" s="17"/>
      <c r="E1466" s="17"/>
      <c r="F1466" s="18"/>
      <c r="G1466" s="19">
        <v>633</v>
      </c>
      <c r="H1466" s="17" t="s">
        <v>122</v>
      </c>
      <c r="I1466" s="20">
        <f>18000+2500+2000</f>
        <v>22500</v>
      </c>
      <c r="J1466" s="20">
        <v>21136</v>
      </c>
      <c r="K1466" s="397">
        <f t="shared" si="207"/>
        <v>93.937777777777782</v>
      </c>
      <c r="L1466" s="20"/>
      <c r="M1466" s="20"/>
      <c r="N1466" s="20"/>
      <c r="O1466" s="397"/>
      <c r="P1466" s="20"/>
      <c r="Q1466" s="21">
        <f t="shared" si="201"/>
        <v>22500</v>
      </c>
      <c r="R1466" s="21">
        <f t="shared" si="202"/>
        <v>21136</v>
      </c>
      <c r="S1466" s="448">
        <f t="shared" si="203"/>
        <v>93.937777777777782</v>
      </c>
    </row>
    <row r="1467" spans="2:19" x14ac:dyDescent="0.2">
      <c r="B1467" s="6">
        <f t="shared" si="204"/>
        <v>63</v>
      </c>
      <c r="C1467" s="17"/>
      <c r="D1467" s="17"/>
      <c r="E1467" s="17"/>
      <c r="F1467" s="18"/>
      <c r="G1467" s="19">
        <v>635</v>
      </c>
      <c r="H1467" s="17" t="s">
        <v>130</v>
      </c>
      <c r="I1467" s="20">
        <f>71000+5600+34000+5000+6000+10500+2000</f>
        <v>134100</v>
      </c>
      <c r="J1467" s="20">
        <v>127614</v>
      </c>
      <c r="K1467" s="397">
        <f t="shared" si="207"/>
        <v>95.163310961968676</v>
      </c>
      <c r="L1467" s="20"/>
      <c r="M1467" s="20"/>
      <c r="N1467" s="20"/>
      <c r="O1467" s="397"/>
      <c r="P1467" s="20"/>
      <c r="Q1467" s="21">
        <f t="shared" si="201"/>
        <v>134100</v>
      </c>
      <c r="R1467" s="21">
        <f t="shared" si="202"/>
        <v>127614</v>
      </c>
      <c r="S1467" s="448">
        <f t="shared" si="203"/>
        <v>95.163310961968676</v>
      </c>
    </row>
    <row r="1468" spans="2:19" x14ac:dyDescent="0.2">
      <c r="B1468" s="6">
        <f t="shared" si="204"/>
        <v>64</v>
      </c>
      <c r="C1468" s="17"/>
      <c r="D1468" s="17"/>
      <c r="E1468" s="17"/>
      <c r="F1468" s="18"/>
      <c r="G1468" s="19">
        <v>636</v>
      </c>
      <c r="H1468" s="17" t="s">
        <v>123</v>
      </c>
      <c r="I1468" s="20">
        <v>200</v>
      </c>
      <c r="J1468" s="20">
        <v>0</v>
      </c>
      <c r="K1468" s="397">
        <f t="shared" si="207"/>
        <v>0</v>
      </c>
      <c r="L1468" s="20"/>
      <c r="M1468" s="20"/>
      <c r="N1468" s="20"/>
      <c r="O1468" s="397"/>
      <c r="P1468" s="20"/>
      <c r="Q1468" s="21">
        <f t="shared" si="201"/>
        <v>200</v>
      </c>
      <c r="R1468" s="21">
        <f t="shared" si="202"/>
        <v>0</v>
      </c>
      <c r="S1468" s="448">
        <f t="shared" si="203"/>
        <v>0</v>
      </c>
    </row>
    <row r="1469" spans="2:19" x14ac:dyDescent="0.2">
      <c r="B1469" s="6">
        <f t="shared" si="204"/>
        <v>65</v>
      </c>
      <c r="C1469" s="17"/>
      <c r="D1469" s="17"/>
      <c r="E1469" s="17"/>
      <c r="F1469" s="18"/>
      <c r="G1469" s="19">
        <v>637</v>
      </c>
      <c r="H1469" s="17" t="s">
        <v>119</v>
      </c>
      <c r="I1469" s="20">
        <f>67275+2500</f>
        <v>69775</v>
      </c>
      <c r="J1469" s="20">
        <v>63267</v>
      </c>
      <c r="K1469" s="397">
        <f t="shared" si="207"/>
        <v>90.672877104980302</v>
      </c>
      <c r="L1469" s="20"/>
      <c r="M1469" s="20"/>
      <c r="N1469" s="20"/>
      <c r="O1469" s="397"/>
      <c r="P1469" s="20"/>
      <c r="Q1469" s="21">
        <f t="shared" ref="Q1469:Q1500" si="208">I1469+M1469</f>
        <v>69775</v>
      </c>
      <c r="R1469" s="21">
        <f t="shared" ref="R1469:R1500" si="209">J1469+N1469</f>
        <v>63267</v>
      </c>
      <c r="S1469" s="448">
        <f t="shared" ref="S1469:S1494" si="210">R1469/Q1469*100</f>
        <v>90.672877104980302</v>
      </c>
    </row>
    <row r="1470" spans="2:19" x14ac:dyDescent="0.2">
      <c r="B1470" s="6">
        <f t="shared" ref="B1470:B1501" si="211">B1469+1</f>
        <v>66</v>
      </c>
      <c r="C1470" s="12"/>
      <c r="D1470" s="12"/>
      <c r="E1470" s="12"/>
      <c r="F1470" s="13" t="s">
        <v>176</v>
      </c>
      <c r="G1470" s="14">
        <v>640</v>
      </c>
      <c r="H1470" s="12" t="s">
        <v>126</v>
      </c>
      <c r="I1470" s="15">
        <f>9600+1000</f>
        <v>10600</v>
      </c>
      <c r="J1470" s="15">
        <v>9474</v>
      </c>
      <c r="K1470" s="397">
        <f t="shared" si="207"/>
        <v>89.377358490566039</v>
      </c>
      <c r="L1470" s="15"/>
      <c r="M1470" s="15"/>
      <c r="N1470" s="15"/>
      <c r="O1470" s="397"/>
      <c r="P1470" s="15"/>
      <c r="Q1470" s="16">
        <f t="shared" si="208"/>
        <v>10600</v>
      </c>
      <c r="R1470" s="16">
        <f t="shared" si="209"/>
        <v>9474</v>
      </c>
      <c r="S1470" s="448">
        <f t="shared" si="210"/>
        <v>89.377358490566039</v>
      </c>
    </row>
    <row r="1471" spans="2:19" x14ac:dyDescent="0.2">
      <c r="B1471" s="6">
        <f t="shared" si="211"/>
        <v>67</v>
      </c>
      <c r="C1471" s="12"/>
      <c r="D1471" s="12"/>
      <c r="E1471" s="12"/>
      <c r="F1471" s="13" t="s">
        <v>176</v>
      </c>
      <c r="G1471" s="14">
        <v>710</v>
      </c>
      <c r="H1471" s="12" t="s">
        <v>172</v>
      </c>
      <c r="I1471" s="15"/>
      <c r="J1471" s="15"/>
      <c r="K1471" s="397"/>
      <c r="L1471" s="15"/>
      <c r="M1471" s="15">
        <f>M1475+M1472+M1477</f>
        <v>94600</v>
      </c>
      <c r="N1471" s="15">
        <f>N1475+N1472+N1477</f>
        <v>93899</v>
      </c>
      <c r="O1471" s="397">
        <f t="shared" ref="O1471:O1478" si="212">N1471/M1471*100</f>
        <v>99.258985200845657</v>
      </c>
      <c r="P1471" s="15"/>
      <c r="Q1471" s="16">
        <f t="shared" si="208"/>
        <v>94600</v>
      </c>
      <c r="R1471" s="16">
        <f t="shared" si="209"/>
        <v>93899</v>
      </c>
      <c r="S1471" s="448">
        <f t="shared" si="210"/>
        <v>99.258985200845657</v>
      </c>
    </row>
    <row r="1472" spans="2:19" x14ac:dyDescent="0.2">
      <c r="B1472" s="6">
        <f t="shared" si="211"/>
        <v>68</v>
      </c>
      <c r="C1472" s="12"/>
      <c r="D1472" s="12"/>
      <c r="E1472" s="12"/>
      <c r="F1472" s="13"/>
      <c r="G1472" s="140">
        <v>713</v>
      </c>
      <c r="H1472" s="138" t="s">
        <v>216</v>
      </c>
      <c r="I1472" s="284"/>
      <c r="J1472" s="368"/>
      <c r="K1472" s="442"/>
      <c r="L1472" s="20"/>
      <c r="M1472" s="20">
        <f>SUM(M1473:M1474)</f>
        <v>55600</v>
      </c>
      <c r="N1472" s="20">
        <f>SUM(N1473:N1474)</f>
        <v>55029</v>
      </c>
      <c r="O1472" s="397">
        <f t="shared" si="212"/>
        <v>98.973021582733807</v>
      </c>
      <c r="P1472" s="20"/>
      <c r="Q1472" s="21">
        <f t="shared" si="208"/>
        <v>55600</v>
      </c>
      <c r="R1472" s="21">
        <f t="shared" si="209"/>
        <v>55029</v>
      </c>
      <c r="S1472" s="448">
        <f t="shared" si="210"/>
        <v>98.973021582733807</v>
      </c>
    </row>
    <row r="1473" spans="2:19" ht="36" x14ac:dyDescent="0.2">
      <c r="B1473" s="6">
        <f t="shared" si="211"/>
        <v>69</v>
      </c>
      <c r="C1473" s="470"/>
      <c r="D1473" s="470"/>
      <c r="E1473" s="470"/>
      <c r="F1473" s="471"/>
      <c r="G1473" s="585"/>
      <c r="H1473" s="586" t="s">
        <v>774</v>
      </c>
      <c r="I1473" s="587"/>
      <c r="J1473" s="588"/>
      <c r="K1473" s="589"/>
      <c r="L1473" s="35"/>
      <c r="M1473" s="35">
        <v>50000</v>
      </c>
      <c r="N1473" s="35">
        <v>49584</v>
      </c>
      <c r="O1473" s="396">
        <f t="shared" si="212"/>
        <v>99.168000000000006</v>
      </c>
      <c r="P1473" s="590"/>
      <c r="Q1473" s="37">
        <f t="shared" si="208"/>
        <v>50000</v>
      </c>
      <c r="R1473" s="37">
        <f t="shared" si="209"/>
        <v>49584</v>
      </c>
      <c r="S1473" s="450">
        <f t="shared" si="210"/>
        <v>99.168000000000006</v>
      </c>
    </row>
    <row r="1474" spans="2:19" x14ac:dyDescent="0.2">
      <c r="B1474" s="6">
        <f t="shared" si="211"/>
        <v>70</v>
      </c>
      <c r="C1474" s="12"/>
      <c r="D1474" s="12"/>
      <c r="E1474" s="12"/>
      <c r="F1474" s="13"/>
      <c r="G1474" s="363"/>
      <c r="H1474" s="60" t="s">
        <v>740</v>
      </c>
      <c r="I1474" s="332"/>
      <c r="J1474" s="332"/>
      <c r="K1474" s="407"/>
      <c r="L1474" s="332"/>
      <c r="M1474" s="332">
        <v>5600</v>
      </c>
      <c r="N1474" s="332">
        <v>5445</v>
      </c>
      <c r="O1474" s="407">
        <f t="shared" si="212"/>
        <v>97.232142857142861</v>
      </c>
      <c r="P1474" s="364"/>
      <c r="Q1474" s="26">
        <f t="shared" si="208"/>
        <v>5600</v>
      </c>
      <c r="R1474" s="26">
        <f t="shared" si="209"/>
        <v>5445</v>
      </c>
      <c r="S1474" s="448">
        <f t="shared" si="210"/>
        <v>97.232142857142861</v>
      </c>
    </row>
    <row r="1475" spans="2:19" x14ac:dyDescent="0.2">
      <c r="B1475" s="6">
        <f t="shared" si="211"/>
        <v>71</v>
      </c>
      <c r="C1475" s="12"/>
      <c r="D1475" s="12"/>
      <c r="E1475" s="12"/>
      <c r="F1475" s="13"/>
      <c r="G1475" s="74">
        <v>716</v>
      </c>
      <c r="H1475" s="72" t="s">
        <v>213</v>
      </c>
      <c r="I1475" s="75"/>
      <c r="J1475" s="75"/>
      <c r="K1475" s="408"/>
      <c r="L1475" s="75"/>
      <c r="M1475" s="75">
        <f>M1476</f>
        <v>4000</v>
      </c>
      <c r="N1475" s="75">
        <f>N1476</f>
        <v>4000</v>
      </c>
      <c r="O1475" s="408">
        <f t="shared" si="212"/>
        <v>100</v>
      </c>
      <c r="P1475" s="75"/>
      <c r="Q1475" s="77">
        <f t="shared" si="208"/>
        <v>4000</v>
      </c>
      <c r="R1475" s="77">
        <f t="shared" si="209"/>
        <v>4000</v>
      </c>
      <c r="S1475" s="457">
        <f t="shared" si="210"/>
        <v>100</v>
      </c>
    </row>
    <row r="1476" spans="2:19" x14ac:dyDescent="0.2">
      <c r="B1476" s="6">
        <f t="shared" si="211"/>
        <v>72</v>
      </c>
      <c r="C1476" s="12"/>
      <c r="D1476" s="12"/>
      <c r="E1476" s="12"/>
      <c r="F1476" s="13"/>
      <c r="G1476" s="74"/>
      <c r="H1476" s="82" t="s">
        <v>700</v>
      </c>
      <c r="I1476" s="75"/>
      <c r="J1476" s="75"/>
      <c r="K1476" s="408"/>
      <c r="L1476" s="75"/>
      <c r="M1476" s="75">
        <v>4000</v>
      </c>
      <c r="N1476" s="75">
        <v>4000</v>
      </c>
      <c r="O1476" s="408">
        <f t="shared" si="212"/>
        <v>100</v>
      </c>
      <c r="P1476" s="75"/>
      <c r="Q1476" s="77">
        <f t="shared" si="208"/>
        <v>4000</v>
      </c>
      <c r="R1476" s="77">
        <f t="shared" si="209"/>
        <v>4000</v>
      </c>
      <c r="S1476" s="457">
        <f t="shared" si="210"/>
        <v>100</v>
      </c>
    </row>
    <row r="1477" spans="2:19" x14ac:dyDescent="0.2">
      <c r="B1477" s="6">
        <f t="shared" si="211"/>
        <v>73</v>
      </c>
      <c r="C1477" s="12"/>
      <c r="D1477" s="12"/>
      <c r="E1477" s="12"/>
      <c r="F1477" s="13"/>
      <c r="G1477" s="19">
        <v>717</v>
      </c>
      <c r="H1477" s="17" t="s">
        <v>179</v>
      </c>
      <c r="I1477" s="20"/>
      <c r="J1477" s="20"/>
      <c r="K1477" s="397"/>
      <c r="L1477" s="20"/>
      <c r="M1477" s="20">
        <f>SUM(M1478:M1479)</f>
        <v>35000</v>
      </c>
      <c r="N1477" s="20">
        <f>SUM(N1478:N1479)</f>
        <v>34870</v>
      </c>
      <c r="O1477" s="397">
        <f t="shared" si="212"/>
        <v>99.628571428571433</v>
      </c>
      <c r="P1477" s="20"/>
      <c r="Q1477" s="21">
        <f t="shared" si="208"/>
        <v>35000</v>
      </c>
      <c r="R1477" s="21">
        <f t="shared" si="209"/>
        <v>34870</v>
      </c>
      <c r="S1477" s="448">
        <f t="shared" si="210"/>
        <v>99.628571428571433</v>
      </c>
    </row>
    <row r="1478" spans="2:19" x14ac:dyDescent="0.2">
      <c r="B1478" s="6">
        <f t="shared" si="211"/>
        <v>74</v>
      </c>
      <c r="C1478" s="12"/>
      <c r="D1478" s="12"/>
      <c r="E1478" s="12"/>
      <c r="F1478" s="13"/>
      <c r="G1478" s="124"/>
      <c r="H1478" s="39" t="s">
        <v>720</v>
      </c>
      <c r="I1478" s="24"/>
      <c r="J1478" s="24"/>
      <c r="K1478" s="397"/>
      <c r="L1478" s="24"/>
      <c r="M1478" s="24">
        <v>35000</v>
      </c>
      <c r="N1478" s="24">
        <v>34870</v>
      </c>
      <c r="O1478" s="397">
        <f t="shared" si="212"/>
        <v>99.628571428571433</v>
      </c>
      <c r="P1478" s="24"/>
      <c r="Q1478" s="26">
        <f t="shared" si="208"/>
        <v>35000</v>
      </c>
      <c r="R1478" s="26">
        <f t="shared" si="209"/>
        <v>34870</v>
      </c>
      <c r="S1478" s="448">
        <f t="shared" si="210"/>
        <v>99.628571428571433</v>
      </c>
    </row>
    <row r="1479" spans="2:19" ht="15" x14ac:dyDescent="0.25">
      <c r="B1479" s="6">
        <f t="shared" si="211"/>
        <v>75</v>
      </c>
      <c r="C1479" s="97"/>
      <c r="D1479" s="97"/>
      <c r="E1479" s="97">
        <v>8</v>
      </c>
      <c r="F1479" s="98"/>
      <c r="G1479" s="98"/>
      <c r="H1479" s="97" t="s">
        <v>6</v>
      </c>
      <c r="I1479" s="99">
        <f>I1480</f>
        <v>40000</v>
      </c>
      <c r="J1479" s="99">
        <f>J1480</f>
        <v>40000</v>
      </c>
      <c r="K1479" s="414">
        <f>J1479/I1479*100</f>
        <v>100</v>
      </c>
      <c r="L1479" s="313"/>
      <c r="M1479" s="99"/>
      <c r="N1479" s="99"/>
      <c r="O1479" s="414"/>
      <c r="P1479" s="313"/>
      <c r="Q1479" s="100">
        <f t="shared" si="208"/>
        <v>40000</v>
      </c>
      <c r="R1479" s="100">
        <f t="shared" si="209"/>
        <v>40000</v>
      </c>
      <c r="S1479" s="464">
        <f t="shared" si="210"/>
        <v>100</v>
      </c>
    </row>
    <row r="1480" spans="2:19" x14ac:dyDescent="0.2">
      <c r="B1480" s="6">
        <f t="shared" si="211"/>
        <v>76</v>
      </c>
      <c r="C1480" s="12"/>
      <c r="D1480" s="12"/>
      <c r="E1480" s="12"/>
      <c r="F1480" s="13" t="s">
        <v>176</v>
      </c>
      <c r="G1480" s="14">
        <v>630</v>
      </c>
      <c r="H1480" s="12" t="s">
        <v>118</v>
      </c>
      <c r="I1480" s="15">
        <f>I1481</f>
        <v>40000</v>
      </c>
      <c r="J1480" s="15">
        <f>J1481</f>
        <v>40000</v>
      </c>
      <c r="K1480" s="397">
        <f>J1480/I1480*100</f>
        <v>100</v>
      </c>
      <c r="L1480" s="15"/>
      <c r="M1480" s="15"/>
      <c r="N1480" s="15"/>
      <c r="O1480" s="397"/>
      <c r="P1480" s="15"/>
      <c r="Q1480" s="16">
        <f t="shared" si="208"/>
        <v>40000</v>
      </c>
      <c r="R1480" s="16">
        <f t="shared" si="209"/>
        <v>40000</v>
      </c>
      <c r="S1480" s="448">
        <f t="shared" si="210"/>
        <v>100</v>
      </c>
    </row>
    <row r="1481" spans="2:19" x14ac:dyDescent="0.2">
      <c r="B1481" s="6">
        <f t="shared" si="211"/>
        <v>77</v>
      </c>
      <c r="C1481" s="17"/>
      <c r="D1481" s="17"/>
      <c r="E1481" s="17"/>
      <c r="F1481" s="18"/>
      <c r="G1481" s="19">
        <v>636</v>
      </c>
      <c r="H1481" s="17" t="s">
        <v>123</v>
      </c>
      <c r="I1481" s="30">
        <v>40000</v>
      </c>
      <c r="J1481" s="30">
        <v>40000</v>
      </c>
      <c r="K1481" s="398">
        <f>J1481/I1481*100</f>
        <v>100</v>
      </c>
      <c r="L1481" s="20"/>
      <c r="M1481" s="20"/>
      <c r="N1481" s="20"/>
      <c r="O1481" s="397"/>
      <c r="P1481" s="20"/>
      <c r="Q1481" s="21">
        <f t="shared" si="208"/>
        <v>40000</v>
      </c>
      <c r="R1481" s="21">
        <f t="shared" si="209"/>
        <v>40000</v>
      </c>
      <c r="S1481" s="448">
        <f t="shared" si="210"/>
        <v>100</v>
      </c>
    </row>
    <row r="1482" spans="2:19" ht="15" x14ac:dyDescent="0.25">
      <c r="B1482" s="6">
        <f t="shared" si="211"/>
        <v>78</v>
      </c>
      <c r="C1482" s="27"/>
      <c r="D1482" s="27">
        <v>4</v>
      </c>
      <c r="E1482" s="639" t="s">
        <v>198</v>
      </c>
      <c r="F1482" s="640"/>
      <c r="G1482" s="640"/>
      <c r="H1482" s="640"/>
      <c r="I1482" s="28">
        <f>I1486</f>
        <v>974485</v>
      </c>
      <c r="J1482" s="28">
        <f>J1486</f>
        <v>885659</v>
      </c>
      <c r="K1482" s="404">
        <f>J1482/I1482*100</f>
        <v>90.884826344171529</v>
      </c>
      <c r="L1482" s="313"/>
      <c r="M1482" s="28">
        <f t="shared" ref="M1482:N1484" si="213">M1483</f>
        <v>271500</v>
      </c>
      <c r="N1482" s="28">
        <f t="shared" si="213"/>
        <v>263220</v>
      </c>
      <c r="O1482" s="404">
        <f>N1482/M1482*100</f>
        <v>96.950276243093924</v>
      </c>
      <c r="P1482" s="313"/>
      <c r="Q1482" s="29">
        <f t="shared" si="208"/>
        <v>1245985</v>
      </c>
      <c r="R1482" s="29">
        <f t="shared" si="209"/>
        <v>1148879</v>
      </c>
      <c r="S1482" s="447">
        <f t="shared" si="210"/>
        <v>92.206487237005263</v>
      </c>
    </row>
    <row r="1483" spans="2:19" x14ac:dyDescent="0.2">
      <c r="B1483" s="6">
        <f t="shared" si="211"/>
        <v>79</v>
      </c>
      <c r="C1483" s="12"/>
      <c r="D1483" s="12"/>
      <c r="E1483" s="12"/>
      <c r="F1483" s="13" t="s">
        <v>176</v>
      </c>
      <c r="G1483" s="14">
        <v>710</v>
      </c>
      <c r="H1483" s="12" t="s">
        <v>172</v>
      </c>
      <c r="I1483" s="15"/>
      <c r="J1483" s="15"/>
      <c r="K1483" s="397"/>
      <c r="L1483" s="15"/>
      <c r="M1483" s="15">
        <f t="shared" si="213"/>
        <v>271500</v>
      </c>
      <c r="N1483" s="15">
        <f t="shared" si="213"/>
        <v>263220</v>
      </c>
      <c r="O1483" s="397">
        <f>N1483/M1483*100</f>
        <v>96.950276243093924</v>
      </c>
      <c r="P1483" s="15"/>
      <c r="Q1483" s="16">
        <f t="shared" si="208"/>
        <v>271500</v>
      </c>
      <c r="R1483" s="16">
        <f t="shared" si="209"/>
        <v>263220</v>
      </c>
      <c r="S1483" s="448">
        <f t="shared" si="210"/>
        <v>96.950276243093924</v>
      </c>
    </row>
    <row r="1484" spans="2:19" x14ac:dyDescent="0.2">
      <c r="B1484" s="6">
        <f t="shared" si="211"/>
        <v>80</v>
      </c>
      <c r="C1484" s="12"/>
      <c r="D1484" s="12"/>
      <c r="E1484" s="12"/>
      <c r="F1484" s="13"/>
      <c r="G1484" s="74">
        <v>716</v>
      </c>
      <c r="H1484" s="72" t="s">
        <v>213</v>
      </c>
      <c r="I1484" s="75"/>
      <c r="J1484" s="75"/>
      <c r="K1484" s="408"/>
      <c r="L1484" s="75"/>
      <c r="M1484" s="75">
        <f t="shared" si="213"/>
        <v>271500</v>
      </c>
      <c r="N1484" s="75">
        <f t="shared" si="213"/>
        <v>263220</v>
      </c>
      <c r="O1484" s="408">
        <f>N1484/M1484*100</f>
        <v>96.950276243093924</v>
      </c>
      <c r="P1484" s="75"/>
      <c r="Q1484" s="77">
        <f t="shared" si="208"/>
        <v>271500</v>
      </c>
      <c r="R1484" s="77">
        <f t="shared" si="209"/>
        <v>263220</v>
      </c>
      <c r="S1484" s="457">
        <f t="shared" si="210"/>
        <v>96.950276243093924</v>
      </c>
    </row>
    <row r="1485" spans="2:19" x14ac:dyDescent="0.2">
      <c r="B1485" s="6">
        <f t="shared" si="211"/>
        <v>81</v>
      </c>
      <c r="C1485" s="12"/>
      <c r="D1485" s="12"/>
      <c r="E1485" s="12"/>
      <c r="F1485" s="13"/>
      <c r="G1485" s="74"/>
      <c r="H1485" s="82" t="s">
        <v>652</v>
      </c>
      <c r="I1485" s="75"/>
      <c r="J1485" s="75"/>
      <c r="K1485" s="408"/>
      <c r="L1485" s="75"/>
      <c r="M1485" s="75">
        <f>260759+10741</f>
        <v>271500</v>
      </c>
      <c r="N1485" s="75">
        <v>263220</v>
      </c>
      <c r="O1485" s="408">
        <f>N1485/M1485*100</f>
        <v>96.950276243093924</v>
      </c>
      <c r="P1485" s="75"/>
      <c r="Q1485" s="77">
        <f t="shared" si="208"/>
        <v>271500</v>
      </c>
      <c r="R1485" s="77">
        <f t="shared" si="209"/>
        <v>263220</v>
      </c>
      <c r="S1485" s="457">
        <f t="shared" si="210"/>
        <v>96.950276243093924</v>
      </c>
    </row>
    <row r="1486" spans="2:19" ht="15" x14ac:dyDescent="0.25">
      <c r="B1486" s="6">
        <f t="shared" si="211"/>
        <v>82</v>
      </c>
      <c r="C1486" s="97"/>
      <c r="D1486" s="97"/>
      <c r="E1486" s="97">
        <v>2</v>
      </c>
      <c r="F1486" s="98"/>
      <c r="G1486" s="98"/>
      <c r="H1486" s="97" t="s">
        <v>11</v>
      </c>
      <c r="I1486" s="99">
        <f>I1487+I1488+I1489+I1494</f>
        <v>974485</v>
      </c>
      <c r="J1486" s="99">
        <f>J1487+J1488+J1489+J1494</f>
        <v>885659</v>
      </c>
      <c r="K1486" s="414">
        <f t="shared" ref="K1486:K1494" si="214">J1486/I1486*100</f>
        <v>90.884826344171529</v>
      </c>
      <c r="L1486" s="313"/>
      <c r="M1486" s="99"/>
      <c r="N1486" s="99"/>
      <c r="O1486" s="414"/>
      <c r="P1486" s="313"/>
      <c r="Q1486" s="100">
        <f t="shared" si="208"/>
        <v>974485</v>
      </c>
      <c r="R1486" s="100">
        <f t="shared" si="209"/>
        <v>885659</v>
      </c>
      <c r="S1486" s="464">
        <f t="shared" si="210"/>
        <v>90.884826344171529</v>
      </c>
    </row>
    <row r="1487" spans="2:19" x14ac:dyDescent="0.2">
      <c r="B1487" s="6">
        <f t="shared" si="211"/>
        <v>83</v>
      </c>
      <c r="C1487" s="12"/>
      <c r="D1487" s="12"/>
      <c r="E1487" s="12"/>
      <c r="F1487" s="13" t="s">
        <v>176</v>
      </c>
      <c r="G1487" s="14">
        <v>610</v>
      </c>
      <c r="H1487" s="12" t="s">
        <v>128</v>
      </c>
      <c r="I1487" s="15">
        <f>239050+11728</f>
        <v>250778</v>
      </c>
      <c r="J1487" s="15">
        <f>250742</f>
        <v>250742</v>
      </c>
      <c r="K1487" s="397">
        <f t="shared" si="214"/>
        <v>99.985644673775212</v>
      </c>
      <c r="L1487" s="15"/>
      <c r="M1487" s="15"/>
      <c r="N1487" s="15"/>
      <c r="O1487" s="397"/>
      <c r="P1487" s="15"/>
      <c r="Q1487" s="16">
        <f t="shared" si="208"/>
        <v>250778</v>
      </c>
      <c r="R1487" s="16">
        <f t="shared" si="209"/>
        <v>250742</v>
      </c>
      <c r="S1487" s="448">
        <f t="shared" si="210"/>
        <v>99.985644673775212</v>
      </c>
    </row>
    <row r="1488" spans="2:19" x14ac:dyDescent="0.2">
      <c r="B1488" s="6">
        <f t="shared" si="211"/>
        <v>84</v>
      </c>
      <c r="C1488" s="12"/>
      <c r="D1488" s="12"/>
      <c r="E1488" s="12"/>
      <c r="F1488" s="13" t="s">
        <v>176</v>
      </c>
      <c r="G1488" s="14">
        <v>620</v>
      </c>
      <c r="H1488" s="12" t="s">
        <v>121</v>
      </c>
      <c r="I1488" s="15">
        <f>118435+4087-3000</f>
        <v>119522</v>
      </c>
      <c r="J1488" s="15">
        <f>90595+20496-1</f>
        <v>111090</v>
      </c>
      <c r="K1488" s="397">
        <f t="shared" si="214"/>
        <v>92.945231840163316</v>
      </c>
      <c r="L1488" s="15"/>
      <c r="M1488" s="15"/>
      <c r="N1488" s="15"/>
      <c r="O1488" s="397"/>
      <c r="P1488" s="15"/>
      <c r="Q1488" s="16">
        <f t="shared" si="208"/>
        <v>119522</v>
      </c>
      <c r="R1488" s="16">
        <f t="shared" si="209"/>
        <v>111090</v>
      </c>
      <c r="S1488" s="448">
        <f t="shared" si="210"/>
        <v>92.945231840163316</v>
      </c>
    </row>
    <row r="1489" spans="2:19" x14ac:dyDescent="0.2">
      <c r="B1489" s="6">
        <f t="shared" si="211"/>
        <v>85</v>
      </c>
      <c r="C1489" s="12"/>
      <c r="D1489" s="12"/>
      <c r="E1489" s="12"/>
      <c r="F1489" s="13" t="s">
        <v>176</v>
      </c>
      <c r="G1489" s="14">
        <v>630</v>
      </c>
      <c r="H1489" s="12" t="s">
        <v>118</v>
      </c>
      <c r="I1489" s="15">
        <f>SUM(I1490:I1493)</f>
        <v>589085</v>
      </c>
      <c r="J1489" s="15">
        <f>SUM(J1490:J1493)</f>
        <v>510846</v>
      </c>
      <c r="K1489" s="397">
        <f t="shared" si="214"/>
        <v>86.718555047234275</v>
      </c>
      <c r="L1489" s="15"/>
      <c r="M1489" s="15"/>
      <c r="N1489" s="15"/>
      <c r="O1489" s="397"/>
      <c r="P1489" s="15"/>
      <c r="Q1489" s="16">
        <f t="shared" si="208"/>
        <v>589085</v>
      </c>
      <c r="R1489" s="16">
        <f t="shared" si="209"/>
        <v>510846</v>
      </c>
      <c r="S1489" s="448">
        <f t="shared" si="210"/>
        <v>86.718555047234275</v>
      </c>
    </row>
    <row r="1490" spans="2:19" x14ac:dyDescent="0.2">
      <c r="B1490" s="6">
        <f t="shared" si="211"/>
        <v>86</v>
      </c>
      <c r="C1490" s="17"/>
      <c r="D1490" s="17"/>
      <c r="E1490" s="17"/>
      <c r="F1490" s="18"/>
      <c r="G1490" s="19">
        <v>632</v>
      </c>
      <c r="H1490" s="17" t="s">
        <v>131</v>
      </c>
      <c r="I1490" s="20">
        <f>343300+4000-5600-2000</f>
        <v>339700</v>
      </c>
      <c r="J1490" s="20">
        <f>174011+112948</f>
        <v>286959</v>
      </c>
      <c r="K1490" s="397">
        <f t="shared" si="214"/>
        <v>84.474241978216071</v>
      </c>
      <c r="L1490" s="20"/>
      <c r="M1490" s="20"/>
      <c r="N1490" s="20"/>
      <c r="O1490" s="397"/>
      <c r="P1490" s="20"/>
      <c r="Q1490" s="21">
        <f t="shared" si="208"/>
        <v>339700</v>
      </c>
      <c r="R1490" s="21">
        <f t="shared" si="209"/>
        <v>286959</v>
      </c>
      <c r="S1490" s="448">
        <f t="shared" si="210"/>
        <v>84.474241978216071</v>
      </c>
    </row>
    <row r="1491" spans="2:19" x14ac:dyDescent="0.2">
      <c r="B1491" s="6">
        <f t="shared" si="211"/>
        <v>87</v>
      </c>
      <c r="C1491" s="17"/>
      <c r="D1491" s="17"/>
      <c r="E1491" s="17"/>
      <c r="F1491" s="18"/>
      <c r="G1491" s="19">
        <v>633</v>
      </c>
      <c r="H1491" s="17" t="s">
        <v>122</v>
      </c>
      <c r="I1491" s="20">
        <v>63100</v>
      </c>
      <c r="J1491" s="20">
        <f>28506+31646</f>
        <v>60152</v>
      </c>
      <c r="K1491" s="397">
        <f t="shared" si="214"/>
        <v>95.328050713153729</v>
      </c>
      <c r="L1491" s="20"/>
      <c r="M1491" s="20"/>
      <c r="N1491" s="20"/>
      <c r="O1491" s="397"/>
      <c r="P1491" s="20"/>
      <c r="Q1491" s="21">
        <f t="shared" si="208"/>
        <v>63100</v>
      </c>
      <c r="R1491" s="21">
        <f t="shared" si="209"/>
        <v>60152</v>
      </c>
      <c r="S1491" s="448">
        <f t="shared" si="210"/>
        <v>95.328050713153729</v>
      </c>
    </row>
    <row r="1492" spans="2:19" x14ac:dyDescent="0.2">
      <c r="B1492" s="6">
        <f t="shared" si="211"/>
        <v>88</v>
      </c>
      <c r="C1492" s="17"/>
      <c r="D1492" s="17"/>
      <c r="E1492" s="17"/>
      <c r="F1492" s="18"/>
      <c r="G1492" s="19">
        <v>635</v>
      </c>
      <c r="H1492" s="17" t="s">
        <v>130</v>
      </c>
      <c r="I1492" s="20">
        <f>67000+8000+3000</f>
        <v>78000</v>
      </c>
      <c r="J1492" s="20">
        <f>24530+37790</f>
        <v>62320</v>
      </c>
      <c r="K1492" s="397">
        <f t="shared" si="214"/>
        <v>79.897435897435898</v>
      </c>
      <c r="L1492" s="20"/>
      <c r="M1492" s="20"/>
      <c r="N1492" s="20"/>
      <c r="O1492" s="397"/>
      <c r="P1492" s="20"/>
      <c r="Q1492" s="21">
        <f t="shared" si="208"/>
        <v>78000</v>
      </c>
      <c r="R1492" s="21">
        <f t="shared" si="209"/>
        <v>62320</v>
      </c>
      <c r="S1492" s="448">
        <f t="shared" si="210"/>
        <v>79.897435897435898</v>
      </c>
    </row>
    <row r="1493" spans="2:19" x14ac:dyDescent="0.2">
      <c r="B1493" s="6">
        <f t="shared" si="211"/>
        <v>89</v>
      </c>
      <c r="C1493" s="17"/>
      <c r="D1493" s="17"/>
      <c r="E1493" s="17"/>
      <c r="F1493" s="18"/>
      <c r="G1493" s="19">
        <v>637</v>
      </c>
      <c r="H1493" s="17" t="s">
        <v>119</v>
      </c>
      <c r="I1493" s="20">
        <f>117485-8000-1200</f>
        <v>108285</v>
      </c>
      <c r="J1493" s="20">
        <f>22427+78988</f>
        <v>101415</v>
      </c>
      <c r="K1493" s="397">
        <f t="shared" si="214"/>
        <v>93.655630973819086</v>
      </c>
      <c r="L1493" s="20"/>
      <c r="M1493" s="20"/>
      <c r="N1493" s="20"/>
      <c r="O1493" s="397"/>
      <c r="P1493" s="20"/>
      <c r="Q1493" s="21">
        <f t="shared" si="208"/>
        <v>108285</v>
      </c>
      <c r="R1493" s="21">
        <f t="shared" si="209"/>
        <v>101415</v>
      </c>
      <c r="S1493" s="448">
        <f t="shared" si="210"/>
        <v>93.655630973819086</v>
      </c>
    </row>
    <row r="1494" spans="2:19" x14ac:dyDescent="0.2">
      <c r="B1494" s="6">
        <f t="shared" si="211"/>
        <v>90</v>
      </c>
      <c r="C1494" s="12"/>
      <c r="D1494" s="12"/>
      <c r="E1494" s="12"/>
      <c r="F1494" s="13" t="s">
        <v>176</v>
      </c>
      <c r="G1494" s="14">
        <v>640</v>
      </c>
      <c r="H1494" s="12" t="s">
        <v>126</v>
      </c>
      <c r="I1494" s="15">
        <f>13900+1200</f>
        <v>15100</v>
      </c>
      <c r="J1494" s="15">
        <v>12981</v>
      </c>
      <c r="K1494" s="397">
        <f t="shared" si="214"/>
        <v>85.966887417218544</v>
      </c>
      <c r="L1494" s="15"/>
      <c r="M1494" s="15"/>
      <c r="N1494" s="15"/>
      <c r="O1494" s="397"/>
      <c r="P1494" s="15"/>
      <c r="Q1494" s="16">
        <f t="shared" si="208"/>
        <v>15100</v>
      </c>
      <c r="R1494" s="16">
        <f t="shared" si="209"/>
        <v>12981</v>
      </c>
      <c r="S1494" s="448">
        <f t="shared" si="210"/>
        <v>85.966887417218544</v>
      </c>
    </row>
    <row r="1495" spans="2:19" ht="15" x14ac:dyDescent="0.25">
      <c r="B1495" s="6">
        <f t="shared" si="211"/>
        <v>91</v>
      </c>
      <c r="C1495" s="27"/>
      <c r="D1495" s="27">
        <v>5</v>
      </c>
      <c r="E1495" s="639" t="s">
        <v>245</v>
      </c>
      <c r="F1495" s="640"/>
      <c r="G1495" s="640"/>
      <c r="H1495" s="640"/>
      <c r="I1495" s="28">
        <v>0</v>
      </c>
      <c r="J1495" s="28"/>
      <c r="K1495" s="404"/>
      <c r="L1495" s="313"/>
      <c r="M1495" s="28">
        <v>0</v>
      </c>
      <c r="N1495" s="28"/>
      <c r="O1495" s="404"/>
      <c r="P1495" s="313"/>
      <c r="Q1495" s="29">
        <f t="shared" si="208"/>
        <v>0</v>
      </c>
      <c r="R1495" s="29">
        <f t="shared" si="209"/>
        <v>0</v>
      </c>
      <c r="S1495" s="447"/>
    </row>
    <row r="1496" spans="2:19" ht="15" x14ac:dyDescent="0.2">
      <c r="B1496" s="6">
        <f t="shared" si="211"/>
        <v>92</v>
      </c>
      <c r="C1496" s="9">
        <v>4</v>
      </c>
      <c r="D1496" s="637" t="s">
        <v>263</v>
      </c>
      <c r="E1496" s="638"/>
      <c r="F1496" s="638"/>
      <c r="G1496" s="638"/>
      <c r="H1496" s="638"/>
      <c r="I1496" s="10">
        <f>I1531</f>
        <v>243183</v>
      </c>
      <c r="J1496" s="10">
        <f>J1531</f>
        <v>200509</v>
      </c>
      <c r="K1496" s="395">
        <f>J1496/I1496*100</f>
        <v>82.45189836460608</v>
      </c>
      <c r="L1496" s="312"/>
      <c r="M1496" s="10">
        <f>M1497+M1531</f>
        <v>34510353</v>
      </c>
      <c r="N1496" s="10">
        <f>N1497+N1531</f>
        <v>9298238</v>
      </c>
      <c r="O1496" s="395">
        <f t="shared" ref="O1496:O1531" si="215">N1496/M1496*100</f>
        <v>26.943329151110103</v>
      </c>
      <c r="P1496" s="312"/>
      <c r="Q1496" s="31">
        <f t="shared" si="208"/>
        <v>34753536</v>
      </c>
      <c r="R1496" s="31">
        <f t="shared" si="209"/>
        <v>9498747</v>
      </c>
      <c r="S1496" s="449">
        <f t="shared" ref="S1496:S1527" si="216">R1496/Q1496*100</f>
        <v>27.331742588725362</v>
      </c>
    </row>
    <row r="1497" spans="2:19" x14ac:dyDescent="0.2">
      <c r="B1497" s="6">
        <f t="shared" si="211"/>
        <v>93</v>
      </c>
      <c r="C1497" s="12"/>
      <c r="D1497" s="12"/>
      <c r="E1497" s="12"/>
      <c r="F1497" s="13" t="s">
        <v>189</v>
      </c>
      <c r="G1497" s="14">
        <v>710</v>
      </c>
      <c r="H1497" s="12" t="s">
        <v>172</v>
      </c>
      <c r="I1497" s="15"/>
      <c r="J1497" s="15"/>
      <c r="K1497" s="397"/>
      <c r="L1497" s="15"/>
      <c r="M1497" s="15">
        <f>M1500+M1512+M1498</f>
        <v>34500153</v>
      </c>
      <c r="N1497" s="15">
        <f>N1500+N1512+N1498</f>
        <v>9288275</v>
      </c>
      <c r="O1497" s="397">
        <f t="shared" si="215"/>
        <v>26.922416836818087</v>
      </c>
      <c r="P1497" s="15"/>
      <c r="Q1497" s="16">
        <f t="shared" si="208"/>
        <v>34500153</v>
      </c>
      <c r="R1497" s="16">
        <f t="shared" si="209"/>
        <v>9288275</v>
      </c>
      <c r="S1497" s="448">
        <f t="shared" si="216"/>
        <v>26.922416836818087</v>
      </c>
    </row>
    <row r="1498" spans="2:19" x14ac:dyDescent="0.2">
      <c r="B1498" s="6">
        <f t="shared" si="211"/>
        <v>94</v>
      </c>
      <c r="C1498" s="102"/>
      <c r="D1498" s="102"/>
      <c r="E1498" s="102"/>
      <c r="F1498" s="103"/>
      <c r="G1498" s="104">
        <v>713</v>
      </c>
      <c r="H1498" s="102" t="s">
        <v>216</v>
      </c>
      <c r="I1498" s="105"/>
      <c r="J1498" s="105"/>
      <c r="K1498" s="418"/>
      <c r="L1498" s="20"/>
      <c r="M1498" s="105">
        <f>M1499</f>
        <v>20000</v>
      </c>
      <c r="N1498" s="105">
        <f>N1499</f>
        <v>19917</v>
      </c>
      <c r="O1498" s="418">
        <f t="shared" si="215"/>
        <v>99.585000000000008</v>
      </c>
      <c r="P1498" s="20"/>
      <c r="Q1498" s="106">
        <f t="shared" si="208"/>
        <v>20000</v>
      </c>
      <c r="R1498" s="106">
        <f t="shared" si="209"/>
        <v>19917</v>
      </c>
      <c r="S1498" s="465">
        <f t="shared" si="216"/>
        <v>99.585000000000008</v>
      </c>
    </row>
    <row r="1499" spans="2:19" x14ac:dyDescent="0.2">
      <c r="B1499" s="6">
        <f t="shared" si="211"/>
        <v>95</v>
      </c>
      <c r="C1499" s="22"/>
      <c r="D1499" s="22"/>
      <c r="E1499" s="22"/>
      <c r="F1499" s="124"/>
      <c r="G1499" s="124"/>
      <c r="H1499" s="1" t="s">
        <v>552</v>
      </c>
      <c r="I1499" s="24"/>
      <c r="J1499" s="24"/>
      <c r="K1499" s="397"/>
      <c r="L1499" s="24"/>
      <c r="M1499" s="24">
        <v>20000</v>
      </c>
      <c r="N1499" s="24">
        <v>19917</v>
      </c>
      <c r="O1499" s="397">
        <f t="shared" si="215"/>
        <v>99.585000000000008</v>
      </c>
      <c r="P1499" s="24"/>
      <c r="Q1499" s="26">
        <f t="shared" si="208"/>
        <v>20000</v>
      </c>
      <c r="R1499" s="26">
        <f t="shared" si="209"/>
        <v>19917</v>
      </c>
      <c r="S1499" s="448">
        <f t="shared" si="216"/>
        <v>99.585000000000008</v>
      </c>
    </row>
    <row r="1500" spans="2:19" x14ac:dyDescent="0.2">
      <c r="B1500" s="6">
        <f t="shared" si="211"/>
        <v>96</v>
      </c>
      <c r="C1500" s="102"/>
      <c r="D1500" s="102"/>
      <c r="E1500" s="102"/>
      <c r="F1500" s="103"/>
      <c r="G1500" s="104">
        <v>716</v>
      </c>
      <c r="H1500" s="102" t="s">
        <v>213</v>
      </c>
      <c r="I1500" s="105"/>
      <c r="J1500" s="105"/>
      <c r="K1500" s="418"/>
      <c r="L1500" s="20"/>
      <c r="M1500" s="105">
        <f>SUM(M1501:M1511)</f>
        <v>328688</v>
      </c>
      <c r="N1500" s="105">
        <f>SUM(N1501:N1511)</f>
        <v>78212</v>
      </c>
      <c r="O1500" s="418">
        <f t="shared" si="215"/>
        <v>23.795210047218028</v>
      </c>
      <c r="P1500" s="20"/>
      <c r="Q1500" s="106">
        <f t="shared" si="208"/>
        <v>328688</v>
      </c>
      <c r="R1500" s="106">
        <f t="shared" si="209"/>
        <v>78212</v>
      </c>
      <c r="S1500" s="465">
        <f t="shared" si="216"/>
        <v>23.795210047218028</v>
      </c>
    </row>
    <row r="1501" spans="2:19" x14ac:dyDescent="0.2">
      <c r="B1501" s="6">
        <f t="shared" si="211"/>
        <v>97</v>
      </c>
      <c r="C1501" s="22"/>
      <c r="D1501" s="22"/>
      <c r="E1501" s="22"/>
      <c r="F1501" s="124"/>
      <c r="G1501" s="124"/>
      <c r="H1501" s="1" t="s">
        <v>480</v>
      </c>
      <c r="I1501" s="24"/>
      <c r="J1501" s="24"/>
      <c r="K1501" s="397"/>
      <c r="L1501" s="24"/>
      <c r="M1501" s="24">
        <v>5000</v>
      </c>
      <c r="N1501" s="24">
        <v>2486</v>
      </c>
      <c r="O1501" s="397">
        <f t="shared" si="215"/>
        <v>49.72</v>
      </c>
      <c r="P1501" s="24"/>
      <c r="Q1501" s="26">
        <f t="shared" ref="Q1501:Q1532" si="217">I1501+M1501</f>
        <v>5000</v>
      </c>
      <c r="R1501" s="26">
        <f t="shared" ref="R1501:R1532" si="218">J1501+N1501</f>
        <v>2486</v>
      </c>
      <c r="S1501" s="448">
        <f t="shared" si="216"/>
        <v>49.72</v>
      </c>
    </row>
    <row r="1502" spans="2:19" x14ac:dyDescent="0.2">
      <c r="B1502" s="6">
        <f t="shared" ref="B1502:B1533" si="219">B1501+1</f>
        <v>98</v>
      </c>
      <c r="C1502" s="22"/>
      <c r="D1502" s="22"/>
      <c r="E1502" s="22"/>
      <c r="F1502" s="124"/>
      <c r="G1502" s="124"/>
      <c r="H1502" s="1" t="s">
        <v>481</v>
      </c>
      <c r="I1502" s="24"/>
      <c r="J1502" s="24"/>
      <c r="K1502" s="397"/>
      <c r="L1502" s="24"/>
      <c r="M1502" s="24">
        <v>26000</v>
      </c>
      <c r="N1502" s="24">
        <v>11439</v>
      </c>
      <c r="O1502" s="397">
        <f t="shared" si="215"/>
        <v>43.996153846153845</v>
      </c>
      <c r="P1502" s="24"/>
      <c r="Q1502" s="26">
        <f t="shared" si="217"/>
        <v>26000</v>
      </c>
      <c r="R1502" s="26">
        <f t="shared" si="218"/>
        <v>11439</v>
      </c>
      <c r="S1502" s="448">
        <f t="shared" si="216"/>
        <v>43.996153846153845</v>
      </c>
    </row>
    <row r="1503" spans="2:19" x14ac:dyDescent="0.2">
      <c r="B1503" s="6">
        <f t="shared" si="219"/>
        <v>99</v>
      </c>
      <c r="C1503" s="22"/>
      <c r="D1503" s="22"/>
      <c r="E1503" s="22"/>
      <c r="F1503" s="124"/>
      <c r="G1503" s="124"/>
      <c r="H1503" s="1" t="s">
        <v>438</v>
      </c>
      <c r="I1503" s="24"/>
      <c r="J1503" s="24"/>
      <c r="K1503" s="397"/>
      <c r="L1503" s="24"/>
      <c r="M1503" s="24">
        <f>30000+47500</f>
        <v>77500</v>
      </c>
      <c r="N1503" s="24">
        <v>0</v>
      </c>
      <c r="O1503" s="397">
        <f t="shared" si="215"/>
        <v>0</v>
      </c>
      <c r="P1503" s="24"/>
      <c r="Q1503" s="26">
        <f t="shared" si="217"/>
        <v>77500</v>
      </c>
      <c r="R1503" s="26">
        <f t="shared" si="218"/>
        <v>0</v>
      </c>
      <c r="S1503" s="448">
        <f t="shared" si="216"/>
        <v>0</v>
      </c>
    </row>
    <row r="1504" spans="2:19" x14ac:dyDescent="0.2">
      <c r="B1504" s="6">
        <f t="shared" si="219"/>
        <v>100</v>
      </c>
      <c r="C1504" s="22"/>
      <c r="D1504" s="22"/>
      <c r="E1504" s="22"/>
      <c r="F1504" s="124"/>
      <c r="G1504" s="124"/>
      <c r="H1504" s="1" t="s">
        <v>482</v>
      </c>
      <c r="I1504" s="24"/>
      <c r="J1504" s="24"/>
      <c r="K1504" s="397"/>
      <c r="L1504" s="24"/>
      <c r="M1504" s="24">
        <v>13500</v>
      </c>
      <c r="N1504" s="24">
        <v>11590</v>
      </c>
      <c r="O1504" s="397">
        <f t="shared" si="215"/>
        <v>85.851851851851862</v>
      </c>
      <c r="P1504" s="24"/>
      <c r="Q1504" s="26">
        <f t="shared" si="217"/>
        <v>13500</v>
      </c>
      <c r="R1504" s="26">
        <f t="shared" si="218"/>
        <v>11590</v>
      </c>
      <c r="S1504" s="448">
        <f t="shared" si="216"/>
        <v>85.851851851851862</v>
      </c>
    </row>
    <row r="1505" spans="2:19" x14ac:dyDescent="0.2">
      <c r="B1505" s="6">
        <f t="shared" si="219"/>
        <v>101</v>
      </c>
      <c r="C1505" s="22"/>
      <c r="D1505" s="22"/>
      <c r="E1505" s="22"/>
      <c r="F1505" s="124"/>
      <c r="G1505" s="124"/>
      <c r="H1505" s="1" t="s">
        <v>441</v>
      </c>
      <c r="I1505" s="24"/>
      <c r="J1505" s="24"/>
      <c r="K1505" s="397"/>
      <c r="L1505" s="24"/>
      <c r="M1505" s="24">
        <v>40000</v>
      </c>
      <c r="N1505" s="24">
        <v>0</v>
      </c>
      <c r="O1505" s="397">
        <f t="shared" si="215"/>
        <v>0</v>
      </c>
      <c r="P1505" s="24"/>
      <c r="Q1505" s="26">
        <f t="shared" si="217"/>
        <v>40000</v>
      </c>
      <c r="R1505" s="26">
        <f t="shared" si="218"/>
        <v>0</v>
      </c>
      <c r="S1505" s="448">
        <f t="shared" si="216"/>
        <v>0</v>
      </c>
    </row>
    <row r="1506" spans="2:19" x14ac:dyDescent="0.2">
      <c r="B1506" s="6">
        <f t="shared" si="219"/>
        <v>102</v>
      </c>
      <c r="C1506" s="22"/>
      <c r="D1506" s="22"/>
      <c r="E1506" s="22"/>
      <c r="F1506" s="124"/>
      <c r="G1506" s="124"/>
      <c r="H1506" s="1" t="s">
        <v>460</v>
      </c>
      <c r="I1506" s="24"/>
      <c r="J1506" s="24"/>
      <c r="K1506" s="397"/>
      <c r="L1506" s="24"/>
      <c r="M1506" s="24">
        <v>46000</v>
      </c>
      <c r="N1506" s="24">
        <v>615</v>
      </c>
      <c r="O1506" s="397">
        <f t="shared" si="215"/>
        <v>1.3369565217391304</v>
      </c>
      <c r="P1506" s="24"/>
      <c r="Q1506" s="26">
        <f t="shared" si="217"/>
        <v>46000</v>
      </c>
      <c r="R1506" s="26">
        <f t="shared" si="218"/>
        <v>615</v>
      </c>
      <c r="S1506" s="448">
        <f t="shared" si="216"/>
        <v>1.3369565217391304</v>
      </c>
    </row>
    <row r="1507" spans="2:19" x14ac:dyDescent="0.2">
      <c r="B1507" s="6">
        <f t="shared" si="219"/>
        <v>103</v>
      </c>
      <c r="C1507" s="22"/>
      <c r="D1507" s="22"/>
      <c r="E1507" s="22"/>
      <c r="F1507" s="124"/>
      <c r="G1507" s="124"/>
      <c r="H1507" s="1" t="s">
        <v>423</v>
      </c>
      <c r="I1507" s="24"/>
      <c r="J1507" s="24"/>
      <c r="K1507" s="397"/>
      <c r="L1507" s="24"/>
      <c r="M1507" s="24">
        <v>53300</v>
      </c>
      <c r="N1507" s="24">
        <v>21876</v>
      </c>
      <c r="O1507" s="397">
        <f t="shared" si="215"/>
        <v>41.043151969981238</v>
      </c>
      <c r="P1507" s="24"/>
      <c r="Q1507" s="26">
        <f t="shared" si="217"/>
        <v>53300</v>
      </c>
      <c r="R1507" s="26">
        <f t="shared" si="218"/>
        <v>21876</v>
      </c>
      <c r="S1507" s="448">
        <f t="shared" si="216"/>
        <v>41.043151969981238</v>
      </c>
    </row>
    <row r="1508" spans="2:19" x14ac:dyDescent="0.2">
      <c r="B1508" s="6">
        <f t="shared" si="219"/>
        <v>104</v>
      </c>
      <c r="C1508" s="22"/>
      <c r="D1508" s="22"/>
      <c r="E1508" s="22"/>
      <c r="F1508" s="124"/>
      <c r="G1508" s="124"/>
      <c r="H1508" s="1" t="s">
        <v>379</v>
      </c>
      <c r="I1508" s="24"/>
      <c r="J1508" s="24"/>
      <c r="K1508" s="397"/>
      <c r="L1508" s="24"/>
      <c r="M1508" s="24">
        <v>630</v>
      </c>
      <c r="N1508" s="24">
        <v>627</v>
      </c>
      <c r="O1508" s="397">
        <f t="shared" si="215"/>
        <v>99.523809523809518</v>
      </c>
      <c r="P1508" s="24"/>
      <c r="Q1508" s="26">
        <f t="shared" si="217"/>
        <v>630</v>
      </c>
      <c r="R1508" s="26">
        <f t="shared" si="218"/>
        <v>627</v>
      </c>
      <c r="S1508" s="448">
        <f t="shared" si="216"/>
        <v>99.523809523809518</v>
      </c>
    </row>
    <row r="1509" spans="2:19" x14ac:dyDescent="0.2">
      <c r="B1509" s="6">
        <f t="shared" si="219"/>
        <v>105</v>
      </c>
      <c r="C1509" s="22"/>
      <c r="D1509" s="22"/>
      <c r="E1509" s="22"/>
      <c r="F1509" s="124"/>
      <c r="G1509" s="124"/>
      <c r="H1509" s="1" t="s">
        <v>269</v>
      </c>
      <c r="I1509" s="24"/>
      <c r="J1509" s="24"/>
      <c r="K1509" s="397"/>
      <c r="L1509" s="24"/>
      <c r="M1509" s="24">
        <v>45000</v>
      </c>
      <c r="N1509" s="24">
        <v>21822</v>
      </c>
      <c r="O1509" s="397">
        <f t="shared" si="215"/>
        <v>48.493333333333332</v>
      </c>
      <c r="P1509" s="24"/>
      <c r="Q1509" s="26">
        <f t="shared" si="217"/>
        <v>45000</v>
      </c>
      <c r="R1509" s="26">
        <f t="shared" si="218"/>
        <v>21822</v>
      </c>
      <c r="S1509" s="448">
        <f t="shared" si="216"/>
        <v>48.493333333333332</v>
      </c>
    </row>
    <row r="1510" spans="2:19" x14ac:dyDescent="0.2">
      <c r="B1510" s="6">
        <f t="shared" si="219"/>
        <v>106</v>
      </c>
      <c r="C1510" s="22"/>
      <c r="D1510" s="22"/>
      <c r="E1510" s="22"/>
      <c r="F1510" s="124"/>
      <c r="G1510" s="124"/>
      <c r="H1510" s="1" t="s">
        <v>424</v>
      </c>
      <c r="I1510" s="24"/>
      <c r="J1510" s="24"/>
      <c r="K1510" s="397"/>
      <c r="L1510" s="24"/>
      <c r="M1510" s="24">
        <v>11758</v>
      </c>
      <c r="N1510" s="24">
        <v>7757</v>
      </c>
      <c r="O1510" s="397">
        <f t="shared" si="215"/>
        <v>65.972104099336633</v>
      </c>
      <c r="P1510" s="24"/>
      <c r="Q1510" s="26">
        <f t="shared" si="217"/>
        <v>11758</v>
      </c>
      <c r="R1510" s="26">
        <f t="shared" si="218"/>
        <v>7757</v>
      </c>
      <c r="S1510" s="448">
        <f t="shared" si="216"/>
        <v>65.972104099336633</v>
      </c>
    </row>
    <row r="1511" spans="2:19" x14ac:dyDescent="0.2">
      <c r="B1511" s="6">
        <f t="shared" si="219"/>
        <v>107</v>
      </c>
      <c r="C1511" s="22"/>
      <c r="D1511" s="22"/>
      <c r="E1511" s="22"/>
      <c r="F1511" s="124"/>
      <c r="G1511" s="124"/>
      <c r="H1511" s="1" t="s">
        <v>461</v>
      </c>
      <c r="I1511" s="24"/>
      <c r="J1511" s="24"/>
      <c r="K1511" s="397"/>
      <c r="L1511" s="24"/>
      <c r="M1511" s="24">
        <v>10000</v>
      </c>
      <c r="N1511" s="24">
        <v>0</v>
      </c>
      <c r="O1511" s="397">
        <f t="shared" si="215"/>
        <v>0</v>
      </c>
      <c r="P1511" s="24"/>
      <c r="Q1511" s="26">
        <f t="shared" si="217"/>
        <v>10000</v>
      </c>
      <c r="R1511" s="26">
        <f t="shared" si="218"/>
        <v>0</v>
      </c>
      <c r="S1511" s="448">
        <f t="shared" si="216"/>
        <v>0</v>
      </c>
    </row>
    <row r="1512" spans="2:19" x14ac:dyDescent="0.2">
      <c r="B1512" s="6">
        <f t="shared" si="219"/>
        <v>108</v>
      </c>
      <c r="C1512" s="102"/>
      <c r="D1512" s="102"/>
      <c r="E1512" s="102"/>
      <c r="F1512" s="103"/>
      <c r="G1512" s="104">
        <v>717</v>
      </c>
      <c r="H1512" s="102" t="s">
        <v>179</v>
      </c>
      <c r="I1512" s="105"/>
      <c r="J1512" s="105"/>
      <c r="K1512" s="418"/>
      <c r="L1512" s="20"/>
      <c r="M1512" s="105">
        <f>SUM(M1513:M1530)</f>
        <v>34151465</v>
      </c>
      <c r="N1512" s="105">
        <f>SUM(N1513:N1530)</f>
        <v>9190146</v>
      </c>
      <c r="O1512" s="418">
        <f t="shared" si="215"/>
        <v>26.909961256420477</v>
      </c>
      <c r="P1512" s="20"/>
      <c r="Q1512" s="106">
        <f t="shared" si="217"/>
        <v>34151465</v>
      </c>
      <c r="R1512" s="106">
        <f t="shared" si="218"/>
        <v>9190146</v>
      </c>
      <c r="S1512" s="465">
        <f t="shared" si="216"/>
        <v>26.909961256420477</v>
      </c>
    </row>
    <row r="1513" spans="2:19" x14ac:dyDescent="0.2">
      <c r="B1513" s="6">
        <f t="shared" si="219"/>
        <v>109</v>
      </c>
      <c r="C1513" s="22"/>
      <c r="D1513" s="22"/>
      <c r="E1513" s="22"/>
      <c r="F1513" s="124"/>
      <c r="G1513" s="124"/>
      <c r="H1513" s="1" t="s">
        <v>592</v>
      </c>
      <c r="I1513" s="24"/>
      <c r="J1513" s="24"/>
      <c r="K1513" s="397"/>
      <c r="L1513" s="24"/>
      <c r="M1513" s="24">
        <v>10000</v>
      </c>
      <c r="N1513" s="24">
        <v>7988</v>
      </c>
      <c r="O1513" s="397">
        <f t="shared" si="215"/>
        <v>79.88</v>
      </c>
      <c r="P1513" s="24"/>
      <c r="Q1513" s="26">
        <f t="shared" si="217"/>
        <v>10000</v>
      </c>
      <c r="R1513" s="26">
        <f t="shared" si="218"/>
        <v>7988</v>
      </c>
      <c r="S1513" s="448">
        <f t="shared" si="216"/>
        <v>79.88</v>
      </c>
    </row>
    <row r="1514" spans="2:19" x14ac:dyDescent="0.2">
      <c r="B1514" s="6">
        <f t="shared" si="219"/>
        <v>110</v>
      </c>
      <c r="C1514" s="22"/>
      <c r="D1514" s="22"/>
      <c r="E1514" s="22"/>
      <c r="F1514" s="124"/>
      <c r="G1514" s="124"/>
      <c r="H1514" s="1" t="s">
        <v>593</v>
      </c>
      <c r="I1514" s="24"/>
      <c r="J1514" s="24"/>
      <c r="K1514" s="397"/>
      <c r="L1514" s="24"/>
      <c r="M1514" s="24">
        <v>10000</v>
      </c>
      <c r="N1514" s="24">
        <v>0</v>
      </c>
      <c r="O1514" s="397">
        <f t="shared" si="215"/>
        <v>0</v>
      </c>
      <c r="P1514" s="24"/>
      <c r="Q1514" s="26">
        <f t="shared" si="217"/>
        <v>10000</v>
      </c>
      <c r="R1514" s="26">
        <f t="shared" si="218"/>
        <v>0</v>
      </c>
      <c r="S1514" s="448">
        <f t="shared" si="216"/>
        <v>0</v>
      </c>
    </row>
    <row r="1515" spans="2:19" x14ac:dyDescent="0.2">
      <c r="B1515" s="6">
        <f t="shared" si="219"/>
        <v>111</v>
      </c>
      <c r="C1515" s="22"/>
      <c r="D1515" s="22"/>
      <c r="E1515" s="22"/>
      <c r="F1515" s="124"/>
      <c r="G1515" s="124"/>
      <c r="H1515" s="1" t="s">
        <v>594</v>
      </c>
      <c r="I1515" s="24"/>
      <c r="J1515" s="24"/>
      <c r="K1515" s="397"/>
      <c r="L1515" s="24"/>
      <c r="M1515" s="24">
        <v>10000</v>
      </c>
      <c r="N1515" s="24">
        <v>2645</v>
      </c>
      <c r="O1515" s="397">
        <f t="shared" si="215"/>
        <v>26.450000000000003</v>
      </c>
      <c r="P1515" s="24"/>
      <c r="Q1515" s="26">
        <f t="shared" si="217"/>
        <v>10000</v>
      </c>
      <c r="R1515" s="26">
        <f t="shared" si="218"/>
        <v>2645</v>
      </c>
      <c r="S1515" s="448">
        <f t="shared" si="216"/>
        <v>26.450000000000003</v>
      </c>
    </row>
    <row r="1516" spans="2:19" x14ac:dyDescent="0.2">
      <c r="B1516" s="6">
        <f t="shared" si="219"/>
        <v>112</v>
      </c>
      <c r="C1516" s="22"/>
      <c r="D1516" s="22"/>
      <c r="E1516" s="22"/>
      <c r="F1516" s="124"/>
      <c r="G1516" s="124"/>
      <c r="H1516" s="1" t="s">
        <v>595</v>
      </c>
      <c r="I1516" s="24"/>
      <c r="J1516" s="24"/>
      <c r="K1516" s="397"/>
      <c r="L1516" s="24"/>
      <c r="M1516" s="24">
        <v>10000</v>
      </c>
      <c r="N1516" s="24">
        <v>0</v>
      </c>
      <c r="O1516" s="397">
        <f t="shared" si="215"/>
        <v>0</v>
      </c>
      <c r="P1516" s="24"/>
      <c r="Q1516" s="26">
        <f t="shared" si="217"/>
        <v>10000</v>
      </c>
      <c r="R1516" s="26">
        <f t="shared" si="218"/>
        <v>0</v>
      </c>
      <c r="S1516" s="448">
        <f t="shared" si="216"/>
        <v>0</v>
      </c>
    </row>
    <row r="1517" spans="2:19" x14ac:dyDescent="0.2">
      <c r="B1517" s="6">
        <f t="shared" si="219"/>
        <v>113</v>
      </c>
      <c r="C1517" s="22"/>
      <c r="D1517" s="22"/>
      <c r="E1517" s="22"/>
      <c r="F1517" s="124"/>
      <c r="G1517" s="124"/>
      <c r="H1517" s="1" t="s">
        <v>520</v>
      </c>
      <c r="I1517" s="24"/>
      <c r="J1517" s="24"/>
      <c r="K1517" s="397"/>
      <c r="L1517" s="24"/>
      <c r="M1517" s="24">
        <f>280000+52000</f>
        <v>332000</v>
      </c>
      <c r="N1517" s="24">
        <v>238197</v>
      </c>
      <c r="O1517" s="397">
        <f t="shared" si="215"/>
        <v>71.746084337349401</v>
      </c>
      <c r="P1517" s="24"/>
      <c r="Q1517" s="26">
        <f t="shared" si="217"/>
        <v>332000</v>
      </c>
      <c r="R1517" s="26">
        <f t="shared" si="218"/>
        <v>238197</v>
      </c>
      <c r="S1517" s="448">
        <f t="shared" si="216"/>
        <v>71.746084337349401</v>
      </c>
    </row>
    <row r="1518" spans="2:19" x14ac:dyDescent="0.2">
      <c r="B1518" s="6">
        <f t="shared" si="219"/>
        <v>114</v>
      </c>
      <c r="C1518" s="22"/>
      <c r="D1518" s="22"/>
      <c r="E1518" s="22"/>
      <c r="F1518" s="124"/>
      <c r="G1518" s="124"/>
      <c r="H1518" s="1" t="s">
        <v>610</v>
      </c>
      <c r="I1518" s="24"/>
      <c r="J1518" s="24"/>
      <c r="K1518" s="397"/>
      <c r="L1518" s="24"/>
      <c r="M1518" s="24">
        <f>830000-166945</f>
        <v>663055</v>
      </c>
      <c r="N1518" s="24">
        <v>500</v>
      </c>
      <c r="O1518" s="397">
        <f t="shared" si="215"/>
        <v>7.5408525687914285E-2</v>
      </c>
      <c r="P1518" s="24"/>
      <c r="Q1518" s="26">
        <f t="shared" si="217"/>
        <v>663055</v>
      </c>
      <c r="R1518" s="26">
        <f t="shared" si="218"/>
        <v>500</v>
      </c>
      <c r="S1518" s="448">
        <f t="shared" si="216"/>
        <v>7.5408525687914285E-2</v>
      </c>
    </row>
    <row r="1519" spans="2:19" x14ac:dyDescent="0.2">
      <c r="B1519" s="6">
        <f t="shared" si="219"/>
        <v>115</v>
      </c>
      <c r="C1519" s="22"/>
      <c r="D1519" s="22"/>
      <c r="E1519" s="22"/>
      <c r="F1519" s="124"/>
      <c r="G1519" s="124"/>
      <c r="H1519" s="1" t="s">
        <v>523</v>
      </c>
      <c r="I1519" s="24"/>
      <c r="J1519" s="24"/>
      <c r="K1519" s="397"/>
      <c r="L1519" s="24"/>
      <c r="M1519" s="24">
        <f>1700000-550000</f>
        <v>1150000</v>
      </c>
      <c r="N1519" s="24">
        <v>314096</v>
      </c>
      <c r="O1519" s="397">
        <f t="shared" si="215"/>
        <v>27.312695652173915</v>
      </c>
      <c r="P1519" s="24"/>
      <c r="Q1519" s="26">
        <f t="shared" si="217"/>
        <v>1150000</v>
      </c>
      <c r="R1519" s="26">
        <f t="shared" si="218"/>
        <v>314096</v>
      </c>
      <c r="S1519" s="448">
        <f t="shared" si="216"/>
        <v>27.312695652173915</v>
      </c>
    </row>
    <row r="1520" spans="2:19" x14ac:dyDescent="0.2">
      <c r="B1520" s="6">
        <f t="shared" si="219"/>
        <v>116</v>
      </c>
      <c r="C1520" s="22"/>
      <c r="D1520" s="22"/>
      <c r="E1520" s="22"/>
      <c r="F1520" s="124"/>
      <c r="G1520" s="124"/>
      <c r="H1520" s="1" t="s">
        <v>441</v>
      </c>
      <c r="I1520" s="24"/>
      <c r="J1520" s="24"/>
      <c r="K1520" s="397"/>
      <c r="L1520" s="24"/>
      <c r="M1520" s="24">
        <f>28000+322000</f>
        <v>350000</v>
      </c>
      <c r="N1520" s="24">
        <v>0</v>
      </c>
      <c r="O1520" s="397">
        <f t="shared" si="215"/>
        <v>0</v>
      </c>
      <c r="P1520" s="24"/>
      <c r="Q1520" s="26">
        <f t="shared" si="217"/>
        <v>350000</v>
      </c>
      <c r="R1520" s="26">
        <f t="shared" si="218"/>
        <v>0</v>
      </c>
      <c r="S1520" s="448">
        <f t="shared" si="216"/>
        <v>0</v>
      </c>
    </row>
    <row r="1521" spans="2:19" x14ac:dyDescent="0.2">
      <c r="B1521" s="6">
        <f t="shared" si="219"/>
        <v>117</v>
      </c>
      <c r="C1521" s="22"/>
      <c r="D1521" s="22"/>
      <c r="E1521" s="22"/>
      <c r="F1521" s="124"/>
      <c r="G1521" s="124"/>
      <c r="H1521" s="1" t="s">
        <v>609</v>
      </c>
      <c r="I1521" s="24"/>
      <c r="J1521" s="24"/>
      <c r="K1521" s="397"/>
      <c r="L1521" s="24"/>
      <c r="M1521" s="24">
        <f>95000-3000-4100</f>
        <v>87900</v>
      </c>
      <c r="N1521" s="24">
        <v>87862</v>
      </c>
      <c r="O1521" s="397">
        <f t="shared" si="215"/>
        <v>99.95676905574517</v>
      </c>
      <c r="P1521" s="24"/>
      <c r="Q1521" s="26">
        <f t="shared" si="217"/>
        <v>87900</v>
      </c>
      <c r="R1521" s="26">
        <f t="shared" si="218"/>
        <v>87862</v>
      </c>
      <c r="S1521" s="448">
        <f t="shared" si="216"/>
        <v>99.95676905574517</v>
      </c>
    </row>
    <row r="1522" spans="2:19" x14ac:dyDescent="0.2">
      <c r="B1522" s="6">
        <f t="shared" si="219"/>
        <v>118</v>
      </c>
      <c r="C1522" s="22"/>
      <c r="D1522" s="22"/>
      <c r="E1522" s="22"/>
      <c r="F1522" s="124"/>
      <c r="G1522" s="124"/>
      <c r="H1522" s="1" t="s">
        <v>483</v>
      </c>
      <c r="I1522" s="24"/>
      <c r="J1522" s="24"/>
      <c r="K1522" s="397"/>
      <c r="L1522" s="24"/>
      <c r="M1522" s="24">
        <v>720000</v>
      </c>
      <c r="N1522" s="24">
        <v>0</v>
      </c>
      <c r="O1522" s="397">
        <f t="shared" si="215"/>
        <v>0</v>
      </c>
      <c r="P1522" s="24"/>
      <c r="Q1522" s="26">
        <f t="shared" si="217"/>
        <v>720000</v>
      </c>
      <c r="R1522" s="26">
        <f t="shared" si="218"/>
        <v>0</v>
      </c>
      <c r="S1522" s="448">
        <f t="shared" si="216"/>
        <v>0</v>
      </c>
    </row>
    <row r="1523" spans="2:19" x14ac:dyDescent="0.2">
      <c r="B1523" s="6">
        <f t="shared" si="219"/>
        <v>119</v>
      </c>
      <c r="C1523" s="22"/>
      <c r="D1523" s="22"/>
      <c r="E1523" s="22"/>
      <c r="F1523" s="124"/>
      <c r="G1523" s="124"/>
      <c r="H1523" s="1" t="s">
        <v>379</v>
      </c>
      <c r="I1523" s="24"/>
      <c r="J1523" s="24"/>
      <c r="K1523" s="397"/>
      <c r="L1523" s="24"/>
      <c r="M1523" s="24">
        <f>160800+22210+23010+6500</f>
        <v>212520</v>
      </c>
      <c r="N1523" s="24">
        <v>212384</v>
      </c>
      <c r="O1523" s="397">
        <f t="shared" si="215"/>
        <v>99.936006022962545</v>
      </c>
      <c r="P1523" s="24"/>
      <c r="Q1523" s="26">
        <f t="shared" si="217"/>
        <v>212520</v>
      </c>
      <c r="R1523" s="26">
        <f t="shared" si="218"/>
        <v>212384</v>
      </c>
      <c r="S1523" s="448">
        <f t="shared" si="216"/>
        <v>99.936006022962545</v>
      </c>
    </row>
    <row r="1524" spans="2:19" x14ac:dyDescent="0.2">
      <c r="B1524" s="6">
        <f t="shared" si="219"/>
        <v>120</v>
      </c>
      <c r="C1524" s="22"/>
      <c r="D1524" s="22"/>
      <c r="E1524" s="22"/>
      <c r="F1524" s="124"/>
      <c r="G1524" s="124"/>
      <c r="H1524" s="1" t="s">
        <v>411</v>
      </c>
      <c r="I1524" s="24"/>
      <c r="J1524" s="24"/>
      <c r="K1524" s="397"/>
      <c r="L1524" s="24"/>
      <c r="M1524" s="24">
        <f>1182600+130000</f>
        <v>1312600</v>
      </c>
      <c r="N1524" s="24">
        <v>461858</v>
      </c>
      <c r="O1524" s="397">
        <f t="shared" si="215"/>
        <v>35.186500076184672</v>
      </c>
      <c r="P1524" s="24"/>
      <c r="Q1524" s="26">
        <f t="shared" si="217"/>
        <v>1312600</v>
      </c>
      <c r="R1524" s="26">
        <f t="shared" si="218"/>
        <v>461858</v>
      </c>
      <c r="S1524" s="448">
        <f t="shared" si="216"/>
        <v>35.186500076184672</v>
      </c>
    </row>
    <row r="1525" spans="2:19" x14ac:dyDescent="0.2">
      <c r="B1525" s="6">
        <f t="shared" si="219"/>
        <v>121</v>
      </c>
      <c r="C1525" s="22"/>
      <c r="D1525" s="22"/>
      <c r="E1525" s="22"/>
      <c r="F1525" s="124"/>
      <c r="G1525" s="124"/>
      <c r="H1525" s="1" t="s">
        <v>443</v>
      </c>
      <c r="I1525" s="24"/>
      <c r="J1525" s="24"/>
      <c r="K1525" s="397"/>
      <c r="L1525" s="24"/>
      <c r="M1525" s="24">
        <f>6660000+37000+527890+402000+51100+28000</f>
        <v>7705990</v>
      </c>
      <c r="N1525" s="24">
        <v>6315879</v>
      </c>
      <c r="O1525" s="397">
        <f t="shared" si="215"/>
        <v>81.960643603222948</v>
      </c>
      <c r="P1525" s="24"/>
      <c r="Q1525" s="26">
        <f t="shared" si="217"/>
        <v>7705990</v>
      </c>
      <c r="R1525" s="26">
        <f t="shared" si="218"/>
        <v>6315879</v>
      </c>
      <c r="S1525" s="448">
        <f t="shared" si="216"/>
        <v>81.960643603222948</v>
      </c>
    </row>
    <row r="1526" spans="2:19" x14ac:dyDescent="0.2">
      <c r="B1526" s="6">
        <f t="shared" si="219"/>
        <v>122</v>
      </c>
      <c r="C1526" s="22"/>
      <c r="D1526" s="22"/>
      <c r="E1526" s="22"/>
      <c r="F1526" s="124"/>
      <c r="G1526" s="124"/>
      <c r="H1526" s="1" t="s">
        <v>462</v>
      </c>
      <c r="I1526" s="24"/>
      <c r="J1526" s="24"/>
      <c r="K1526" s="397"/>
      <c r="L1526" s="24"/>
      <c r="M1526" s="24">
        <v>2400000</v>
      </c>
      <c r="N1526" s="24">
        <v>636198</v>
      </c>
      <c r="O1526" s="397">
        <f t="shared" si="215"/>
        <v>26.50825</v>
      </c>
      <c r="P1526" s="24"/>
      <c r="Q1526" s="26">
        <f t="shared" si="217"/>
        <v>2400000</v>
      </c>
      <c r="R1526" s="26">
        <f t="shared" si="218"/>
        <v>636198</v>
      </c>
      <c r="S1526" s="448">
        <f t="shared" si="216"/>
        <v>26.50825</v>
      </c>
    </row>
    <row r="1527" spans="2:19" x14ac:dyDescent="0.2">
      <c r="B1527" s="6">
        <f t="shared" si="219"/>
        <v>123</v>
      </c>
      <c r="C1527" s="22"/>
      <c r="D1527" s="22"/>
      <c r="E1527" s="22"/>
      <c r="F1527" s="124"/>
      <c r="G1527" s="124"/>
      <c r="H1527" s="1" t="s">
        <v>293</v>
      </c>
      <c r="I1527" s="24"/>
      <c r="J1527" s="24"/>
      <c r="K1527" s="397"/>
      <c r="L1527" s="24"/>
      <c r="M1527" s="24">
        <f>1800000+400000+155000</f>
        <v>2355000</v>
      </c>
      <c r="N1527" s="24">
        <v>1784</v>
      </c>
      <c r="O1527" s="397">
        <f t="shared" si="215"/>
        <v>7.5753715498938431E-2</v>
      </c>
      <c r="P1527" s="24"/>
      <c r="Q1527" s="26">
        <f t="shared" si="217"/>
        <v>2355000</v>
      </c>
      <c r="R1527" s="26">
        <f t="shared" si="218"/>
        <v>1784</v>
      </c>
      <c r="S1527" s="448">
        <f t="shared" si="216"/>
        <v>7.5753715498938431E-2</v>
      </c>
    </row>
    <row r="1528" spans="2:19" x14ac:dyDescent="0.2">
      <c r="B1528" s="6">
        <f t="shared" si="219"/>
        <v>124</v>
      </c>
      <c r="C1528" s="22"/>
      <c r="D1528" s="22"/>
      <c r="E1528" s="22"/>
      <c r="F1528" s="124"/>
      <c r="G1528" s="124"/>
      <c r="H1528" s="1" t="s">
        <v>269</v>
      </c>
      <c r="I1528" s="24"/>
      <c r="J1528" s="24"/>
      <c r="K1528" s="397"/>
      <c r="L1528" s="24"/>
      <c r="M1528" s="24">
        <v>750000</v>
      </c>
      <c r="N1528" s="24">
        <v>0</v>
      </c>
      <c r="O1528" s="397">
        <f t="shared" si="215"/>
        <v>0</v>
      </c>
      <c r="P1528" s="24"/>
      <c r="Q1528" s="26">
        <f t="shared" si="217"/>
        <v>750000</v>
      </c>
      <c r="R1528" s="26">
        <f t="shared" si="218"/>
        <v>0</v>
      </c>
      <c r="S1528" s="448">
        <f t="shared" ref="S1528:S1544" si="220">R1528/Q1528*100</f>
        <v>0</v>
      </c>
    </row>
    <row r="1529" spans="2:19" x14ac:dyDescent="0.2">
      <c r="B1529" s="6">
        <f t="shared" si="219"/>
        <v>125</v>
      </c>
      <c r="C1529" s="22"/>
      <c r="D1529" s="22"/>
      <c r="E1529" s="22"/>
      <c r="F1529" s="124"/>
      <c r="G1529" s="124"/>
      <c r="H1529" s="1" t="s">
        <v>424</v>
      </c>
      <c r="I1529" s="24"/>
      <c r="J1529" s="24"/>
      <c r="K1529" s="397"/>
      <c r="L1529" s="24"/>
      <c r="M1529" s="24">
        <v>1000000</v>
      </c>
      <c r="N1529" s="24">
        <v>0</v>
      </c>
      <c r="O1529" s="397">
        <f t="shared" si="215"/>
        <v>0</v>
      </c>
      <c r="P1529" s="24"/>
      <c r="Q1529" s="26">
        <f t="shared" si="217"/>
        <v>1000000</v>
      </c>
      <c r="R1529" s="26">
        <f t="shared" si="218"/>
        <v>0</v>
      </c>
      <c r="S1529" s="448">
        <f t="shared" si="220"/>
        <v>0</v>
      </c>
    </row>
    <row r="1530" spans="2:19" x14ac:dyDescent="0.2">
      <c r="B1530" s="6">
        <f t="shared" si="219"/>
        <v>126</v>
      </c>
      <c r="C1530" s="22"/>
      <c r="D1530" s="22"/>
      <c r="E1530" s="22"/>
      <c r="F1530" s="124"/>
      <c r="G1530" s="124"/>
      <c r="H1530" s="1" t="s">
        <v>463</v>
      </c>
      <c r="I1530" s="24"/>
      <c r="J1530" s="24"/>
      <c r="K1530" s="397"/>
      <c r="L1530" s="24"/>
      <c r="M1530" s="24">
        <f>15000000+72400</f>
        <v>15072400</v>
      </c>
      <c r="N1530" s="24">
        <v>910755</v>
      </c>
      <c r="O1530" s="397">
        <f t="shared" si="215"/>
        <v>6.042534699185266</v>
      </c>
      <c r="P1530" s="24"/>
      <c r="Q1530" s="26">
        <f t="shared" si="217"/>
        <v>15072400</v>
      </c>
      <c r="R1530" s="26">
        <f t="shared" si="218"/>
        <v>910755</v>
      </c>
      <c r="S1530" s="448">
        <f t="shared" si="220"/>
        <v>6.042534699185266</v>
      </c>
    </row>
    <row r="1531" spans="2:19" ht="15" x14ac:dyDescent="0.25">
      <c r="B1531" s="6">
        <f t="shared" si="219"/>
        <v>127</v>
      </c>
      <c r="C1531" s="97"/>
      <c r="D1531" s="97"/>
      <c r="E1531" s="97">
        <v>2</v>
      </c>
      <c r="F1531" s="98"/>
      <c r="G1531" s="98"/>
      <c r="H1531" s="97" t="s">
        <v>11</v>
      </c>
      <c r="I1531" s="99">
        <f>I1532+I1533+I1534+I1541</f>
        <v>243183</v>
      </c>
      <c r="J1531" s="99">
        <f>J1532+J1533+J1534+J1541</f>
        <v>200509</v>
      </c>
      <c r="K1531" s="414">
        <f t="shared" ref="K1531:K1541" si="221">J1531/I1531*100</f>
        <v>82.45189836460608</v>
      </c>
      <c r="L1531" s="313"/>
      <c r="M1531" s="99">
        <f>M1542</f>
        <v>10200</v>
      </c>
      <c r="N1531" s="99">
        <f>N1542</f>
        <v>9963</v>
      </c>
      <c r="O1531" s="414">
        <f t="shared" si="215"/>
        <v>97.676470588235304</v>
      </c>
      <c r="P1531" s="313"/>
      <c r="Q1531" s="100">
        <f t="shared" si="217"/>
        <v>253383</v>
      </c>
      <c r="R1531" s="100">
        <f t="shared" si="218"/>
        <v>210472</v>
      </c>
      <c r="S1531" s="464">
        <f t="shared" si="220"/>
        <v>83.064767565306269</v>
      </c>
    </row>
    <row r="1532" spans="2:19" x14ac:dyDescent="0.2">
      <c r="B1532" s="6">
        <f t="shared" si="219"/>
        <v>128</v>
      </c>
      <c r="C1532" s="12"/>
      <c r="D1532" s="12"/>
      <c r="E1532" s="12"/>
      <c r="F1532" s="13" t="s">
        <v>189</v>
      </c>
      <c r="G1532" s="14">
        <v>610</v>
      </c>
      <c r="H1532" s="12" t="s">
        <v>128</v>
      </c>
      <c r="I1532" s="15">
        <f>65015-2300+3200</f>
        <v>65915</v>
      </c>
      <c r="J1532" s="15">
        <v>62183</v>
      </c>
      <c r="K1532" s="397">
        <f t="shared" si="221"/>
        <v>94.338162785405444</v>
      </c>
      <c r="L1532" s="15"/>
      <c r="M1532" s="15"/>
      <c r="N1532" s="15"/>
      <c r="O1532" s="397"/>
      <c r="P1532" s="15"/>
      <c r="Q1532" s="16">
        <f t="shared" si="217"/>
        <v>65915</v>
      </c>
      <c r="R1532" s="16">
        <f t="shared" si="218"/>
        <v>62183</v>
      </c>
      <c r="S1532" s="448">
        <f t="shared" si="220"/>
        <v>94.338162785405444</v>
      </c>
    </row>
    <row r="1533" spans="2:19" x14ac:dyDescent="0.2">
      <c r="B1533" s="6">
        <f t="shared" si="219"/>
        <v>129</v>
      </c>
      <c r="C1533" s="12"/>
      <c r="D1533" s="12"/>
      <c r="E1533" s="12"/>
      <c r="F1533" s="13" t="s">
        <v>189</v>
      </c>
      <c r="G1533" s="14">
        <v>620</v>
      </c>
      <c r="H1533" s="12" t="s">
        <v>121</v>
      </c>
      <c r="I1533" s="15">
        <f>28475+1063</f>
        <v>29538</v>
      </c>
      <c r="J1533" s="15">
        <v>22608</v>
      </c>
      <c r="K1533" s="397">
        <f t="shared" si="221"/>
        <v>76.538695917123704</v>
      </c>
      <c r="L1533" s="15"/>
      <c r="M1533" s="15"/>
      <c r="N1533" s="15"/>
      <c r="O1533" s="397"/>
      <c r="P1533" s="15"/>
      <c r="Q1533" s="16">
        <f t="shared" ref="Q1533:Q1544" si="222">I1533+M1533</f>
        <v>29538</v>
      </c>
      <c r="R1533" s="16">
        <f t="shared" ref="R1533:R1544" si="223">J1533+N1533</f>
        <v>22608</v>
      </c>
      <c r="S1533" s="448">
        <f t="shared" si="220"/>
        <v>76.538695917123704</v>
      </c>
    </row>
    <row r="1534" spans="2:19" x14ac:dyDescent="0.2">
      <c r="B1534" s="6">
        <f t="shared" ref="B1534:B1544" si="224">B1533+1</f>
        <v>130</v>
      </c>
      <c r="C1534" s="12"/>
      <c r="D1534" s="12"/>
      <c r="E1534" s="12"/>
      <c r="F1534" s="13" t="s">
        <v>189</v>
      </c>
      <c r="G1534" s="14">
        <v>630</v>
      </c>
      <c r="H1534" s="12" t="s">
        <v>118</v>
      </c>
      <c r="I1534" s="15">
        <f>SUM(I1535:I1540)</f>
        <v>141630</v>
      </c>
      <c r="J1534" s="15">
        <f>SUM(J1535:J1540)</f>
        <v>109754</v>
      </c>
      <c r="K1534" s="397">
        <f t="shared" si="221"/>
        <v>77.493468897832386</v>
      </c>
      <c r="L1534" s="15"/>
      <c r="M1534" s="15"/>
      <c r="N1534" s="15"/>
      <c r="O1534" s="397"/>
      <c r="P1534" s="15"/>
      <c r="Q1534" s="16">
        <f t="shared" si="222"/>
        <v>141630</v>
      </c>
      <c r="R1534" s="16">
        <f t="shared" si="223"/>
        <v>109754</v>
      </c>
      <c r="S1534" s="448">
        <f t="shared" si="220"/>
        <v>77.493468897832386</v>
      </c>
    </row>
    <row r="1535" spans="2:19" x14ac:dyDescent="0.2">
      <c r="B1535" s="6">
        <f t="shared" si="224"/>
        <v>131</v>
      </c>
      <c r="C1535" s="17"/>
      <c r="D1535" s="17"/>
      <c r="E1535" s="17"/>
      <c r="F1535" s="18"/>
      <c r="G1535" s="19">
        <v>632</v>
      </c>
      <c r="H1535" s="17" t="s">
        <v>131</v>
      </c>
      <c r="I1535" s="20">
        <f>3500+1000</f>
        <v>4500</v>
      </c>
      <c r="J1535" s="20">
        <v>3173</v>
      </c>
      <c r="K1535" s="397">
        <f t="shared" si="221"/>
        <v>70.51111111111112</v>
      </c>
      <c r="L1535" s="20"/>
      <c r="M1535" s="20"/>
      <c r="N1535" s="20"/>
      <c r="O1535" s="397"/>
      <c r="P1535" s="20"/>
      <c r="Q1535" s="21">
        <f t="shared" si="222"/>
        <v>4500</v>
      </c>
      <c r="R1535" s="21">
        <f t="shared" si="223"/>
        <v>3173</v>
      </c>
      <c r="S1535" s="448">
        <f t="shared" si="220"/>
        <v>70.51111111111112</v>
      </c>
    </row>
    <row r="1536" spans="2:19" x14ac:dyDescent="0.2">
      <c r="B1536" s="6">
        <f t="shared" si="224"/>
        <v>132</v>
      </c>
      <c r="C1536" s="17"/>
      <c r="D1536" s="17"/>
      <c r="E1536" s="17"/>
      <c r="F1536" s="18"/>
      <c r="G1536" s="19">
        <v>633</v>
      </c>
      <c r="H1536" s="17" t="s">
        <v>122</v>
      </c>
      <c r="I1536" s="20">
        <f>52250+7000-1000-5200</f>
        <v>53050</v>
      </c>
      <c r="J1536" s="20">
        <v>49748</v>
      </c>
      <c r="K1536" s="397">
        <f t="shared" si="221"/>
        <v>93.775683317624882</v>
      </c>
      <c r="L1536" s="20"/>
      <c r="M1536" s="20"/>
      <c r="N1536" s="20"/>
      <c r="O1536" s="397"/>
      <c r="P1536" s="20"/>
      <c r="Q1536" s="21">
        <f t="shared" si="222"/>
        <v>53050</v>
      </c>
      <c r="R1536" s="21">
        <f t="shared" si="223"/>
        <v>49748</v>
      </c>
      <c r="S1536" s="448">
        <f t="shared" si="220"/>
        <v>93.775683317624882</v>
      </c>
    </row>
    <row r="1537" spans="2:19" x14ac:dyDescent="0.2">
      <c r="B1537" s="6">
        <f t="shared" si="224"/>
        <v>133</v>
      </c>
      <c r="C1537" s="17"/>
      <c r="D1537" s="17"/>
      <c r="E1537" s="17"/>
      <c r="F1537" s="18"/>
      <c r="G1537" s="19">
        <v>634</v>
      </c>
      <c r="H1537" s="17" t="s">
        <v>129</v>
      </c>
      <c r="I1537" s="20">
        <v>2500</v>
      </c>
      <c r="J1537" s="20">
        <v>2402</v>
      </c>
      <c r="K1537" s="397">
        <f t="shared" si="221"/>
        <v>96.08</v>
      </c>
      <c r="L1537" s="20"/>
      <c r="M1537" s="20"/>
      <c r="N1537" s="20"/>
      <c r="O1537" s="397"/>
      <c r="P1537" s="20"/>
      <c r="Q1537" s="21">
        <f t="shared" si="222"/>
        <v>2500</v>
      </c>
      <c r="R1537" s="21">
        <f t="shared" si="223"/>
        <v>2402</v>
      </c>
      <c r="S1537" s="448">
        <f t="shared" si="220"/>
        <v>96.08</v>
      </c>
    </row>
    <row r="1538" spans="2:19" x14ac:dyDescent="0.2">
      <c r="B1538" s="6">
        <f t="shared" si="224"/>
        <v>134</v>
      </c>
      <c r="C1538" s="17"/>
      <c r="D1538" s="17"/>
      <c r="E1538" s="17"/>
      <c r="F1538" s="18"/>
      <c r="G1538" s="19">
        <v>635</v>
      </c>
      <c r="H1538" s="17" t="s">
        <v>130</v>
      </c>
      <c r="I1538" s="20">
        <f>37200-7000+35000-5000</f>
        <v>60200</v>
      </c>
      <c r="J1538" s="20">
        <v>38806</v>
      </c>
      <c r="K1538" s="397">
        <f t="shared" si="221"/>
        <v>64.461794019933549</v>
      </c>
      <c r="L1538" s="20"/>
      <c r="M1538" s="20"/>
      <c r="N1538" s="20"/>
      <c r="O1538" s="397"/>
      <c r="P1538" s="20"/>
      <c r="Q1538" s="21">
        <f t="shared" si="222"/>
        <v>60200</v>
      </c>
      <c r="R1538" s="21">
        <f t="shared" si="223"/>
        <v>38806</v>
      </c>
      <c r="S1538" s="448">
        <f t="shared" si="220"/>
        <v>64.461794019933549</v>
      </c>
    </row>
    <row r="1539" spans="2:19" x14ac:dyDescent="0.2">
      <c r="B1539" s="6">
        <f t="shared" si="224"/>
        <v>135</v>
      </c>
      <c r="C1539" s="17"/>
      <c r="D1539" s="17"/>
      <c r="E1539" s="17"/>
      <c r="F1539" s="18"/>
      <c r="G1539" s="19">
        <v>636</v>
      </c>
      <c r="H1539" s="17" t="s">
        <v>123</v>
      </c>
      <c r="I1539" s="20">
        <v>1500</v>
      </c>
      <c r="J1539" s="20">
        <v>860</v>
      </c>
      <c r="K1539" s="397">
        <f t="shared" si="221"/>
        <v>57.333333333333336</v>
      </c>
      <c r="L1539" s="20"/>
      <c r="M1539" s="20"/>
      <c r="N1539" s="20"/>
      <c r="O1539" s="397"/>
      <c r="P1539" s="20"/>
      <c r="Q1539" s="21">
        <f t="shared" si="222"/>
        <v>1500</v>
      </c>
      <c r="R1539" s="21">
        <f t="shared" si="223"/>
        <v>860</v>
      </c>
      <c r="S1539" s="448">
        <f t="shared" si="220"/>
        <v>57.333333333333336</v>
      </c>
    </row>
    <row r="1540" spans="2:19" x14ac:dyDescent="0.2">
      <c r="B1540" s="6">
        <f t="shared" si="224"/>
        <v>136</v>
      </c>
      <c r="C1540" s="17"/>
      <c r="D1540" s="17"/>
      <c r="E1540" s="17"/>
      <c r="F1540" s="18"/>
      <c r="G1540" s="19">
        <v>637</v>
      </c>
      <c r="H1540" s="17" t="s">
        <v>119</v>
      </c>
      <c r="I1540" s="20">
        <v>19880</v>
      </c>
      <c r="J1540" s="20">
        <v>14765</v>
      </c>
      <c r="K1540" s="397">
        <f t="shared" si="221"/>
        <v>74.270623742454731</v>
      </c>
      <c r="L1540" s="20"/>
      <c r="M1540" s="20"/>
      <c r="N1540" s="20"/>
      <c r="O1540" s="397"/>
      <c r="P1540" s="20"/>
      <c r="Q1540" s="21">
        <f t="shared" si="222"/>
        <v>19880</v>
      </c>
      <c r="R1540" s="21">
        <f t="shared" si="223"/>
        <v>14765</v>
      </c>
      <c r="S1540" s="448">
        <f t="shared" si="220"/>
        <v>74.270623742454731</v>
      </c>
    </row>
    <row r="1541" spans="2:19" x14ac:dyDescent="0.2">
      <c r="B1541" s="6">
        <f t="shared" si="224"/>
        <v>137</v>
      </c>
      <c r="C1541" s="17"/>
      <c r="D1541" s="17"/>
      <c r="E1541" s="118"/>
      <c r="F1541" s="156" t="s">
        <v>189</v>
      </c>
      <c r="G1541" s="157">
        <v>640</v>
      </c>
      <c r="H1541" s="155" t="s">
        <v>126</v>
      </c>
      <c r="I1541" s="122">
        <f>3800+2300</f>
        <v>6100</v>
      </c>
      <c r="J1541" s="122">
        <v>5964</v>
      </c>
      <c r="K1541" s="405">
        <f t="shared" si="221"/>
        <v>97.770491803278688</v>
      </c>
      <c r="L1541" s="122"/>
      <c r="M1541" s="122"/>
      <c r="N1541" s="122"/>
      <c r="O1541" s="405"/>
      <c r="P1541" s="122"/>
      <c r="Q1541" s="123">
        <f t="shared" si="222"/>
        <v>6100</v>
      </c>
      <c r="R1541" s="123">
        <f t="shared" si="223"/>
        <v>5964</v>
      </c>
      <c r="S1541" s="477">
        <f t="shared" si="220"/>
        <v>97.770491803278688</v>
      </c>
    </row>
    <row r="1542" spans="2:19" x14ac:dyDescent="0.2">
      <c r="B1542" s="6">
        <f t="shared" si="224"/>
        <v>138</v>
      </c>
      <c r="C1542" s="17"/>
      <c r="D1542" s="17"/>
      <c r="E1542" s="383"/>
      <c r="F1542" s="384" t="s">
        <v>189</v>
      </c>
      <c r="G1542" s="385">
        <v>710</v>
      </c>
      <c r="H1542" s="386" t="s">
        <v>172</v>
      </c>
      <c r="I1542" s="387"/>
      <c r="J1542" s="387"/>
      <c r="K1542" s="419"/>
      <c r="L1542" s="387"/>
      <c r="M1542" s="387">
        <f>M1543</f>
        <v>10200</v>
      </c>
      <c r="N1542" s="387">
        <f>N1543</f>
        <v>9963</v>
      </c>
      <c r="O1542" s="419">
        <f>N1542/M1542*100</f>
        <v>97.676470588235304</v>
      </c>
      <c r="P1542" s="387"/>
      <c r="Q1542" s="388">
        <f t="shared" si="222"/>
        <v>10200</v>
      </c>
      <c r="R1542" s="388">
        <f t="shared" si="223"/>
        <v>9963</v>
      </c>
      <c r="S1542" s="478">
        <f t="shared" si="220"/>
        <v>97.676470588235304</v>
      </c>
    </row>
    <row r="1543" spans="2:19" x14ac:dyDescent="0.2">
      <c r="B1543" s="6">
        <f t="shared" si="224"/>
        <v>139</v>
      </c>
      <c r="C1543" s="17"/>
      <c r="D1543" s="17"/>
      <c r="E1543" s="383"/>
      <c r="F1543" s="384"/>
      <c r="G1543" s="389">
        <v>714</v>
      </c>
      <c r="H1543" s="390" t="s">
        <v>173</v>
      </c>
      <c r="I1543" s="391"/>
      <c r="J1543" s="391"/>
      <c r="K1543" s="420"/>
      <c r="L1543" s="391"/>
      <c r="M1543" s="391">
        <f>M1544</f>
        <v>10200</v>
      </c>
      <c r="N1543" s="391">
        <f>N1544</f>
        <v>9963</v>
      </c>
      <c r="O1543" s="420">
        <f>N1543/M1543*100</f>
        <v>97.676470588235304</v>
      </c>
      <c r="P1543" s="391"/>
      <c r="Q1543" s="392">
        <f t="shared" si="222"/>
        <v>10200</v>
      </c>
      <c r="R1543" s="392">
        <f t="shared" si="223"/>
        <v>9963</v>
      </c>
      <c r="S1543" s="479">
        <f t="shared" si="220"/>
        <v>97.676470588235304</v>
      </c>
    </row>
    <row r="1544" spans="2:19" x14ac:dyDescent="0.2">
      <c r="B1544" s="6">
        <f t="shared" si="224"/>
        <v>140</v>
      </c>
      <c r="C1544" s="17"/>
      <c r="D1544" s="17"/>
      <c r="E1544" s="377"/>
      <c r="F1544" s="378"/>
      <c r="G1544" s="379"/>
      <c r="H1544" s="380" t="s">
        <v>329</v>
      </c>
      <c r="I1544" s="381"/>
      <c r="J1544" s="381"/>
      <c r="K1544" s="421"/>
      <c r="L1544" s="381"/>
      <c r="M1544" s="381">
        <v>10200</v>
      </c>
      <c r="N1544" s="381">
        <v>9963</v>
      </c>
      <c r="O1544" s="421">
        <f>N1544/M1544*100</f>
        <v>97.676470588235304</v>
      </c>
      <c r="P1544" s="381"/>
      <c r="Q1544" s="382">
        <f t="shared" si="222"/>
        <v>10200</v>
      </c>
      <c r="R1544" s="382">
        <f t="shared" si="223"/>
        <v>9963</v>
      </c>
      <c r="S1544" s="476">
        <f t="shared" si="220"/>
        <v>97.676470588235304</v>
      </c>
    </row>
    <row r="1555" spans="2:19" ht="27.75" x14ac:dyDescent="0.4">
      <c r="B1555" s="648" t="s">
        <v>21</v>
      </c>
      <c r="C1555" s="649"/>
      <c r="D1555" s="649"/>
      <c r="E1555" s="649"/>
      <c r="F1555" s="649"/>
      <c r="G1555" s="649"/>
      <c r="H1555" s="649"/>
      <c r="I1555" s="649"/>
      <c r="J1555" s="649"/>
      <c r="K1555" s="649"/>
      <c r="L1555" s="649"/>
      <c r="M1555" s="649"/>
      <c r="N1555" s="649"/>
      <c r="O1555" s="649"/>
      <c r="P1555" s="649"/>
      <c r="Q1555" s="649"/>
      <c r="R1555" s="3"/>
      <c r="S1555" s="154"/>
    </row>
    <row r="1556" spans="2:19" x14ac:dyDescent="0.2">
      <c r="B1556" s="631" t="s">
        <v>432</v>
      </c>
      <c r="C1556" s="632"/>
      <c r="D1556" s="632"/>
      <c r="E1556" s="632"/>
      <c r="F1556" s="632"/>
      <c r="G1556" s="632"/>
      <c r="H1556" s="632"/>
      <c r="I1556" s="632"/>
      <c r="J1556" s="632"/>
      <c r="K1556" s="632"/>
      <c r="L1556" s="632"/>
      <c r="M1556" s="632"/>
      <c r="N1556" s="632"/>
      <c r="O1556" s="632"/>
      <c r="P1556" s="632"/>
      <c r="Q1556" s="624" t="s">
        <v>761</v>
      </c>
      <c r="R1556" s="624" t="s">
        <v>757</v>
      </c>
      <c r="S1556" s="641" t="s">
        <v>758</v>
      </c>
    </row>
    <row r="1557" spans="2:19" x14ac:dyDescent="0.2">
      <c r="B1557" s="633"/>
      <c r="C1557" s="634" t="s">
        <v>111</v>
      </c>
      <c r="D1557" s="634" t="s">
        <v>112</v>
      </c>
      <c r="E1557" s="634"/>
      <c r="F1557" s="634" t="s">
        <v>113</v>
      </c>
      <c r="G1557" s="627" t="s">
        <v>114</v>
      </c>
      <c r="H1557" s="628" t="s">
        <v>115</v>
      </c>
      <c r="I1557" s="626" t="s">
        <v>759</v>
      </c>
      <c r="J1557" s="626" t="s">
        <v>757</v>
      </c>
      <c r="K1557" s="653" t="s">
        <v>758</v>
      </c>
      <c r="L1557" s="310"/>
      <c r="M1557" s="626" t="s">
        <v>760</v>
      </c>
      <c r="N1557" s="626" t="s">
        <v>757</v>
      </c>
      <c r="O1557" s="652" t="s">
        <v>758</v>
      </c>
      <c r="P1557" s="310"/>
      <c r="Q1557" s="625"/>
      <c r="R1557" s="625"/>
      <c r="S1557" s="642"/>
    </row>
    <row r="1558" spans="2:19" x14ac:dyDescent="0.2">
      <c r="B1558" s="633"/>
      <c r="C1558" s="634"/>
      <c r="D1558" s="634"/>
      <c r="E1558" s="634"/>
      <c r="F1558" s="634"/>
      <c r="G1558" s="627"/>
      <c r="H1558" s="628"/>
      <c r="I1558" s="626"/>
      <c r="J1558" s="626"/>
      <c r="K1558" s="653"/>
      <c r="L1558" s="310"/>
      <c r="M1558" s="626"/>
      <c r="N1558" s="626"/>
      <c r="O1558" s="652"/>
      <c r="P1558" s="310"/>
      <c r="Q1558" s="625"/>
      <c r="R1558" s="625"/>
      <c r="S1558" s="642"/>
    </row>
    <row r="1559" spans="2:19" x14ac:dyDescent="0.2">
      <c r="B1559" s="633"/>
      <c r="C1559" s="634"/>
      <c r="D1559" s="634"/>
      <c r="E1559" s="634"/>
      <c r="F1559" s="634"/>
      <c r="G1559" s="627"/>
      <c r="H1559" s="628"/>
      <c r="I1559" s="626"/>
      <c r="J1559" s="626"/>
      <c r="K1559" s="653"/>
      <c r="L1559" s="310"/>
      <c r="M1559" s="626"/>
      <c r="N1559" s="626"/>
      <c r="O1559" s="652"/>
      <c r="P1559" s="310"/>
      <c r="Q1559" s="625"/>
      <c r="R1559" s="625"/>
      <c r="S1559" s="642"/>
    </row>
    <row r="1560" spans="2:19" x14ac:dyDescent="0.2">
      <c r="B1560" s="633"/>
      <c r="C1560" s="634"/>
      <c r="D1560" s="634"/>
      <c r="E1560" s="634"/>
      <c r="F1560" s="634"/>
      <c r="G1560" s="627"/>
      <c r="H1560" s="628"/>
      <c r="I1560" s="626"/>
      <c r="J1560" s="626"/>
      <c r="K1560" s="653"/>
      <c r="L1560" s="310"/>
      <c r="M1560" s="626"/>
      <c r="N1560" s="626"/>
      <c r="O1560" s="652"/>
      <c r="P1560" s="310"/>
      <c r="Q1560" s="625"/>
      <c r="R1560" s="625"/>
      <c r="S1560" s="642"/>
    </row>
    <row r="1561" spans="2:19" ht="15.75" x14ac:dyDescent="0.2">
      <c r="B1561" s="6">
        <v>1</v>
      </c>
      <c r="C1561" s="635" t="s">
        <v>21</v>
      </c>
      <c r="D1561" s="636"/>
      <c r="E1561" s="636"/>
      <c r="F1561" s="636"/>
      <c r="G1561" s="636"/>
      <c r="H1561" s="636"/>
      <c r="I1561" s="7">
        <f>I1562+I1580+I1585+I1602+I1617</f>
        <v>2496473</v>
      </c>
      <c r="J1561" s="7">
        <f>J1562+J1580+J1585+J1602+J1617</f>
        <v>2154772</v>
      </c>
      <c r="K1561" s="484">
        <f t="shared" ref="K1561:K1592" si="225">J1561/I1561*100</f>
        <v>86.312649886459809</v>
      </c>
      <c r="L1561" s="311"/>
      <c r="M1561" s="7">
        <f>M1602+M1585+M1580+M1562+M1617</f>
        <v>7547426</v>
      </c>
      <c r="N1561" s="7">
        <f>N1602+N1585+N1580+N1562+N1617</f>
        <v>227020</v>
      </c>
      <c r="O1561" s="399">
        <f>N1561/M1561*100</f>
        <v>3.0079128963967321</v>
      </c>
      <c r="P1561" s="311"/>
      <c r="Q1561" s="8">
        <f t="shared" ref="Q1561:Q1592" si="226">I1561+M1561</f>
        <v>10043899</v>
      </c>
      <c r="R1561" s="8">
        <f t="shared" ref="R1561:R1592" si="227">J1561+N1561</f>
        <v>2381792</v>
      </c>
      <c r="S1561" s="445">
        <f t="shared" ref="S1561:S1592" si="228">R1561/Q1561*100</f>
        <v>23.713818707257012</v>
      </c>
    </row>
    <row r="1562" spans="2:19" ht="15" x14ac:dyDescent="0.2">
      <c r="B1562" s="6">
        <f t="shared" ref="B1562:B1593" si="229">B1561+1</f>
        <v>2</v>
      </c>
      <c r="C1562" s="9">
        <v>1</v>
      </c>
      <c r="D1562" s="637" t="s">
        <v>226</v>
      </c>
      <c r="E1562" s="638"/>
      <c r="F1562" s="638"/>
      <c r="G1562" s="638"/>
      <c r="H1562" s="638"/>
      <c r="I1562" s="10">
        <f>I1563</f>
        <v>257500</v>
      </c>
      <c r="J1562" s="10">
        <f>J1563</f>
        <v>256500</v>
      </c>
      <c r="K1562" s="482">
        <f t="shared" si="225"/>
        <v>99.611650485436897</v>
      </c>
      <c r="L1562" s="312"/>
      <c r="M1562" s="10"/>
      <c r="N1562" s="10"/>
      <c r="O1562" s="395"/>
      <c r="P1562" s="312"/>
      <c r="Q1562" s="31">
        <f t="shared" si="226"/>
        <v>257500</v>
      </c>
      <c r="R1562" s="31">
        <f t="shared" si="227"/>
        <v>256500</v>
      </c>
      <c r="S1562" s="449">
        <f t="shared" si="228"/>
        <v>99.611650485436897</v>
      </c>
    </row>
    <row r="1563" spans="2:19" x14ac:dyDescent="0.2">
      <c r="B1563" s="6">
        <f t="shared" si="229"/>
        <v>3</v>
      </c>
      <c r="C1563" s="12"/>
      <c r="D1563" s="12"/>
      <c r="E1563" s="12"/>
      <c r="F1563" s="13" t="s">
        <v>74</v>
      </c>
      <c r="G1563" s="14">
        <v>640</v>
      </c>
      <c r="H1563" s="12" t="s">
        <v>126</v>
      </c>
      <c r="I1563" s="15">
        <f>SUM(I1564:I1579)</f>
        <v>257500</v>
      </c>
      <c r="J1563" s="15">
        <f>SUM(J1564:J1579)</f>
        <v>256500</v>
      </c>
      <c r="K1563" s="434">
        <f t="shared" si="225"/>
        <v>99.611650485436897</v>
      </c>
      <c r="L1563" s="15"/>
      <c r="M1563" s="15"/>
      <c r="N1563" s="15"/>
      <c r="O1563" s="397"/>
      <c r="P1563" s="15"/>
      <c r="Q1563" s="16">
        <f t="shared" si="226"/>
        <v>257500</v>
      </c>
      <c r="R1563" s="16">
        <f t="shared" si="227"/>
        <v>256500</v>
      </c>
      <c r="S1563" s="448">
        <f t="shared" si="228"/>
        <v>99.611650485436897</v>
      </c>
    </row>
    <row r="1564" spans="2:19" x14ac:dyDescent="0.2">
      <c r="B1564" s="6">
        <f t="shared" si="229"/>
        <v>4</v>
      </c>
      <c r="C1564" s="32"/>
      <c r="D1564" s="32"/>
      <c r="E1564" s="32"/>
      <c r="F1564" s="152"/>
      <c r="G1564" s="152"/>
      <c r="H1564" s="34" t="s">
        <v>261</v>
      </c>
      <c r="I1564" s="35">
        <f>48000+2000</f>
        <v>50000</v>
      </c>
      <c r="J1564" s="35">
        <v>49000</v>
      </c>
      <c r="K1564" s="441">
        <f t="shared" si="225"/>
        <v>98</v>
      </c>
      <c r="L1564" s="35"/>
      <c r="M1564" s="35"/>
      <c r="N1564" s="35"/>
      <c r="O1564" s="396"/>
      <c r="P1564" s="35"/>
      <c r="Q1564" s="276">
        <f t="shared" si="226"/>
        <v>50000</v>
      </c>
      <c r="R1564" s="276">
        <f t="shared" si="227"/>
        <v>49000</v>
      </c>
      <c r="S1564" s="450">
        <f t="shared" si="228"/>
        <v>98</v>
      </c>
    </row>
    <row r="1565" spans="2:19" ht="24" x14ac:dyDescent="0.2">
      <c r="B1565" s="6">
        <f t="shared" si="229"/>
        <v>5</v>
      </c>
      <c r="C1565" s="32"/>
      <c r="D1565" s="32"/>
      <c r="E1565" s="32"/>
      <c r="F1565" s="152"/>
      <c r="G1565" s="152"/>
      <c r="H1565" s="34" t="s">
        <v>717</v>
      </c>
      <c r="I1565" s="35">
        <v>1000</v>
      </c>
      <c r="J1565" s="35">
        <v>1000</v>
      </c>
      <c r="K1565" s="441">
        <f t="shared" si="225"/>
        <v>100</v>
      </c>
      <c r="L1565" s="35"/>
      <c r="M1565" s="35"/>
      <c r="N1565" s="35"/>
      <c r="O1565" s="396"/>
      <c r="P1565" s="35"/>
      <c r="Q1565" s="276">
        <f t="shared" si="226"/>
        <v>1000</v>
      </c>
      <c r="R1565" s="276">
        <f t="shared" si="227"/>
        <v>1000</v>
      </c>
      <c r="S1565" s="450">
        <f t="shared" si="228"/>
        <v>100</v>
      </c>
    </row>
    <row r="1566" spans="2:19" x14ac:dyDescent="0.2">
      <c r="B1566" s="6">
        <f t="shared" si="229"/>
        <v>6</v>
      </c>
      <c r="C1566" s="32"/>
      <c r="D1566" s="32"/>
      <c r="E1566" s="32"/>
      <c r="F1566" s="152"/>
      <c r="G1566" s="152"/>
      <c r="H1566" s="34" t="s">
        <v>349</v>
      </c>
      <c r="I1566" s="35">
        <v>10000</v>
      </c>
      <c r="J1566" s="35">
        <v>10000</v>
      </c>
      <c r="K1566" s="441">
        <f t="shared" si="225"/>
        <v>100</v>
      </c>
      <c r="L1566" s="35"/>
      <c r="M1566" s="35"/>
      <c r="N1566" s="35"/>
      <c r="O1566" s="396"/>
      <c r="P1566" s="35"/>
      <c r="Q1566" s="276">
        <f t="shared" si="226"/>
        <v>10000</v>
      </c>
      <c r="R1566" s="276">
        <f t="shared" si="227"/>
        <v>10000</v>
      </c>
      <c r="S1566" s="450">
        <f t="shared" si="228"/>
        <v>100</v>
      </c>
    </row>
    <row r="1567" spans="2:19" x14ac:dyDescent="0.2">
      <c r="B1567" s="6">
        <f t="shared" si="229"/>
        <v>7</v>
      </c>
      <c r="C1567" s="32"/>
      <c r="D1567" s="32"/>
      <c r="E1567" s="32"/>
      <c r="F1567" s="152"/>
      <c r="G1567" s="152"/>
      <c r="H1567" s="34" t="s">
        <v>330</v>
      </c>
      <c r="I1567" s="35">
        <v>7000</v>
      </c>
      <c r="J1567" s="35">
        <v>7000</v>
      </c>
      <c r="K1567" s="441">
        <f t="shared" si="225"/>
        <v>100</v>
      </c>
      <c r="L1567" s="35"/>
      <c r="M1567" s="35"/>
      <c r="N1567" s="35"/>
      <c r="O1567" s="396"/>
      <c r="P1567" s="35"/>
      <c r="Q1567" s="276">
        <f t="shared" si="226"/>
        <v>7000</v>
      </c>
      <c r="R1567" s="276">
        <f t="shared" si="227"/>
        <v>7000</v>
      </c>
      <c r="S1567" s="450">
        <f t="shared" si="228"/>
        <v>100</v>
      </c>
    </row>
    <row r="1568" spans="2:19" x14ac:dyDescent="0.2">
      <c r="B1568" s="6">
        <f t="shared" si="229"/>
        <v>8</v>
      </c>
      <c r="C1568" s="32"/>
      <c r="D1568" s="32"/>
      <c r="E1568" s="32"/>
      <c r="F1568" s="152"/>
      <c r="G1568" s="152"/>
      <c r="H1568" s="34" t="s">
        <v>464</v>
      </c>
      <c r="I1568" s="35">
        <v>25000</v>
      </c>
      <c r="J1568" s="35">
        <v>25000</v>
      </c>
      <c r="K1568" s="441">
        <f t="shared" si="225"/>
        <v>100</v>
      </c>
      <c r="L1568" s="35"/>
      <c r="M1568" s="35"/>
      <c r="N1568" s="35"/>
      <c r="O1568" s="396"/>
      <c r="P1568" s="35"/>
      <c r="Q1568" s="276">
        <f t="shared" si="226"/>
        <v>25000</v>
      </c>
      <c r="R1568" s="276">
        <f t="shared" si="227"/>
        <v>25000</v>
      </c>
      <c r="S1568" s="450">
        <f t="shared" si="228"/>
        <v>100</v>
      </c>
    </row>
    <row r="1569" spans="2:19" ht="24" x14ac:dyDescent="0.2">
      <c r="B1569" s="6">
        <f t="shared" si="229"/>
        <v>9</v>
      </c>
      <c r="C1569" s="32"/>
      <c r="D1569" s="32"/>
      <c r="E1569" s="32"/>
      <c r="F1569" s="152"/>
      <c r="G1569" s="152"/>
      <c r="H1569" s="34" t="s">
        <v>535</v>
      </c>
      <c r="I1569" s="35">
        <v>2000</v>
      </c>
      <c r="J1569" s="35">
        <v>2000</v>
      </c>
      <c r="K1569" s="441">
        <f t="shared" si="225"/>
        <v>100</v>
      </c>
      <c r="L1569" s="35"/>
      <c r="M1569" s="35"/>
      <c r="N1569" s="35"/>
      <c r="O1569" s="396"/>
      <c r="P1569" s="35"/>
      <c r="Q1569" s="276">
        <f t="shared" si="226"/>
        <v>2000</v>
      </c>
      <c r="R1569" s="276">
        <f t="shared" si="227"/>
        <v>2000</v>
      </c>
      <c r="S1569" s="450">
        <f t="shared" si="228"/>
        <v>100</v>
      </c>
    </row>
    <row r="1570" spans="2:19" x14ac:dyDescent="0.2">
      <c r="B1570" s="6">
        <f t="shared" si="229"/>
        <v>10</v>
      </c>
      <c r="C1570" s="32"/>
      <c r="D1570" s="32"/>
      <c r="E1570" s="32"/>
      <c r="F1570" s="152"/>
      <c r="G1570" s="152"/>
      <c r="H1570" s="34" t="s">
        <v>512</v>
      </c>
      <c r="I1570" s="35">
        <f>5000+10000</f>
        <v>15000</v>
      </c>
      <c r="J1570" s="35">
        <v>15000</v>
      </c>
      <c r="K1570" s="441">
        <f t="shared" si="225"/>
        <v>100</v>
      </c>
      <c r="L1570" s="35"/>
      <c r="M1570" s="35"/>
      <c r="N1570" s="35"/>
      <c r="O1570" s="396"/>
      <c r="P1570" s="35"/>
      <c r="Q1570" s="276">
        <f t="shared" si="226"/>
        <v>15000</v>
      </c>
      <c r="R1570" s="276">
        <f t="shared" si="227"/>
        <v>15000</v>
      </c>
      <c r="S1570" s="450">
        <f t="shared" si="228"/>
        <v>100</v>
      </c>
    </row>
    <row r="1571" spans="2:19" ht="36" x14ac:dyDescent="0.2">
      <c r="B1571" s="6">
        <f t="shared" si="229"/>
        <v>11</v>
      </c>
      <c r="C1571" s="32"/>
      <c r="D1571" s="32"/>
      <c r="E1571" s="32"/>
      <c r="F1571" s="152"/>
      <c r="G1571" s="152"/>
      <c r="H1571" s="34" t="s">
        <v>718</v>
      </c>
      <c r="I1571" s="35">
        <v>1500</v>
      </c>
      <c r="J1571" s="35">
        <v>1500</v>
      </c>
      <c r="K1571" s="441">
        <f t="shared" si="225"/>
        <v>100</v>
      </c>
      <c r="L1571" s="35"/>
      <c r="M1571" s="35"/>
      <c r="N1571" s="35"/>
      <c r="O1571" s="396"/>
      <c r="P1571" s="35"/>
      <c r="Q1571" s="276">
        <f t="shared" si="226"/>
        <v>1500</v>
      </c>
      <c r="R1571" s="276">
        <f t="shared" si="227"/>
        <v>1500</v>
      </c>
      <c r="S1571" s="450">
        <f t="shared" si="228"/>
        <v>100</v>
      </c>
    </row>
    <row r="1572" spans="2:19" ht="24" x14ac:dyDescent="0.2">
      <c r="B1572" s="6">
        <f t="shared" si="229"/>
        <v>12</v>
      </c>
      <c r="C1572" s="32"/>
      <c r="D1572" s="32"/>
      <c r="E1572" s="32"/>
      <c r="F1572" s="152"/>
      <c r="G1572" s="152"/>
      <c r="H1572" s="34" t="s">
        <v>465</v>
      </c>
      <c r="I1572" s="35">
        <v>6000</v>
      </c>
      <c r="J1572" s="35">
        <v>6000</v>
      </c>
      <c r="K1572" s="441">
        <f t="shared" si="225"/>
        <v>100</v>
      </c>
      <c r="L1572" s="35"/>
      <c r="M1572" s="35"/>
      <c r="N1572" s="35"/>
      <c r="O1572" s="396"/>
      <c r="P1572" s="35"/>
      <c r="Q1572" s="276">
        <f t="shared" si="226"/>
        <v>6000</v>
      </c>
      <c r="R1572" s="276">
        <f t="shared" si="227"/>
        <v>6000</v>
      </c>
      <c r="S1572" s="450">
        <f t="shared" si="228"/>
        <v>100</v>
      </c>
    </row>
    <row r="1573" spans="2:19" x14ac:dyDescent="0.2">
      <c r="B1573" s="6">
        <f t="shared" si="229"/>
        <v>13</v>
      </c>
      <c r="C1573" s="32"/>
      <c r="D1573" s="32"/>
      <c r="E1573" s="32"/>
      <c r="F1573" s="152"/>
      <c r="G1573" s="152"/>
      <c r="H1573" s="34" t="s">
        <v>533</v>
      </c>
      <c r="I1573" s="35">
        <f>10000+10000</f>
        <v>20000</v>
      </c>
      <c r="J1573" s="35">
        <v>20000</v>
      </c>
      <c r="K1573" s="441">
        <f t="shared" si="225"/>
        <v>100</v>
      </c>
      <c r="L1573" s="35"/>
      <c r="M1573" s="35"/>
      <c r="N1573" s="35"/>
      <c r="O1573" s="396"/>
      <c r="P1573" s="35"/>
      <c r="Q1573" s="276">
        <f t="shared" si="226"/>
        <v>20000</v>
      </c>
      <c r="R1573" s="276">
        <f t="shared" si="227"/>
        <v>20000</v>
      </c>
      <c r="S1573" s="450">
        <f t="shared" si="228"/>
        <v>100</v>
      </c>
    </row>
    <row r="1574" spans="2:19" x14ac:dyDescent="0.2">
      <c r="B1574" s="6">
        <f t="shared" si="229"/>
        <v>14</v>
      </c>
      <c r="C1574" s="32"/>
      <c r="D1574" s="32"/>
      <c r="E1574" s="32"/>
      <c r="F1574" s="152"/>
      <c r="G1574" s="152"/>
      <c r="H1574" s="34" t="s">
        <v>350</v>
      </c>
      <c r="I1574" s="35">
        <v>7000</v>
      </c>
      <c r="J1574" s="35">
        <v>7000</v>
      </c>
      <c r="K1574" s="441">
        <f t="shared" si="225"/>
        <v>100</v>
      </c>
      <c r="L1574" s="35"/>
      <c r="M1574" s="35"/>
      <c r="N1574" s="35"/>
      <c r="O1574" s="396"/>
      <c r="P1574" s="35"/>
      <c r="Q1574" s="276">
        <f t="shared" si="226"/>
        <v>7000</v>
      </c>
      <c r="R1574" s="276">
        <f t="shared" si="227"/>
        <v>7000</v>
      </c>
      <c r="S1574" s="450">
        <f t="shared" si="228"/>
        <v>100</v>
      </c>
    </row>
    <row r="1575" spans="2:19" x14ac:dyDescent="0.2">
      <c r="B1575" s="6">
        <f t="shared" si="229"/>
        <v>15</v>
      </c>
      <c r="C1575" s="32"/>
      <c r="D1575" s="32"/>
      <c r="E1575" s="32"/>
      <c r="F1575" s="152"/>
      <c r="G1575" s="152"/>
      <c r="H1575" s="34" t="s">
        <v>264</v>
      </c>
      <c r="I1575" s="35">
        <v>35000</v>
      </c>
      <c r="J1575" s="35">
        <v>35000</v>
      </c>
      <c r="K1575" s="441">
        <f t="shared" si="225"/>
        <v>100</v>
      </c>
      <c r="L1575" s="35"/>
      <c r="M1575" s="35"/>
      <c r="N1575" s="35"/>
      <c r="O1575" s="396"/>
      <c r="P1575" s="35"/>
      <c r="Q1575" s="276">
        <f t="shared" si="226"/>
        <v>35000</v>
      </c>
      <c r="R1575" s="276">
        <f t="shared" si="227"/>
        <v>35000</v>
      </c>
      <c r="S1575" s="450">
        <f t="shared" si="228"/>
        <v>100</v>
      </c>
    </row>
    <row r="1576" spans="2:19" ht="24" x14ac:dyDescent="0.2">
      <c r="B1576" s="6">
        <f t="shared" si="229"/>
        <v>16</v>
      </c>
      <c r="C1576" s="32"/>
      <c r="D1576" s="32"/>
      <c r="E1576" s="32"/>
      <c r="F1576" s="152"/>
      <c r="G1576" s="152"/>
      <c r="H1576" s="34" t="s">
        <v>673</v>
      </c>
      <c r="I1576" s="35">
        <v>10000</v>
      </c>
      <c r="J1576" s="35">
        <v>10000</v>
      </c>
      <c r="K1576" s="441">
        <f t="shared" si="225"/>
        <v>100</v>
      </c>
      <c r="L1576" s="35"/>
      <c r="M1576" s="35"/>
      <c r="N1576" s="35"/>
      <c r="O1576" s="396"/>
      <c r="P1576" s="35"/>
      <c r="Q1576" s="276">
        <f t="shared" si="226"/>
        <v>10000</v>
      </c>
      <c r="R1576" s="276">
        <f t="shared" si="227"/>
        <v>10000</v>
      </c>
      <c r="S1576" s="450">
        <f t="shared" si="228"/>
        <v>100</v>
      </c>
    </row>
    <row r="1577" spans="2:19" x14ac:dyDescent="0.2">
      <c r="B1577" s="6">
        <f t="shared" si="229"/>
        <v>17</v>
      </c>
      <c r="C1577" s="32"/>
      <c r="D1577" s="32"/>
      <c r="E1577" s="32"/>
      <c r="F1577" s="152"/>
      <c r="G1577" s="152"/>
      <c r="H1577" s="34" t="s">
        <v>565</v>
      </c>
      <c r="I1577" s="35">
        <v>3000</v>
      </c>
      <c r="J1577" s="35">
        <v>3000</v>
      </c>
      <c r="K1577" s="441">
        <f t="shared" si="225"/>
        <v>100</v>
      </c>
      <c r="L1577" s="35"/>
      <c r="M1577" s="35"/>
      <c r="N1577" s="35"/>
      <c r="O1577" s="396"/>
      <c r="P1577" s="35"/>
      <c r="Q1577" s="276">
        <f t="shared" si="226"/>
        <v>3000</v>
      </c>
      <c r="R1577" s="276">
        <f t="shared" si="227"/>
        <v>3000</v>
      </c>
      <c r="S1577" s="450">
        <f t="shared" si="228"/>
        <v>100</v>
      </c>
    </row>
    <row r="1578" spans="2:19" x14ac:dyDescent="0.2">
      <c r="B1578" s="6">
        <f t="shared" si="229"/>
        <v>18</v>
      </c>
      <c r="C1578" s="32"/>
      <c r="D1578" s="32"/>
      <c r="E1578" s="32"/>
      <c r="F1578" s="152"/>
      <c r="G1578" s="152"/>
      <c r="H1578" s="34" t="s">
        <v>331</v>
      </c>
      <c r="I1578" s="35">
        <f>20000+30000</f>
        <v>50000</v>
      </c>
      <c r="J1578" s="35">
        <v>50000</v>
      </c>
      <c r="K1578" s="441">
        <f t="shared" si="225"/>
        <v>100</v>
      </c>
      <c r="L1578" s="35"/>
      <c r="M1578" s="35"/>
      <c r="N1578" s="35"/>
      <c r="O1578" s="396"/>
      <c r="P1578" s="35"/>
      <c r="Q1578" s="276">
        <f t="shared" si="226"/>
        <v>50000</v>
      </c>
      <c r="R1578" s="276">
        <f t="shared" si="227"/>
        <v>50000</v>
      </c>
      <c r="S1578" s="450">
        <f t="shared" si="228"/>
        <v>100</v>
      </c>
    </row>
    <row r="1579" spans="2:19" ht="24" x14ac:dyDescent="0.2">
      <c r="B1579" s="6">
        <f t="shared" si="229"/>
        <v>19</v>
      </c>
      <c r="C1579" s="32"/>
      <c r="D1579" s="32"/>
      <c r="E1579" s="32"/>
      <c r="F1579" s="152"/>
      <c r="G1579" s="152"/>
      <c r="H1579" s="34" t="s">
        <v>564</v>
      </c>
      <c r="I1579" s="35">
        <f>10000+5000</f>
        <v>15000</v>
      </c>
      <c r="J1579" s="35">
        <v>15000</v>
      </c>
      <c r="K1579" s="441">
        <f t="shared" si="225"/>
        <v>100</v>
      </c>
      <c r="L1579" s="35"/>
      <c r="M1579" s="35"/>
      <c r="N1579" s="35"/>
      <c r="O1579" s="396"/>
      <c r="P1579" s="35"/>
      <c r="Q1579" s="276">
        <f t="shared" si="226"/>
        <v>15000</v>
      </c>
      <c r="R1579" s="276">
        <f t="shared" si="227"/>
        <v>15000</v>
      </c>
      <c r="S1579" s="450">
        <f t="shared" si="228"/>
        <v>100</v>
      </c>
    </row>
    <row r="1580" spans="2:19" ht="15" x14ac:dyDescent="0.2">
      <c r="B1580" s="6">
        <f t="shared" si="229"/>
        <v>20</v>
      </c>
      <c r="C1580" s="9">
        <v>2</v>
      </c>
      <c r="D1580" s="637" t="s">
        <v>168</v>
      </c>
      <c r="E1580" s="638"/>
      <c r="F1580" s="638"/>
      <c r="G1580" s="638"/>
      <c r="H1580" s="638"/>
      <c r="I1580" s="10">
        <f>I1581</f>
        <v>353091</v>
      </c>
      <c r="J1580" s="10">
        <f>J1581</f>
        <v>340234</v>
      </c>
      <c r="K1580" s="482">
        <f t="shared" si="225"/>
        <v>96.358729052850407</v>
      </c>
      <c r="L1580" s="312"/>
      <c r="M1580" s="10"/>
      <c r="N1580" s="10"/>
      <c r="O1580" s="395"/>
      <c r="P1580" s="312"/>
      <c r="Q1580" s="31">
        <f t="shared" si="226"/>
        <v>353091</v>
      </c>
      <c r="R1580" s="31">
        <f t="shared" si="227"/>
        <v>340234</v>
      </c>
      <c r="S1580" s="449">
        <f t="shared" si="228"/>
        <v>96.358729052850407</v>
      </c>
    </row>
    <row r="1581" spans="2:19" x14ac:dyDescent="0.2">
      <c r="B1581" s="6">
        <f t="shared" si="229"/>
        <v>21</v>
      </c>
      <c r="C1581" s="12"/>
      <c r="D1581" s="12"/>
      <c r="E1581" s="12"/>
      <c r="F1581" s="13" t="s">
        <v>74</v>
      </c>
      <c r="G1581" s="14">
        <v>630</v>
      </c>
      <c r="H1581" s="12" t="s">
        <v>118</v>
      </c>
      <c r="I1581" s="15">
        <f>SUM(I1582:I1584)</f>
        <v>353091</v>
      </c>
      <c r="J1581" s="15">
        <f>SUM(J1582:J1584)</f>
        <v>340234</v>
      </c>
      <c r="K1581" s="434">
        <f t="shared" si="225"/>
        <v>96.358729052850407</v>
      </c>
      <c r="L1581" s="15"/>
      <c r="M1581" s="15"/>
      <c r="N1581" s="15"/>
      <c r="O1581" s="397"/>
      <c r="P1581" s="15"/>
      <c r="Q1581" s="16">
        <f t="shared" si="226"/>
        <v>353091</v>
      </c>
      <c r="R1581" s="16">
        <f t="shared" si="227"/>
        <v>340234</v>
      </c>
      <c r="S1581" s="448">
        <f t="shared" si="228"/>
        <v>96.358729052850407</v>
      </c>
    </row>
    <row r="1582" spans="2:19" x14ac:dyDescent="0.2">
      <c r="B1582" s="6">
        <f t="shared" si="229"/>
        <v>22</v>
      </c>
      <c r="C1582" s="17"/>
      <c r="D1582" s="17"/>
      <c r="E1582" s="17"/>
      <c r="F1582" s="18"/>
      <c r="G1582" s="19">
        <v>633</v>
      </c>
      <c r="H1582" s="17" t="s">
        <v>122</v>
      </c>
      <c r="I1582" s="20">
        <v>6000</v>
      </c>
      <c r="J1582" s="20">
        <v>5987</v>
      </c>
      <c r="K1582" s="434">
        <f t="shared" si="225"/>
        <v>99.783333333333331</v>
      </c>
      <c r="L1582" s="20"/>
      <c r="M1582" s="20"/>
      <c r="N1582" s="20"/>
      <c r="O1582" s="397"/>
      <c r="P1582" s="20"/>
      <c r="Q1582" s="21">
        <f t="shared" si="226"/>
        <v>6000</v>
      </c>
      <c r="R1582" s="21">
        <f t="shared" si="227"/>
        <v>5987</v>
      </c>
      <c r="S1582" s="448">
        <f t="shared" si="228"/>
        <v>99.783333333333331</v>
      </c>
    </row>
    <row r="1583" spans="2:19" x14ac:dyDescent="0.2">
      <c r="B1583" s="6">
        <f t="shared" si="229"/>
        <v>23</v>
      </c>
      <c r="C1583" s="17"/>
      <c r="D1583" s="17"/>
      <c r="E1583" s="17"/>
      <c r="F1583" s="18"/>
      <c r="G1583" s="19">
        <v>637</v>
      </c>
      <c r="H1583" s="17" t="s">
        <v>119</v>
      </c>
      <c r="I1583" s="20">
        <v>150000</v>
      </c>
      <c r="J1583" s="20">
        <v>140057</v>
      </c>
      <c r="K1583" s="434">
        <f t="shared" si="225"/>
        <v>93.371333333333325</v>
      </c>
      <c r="L1583" s="20"/>
      <c r="M1583" s="20"/>
      <c r="N1583" s="20"/>
      <c r="O1583" s="397"/>
      <c r="P1583" s="20"/>
      <c r="Q1583" s="21">
        <f t="shared" si="226"/>
        <v>150000</v>
      </c>
      <c r="R1583" s="21">
        <f t="shared" si="227"/>
        <v>140057</v>
      </c>
      <c r="S1583" s="448">
        <f t="shared" si="228"/>
        <v>93.371333333333325</v>
      </c>
    </row>
    <row r="1584" spans="2:19" ht="36" x14ac:dyDescent="0.2">
      <c r="B1584" s="6">
        <f t="shared" si="229"/>
        <v>24</v>
      </c>
      <c r="C1584" s="52"/>
      <c r="D1584" s="52"/>
      <c r="E1584" s="52"/>
      <c r="F1584" s="53"/>
      <c r="G1584" s="54">
        <v>600</v>
      </c>
      <c r="H1584" s="55" t="s">
        <v>484</v>
      </c>
      <c r="I1584" s="56">
        <f>31030+112616+35000+18445</f>
        <v>197091</v>
      </c>
      <c r="J1584" s="56">
        <v>194190</v>
      </c>
      <c r="K1584" s="441">
        <f t="shared" si="225"/>
        <v>98.528091084828844</v>
      </c>
      <c r="L1584" s="56"/>
      <c r="M1584" s="56"/>
      <c r="N1584" s="56"/>
      <c r="O1584" s="396"/>
      <c r="P1584" s="56"/>
      <c r="Q1584" s="57">
        <f t="shared" si="226"/>
        <v>197091</v>
      </c>
      <c r="R1584" s="57">
        <f t="shared" si="227"/>
        <v>194190</v>
      </c>
      <c r="S1584" s="450">
        <f t="shared" si="228"/>
        <v>98.528091084828844</v>
      </c>
    </row>
    <row r="1585" spans="2:19" ht="15" x14ac:dyDescent="0.2">
      <c r="B1585" s="6">
        <f t="shared" si="229"/>
        <v>25</v>
      </c>
      <c r="C1585" s="9">
        <v>3</v>
      </c>
      <c r="D1585" s="637" t="s">
        <v>134</v>
      </c>
      <c r="E1585" s="638"/>
      <c r="F1585" s="638"/>
      <c r="G1585" s="638"/>
      <c r="H1585" s="638"/>
      <c r="I1585" s="10">
        <f>I1586+I1587+I1588</f>
        <v>214620</v>
      </c>
      <c r="J1585" s="10">
        <f>J1586+J1587+J1588</f>
        <v>149781</v>
      </c>
      <c r="K1585" s="482">
        <f t="shared" si="225"/>
        <v>69.788929270338272</v>
      </c>
      <c r="L1585" s="312"/>
      <c r="M1585" s="10">
        <f>M1593</f>
        <v>7324626</v>
      </c>
      <c r="N1585" s="10">
        <f>N1593</f>
        <v>4367</v>
      </c>
      <c r="O1585" s="395">
        <f>N1585/M1585*100</f>
        <v>5.9620791559869407E-2</v>
      </c>
      <c r="P1585" s="312"/>
      <c r="Q1585" s="31">
        <f t="shared" si="226"/>
        <v>7539246</v>
      </c>
      <c r="R1585" s="31">
        <f t="shared" si="227"/>
        <v>154148</v>
      </c>
      <c r="S1585" s="449">
        <f t="shared" si="228"/>
        <v>2.0446076437882517</v>
      </c>
    </row>
    <row r="1586" spans="2:19" x14ac:dyDescent="0.2">
      <c r="B1586" s="6">
        <f t="shared" si="229"/>
        <v>26</v>
      </c>
      <c r="C1586" s="12"/>
      <c r="D1586" s="12"/>
      <c r="E1586" s="12"/>
      <c r="F1586" s="13" t="s">
        <v>74</v>
      </c>
      <c r="G1586" s="14">
        <v>610</v>
      </c>
      <c r="H1586" s="12" t="s">
        <v>128</v>
      </c>
      <c r="I1586" s="15">
        <v>1000</v>
      </c>
      <c r="J1586" s="15">
        <v>0</v>
      </c>
      <c r="K1586" s="434">
        <f t="shared" si="225"/>
        <v>0</v>
      </c>
      <c r="L1586" s="15"/>
      <c r="M1586" s="15"/>
      <c r="N1586" s="15"/>
      <c r="O1586" s="397"/>
      <c r="P1586" s="15"/>
      <c r="Q1586" s="16">
        <f t="shared" si="226"/>
        <v>1000</v>
      </c>
      <c r="R1586" s="16">
        <f t="shared" si="227"/>
        <v>0</v>
      </c>
      <c r="S1586" s="448">
        <f t="shared" si="228"/>
        <v>0</v>
      </c>
    </row>
    <row r="1587" spans="2:19" x14ac:dyDescent="0.2">
      <c r="B1587" s="6">
        <f t="shared" si="229"/>
        <v>27</v>
      </c>
      <c r="C1587" s="12"/>
      <c r="D1587" s="12"/>
      <c r="E1587" s="12"/>
      <c r="F1587" s="13" t="s">
        <v>74</v>
      </c>
      <c r="G1587" s="14">
        <v>620</v>
      </c>
      <c r="H1587" s="12" t="s">
        <v>121</v>
      </c>
      <c r="I1587" s="15">
        <v>7200</v>
      </c>
      <c r="J1587" s="15">
        <v>2771</v>
      </c>
      <c r="K1587" s="434">
        <f t="shared" si="225"/>
        <v>38.486111111111107</v>
      </c>
      <c r="L1587" s="15"/>
      <c r="M1587" s="15"/>
      <c r="N1587" s="15"/>
      <c r="O1587" s="397"/>
      <c r="P1587" s="15"/>
      <c r="Q1587" s="16">
        <f t="shared" si="226"/>
        <v>7200</v>
      </c>
      <c r="R1587" s="16">
        <f t="shared" si="227"/>
        <v>2771</v>
      </c>
      <c r="S1587" s="448">
        <f t="shared" si="228"/>
        <v>38.486111111111107</v>
      </c>
    </row>
    <row r="1588" spans="2:19" x14ac:dyDescent="0.2">
      <c r="B1588" s="6">
        <f t="shared" si="229"/>
        <v>28</v>
      </c>
      <c r="C1588" s="12"/>
      <c r="D1588" s="12"/>
      <c r="E1588" s="12"/>
      <c r="F1588" s="13" t="s">
        <v>74</v>
      </c>
      <c r="G1588" s="14">
        <v>630</v>
      </c>
      <c r="H1588" s="12" t="s">
        <v>118</v>
      </c>
      <c r="I1588" s="15">
        <f>SUM(I1589:I1592)</f>
        <v>206420</v>
      </c>
      <c r="J1588" s="15">
        <f>SUM(J1589:J1592)</f>
        <v>147010</v>
      </c>
      <c r="K1588" s="434">
        <f t="shared" si="225"/>
        <v>71.218874140102713</v>
      </c>
      <c r="L1588" s="15"/>
      <c r="M1588" s="15"/>
      <c r="N1588" s="15"/>
      <c r="O1588" s="397"/>
      <c r="P1588" s="15"/>
      <c r="Q1588" s="16">
        <f t="shared" si="226"/>
        <v>206420</v>
      </c>
      <c r="R1588" s="16">
        <f t="shared" si="227"/>
        <v>147010</v>
      </c>
      <c r="S1588" s="448">
        <f t="shared" si="228"/>
        <v>71.218874140102713</v>
      </c>
    </row>
    <row r="1589" spans="2:19" x14ac:dyDescent="0.2">
      <c r="B1589" s="6">
        <f t="shared" si="229"/>
        <v>29</v>
      </c>
      <c r="C1589" s="17"/>
      <c r="D1589" s="17"/>
      <c r="E1589" s="17"/>
      <c r="F1589" s="18"/>
      <c r="G1589" s="19">
        <v>632</v>
      </c>
      <c r="H1589" s="17" t="s">
        <v>131</v>
      </c>
      <c r="I1589" s="20">
        <f>153200-3000-7000-15000-6000-7500</f>
        <v>114700</v>
      </c>
      <c r="J1589" s="20">
        <v>82666</v>
      </c>
      <c r="K1589" s="434">
        <f t="shared" si="225"/>
        <v>72.071490845684394</v>
      </c>
      <c r="L1589" s="20"/>
      <c r="M1589" s="20"/>
      <c r="N1589" s="20"/>
      <c r="O1589" s="397"/>
      <c r="P1589" s="20"/>
      <c r="Q1589" s="21">
        <f t="shared" si="226"/>
        <v>114700</v>
      </c>
      <c r="R1589" s="21">
        <f t="shared" si="227"/>
        <v>82666</v>
      </c>
      <c r="S1589" s="448">
        <f t="shared" si="228"/>
        <v>72.071490845684394</v>
      </c>
    </row>
    <row r="1590" spans="2:19" x14ac:dyDescent="0.2">
      <c r="B1590" s="6">
        <f t="shared" si="229"/>
        <v>30</v>
      </c>
      <c r="C1590" s="17"/>
      <c r="D1590" s="17"/>
      <c r="E1590" s="17"/>
      <c r="F1590" s="18"/>
      <c r="G1590" s="19">
        <v>633</v>
      </c>
      <c r="H1590" s="17" t="s">
        <v>122</v>
      </c>
      <c r="I1590" s="20">
        <v>20000</v>
      </c>
      <c r="J1590" s="20">
        <v>3335</v>
      </c>
      <c r="K1590" s="434">
        <f t="shared" si="225"/>
        <v>16.675000000000001</v>
      </c>
      <c r="L1590" s="20"/>
      <c r="M1590" s="20"/>
      <c r="N1590" s="20"/>
      <c r="O1590" s="397"/>
      <c r="P1590" s="20"/>
      <c r="Q1590" s="21">
        <f t="shared" si="226"/>
        <v>20000</v>
      </c>
      <c r="R1590" s="21">
        <f t="shared" si="227"/>
        <v>3335</v>
      </c>
      <c r="S1590" s="448">
        <f t="shared" si="228"/>
        <v>16.675000000000001</v>
      </c>
    </row>
    <row r="1591" spans="2:19" x14ac:dyDescent="0.2">
      <c r="B1591" s="6">
        <f t="shared" si="229"/>
        <v>31</v>
      </c>
      <c r="C1591" s="17"/>
      <c r="D1591" s="17"/>
      <c r="E1591" s="17"/>
      <c r="F1591" s="18"/>
      <c r="G1591" s="19">
        <v>635</v>
      </c>
      <c r="H1591" s="17" t="s">
        <v>130</v>
      </c>
      <c r="I1591" s="20">
        <v>34500</v>
      </c>
      <c r="J1591" s="20">
        <v>34155</v>
      </c>
      <c r="K1591" s="434">
        <f t="shared" si="225"/>
        <v>99</v>
      </c>
      <c r="L1591" s="20"/>
      <c r="M1591" s="20"/>
      <c r="N1591" s="20"/>
      <c r="O1591" s="397"/>
      <c r="P1591" s="20"/>
      <c r="Q1591" s="21">
        <f t="shared" si="226"/>
        <v>34500</v>
      </c>
      <c r="R1591" s="21">
        <f t="shared" si="227"/>
        <v>34155</v>
      </c>
      <c r="S1591" s="448">
        <f t="shared" si="228"/>
        <v>99</v>
      </c>
    </row>
    <row r="1592" spans="2:19" x14ac:dyDescent="0.2">
      <c r="B1592" s="6">
        <f t="shared" si="229"/>
        <v>32</v>
      </c>
      <c r="C1592" s="17"/>
      <c r="D1592" s="17"/>
      <c r="E1592" s="17"/>
      <c r="F1592" s="18"/>
      <c r="G1592" s="19">
        <v>637</v>
      </c>
      <c r="H1592" s="17" t="s">
        <v>119</v>
      </c>
      <c r="I1592" s="20">
        <f>36220+1000</f>
        <v>37220</v>
      </c>
      <c r="J1592" s="20">
        <v>26854</v>
      </c>
      <c r="K1592" s="434">
        <f t="shared" si="225"/>
        <v>72.14938205265986</v>
      </c>
      <c r="L1592" s="20"/>
      <c r="M1592" s="20"/>
      <c r="N1592" s="20"/>
      <c r="O1592" s="397"/>
      <c r="P1592" s="20"/>
      <c r="Q1592" s="21">
        <f t="shared" si="226"/>
        <v>37220</v>
      </c>
      <c r="R1592" s="21">
        <f t="shared" si="227"/>
        <v>26854</v>
      </c>
      <c r="S1592" s="448">
        <f t="shared" si="228"/>
        <v>72.14938205265986</v>
      </c>
    </row>
    <row r="1593" spans="2:19" x14ac:dyDescent="0.2">
      <c r="B1593" s="6">
        <f t="shared" si="229"/>
        <v>33</v>
      </c>
      <c r="C1593" s="12"/>
      <c r="D1593" s="12"/>
      <c r="E1593" s="12"/>
      <c r="F1593" s="13" t="s">
        <v>74</v>
      </c>
      <c r="G1593" s="14">
        <v>710</v>
      </c>
      <c r="H1593" s="12" t="s">
        <v>172</v>
      </c>
      <c r="I1593" s="15"/>
      <c r="J1593" s="15"/>
      <c r="K1593" s="434"/>
      <c r="L1593" s="15"/>
      <c r="M1593" s="15">
        <f>M1594+M1598</f>
        <v>7324626</v>
      </c>
      <c r="N1593" s="15">
        <f>N1594+N1598</f>
        <v>4367</v>
      </c>
      <c r="O1593" s="397">
        <f t="shared" ref="O1593:O1602" si="230">N1593/M1593*100</f>
        <v>5.9620791559869407E-2</v>
      </c>
      <c r="P1593" s="15"/>
      <c r="Q1593" s="16">
        <f t="shared" ref="Q1593:Q1626" si="231">I1593+M1593</f>
        <v>7324626</v>
      </c>
      <c r="R1593" s="16">
        <f t="shared" ref="R1593:R1626" si="232">J1593+N1593</f>
        <v>4367</v>
      </c>
      <c r="S1593" s="448">
        <f t="shared" ref="S1593:S1624" si="233">R1593/Q1593*100</f>
        <v>5.9620791559869407E-2</v>
      </c>
    </row>
    <row r="1594" spans="2:19" x14ac:dyDescent="0.2">
      <c r="B1594" s="6">
        <f t="shared" ref="B1594:B1626" si="234">B1593+1</f>
        <v>34</v>
      </c>
      <c r="C1594" s="17"/>
      <c r="D1594" s="17"/>
      <c r="E1594" s="17"/>
      <c r="F1594" s="18"/>
      <c r="G1594" s="19">
        <v>716</v>
      </c>
      <c r="H1594" s="17" t="s">
        <v>213</v>
      </c>
      <c r="I1594" s="20"/>
      <c r="J1594" s="20"/>
      <c r="K1594" s="434"/>
      <c r="L1594" s="20"/>
      <c r="M1594" s="20">
        <f>SUM(M1595:M1597)</f>
        <v>113200</v>
      </c>
      <c r="N1594" s="20">
        <f>SUM(N1595:N1597)</f>
        <v>4367</v>
      </c>
      <c r="O1594" s="397">
        <f t="shared" si="230"/>
        <v>3.8577738515901059</v>
      </c>
      <c r="P1594" s="20"/>
      <c r="Q1594" s="21">
        <f t="shared" si="231"/>
        <v>113200</v>
      </c>
      <c r="R1594" s="21">
        <f t="shared" si="232"/>
        <v>4367</v>
      </c>
      <c r="S1594" s="448">
        <f t="shared" si="233"/>
        <v>3.8577738515901059</v>
      </c>
    </row>
    <row r="1595" spans="2:19" x14ac:dyDescent="0.2">
      <c r="B1595" s="6">
        <f t="shared" si="234"/>
        <v>35</v>
      </c>
      <c r="C1595" s="22"/>
      <c r="D1595" s="22"/>
      <c r="E1595" s="22"/>
      <c r="F1595" s="124"/>
      <c r="G1595" s="124"/>
      <c r="H1595" s="1" t="s">
        <v>387</v>
      </c>
      <c r="I1595" s="24"/>
      <c r="J1595" s="24"/>
      <c r="K1595" s="434"/>
      <c r="L1595" s="24"/>
      <c r="M1595" s="24">
        <v>90000</v>
      </c>
      <c r="N1595" s="24">
        <v>1169</v>
      </c>
      <c r="O1595" s="397">
        <f t="shared" si="230"/>
        <v>1.2988888888888888</v>
      </c>
      <c r="P1595" s="24"/>
      <c r="Q1595" s="26">
        <f t="shared" si="231"/>
        <v>90000</v>
      </c>
      <c r="R1595" s="26">
        <f t="shared" si="232"/>
        <v>1169</v>
      </c>
      <c r="S1595" s="448">
        <f t="shared" si="233"/>
        <v>1.2988888888888888</v>
      </c>
    </row>
    <row r="1596" spans="2:19" x14ac:dyDescent="0.2">
      <c r="B1596" s="6">
        <f t="shared" si="234"/>
        <v>36</v>
      </c>
      <c r="C1596" s="22"/>
      <c r="D1596" s="22"/>
      <c r="E1596" s="22"/>
      <c r="F1596" s="124"/>
      <c r="G1596" s="124"/>
      <c r="H1596" s="1" t="s">
        <v>596</v>
      </c>
      <c r="I1596" s="24"/>
      <c r="J1596" s="24"/>
      <c r="K1596" s="434"/>
      <c r="L1596" s="24"/>
      <c r="M1596" s="24">
        <v>3200</v>
      </c>
      <c r="N1596" s="24">
        <v>3198</v>
      </c>
      <c r="O1596" s="397">
        <f t="shared" si="230"/>
        <v>99.9375</v>
      </c>
      <c r="P1596" s="24"/>
      <c r="Q1596" s="26">
        <f t="shared" si="231"/>
        <v>3200</v>
      </c>
      <c r="R1596" s="26">
        <f t="shared" si="232"/>
        <v>3198</v>
      </c>
      <c r="S1596" s="448">
        <f t="shared" si="233"/>
        <v>99.9375</v>
      </c>
    </row>
    <row r="1597" spans="2:19" x14ac:dyDescent="0.2">
      <c r="B1597" s="6">
        <f t="shared" si="234"/>
        <v>37</v>
      </c>
      <c r="C1597" s="22"/>
      <c r="D1597" s="22"/>
      <c r="E1597" s="22"/>
      <c r="F1597" s="124"/>
      <c r="G1597" s="124"/>
      <c r="H1597" s="1" t="s">
        <v>467</v>
      </c>
      <c r="I1597" s="24"/>
      <c r="J1597" s="24"/>
      <c r="K1597" s="434"/>
      <c r="L1597" s="24"/>
      <c r="M1597" s="24">
        <v>20000</v>
      </c>
      <c r="N1597" s="24">
        <v>0</v>
      </c>
      <c r="O1597" s="397">
        <f t="shared" si="230"/>
        <v>0</v>
      </c>
      <c r="P1597" s="24"/>
      <c r="Q1597" s="26">
        <f t="shared" si="231"/>
        <v>20000</v>
      </c>
      <c r="R1597" s="26">
        <f t="shared" si="232"/>
        <v>0</v>
      </c>
      <c r="S1597" s="448">
        <f t="shared" si="233"/>
        <v>0</v>
      </c>
    </row>
    <row r="1598" spans="2:19" x14ac:dyDescent="0.2">
      <c r="B1598" s="6">
        <f t="shared" si="234"/>
        <v>38</v>
      </c>
      <c r="C1598" s="17"/>
      <c r="D1598" s="17"/>
      <c r="E1598" s="17"/>
      <c r="F1598" s="18"/>
      <c r="G1598" s="19">
        <v>717</v>
      </c>
      <c r="H1598" s="17" t="s">
        <v>179</v>
      </c>
      <c r="I1598" s="20"/>
      <c r="J1598" s="20"/>
      <c r="K1598" s="434"/>
      <c r="L1598" s="20"/>
      <c r="M1598" s="20">
        <f>SUM(M1599:M1601)</f>
        <v>7211426</v>
      </c>
      <c r="N1598" s="20">
        <f>SUM(N1599:N1601)</f>
        <v>0</v>
      </c>
      <c r="O1598" s="397">
        <f t="shared" si="230"/>
        <v>0</v>
      </c>
      <c r="P1598" s="20"/>
      <c r="Q1598" s="21">
        <f t="shared" si="231"/>
        <v>7211426</v>
      </c>
      <c r="R1598" s="21">
        <f t="shared" si="232"/>
        <v>0</v>
      </c>
      <c r="S1598" s="448">
        <f t="shared" si="233"/>
        <v>0</v>
      </c>
    </row>
    <row r="1599" spans="2:19" x14ac:dyDescent="0.2">
      <c r="B1599" s="6">
        <f t="shared" si="234"/>
        <v>39</v>
      </c>
      <c r="C1599" s="22"/>
      <c r="D1599" s="22"/>
      <c r="E1599" s="22"/>
      <c r="F1599" s="124"/>
      <c r="G1599" s="124"/>
      <c r="H1599" s="1" t="s">
        <v>466</v>
      </c>
      <c r="I1599" s="24"/>
      <c r="J1599" s="24"/>
      <c r="K1599" s="434"/>
      <c r="L1599" s="24"/>
      <c r="M1599" s="24">
        <v>6764959</v>
      </c>
      <c r="N1599" s="24">
        <v>0</v>
      </c>
      <c r="O1599" s="397">
        <f t="shared" si="230"/>
        <v>0</v>
      </c>
      <c r="P1599" s="24"/>
      <c r="Q1599" s="26">
        <f t="shared" si="231"/>
        <v>6764959</v>
      </c>
      <c r="R1599" s="26">
        <f t="shared" si="232"/>
        <v>0</v>
      </c>
      <c r="S1599" s="448">
        <f t="shared" si="233"/>
        <v>0</v>
      </c>
    </row>
    <row r="1600" spans="2:19" x14ac:dyDescent="0.2">
      <c r="B1600" s="6">
        <f t="shared" si="234"/>
        <v>40</v>
      </c>
      <c r="C1600" s="22"/>
      <c r="D1600" s="22"/>
      <c r="E1600" s="22"/>
      <c r="F1600" s="124"/>
      <c r="G1600" s="124"/>
      <c r="H1600" s="1" t="s">
        <v>440</v>
      </c>
      <c r="I1600" s="24"/>
      <c r="J1600" s="24"/>
      <c r="K1600" s="434"/>
      <c r="L1600" s="24"/>
      <c r="M1600" s="24">
        <v>419667</v>
      </c>
      <c r="N1600" s="24">
        <v>0</v>
      </c>
      <c r="O1600" s="397">
        <f t="shared" si="230"/>
        <v>0</v>
      </c>
      <c r="P1600" s="24"/>
      <c r="Q1600" s="26">
        <f t="shared" si="231"/>
        <v>419667</v>
      </c>
      <c r="R1600" s="26">
        <f t="shared" si="232"/>
        <v>0</v>
      </c>
      <c r="S1600" s="448">
        <f t="shared" si="233"/>
        <v>0</v>
      </c>
    </row>
    <row r="1601" spans="2:19" x14ac:dyDescent="0.2">
      <c r="B1601" s="6">
        <f t="shared" si="234"/>
        <v>41</v>
      </c>
      <c r="C1601" s="22"/>
      <c r="D1601" s="22"/>
      <c r="E1601" s="22"/>
      <c r="F1601" s="124"/>
      <c r="G1601" s="124"/>
      <c r="H1601" s="1" t="s">
        <v>596</v>
      </c>
      <c r="I1601" s="24"/>
      <c r="J1601" s="24"/>
      <c r="K1601" s="434"/>
      <c r="L1601" s="24"/>
      <c r="M1601" s="24">
        <f>30000-3200</f>
        <v>26800</v>
      </c>
      <c r="N1601" s="24">
        <v>0</v>
      </c>
      <c r="O1601" s="397">
        <f t="shared" si="230"/>
        <v>0</v>
      </c>
      <c r="P1601" s="24"/>
      <c r="Q1601" s="26">
        <f t="shared" si="231"/>
        <v>26800</v>
      </c>
      <c r="R1601" s="26">
        <f t="shared" si="232"/>
        <v>0</v>
      </c>
      <c r="S1601" s="448">
        <f t="shared" si="233"/>
        <v>0</v>
      </c>
    </row>
    <row r="1602" spans="2:19" ht="15" x14ac:dyDescent="0.2">
      <c r="B1602" s="6">
        <f t="shared" si="234"/>
        <v>42</v>
      </c>
      <c r="C1602" s="266">
        <v>4</v>
      </c>
      <c r="D1602" s="654" t="s">
        <v>499</v>
      </c>
      <c r="E1602" s="655"/>
      <c r="F1602" s="655"/>
      <c r="G1602" s="655"/>
      <c r="H1602" s="655"/>
      <c r="I1602" s="10">
        <f>I1603+I1604+I1605+I1611</f>
        <v>902862</v>
      </c>
      <c r="J1602" s="10">
        <f>J1603+J1604+J1605+J1611</f>
        <v>667089</v>
      </c>
      <c r="K1602" s="482">
        <f t="shared" ref="K1602:K1611" si="235">J1602/I1602*100</f>
        <v>73.886042385215006</v>
      </c>
      <c r="L1602" s="312"/>
      <c r="M1602" s="10">
        <f>M1612</f>
        <v>20800</v>
      </c>
      <c r="N1602" s="10">
        <f>N1612</f>
        <v>20653</v>
      </c>
      <c r="O1602" s="395">
        <f t="shared" si="230"/>
        <v>99.293269230769226</v>
      </c>
      <c r="P1602" s="312"/>
      <c r="Q1602" s="31">
        <f t="shared" si="231"/>
        <v>923662</v>
      </c>
      <c r="R1602" s="31">
        <f t="shared" si="232"/>
        <v>687742</v>
      </c>
      <c r="S1602" s="449">
        <f t="shared" si="233"/>
        <v>74.458189251046377</v>
      </c>
    </row>
    <row r="1603" spans="2:19" x14ac:dyDescent="0.2">
      <c r="B1603" s="6">
        <f t="shared" si="234"/>
        <v>43</v>
      </c>
      <c r="C1603" s="12"/>
      <c r="D1603" s="12"/>
      <c r="E1603" s="12"/>
      <c r="F1603" s="13" t="s">
        <v>74</v>
      </c>
      <c r="G1603" s="14">
        <v>610</v>
      </c>
      <c r="H1603" s="12" t="s">
        <v>128</v>
      </c>
      <c r="I1603" s="15">
        <v>290000</v>
      </c>
      <c r="J1603" s="15">
        <v>275822</v>
      </c>
      <c r="K1603" s="434">
        <f t="shared" si="235"/>
        <v>95.111034482758612</v>
      </c>
      <c r="L1603" s="15"/>
      <c r="M1603" s="15"/>
      <c r="N1603" s="15"/>
      <c r="O1603" s="397"/>
      <c r="P1603" s="15"/>
      <c r="Q1603" s="16">
        <f t="shared" si="231"/>
        <v>290000</v>
      </c>
      <c r="R1603" s="16">
        <f t="shared" si="232"/>
        <v>275822</v>
      </c>
      <c r="S1603" s="448">
        <f t="shared" si="233"/>
        <v>95.111034482758612</v>
      </c>
    </row>
    <row r="1604" spans="2:19" x14ac:dyDescent="0.2">
      <c r="B1604" s="6">
        <f t="shared" si="234"/>
        <v>44</v>
      </c>
      <c r="C1604" s="17"/>
      <c r="D1604" s="17"/>
      <c r="E1604" s="17"/>
      <c r="F1604" s="13" t="s">
        <v>74</v>
      </c>
      <c r="G1604" s="14">
        <v>620</v>
      </c>
      <c r="H1604" s="12" t="s">
        <v>121</v>
      </c>
      <c r="I1604" s="15">
        <f>134200-20000</f>
        <v>114200</v>
      </c>
      <c r="J1604" s="15">
        <v>105711</v>
      </c>
      <c r="K1604" s="434">
        <f t="shared" si="235"/>
        <v>92.566549912434326</v>
      </c>
      <c r="L1604" s="15"/>
      <c r="M1604" s="20"/>
      <c r="N1604" s="20"/>
      <c r="O1604" s="397"/>
      <c r="P1604" s="20"/>
      <c r="Q1604" s="21">
        <f t="shared" si="231"/>
        <v>114200</v>
      </c>
      <c r="R1604" s="21">
        <f t="shared" si="232"/>
        <v>105711</v>
      </c>
      <c r="S1604" s="448">
        <f t="shared" si="233"/>
        <v>92.566549912434326</v>
      </c>
    </row>
    <row r="1605" spans="2:19" x14ac:dyDescent="0.2">
      <c r="B1605" s="6">
        <f t="shared" si="234"/>
        <v>45</v>
      </c>
      <c r="C1605" s="12"/>
      <c r="D1605" s="12"/>
      <c r="E1605" s="12"/>
      <c r="F1605" s="13" t="s">
        <v>74</v>
      </c>
      <c r="G1605" s="14">
        <v>630</v>
      </c>
      <c r="H1605" s="12" t="s">
        <v>118</v>
      </c>
      <c r="I1605" s="15">
        <f>SUM(I1606:I1610)</f>
        <v>482662</v>
      </c>
      <c r="J1605" s="15">
        <f>SUM(J1606:J1610)</f>
        <v>275153</v>
      </c>
      <c r="K1605" s="434">
        <f t="shared" si="235"/>
        <v>57.007388192979768</v>
      </c>
      <c r="L1605" s="15"/>
      <c r="M1605" s="15"/>
      <c r="N1605" s="15"/>
      <c r="O1605" s="397"/>
      <c r="P1605" s="15"/>
      <c r="Q1605" s="16">
        <f t="shared" si="231"/>
        <v>482662</v>
      </c>
      <c r="R1605" s="16">
        <f t="shared" si="232"/>
        <v>275153</v>
      </c>
      <c r="S1605" s="448">
        <f t="shared" si="233"/>
        <v>57.007388192979768</v>
      </c>
    </row>
    <row r="1606" spans="2:19" x14ac:dyDescent="0.2">
      <c r="B1606" s="6">
        <f t="shared" si="234"/>
        <v>46</v>
      </c>
      <c r="C1606" s="17"/>
      <c r="D1606" s="17"/>
      <c r="E1606" s="17"/>
      <c r="F1606" s="18"/>
      <c r="G1606" s="125">
        <v>632</v>
      </c>
      <c r="H1606" s="126" t="s">
        <v>131</v>
      </c>
      <c r="I1606" s="30">
        <v>77900</v>
      </c>
      <c r="J1606" s="30">
        <v>47061</v>
      </c>
      <c r="K1606" s="475">
        <f t="shared" si="235"/>
        <v>60.412066752246474</v>
      </c>
      <c r="L1606" s="20"/>
      <c r="M1606" s="30"/>
      <c r="N1606" s="30"/>
      <c r="O1606" s="398"/>
      <c r="P1606" s="20"/>
      <c r="Q1606" s="127">
        <f t="shared" si="231"/>
        <v>77900</v>
      </c>
      <c r="R1606" s="127">
        <f t="shared" si="232"/>
        <v>47061</v>
      </c>
      <c r="S1606" s="468">
        <f t="shared" si="233"/>
        <v>60.412066752246474</v>
      </c>
    </row>
    <row r="1607" spans="2:19" x14ac:dyDescent="0.2">
      <c r="B1607" s="6">
        <f t="shared" si="234"/>
        <v>47</v>
      </c>
      <c r="C1607" s="17"/>
      <c r="D1607" s="17"/>
      <c r="E1607" s="17"/>
      <c r="F1607" s="18"/>
      <c r="G1607" s="19">
        <v>633</v>
      </c>
      <c r="H1607" s="17" t="s">
        <v>122</v>
      </c>
      <c r="I1607" s="20">
        <f>51342+13700+5000</f>
        <v>70042</v>
      </c>
      <c r="J1607" s="20">
        <v>64497</v>
      </c>
      <c r="K1607" s="434">
        <f t="shared" si="235"/>
        <v>92.083321435709991</v>
      </c>
      <c r="L1607" s="20"/>
      <c r="M1607" s="20"/>
      <c r="N1607" s="20"/>
      <c r="O1607" s="397"/>
      <c r="P1607" s="20"/>
      <c r="Q1607" s="21">
        <f t="shared" si="231"/>
        <v>70042</v>
      </c>
      <c r="R1607" s="21">
        <f t="shared" si="232"/>
        <v>64497</v>
      </c>
      <c r="S1607" s="448">
        <f t="shared" si="233"/>
        <v>92.083321435709991</v>
      </c>
    </row>
    <row r="1608" spans="2:19" x14ac:dyDescent="0.2">
      <c r="B1608" s="6">
        <f t="shared" si="234"/>
        <v>48</v>
      </c>
      <c r="C1608" s="17"/>
      <c r="D1608" s="17"/>
      <c r="E1608" s="17"/>
      <c r="F1608" s="18"/>
      <c r="G1608" s="19">
        <v>635</v>
      </c>
      <c r="H1608" s="17" t="s">
        <v>130</v>
      </c>
      <c r="I1608" s="20">
        <f>48800-8500</f>
        <v>40300</v>
      </c>
      <c r="J1608" s="20">
        <v>3356</v>
      </c>
      <c r="K1608" s="434">
        <f t="shared" si="235"/>
        <v>8.3275434243176178</v>
      </c>
      <c r="L1608" s="20"/>
      <c r="M1608" s="20"/>
      <c r="N1608" s="20"/>
      <c r="O1608" s="397"/>
      <c r="P1608" s="20"/>
      <c r="Q1608" s="21">
        <f t="shared" si="231"/>
        <v>40300</v>
      </c>
      <c r="R1608" s="21">
        <f t="shared" si="232"/>
        <v>3356</v>
      </c>
      <c r="S1608" s="448">
        <f t="shared" si="233"/>
        <v>8.3275434243176178</v>
      </c>
    </row>
    <row r="1609" spans="2:19" x14ac:dyDescent="0.2">
      <c r="B1609" s="6">
        <f t="shared" si="234"/>
        <v>49</v>
      </c>
      <c r="C1609" s="17"/>
      <c r="D1609" s="17"/>
      <c r="E1609" s="17"/>
      <c r="F1609" s="18"/>
      <c r="G1609" s="19">
        <v>636</v>
      </c>
      <c r="H1609" s="17" t="s">
        <v>123</v>
      </c>
      <c r="I1609" s="20">
        <v>4800</v>
      </c>
      <c r="J1609" s="20">
        <v>3753</v>
      </c>
      <c r="K1609" s="434">
        <f t="shared" si="235"/>
        <v>78.1875</v>
      </c>
      <c r="L1609" s="20"/>
      <c r="M1609" s="20"/>
      <c r="N1609" s="20"/>
      <c r="O1609" s="397"/>
      <c r="P1609" s="20"/>
      <c r="Q1609" s="21">
        <f t="shared" si="231"/>
        <v>4800</v>
      </c>
      <c r="R1609" s="21">
        <f t="shared" si="232"/>
        <v>3753</v>
      </c>
      <c r="S1609" s="448">
        <f t="shared" si="233"/>
        <v>78.1875</v>
      </c>
    </row>
    <row r="1610" spans="2:19" x14ac:dyDescent="0.2">
      <c r="B1610" s="6">
        <f t="shared" si="234"/>
        <v>50</v>
      </c>
      <c r="C1610" s="17"/>
      <c r="D1610" s="17"/>
      <c r="E1610" s="17"/>
      <c r="F1610" s="18"/>
      <c r="G1610" s="19">
        <v>637</v>
      </c>
      <c r="H1610" s="17" t="s">
        <v>119</v>
      </c>
      <c r="I1610" s="20">
        <f>312320-17700-5000</f>
        <v>289620</v>
      </c>
      <c r="J1610" s="20">
        <v>156486</v>
      </c>
      <c r="K1610" s="434">
        <f t="shared" si="235"/>
        <v>54.031489538015329</v>
      </c>
      <c r="L1610" s="20"/>
      <c r="M1610" s="20"/>
      <c r="N1610" s="20"/>
      <c r="O1610" s="397"/>
      <c r="P1610" s="20"/>
      <c r="Q1610" s="21">
        <f t="shared" si="231"/>
        <v>289620</v>
      </c>
      <c r="R1610" s="21">
        <f t="shared" si="232"/>
        <v>156486</v>
      </c>
      <c r="S1610" s="448">
        <f t="shared" si="233"/>
        <v>54.031489538015329</v>
      </c>
    </row>
    <row r="1611" spans="2:19" x14ac:dyDescent="0.2">
      <c r="B1611" s="6">
        <f t="shared" si="234"/>
        <v>51</v>
      </c>
      <c r="C1611" s="547"/>
      <c r="D1611" s="547"/>
      <c r="E1611" s="547"/>
      <c r="F1611" s="548" t="s">
        <v>74</v>
      </c>
      <c r="G1611" s="549">
        <v>640</v>
      </c>
      <c r="H1611" s="547" t="s">
        <v>126</v>
      </c>
      <c r="I1611" s="502">
        <v>16000</v>
      </c>
      <c r="J1611" s="502">
        <v>10403</v>
      </c>
      <c r="K1611" s="503">
        <f t="shared" si="235"/>
        <v>65.018749999999997</v>
      </c>
      <c r="L1611" s="502"/>
      <c r="M1611" s="502"/>
      <c r="N1611" s="502"/>
      <c r="O1611" s="514"/>
      <c r="P1611" s="502"/>
      <c r="Q1611" s="550">
        <f t="shared" si="231"/>
        <v>16000</v>
      </c>
      <c r="R1611" s="550">
        <f t="shared" si="232"/>
        <v>10403</v>
      </c>
      <c r="S1611" s="551">
        <f t="shared" si="233"/>
        <v>65.018749999999997</v>
      </c>
    </row>
    <row r="1612" spans="2:19" x14ac:dyDescent="0.2">
      <c r="B1612" s="6">
        <f t="shared" si="234"/>
        <v>52</v>
      </c>
      <c r="C1612" s="386"/>
      <c r="D1612" s="386"/>
      <c r="E1612" s="386"/>
      <c r="F1612" s="384" t="s">
        <v>74</v>
      </c>
      <c r="G1612" s="385">
        <v>710</v>
      </c>
      <c r="H1612" s="386" t="s">
        <v>172</v>
      </c>
      <c r="I1612" s="387"/>
      <c r="J1612" s="387"/>
      <c r="K1612" s="504"/>
      <c r="L1612" s="387"/>
      <c r="M1612" s="387">
        <f>M1615+M1613</f>
        <v>20800</v>
      </c>
      <c r="N1612" s="387">
        <f>N1615+N1613</f>
        <v>20653</v>
      </c>
      <c r="O1612" s="419">
        <f t="shared" ref="O1612:O1617" si="236">N1612/M1612*100</f>
        <v>99.293269230769226</v>
      </c>
      <c r="P1612" s="387"/>
      <c r="Q1612" s="388">
        <f t="shared" si="231"/>
        <v>20800</v>
      </c>
      <c r="R1612" s="388">
        <f t="shared" si="232"/>
        <v>20653</v>
      </c>
      <c r="S1612" s="478">
        <f t="shared" si="233"/>
        <v>99.293269230769226</v>
      </c>
    </row>
    <row r="1613" spans="2:19" x14ac:dyDescent="0.2">
      <c r="B1613" s="6">
        <f t="shared" si="234"/>
        <v>53</v>
      </c>
      <c r="C1613" s="386"/>
      <c r="D1613" s="386"/>
      <c r="E1613" s="386"/>
      <c r="F1613" s="384"/>
      <c r="G1613" s="140">
        <v>713</v>
      </c>
      <c r="H1613" s="138" t="s">
        <v>216</v>
      </c>
      <c r="I1613" s="284"/>
      <c r="J1613" s="505"/>
      <c r="K1613" s="506"/>
      <c r="L1613" s="507"/>
      <c r="M1613" s="507">
        <f>SUM(M1614:M1614)</f>
        <v>5000</v>
      </c>
      <c r="N1613" s="507">
        <f>SUM(N1614:N1614)</f>
        <v>4916</v>
      </c>
      <c r="O1613" s="419">
        <f t="shared" si="236"/>
        <v>98.32</v>
      </c>
      <c r="P1613" s="507"/>
      <c r="Q1613" s="552">
        <f t="shared" si="231"/>
        <v>5000</v>
      </c>
      <c r="R1613" s="552">
        <f t="shared" si="232"/>
        <v>4916</v>
      </c>
      <c r="S1613" s="478">
        <f t="shared" si="233"/>
        <v>98.32</v>
      </c>
    </row>
    <row r="1614" spans="2:19" x14ac:dyDescent="0.2">
      <c r="B1614" s="6">
        <f t="shared" si="234"/>
        <v>54</v>
      </c>
      <c r="C1614" s="386"/>
      <c r="D1614" s="386"/>
      <c r="E1614" s="386"/>
      <c r="F1614" s="384"/>
      <c r="G1614" s="286"/>
      <c r="H1614" s="143" t="s">
        <v>734</v>
      </c>
      <c r="I1614" s="287"/>
      <c r="J1614" s="508"/>
      <c r="K1614" s="506"/>
      <c r="L1614" s="509"/>
      <c r="M1614" s="509">
        <v>5000</v>
      </c>
      <c r="N1614" s="509">
        <v>4916</v>
      </c>
      <c r="O1614" s="419">
        <f t="shared" si="236"/>
        <v>98.32</v>
      </c>
      <c r="P1614" s="553"/>
      <c r="Q1614" s="554">
        <f t="shared" si="231"/>
        <v>5000</v>
      </c>
      <c r="R1614" s="554">
        <f t="shared" si="232"/>
        <v>4916</v>
      </c>
      <c r="S1614" s="478">
        <f t="shared" si="233"/>
        <v>98.32</v>
      </c>
    </row>
    <row r="1615" spans="2:19" x14ac:dyDescent="0.2">
      <c r="B1615" s="6">
        <f t="shared" si="234"/>
        <v>55</v>
      </c>
      <c r="C1615" s="386"/>
      <c r="D1615" s="386"/>
      <c r="E1615" s="386"/>
      <c r="F1615" s="555"/>
      <c r="G1615" s="556">
        <v>717</v>
      </c>
      <c r="H1615" s="383" t="s">
        <v>179</v>
      </c>
      <c r="I1615" s="387"/>
      <c r="J1615" s="387"/>
      <c r="K1615" s="504"/>
      <c r="L1615" s="387"/>
      <c r="M1615" s="507">
        <f>M1616</f>
        <v>15800</v>
      </c>
      <c r="N1615" s="507">
        <f>N1616</f>
        <v>15737</v>
      </c>
      <c r="O1615" s="419">
        <f t="shared" si="236"/>
        <v>99.601265822784811</v>
      </c>
      <c r="P1615" s="387"/>
      <c r="Q1615" s="552">
        <f t="shared" si="231"/>
        <v>15800</v>
      </c>
      <c r="R1615" s="552">
        <f t="shared" si="232"/>
        <v>15737</v>
      </c>
      <c r="S1615" s="478">
        <f t="shared" si="233"/>
        <v>99.601265822784811</v>
      </c>
    </row>
    <row r="1616" spans="2:19" x14ac:dyDescent="0.2">
      <c r="B1616" s="6">
        <f t="shared" si="234"/>
        <v>56</v>
      </c>
      <c r="C1616" s="386"/>
      <c r="D1616" s="386"/>
      <c r="E1616" s="386"/>
      <c r="F1616" s="557"/>
      <c r="G1616" s="557"/>
      <c r="H1616" s="558" t="s">
        <v>653</v>
      </c>
      <c r="I1616" s="387"/>
      <c r="J1616" s="387"/>
      <c r="K1616" s="504"/>
      <c r="L1616" s="387"/>
      <c r="M1616" s="509">
        <f>17500-1700</f>
        <v>15800</v>
      </c>
      <c r="N1616" s="509">
        <v>15737</v>
      </c>
      <c r="O1616" s="419">
        <f t="shared" si="236"/>
        <v>99.601265822784811</v>
      </c>
      <c r="P1616" s="387"/>
      <c r="Q1616" s="554">
        <f t="shared" si="231"/>
        <v>15800</v>
      </c>
      <c r="R1616" s="554">
        <f t="shared" si="232"/>
        <v>15737</v>
      </c>
      <c r="S1616" s="478">
        <f t="shared" si="233"/>
        <v>99.601265822784811</v>
      </c>
    </row>
    <row r="1617" spans="2:19" ht="15" x14ac:dyDescent="0.2">
      <c r="B1617" s="6">
        <f t="shared" si="234"/>
        <v>57</v>
      </c>
      <c r="C1617" s="128">
        <v>5</v>
      </c>
      <c r="D1617" s="656" t="s">
        <v>380</v>
      </c>
      <c r="E1617" s="657"/>
      <c r="F1617" s="657"/>
      <c r="G1617" s="657"/>
      <c r="H1617" s="657"/>
      <c r="I1617" s="129">
        <f>I1618+I1620</f>
        <v>768400</v>
      </c>
      <c r="J1617" s="129">
        <f>J1618+J1620</f>
        <v>741168</v>
      </c>
      <c r="K1617" s="483">
        <f t="shared" ref="K1617:K1624" si="237">J1617/I1617*100</f>
        <v>96.456012493492977</v>
      </c>
      <c r="L1617" s="331"/>
      <c r="M1617" s="129">
        <f>M1625</f>
        <v>202000</v>
      </c>
      <c r="N1617" s="129">
        <f>N1625</f>
        <v>202000</v>
      </c>
      <c r="O1617" s="428">
        <f t="shared" si="236"/>
        <v>100</v>
      </c>
      <c r="P1617" s="331"/>
      <c r="Q1617" s="131">
        <f t="shared" si="231"/>
        <v>970400</v>
      </c>
      <c r="R1617" s="131">
        <f t="shared" si="232"/>
        <v>943168</v>
      </c>
      <c r="S1617" s="488">
        <f t="shared" si="233"/>
        <v>97.193734542456724</v>
      </c>
    </row>
    <row r="1618" spans="2:19" x14ac:dyDescent="0.2">
      <c r="B1618" s="6">
        <f t="shared" si="234"/>
        <v>58</v>
      </c>
      <c r="C1618" s="132"/>
      <c r="D1618" s="133"/>
      <c r="E1618" s="133"/>
      <c r="F1618" s="134" t="s">
        <v>74</v>
      </c>
      <c r="G1618" s="135">
        <v>640</v>
      </c>
      <c r="H1618" s="133" t="s">
        <v>126</v>
      </c>
      <c r="I1618" s="142">
        <f>I1619</f>
        <v>658000</v>
      </c>
      <c r="J1618" s="142">
        <f>J1619</f>
        <v>658000</v>
      </c>
      <c r="K1618" s="485">
        <f t="shared" si="237"/>
        <v>100</v>
      </c>
      <c r="L1618" s="142"/>
      <c r="M1618" s="136"/>
      <c r="N1618" s="136"/>
      <c r="O1618" s="429"/>
      <c r="P1618" s="136"/>
      <c r="Q1618" s="301">
        <f t="shared" si="231"/>
        <v>658000</v>
      </c>
      <c r="R1618" s="301">
        <f t="shared" si="232"/>
        <v>658000</v>
      </c>
      <c r="S1618" s="489">
        <f t="shared" si="233"/>
        <v>100</v>
      </c>
    </row>
    <row r="1619" spans="2:19" ht="24" x14ac:dyDescent="0.2">
      <c r="B1619" s="6">
        <f t="shared" si="234"/>
        <v>59</v>
      </c>
      <c r="C1619" s="278"/>
      <c r="D1619" s="279"/>
      <c r="E1619" s="279"/>
      <c r="F1619" s="280"/>
      <c r="G1619" s="281"/>
      <c r="H1619" s="282" t="s">
        <v>468</v>
      </c>
      <c r="I1619" s="277">
        <f>860000-202000</f>
        <v>658000</v>
      </c>
      <c r="J1619" s="370">
        <v>658000</v>
      </c>
      <c r="K1619" s="480">
        <f t="shared" si="237"/>
        <v>100</v>
      </c>
      <c r="L1619" s="283"/>
      <c r="M1619" s="283"/>
      <c r="N1619" s="283"/>
      <c r="O1619" s="430"/>
      <c r="P1619" s="283"/>
      <c r="Q1619" s="300">
        <f t="shared" si="231"/>
        <v>658000</v>
      </c>
      <c r="R1619" s="300">
        <f t="shared" si="232"/>
        <v>658000</v>
      </c>
      <c r="S1619" s="487">
        <f t="shared" si="233"/>
        <v>100</v>
      </c>
    </row>
    <row r="1620" spans="2:19" x14ac:dyDescent="0.2">
      <c r="B1620" s="6">
        <f t="shared" si="234"/>
        <v>60</v>
      </c>
      <c r="C1620" s="144"/>
      <c r="D1620" s="145"/>
      <c r="E1620" s="145"/>
      <c r="F1620" s="134" t="s">
        <v>74</v>
      </c>
      <c r="G1620" s="135">
        <v>600</v>
      </c>
      <c r="H1620" s="133" t="s">
        <v>431</v>
      </c>
      <c r="I1620" s="293">
        <f>SUM(I1621:I1624)</f>
        <v>110400</v>
      </c>
      <c r="J1620" s="293">
        <f>SUM(J1621:J1624)</f>
        <v>83168</v>
      </c>
      <c r="K1620" s="486">
        <f t="shared" si="237"/>
        <v>75.333333333333329</v>
      </c>
      <c r="L1620" s="136"/>
      <c r="M1620" s="136"/>
      <c r="N1620" s="136"/>
      <c r="O1620" s="429"/>
      <c r="P1620" s="136"/>
      <c r="Q1620" s="301">
        <f t="shared" si="231"/>
        <v>110400</v>
      </c>
      <c r="R1620" s="301">
        <f t="shared" si="232"/>
        <v>83168</v>
      </c>
      <c r="S1620" s="489">
        <f t="shared" si="233"/>
        <v>75.333333333333329</v>
      </c>
    </row>
    <row r="1621" spans="2:19" x14ac:dyDescent="0.2">
      <c r="B1621" s="6">
        <f t="shared" si="234"/>
        <v>61</v>
      </c>
      <c r="C1621" s="144"/>
      <c r="D1621" s="145"/>
      <c r="E1621" s="145"/>
      <c r="F1621" s="134"/>
      <c r="G1621" s="140">
        <v>610</v>
      </c>
      <c r="H1621" s="17" t="s">
        <v>128</v>
      </c>
      <c r="I1621" s="141">
        <v>49140</v>
      </c>
      <c r="J1621" s="141">
        <v>41273</v>
      </c>
      <c r="K1621" s="485">
        <f t="shared" si="237"/>
        <v>83.990638990638985</v>
      </c>
      <c r="L1621" s="136"/>
      <c r="M1621" s="136"/>
      <c r="N1621" s="136"/>
      <c r="O1621" s="429"/>
      <c r="P1621" s="136"/>
      <c r="Q1621" s="299">
        <f t="shared" si="231"/>
        <v>49140</v>
      </c>
      <c r="R1621" s="299">
        <f t="shared" si="232"/>
        <v>41273</v>
      </c>
      <c r="S1621" s="489">
        <f t="shared" si="233"/>
        <v>83.990638990638985</v>
      </c>
    </row>
    <row r="1622" spans="2:19" x14ac:dyDescent="0.2">
      <c r="B1622" s="6">
        <f t="shared" si="234"/>
        <v>62</v>
      </c>
      <c r="C1622" s="144"/>
      <c r="D1622" s="145"/>
      <c r="E1622" s="145"/>
      <c r="F1622" s="134"/>
      <c r="G1622" s="140">
        <v>620</v>
      </c>
      <c r="H1622" s="138" t="s">
        <v>121</v>
      </c>
      <c r="I1622" s="141">
        <f>26460-1000-500</f>
        <v>24960</v>
      </c>
      <c r="J1622" s="141">
        <v>17511</v>
      </c>
      <c r="K1622" s="485">
        <f t="shared" si="237"/>
        <v>70.15625</v>
      </c>
      <c r="L1622" s="136"/>
      <c r="M1622" s="136"/>
      <c r="N1622" s="136"/>
      <c r="O1622" s="429"/>
      <c r="P1622" s="136"/>
      <c r="Q1622" s="299">
        <f t="shared" si="231"/>
        <v>24960</v>
      </c>
      <c r="R1622" s="299">
        <f t="shared" si="232"/>
        <v>17511</v>
      </c>
      <c r="S1622" s="489">
        <f t="shared" si="233"/>
        <v>70.15625</v>
      </c>
    </row>
    <row r="1623" spans="2:19" x14ac:dyDescent="0.2">
      <c r="B1623" s="6">
        <f t="shared" si="234"/>
        <v>63</v>
      </c>
      <c r="C1623" s="144"/>
      <c r="D1623" s="145"/>
      <c r="E1623" s="145"/>
      <c r="F1623" s="134"/>
      <c r="G1623" s="140">
        <v>630</v>
      </c>
      <c r="H1623" s="138" t="s">
        <v>118</v>
      </c>
      <c r="I1623" s="141">
        <v>33800</v>
      </c>
      <c r="J1623" s="141">
        <v>22919</v>
      </c>
      <c r="K1623" s="485">
        <f t="shared" si="237"/>
        <v>67.807692307692307</v>
      </c>
      <c r="L1623" s="136"/>
      <c r="M1623" s="136"/>
      <c r="N1623" s="136"/>
      <c r="O1623" s="429"/>
      <c r="P1623" s="136"/>
      <c r="Q1623" s="299">
        <f t="shared" si="231"/>
        <v>33800</v>
      </c>
      <c r="R1623" s="299">
        <f t="shared" si="232"/>
        <v>22919</v>
      </c>
      <c r="S1623" s="489">
        <f t="shared" si="233"/>
        <v>67.807692307692307</v>
      </c>
    </row>
    <row r="1624" spans="2:19" x14ac:dyDescent="0.2">
      <c r="B1624" s="6">
        <f t="shared" si="234"/>
        <v>64</v>
      </c>
      <c r="C1624" s="144"/>
      <c r="D1624" s="145"/>
      <c r="E1624" s="145"/>
      <c r="F1624" s="134"/>
      <c r="G1624" s="140">
        <v>640</v>
      </c>
      <c r="H1624" s="138" t="s">
        <v>126</v>
      </c>
      <c r="I1624" s="141">
        <f>1000+1000+500</f>
        <v>2500</v>
      </c>
      <c r="J1624" s="141">
        <v>1465</v>
      </c>
      <c r="K1624" s="485">
        <f t="shared" si="237"/>
        <v>58.599999999999994</v>
      </c>
      <c r="L1624" s="136"/>
      <c r="M1624" s="136"/>
      <c r="N1624" s="136"/>
      <c r="O1624" s="429"/>
      <c r="P1624" s="136"/>
      <c r="Q1624" s="299">
        <f t="shared" si="231"/>
        <v>2500</v>
      </c>
      <c r="R1624" s="299">
        <f t="shared" si="232"/>
        <v>1465</v>
      </c>
      <c r="S1624" s="489">
        <f t="shared" si="233"/>
        <v>58.599999999999994</v>
      </c>
    </row>
    <row r="1625" spans="2:19" x14ac:dyDescent="0.2">
      <c r="B1625" s="6">
        <f t="shared" si="234"/>
        <v>65</v>
      </c>
      <c r="C1625" s="132"/>
      <c r="D1625" s="133"/>
      <c r="E1625" s="133"/>
      <c r="F1625" s="134" t="s">
        <v>74</v>
      </c>
      <c r="G1625" s="135">
        <v>720</v>
      </c>
      <c r="H1625" s="133" t="s">
        <v>3</v>
      </c>
      <c r="I1625" s="142"/>
      <c r="J1625" s="142"/>
      <c r="K1625" s="485"/>
      <c r="L1625" s="142"/>
      <c r="M1625" s="142">
        <f>M1626</f>
        <v>202000</v>
      </c>
      <c r="N1625" s="142">
        <f>N1626</f>
        <v>202000</v>
      </c>
      <c r="O1625" s="429">
        <f>N1625/M1625*100</f>
        <v>100</v>
      </c>
      <c r="P1625" s="136"/>
      <c r="Q1625" s="301">
        <f t="shared" si="231"/>
        <v>202000</v>
      </c>
      <c r="R1625" s="301">
        <f t="shared" si="232"/>
        <v>202000</v>
      </c>
      <c r="S1625" s="489">
        <f t="shared" ref="S1625:S1626" si="238">R1625/Q1625*100</f>
        <v>100</v>
      </c>
    </row>
    <row r="1626" spans="2:19" x14ac:dyDescent="0.2">
      <c r="B1626" s="6">
        <f t="shared" si="234"/>
        <v>66</v>
      </c>
      <c r="C1626" s="146"/>
      <c r="D1626" s="147"/>
      <c r="E1626" s="147"/>
      <c r="F1626" s="148"/>
      <c r="G1626" s="149"/>
      <c r="H1626" s="150" t="s">
        <v>414</v>
      </c>
      <c r="I1626" s="151"/>
      <c r="J1626" s="151"/>
      <c r="K1626" s="481"/>
      <c r="L1626" s="151"/>
      <c r="M1626" s="151">
        <v>202000</v>
      </c>
      <c r="N1626" s="151">
        <v>202000</v>
      </c>
      <c r="O1626" s="431">
        <f>N1626/M1626*100</f>
        <v>100</v>
      </c>
      <c r="P1626" s="151"/>
      <c r="Q1626" s="302">
        <f t="shared" si="231"/>
        <v>202000</v>
      </c>
      <c r="R1626" s="302">
        <f t="shared" si="232"/>
        <v>202000</v>
      </c>
      <c r="S1626" s="490">
        <f t="shared" si="238"/>
        <v>100</v>
      </c>
    </row>
    <row r="1631" spans="2:19" ht="27.75" x14ac:dyDescent="0.4">
      <c r="B1631" s="648" t="s">
        <v>22</v>
      </c>
      <c r="C1631" s="649"/>
      <c r="D1631" s="649"/>
      <c r="E1631" s="649"/>
      <c r="F1631" s="649"/>
      <c r="G1631" s="649"/>
      <c r="H1631" s="649"/>
      <c r="I1631" s="649"/>
      <c r="J1631" s="649"/>
      <c r="K1631" s="649"/>
      <c r="L1631" s="649"/>
      <c r="M1631" s="649"/>
      <c r="N1631" s="649"/>
      <c r="O1631" s="649"/>
      <c r="P1631" s="649"/>
      <c r="Q1631" s="649"/>
      <c r="R1631" s="3"/>
      <c r="S1631" s="154"/>
    </row>
    <row r="1632" spans="2:19" x14ac:dyDescent="0.2">
      <c r="B1632" s="631" t="s">
        <v>432</v>
      </c>
      <c r="C1632" s="632"/>
      <c r="D1632" s="632"/>
      <c r="E1632" s="632"/>
      <c r="F1632" s="632"/>
      <c r="G1632" s="632"/>
      <c r="H1632" s="632"/>
      <c r="I1632" s="632"/>
      <c r="J1632" s="632"/>
      <c r="K1632" s="632"/>
      <c r="L1632" s="632"/>
      <c r="M1632" s="632"/>
      <c r="N1632" s="632"/>
      <c r="O1632" s="632"/>
      <c r="P1632" s="632"/>
      <c r="Q1632" s="624" t="s">
        <v>761</v>
      </c>
      <c r="R1632" s="624" t="s">
        <v>757</v>
      </c>
      <c r="S1632" s="641" t="s">
        <v>758</v>
      </c>
    </row>
    <row r="1633" spans="2:19" x14ac:dyDescent="0.2">
      <c r="B1633" s="633"/>
      <c r="C1633" s="634" t="s">
        <v>111</v>
      </c>
      <c r="D1633" s="634" t="s">
        <v>112</v>
      </c>
      <c r="E1633" s="634"/>
      <c r="F1633" s="634" t="s">
        <v>113</v>
      </c>
      <c r="G1633" s="627" t="s">
        <v>114</v>
      </c>
      <c r="H1633" s="628" t="s">
        <v>115</v>
      </c>
      <c r="I1633" s="626" t="s">
        <v>759</v>
      </c>
      <c r="J1633" s="626" t="s">
        <v>757</v>
      </c>
      <c r="K1633" s="643" t="s">
        <v>758</v>
      </c>
      <c r="L1633" s="310"/>
      <c r="M1633" s="626" t="s">
        <v>760</v>
      </c>
      <c r="N1633" s="626" t="s">
        <v>757</v>
      </c>
      <c r="O1633" s="652" t="s">
        <v>758</v>
      </c>
      <c r="P1633" s="310"/>
      <c r="Q1633" s="625"/>
      <c r="R1633" s="625"/>
      <c r="S1633" s="642"/>
    </row>
    <row r="1634" spans="2:19" x14ac:dyDescent="0.2">
      <c r="B1634" s="633"/>
      <c r="C1634" s="634"/>
      <c r="D1634" s="634"/>
      <c r="E1634" s="634"/>
      <c r="F1634" s="634"/>
      <c r="G1634" s="627"/>
      <c r="H1634" s="628"/>
      <c r="I1634" s="626"/>
      <c r="J1634" s="626"/>
      <c r="K1634" s="643"/>
      <c r="L1634" s="310"/>
      <c r="M1634" s="626"/>
      <c r="N1634" s="626"/>
      <c r="O1634" s="652"/>
      <c r="P1634" s="310"/>
      <c r="Q1634" s="625"/>
      <c r="R1634" s="625"/>
      <c r="S1634" s="642"/>
    </row>
    <row r="1635" spans="2:19" x14ac:dyDescent="0.2">
      <c r="B1635" s="633"/>
      <c r="C1635" s="634"/>
      <c r="D1635" s="634"/>
      <c r="E1635" s="634"/>
      <c r="F1635" s="634"/>
      <c r="G1635" s="627"/>
      <c r="H1635" s="628"/>
      <c r="I1635" s="626"/>
      <c r="J1635" s="626"/>
      <c r="K1635" s="643"/>
      <c r="L1635" s="310"/>
      <c r="M1635" s="626"/>
      <c r="N1635" s="626"/>
      <c r="O1635" s="652"/>
      <c r="P1635" s="310"/>
      <c r="Q1635" s="625"/>
      <c r="R1635" s="625"/>
      <c r="S1635" s="642"/>
    </row>
    <row r="1636" spans="2:19" x14ac:dyDescent="0.2">
      <c r="B1636" s="633"/>
      <c r="C1636" s="634"/>
      <c r="D1636" s="634"/>
      <c r="E1636" s="634"/>
      <c r="F1636" s="634"/>
      <c r="G1636" s="627"/>
      <c r="H1636" s="628"/>
      <c r="I1636" s="626"/>
      <c r="J1636" s="626"/>
      <c r="K1636" s="643"/>
      <c r="L1636" s="310"/>
      <c r="M1636" s="626"/>
      <c r="N1636" s="626"/>
      <c r="O1636" s="652"/>
      <c r="P1636" s="310"/>
      <c r="Q1636" s="625"/>
      <c r="R1636" s="625"/>
      <c r="S1636" s="642"/>
    </row>
    <row r="1637" spans="2:19" ht="15.75" x14ac:dyDescent="0.2">
      <c r="B1637" s="6">
        <v>1</v>
      </c>
      <c r="C1637" s="635" t="s">
        <v>22</v>
      </c>
      <c r="D1637" s="636"/>
      <c r="E1637" s="636"/>
      <c r="F1637" s="636"/>
      <c r="G1637" s="636"/>
      <c r="H1637" s="636"/>
      <c r="I1637" s="7">
        <f>I1638+I1679+I1696+I1714+I1717+I1724</f>
        <v>6383491</v>
      </c>
      <c r="J1637" s="7">
        <f>J1638+J1679+J1696+J1714+J1717+J1724</f>
        <v>5525501</v>
      </c>
      <c r="K1637" s="399">
        <f>J1637/I1637*100</f>
        <v>86.559235377632703</v>
      </c>
      <c r="L1637" s="311"/>
      <c r="M1637" s="7">
        <f>M1638+M1679+M1696+M1714+M1717+M1724</f>
        <v>1416586</v>
      </c>
      <c r="N1637" s="7">
        <f>N1638+N1679+N1696+N1714+N1717+N1724</f>
        <v>633747</v>
      </c>
      <c r="O1637" s="399">
        <f>N1637/M1637*100</f>
        <v>44.737629766212571</v>
      </c>
      <c r="P1637" s="311"/>
      <c r="Q1637" s="8">
        <f t="shared" ref="Q1637:Q1668" si="239">I1637+M1637</f>
        <v>7800077</v>
      </c>
      <c r="R1637" s="8">
        <f t="shared" ref="R1637:R1668" si="240">J1637+N1637</f>
        <v>6159248</v>
      </c>
      <c r="S1637" s="445">
        <f t="shared" ref="S1637:S1668" si="241">R1637/Q1637*100</f>
        <v>78.963938432915469</v>
      </c>
    </row>
    <row r="1638" spans="2:19" ht="15" x14ac:dyDescent="0.2">
      <c r="B1638" s="6">
        <f t="shared" ref="B1638:B1669" si="242">B1637+1</f>
        <v>2</v>
      </c>
      <c r="C1638" s="9">
        <v>1</v>
      </c>
      <c r="D1638" s="637" t="s">
        <v>190</v>
      </c>
      <c r="E1638" s="638"/>
      <c r="F1638" s="638"/>
      <c r="G1638" s="638"/>
      <c r="H1638" s="638"/>
      <c r="I1638" s="10">
        <f>I1639+I1648</f>
        <v>1721425</v>
      </c>
      <c r="J1638" s="10">
        <f>J1639+J1648</f>
        <v>1613444</v>
      </c>
      <c r="K1638" s="395">
        <f>J1638/I1638*100</f>
        <v>93.727231799236094</v>
      </c>
      <c r="L1638" s="312"/>
      <c r="M1638" s="10">
        <f>M1648+M1641</f>
        <v>554250</v>
      </c>
      <c r="N1638" s="10">
        <f>N1648+N1641</f>
        <v>318959</v>
      </c>
      <c r="O1638" s="395">
        <f>N1638/M1638*100</f>
        <v>57.547857465042853</v>
      </c>
      <c r="P1638" s="312"/>
      <c r="Q1638" s="31">
        <f t="shared" si="239"/>
        <v>2275675</v>
      </c>
      <c r="R1638" s="31">
        <f t="shared" si="240"/>
        <v>1932403</v>
      </c>
      <c r="S1638" s="449">
        <f t="shared" si="241"/>
        <v>84.915596471376617</v>
      </c>
    </row>
    <row r="1639" spans="2:19" x14ac:dyDescent="0.2">
      <c r="B1639" s="6">
        <f t="shared" si="242"/>
        <v>3</v>
      </c>
      <c r="C1639" s="12"/>
      <c r="D1639" s="12"/>
      <c r="E1639" s="12"/>
      <c r="F1639" s="13" t="s">
        <v>189</v>
      </c>
      <c r="G1639" s="14">
        <v>630</v>
      </c>
      <c r="H1639" s="12" t="s">
        <v>118</v>
      </c>
      <c r="I1639" s="15">
        <f>I1640</f>
        <v>500</v>
      </c>
      <c r="J1639" s="15">
        <f>J1640</f>
        <v>0</v>
      </c>
      <c r="K1639" s="397">
        <f>J1639/I1639*100</f>
        <v>0</v>
      </c>
      <c r="L1639" s="15"/>
      <c r="M1639" s="15"/>
      <c r="N1639" s="15"/>
      <c r="O1639" s="397"/>
      <c r="P1639" s="15"/>
      <c r="Q1639" s="16">
        <f t="shared" si="239"/>
        <v>500</v>
      </c>
      <c r="R1639" s="16">
        <f t="shared" si="240"/>
        <v>0</v>
      </c>
      <c r="S1639" s="448">
        <f t="shared" si="241"/>
        <v>0</v>
      </c>
    </row>
    <row r="1640" spans="2:19" x14ac:dyDescent="0.2">
      <c r="B1640" s="6">
        <f t="shared" si="242"/>
        <v>4</v>
      </c>
      <c r="C1640" s="17"/>
      <c r="D1640" s="17"/>
      <c r="E1640" s="17"/>
      <c r="F1640" s="18"/>
      <c r="G1640" s="19">
        <v>637</v>
      </c>
      <c r="H1640" s="17" t="s">
        <v>119</v>
      </c>
      <c r="I1640" s="20">
        <v>500</v>
      </c>
      <c r="J1640" s="20">
        <v>0</v>
      </c>
      <c r="K1640" s="397">
        <f>J1640/I1640*100</f>
        <v>0</v>
      </c>
      <c r="L1640" s="20"/>
      <c r="M1640" s="20"/>
      <c r="N1640" s="20"/>
      <c r="O1640" s="397"/>
      <c r="P1640" s="20"/>
      <c r="Q1640" s="21">
        <f t="shared" si="239"/>
        <v>500</v>
      </c>
      <c r="R1640" s="21">
        <f t="shared" si="240"/>
        <v>0</v>
      </c>
      <c r="S1640" s="448">
        <f t="shared" si="241"/>
        <v>0</v>
      </c>
    </row>
    <row r="1641" spans="2:19" x14ac:dyDescent="0.2">
      <c r="B1641" s="6">
        <f t="shared" si="242"/>
        <v>5</v>
      </c>
      <c r="C1641" s="12"/>
      <c r="D1641" s="12"/>
      <c r="E1641" s="12"/>
      <c r="F1641" s="13" t="s">
        <v>189</v>
      </c>
      <c r="G1641" s="14">
        <v>710</v>
      </c>
      <c r="H1641" s="12" t="s">
        <v>172</v>
      </c>
      <c r="I1641" s="15"/>
      <c r="J1641" s="15"/>
      <c r="K1641" s="397"/>
      <c r="L1641" s="15"/>
      <c r="M1641" s="15">
        <f>M1642+M1644</f>
        <v>275950</v>
      </c>
      <c r="N1641" s="15">
        <f>N1642+N1644</f>
        <v>105970</v>
      </c>
      <c r="O1641" s="397">
        <f t="shared" ref="O1641:O1649" si="243">N1641/M1641*100</f>
        <v>38.401884399347708</v>
      </c>
      <c r="P1641" s="15"/>
      <c r="Q1641" s="16">
        <f t="shared" si="239"/>
        <v>275950</v>
      </c>
      <c r="R1641" s="16">
        <f t="shared" si="240"/>
        <v>105970</v>
      </c>
      <c r="S1641" s="448">
        <f t="shared" si="241"/>
        <v>38.401884399347708</v>
      </c>
    </row>
    <row r="1642" spans="2:19" x14ac:dyDescent="0.2">
      <c r="B1642" s="6">
        <f t="shared" si="242"/>
        <v>6</v>
      </c>
      <c r="C1642" s="17"/>
      <c r="D1642" s="17"/>
      <c r="E1642" s="17"/>
      <c r="F1642" s="18"/>
      <c r="G1642" s="19">
        <v>716</v>
      </c>
      <c r="H1642" s="17" t="s">
        <v>213</v>
      </c>
      <c r="I1642" s="20"/>
      <c r="J1642" s="20"/>
      <c r="K1642" s="397"/>
      <c r="L1642" s="20"/>
      <c r="M1642" s="20">
        <f>SUM(M1643:M1643)</f>
        <v>46200</v>
      </c>
      <c r="N1642" s="20">
        <f>SUM(N1643:N1643)</f>
        <v>0</v>
      </c>
      <c r="O1642" s="397">
        <f t="shared" si="243"/>
        <v>0</v>
      </c>
      <c r="P1642" s="20"/>
      <c r="Q1642" s="21">
        <f t="shared" si="239"/>
        <v>46200</v>
      </c>
      <c r="R1642" s="21">
        <f t="shared" si="240"/>
        <v>0</v>
      </c>
      <c r="S1642" s="448">
        <f t="shared" si="241"/>
        <v>0</v>
      </c>
    </row>
    <row r="1643" spans="2:19" x14ac:dyDescent="0.2">
      <c r="B1643" s="6">
        <f t="shared" si="242"/>
        <v>7</v>
      </c>
      <c r="C1643" s="22"/>
      <c r="D1643" s="22"/>
      <c r="E1643" s="22"/>
      <c r="F1643" s="124"/>
      <c r="G1643" s="124"/>
      <c r="H1643" s="1" t="s">
        <v>425</v>
      </c>
      <c r="I1643" s="24"/>
      <c r="J1643" s="24"/>
      <c r="K1643" s="397"/>
      <c r="L1643" s="24"/>
      <c r="M1643" s="24">
        <v>46200</v>
      </c>
      <c r="N1643" s="24">
        <v>0</v>
      </c>
      <c r="O1643" s="397">
        <f t="shared" si="243"/>
        <v>0</v>
      </c>
      <c r="P1643" s="24"/>
      <c r="Q1643" s="26">
        <f t="shared" si="239"/>
        <v>46200</v>
      </c>
      <c r="R1643" s="26">
        <f t="shared" si="240"/>
        <v>0</v>
      </c>
      <c r="S1643" s="448">
        <f t="shared" si="241"/>
        <v>0</v>
      </c>
    </row>
    <row r="1644" spans="2:19" x14ac:dyDescent="0.2">
      <c r="B1644" s="6">
        <f t="shared" si="242"/>
        <v>8</v>
      </c>
      <c r="C1644" s="17"/>
      <c r="D1644" s="17"/>
      <c r="E1644" s="17"/>
      <c r="F1644" s="18"/>
      <c r="G1644" s="19">
        <v>717</v>
      </c>
      <c r="H1644" s="17" t="s">
        <v>179</v>
      </c>
      <c r="I1644" s="20"/>
      <c r="J1644" s="20"/>
      <c r="K1644" s="397"/>
      <c r="L1644" s="20"/>
      <c r="M1644" s="20">
        <f>SUM(M1645:M1647)</f>
        <v>229750</v>
      </c>
      <c r="N1644" s="20">
        <f>SUM(N1645:N1647)</f>
        <v>105970</v>
      </c>
      <c r="O1644" s="397">
        <f t="shared" si="243"/>
        <v>46.124047878128401</v>
      </c>
      <c r="P1644" s="20"/>
      <c r="Q1644" s="21">
        <f t="shared" si="239"/>
        <v>229750</v>
      </c>
      <c r="R1644" s="21">
        <f t="shared" si="240"/>
        <v>105970</v>
      </c>
      <c r="S1644" s="448">
        <f t="shared" si="241"/>
        <v>46.124047878128401</v>
      </c>
    </row>
    <row r="1645" spans="2:19" x14ac:dyDescent="0.2">
      <c r="B1645" s="6">
        <f t="shared" si="242"/>
        <v>9</v>
      </c>
      <c r="C1645" s="22"/>
      <c r="D1645" s="22"/>
      <c r="E1645" s="22"/>
      <c r="F1645" s="124"/>
      <c r="G1645" s="124"/>
      <c r="H1645" s="1" t="s">
        <v>521</v>
      </c>
      <c r="I1645" s="24"/>
      <c r="J1645" s="24"/>
      <c r="K1645" s="397"/>
      <c r="L1645" s="24"/>
      <c r="M1645" s="24">
        <v>26800</v>
      </c>
      <c r="N1645" s="24">
        <v>0</v>
      </c>
      <c r="O1645" s="397">
        <f t="shared" si="243"/>
        <v>0</v>
      </c>
      <c r="P1645" s="24"/>
      <c r="Q1645" s="26">
        <f t="shared" si="239"/>
        <v>26800</v>
      </c>
      <c r="R1645" s="26">
        <f t="shared" si="240"/>
        <v>0</v>
      </c>
      <c r="S1645" s="448">
        <f t="shared" si="241"/>
        <v>0</v>
      </c>
    </row>
    <row r="1646" spans="2:19" x14ac:dyDescent="0.2">
      <c r="B1646" s="6">
        <f t="shared" si="242"/>
        <v>10</v>
      </c>
      <c r="C1646" s="22"/>
      <c r="D1646" s="22"/>
      <c r="E1646" s="22"/>
      <c r="F1646" s="124"/>
      <c r="G1646" s="124"/>
      <c r="H1646" s="1" t="s">
        <v>577</v>
      </c>
      <c r="I1646" s="24"/>
      <c r="J1646" s="24"/>
      <c r="K1646" s="397"/>
      <c r="L1646" s="24"/>
      <c r="M1646" s="24">
        <f>10000+8500+5750-300</f>
        <v>23950</v>
      </c>
      <c r="N1646" s="24">
        <v>23927</v>
      </c>
      <c r="O1646" s="397">
        <f t="shared" si="243"/>
        <v>99.903966597077243</v>
      </c>
      <c r="P1646" s="24"/>
      <c r="Q1646" s="26">
        <f t="shared" si="239"/>
        <v>23950</v>
      </c>
      <c r="R1646" s="26">
        <f t="shared" si="240"/>
        <v>23927</v>
      </c>
      <c r="S1646" s="448">
        <f t="shared" si="241"/>
        <v>99.903966597077243</v>
      </c>
    </row>
    <row r="1647" spans="2:19" x14ac:dyDescent="0.2">
      <c r="B1647" s="6">
        <f t="shared" si="242"/>
        <v>11</v>
      </c>
      <c r="C1647" s="22"/>
      <c r="D1647" s="22"/>
      <c r="E1647" s="22"/>
      <c r="F1647" s="124"/>
      <c r="G1647" s="124"/>
      <c r="H1647" s="1" t="s">
        <v>597</v>
      </c>
      <c r="I1647" s="24"/>
      <c r="J1647" s="24"/>
      <c r="K1647" s="397"/>
      <c r="L1647" s="24"/>
      <c r="M1647" s="24">
        <f>180000-1000</f>
        <v>179000</v>
      </c>
      <c r="N1647" s="24">
        <v>82043</v>
      </c>
      <c r="O1647" s="397">
        <f t="shared" si="243"/>
        <v>45.8340782122905</v>
      </c>
      <c r="P1647" s="24"/>
      <c r="Q1647" s="26">
        <f t="shared" si="239"/>
        <v>179000</v>
      </c>
      <c r="R1647" s="26">
        <f t="shared" si="240"/>
        <v>82043</v>
      </c>
      <c r="S1647" s="448">
        <f t="shared" si="241"/>
        <v>45.8340782122905</v>
      </c>
    </row>
    <row r="1648" spans="2:19" ht="15" x14ac:dyDescent="0.25">
      <c r="B1648" s="6">
        <f t="shared" si="242"/>
        <v>12</v>
      </c>
      <c r="C1648" s="97"/>
      <c r="D1648" s="97"/>
      <c r="E1648" s="97">
        <v>2</v>
      </c>
      <c r="F1648" s="98"/>
      <c r="G1648" s="98"/>
      <c r="H1648" s="97" t="s">
        <v>11</v>
      </c>
      <c r="I1648" s="99">
        <f>I1649+I1663</f>
        <v>1720925</v>
      </c>
      <c r="J1648" s="99">
        <f>J1649+J1663</f>
        <v>1613444</v>
      </c>
      <c r="K1648" s="414">
        <f t="shared" ref="K1648:K1659" si="244">J1648/I1648*100</f>
        <v>93.754463442625337</v>
      </c>
      <c r="L1648" s="313"/>
      <c r="M1648" s="99">
        <f>M1649+M1663</f>
        <v>278300</v>
      </c>
      <c r="N1648" s="99">
        <f>N1649+N1663</f>
        <v>212989</v>
      </c>
      <c r="O1648" s="414">
        <f t="shared" si="243"/>
        <v>76.532159540064683</v>
      </c>
      <c r="P1648" s="313"/>
      <c r="Q1648" s="100">
        <f t="shared" si="239"/>
        <v>1999225</v>
      </c>
      <c r="R1648" s="100">
        <f t="shared" si="240"/>
        <v>1826433</v>
      </c>
      <c r="S1648" s="464">
        <f t="shared" si="241"/>
        <v>91.35705085720717</v>
      </c>
    </row>
    <row r="1649" spans="2:19" x14ac:dyDescent="0.2">
      <c r="B1649" s="6">
        <f t="shared" si="242"/>
        <v>13</v>
      </c>
      <c r="C1649" s="107"/>
      <c r="D1649" s="107"/>
      <c r="E1649" s="107"/>
      <c r="F1649" s="108"/>
      <c r="G1649" s="108"/>
      <c r="H1649" s="107" t="s">
        <v>332</v>
      </c>
      <c r="I1649" s="109">
        <f>I1650+I1651+I1652+I1659</f>
        <v>358521</v>
      </c>
      <c r="J1649" s="109">
        <f>J1650+J1651+J1652+J1659</f>
        <v>319186</v>
      </c>
      <c r="K1649" s="415">
        <f t="shared" si="244"/>
        <v>89.028536682648991</v>
      </c>
      <c r="L1649" s="15"/>
      <c r="M1649" s="109">
        <f>M1660</f>
        <v>225000</v>
      </c>
      <c r="N1649" s="109">
        <f>N1660</f>
        <v>161130</v>
      </c>
      <c r="O1649" s="415">
        <f t="shared" si="243"/>
        <v>71.61333333333333</v>
      </c>
      <c r="P1649" s="15"/>
      <c r="Q1649" s="110">
        <f t="shared" si="239"/>
        <v>583521</v>
      </c>
      <c r="R1649" s="110">
        <f t="shared" si="240"/>
        <v>480316</v>
      </c>
      <c r="S1649" s="467">
        <f t="shared" si="241"/>
        <v>82.313404316211418</v>
      </c>
    </row>
    <row r="1650" spans="2:19" x14ac:dyDescent="0.2">
      <c r="B1650" s="6">
        <f t="shared" si="242"/>
        <v>14</v>
      </c>
      <c r="C1650" s="12"/>
      <c r="D1650" s="12"/>
      <c r="E1650" s="12"/>
      <c r="F1650" s="13" t="s">
        <v>229</v>
      </c>
      <c r="G1650" s="14">
        <v>610</v>
      </c>
      <c r="H1650" s="12" t="s">
        <v>128</v>
      </c>
      <c r="I1650" s="15">
        <f>116800+5600</f>
        <v>122400</v>
      </c>
      <c r="J1650" s="15">
        <f>82552+36255</f>
        <v>118807</v>
      </c>
      <c r="K1650" s="397">
        <f t="shared" si="244"/>
        <v>97.064542483660134</v>
      </c>
      <c r="L1650" s="15"/>
      <c r="M1650" s="15"/>
      <c r="N1650" s="15"/>
      <c r="O1650" s="397"/>
      <c r="P1650" s="15"/>
      <c r="Q1650" s="16">
        <f t="shared" si="239"/>
        <v>122400</v>
      </c>
      <c r="R1650" s="16">
        <f t="shared" si="240"/>
        <v>118807</v>
      </c>
      <c r="S1650" s="448">
        <f t="shared" si="241"/>
        <v>97.064542483660134</v>
      </c>
    </row>
    <row r="1651" spans="2:19" x14ac:dyDescent="0.2">
      <c r="B1651" s="6">
        <f t="shared" si="242"/>
        <v>15</v>
      </c>
      <c r="C1651" s="12"/>
      <c r="D1651" s="12"/>
      <c r="E1651" s="12"/>
      <c r="F1651" s="13" t="s">
        <v>229</v>
      </c>
      <c r="G1651" s="14">
        <v>620</v>
      </c>
      <c r="H1651" s="12" t="s">
        <v>121</v>
      </c>
      <c r="I1651" s="15">
        <f>45055+1921</f>
        <v>46976</v>
      </c>
      <c r="J1651" s="15">
        <f>29469+12843</f>
        <v>42312</v>
      </c>
      <c r="K1651" s="397">
        <f t="shared" si="244"/>
        <v>90.071525885558572</v>
      </c>
      <c r="L1651" s="15"/>
      <c r="M1651" s="15"/>
      <c r="N1651" s="15"/>
      <c r="O1651" s="397"/>
      <c r="P1651" s="15"/>
      <c r="Q1651" s="16">
        <f t="shared" si="239"/>
        <v>46976</v>
      </c>
      <c r="R1651" s="16">
        <f t="shared" si="240"/>
        <v>42312</v>
      </c>
      <c r="S1651" s="448">
        <f t="shared" si="241"/>
        <v>90.071525885558572</v>
      </c>
    </row>
    <row r="1652" spans="2:19" x14ac:dyDescent="0.2">
      <c r="B1652" s="6">
        <f t="shared" si="242"/>
        <v>16</v>
      </c>
      <c r="C1652" s="12"/>
      <c r="D1652" s="12"/>
      <c r="E1652" s="12"/>
      <c r="F1652" s="13" t="s">
        <v>229</v>
      </c>
      <c r="G1652" s="14">
        <v>630</v>
      </c>
      <c r="H1652" s="12" t="s">
        <v>118</v>
      </c>
      <c r="I1652" s="15">
        <f>SUM(I1653:I1658)</f>
        <v>181445</v>
      </c>
      <c r="J1652" s="15">
        <f>SUM(J1653:J1658)</f>
        <v>151710</v>
      </c>
      <c r="K1652" s="397">
        <f t="shared" si="244"/>
        <v>83.612113863705247</v>
      </c>
      <c r="L1652" s="15"/>
      <c r="M1652" s="15"/>
      <c r="N1652" s="15"/>
      <c r="O1652" s="397"/>
      <c r="P1652" s="15"/>
      <c r="Q1652" s="16">
        <f t="shared" si="239"/>
        <v>181445</v>
      </c>
      <c r="R1652" s="16">
        <f t="shared" si="240"/>
        <v>151710</v>
      </c>
      <c r="S1652" s="448">
        <f t="shared" si="241"/>
        <v>83.612113863705247</v>
      </c>
    </row>
    <row r="1653" spans="2:19" x14ac:dyDescent="0.2">
      <c r="B1653" s="6">
        <f t="shared" si="242"/>
        <v>17</v>
      </c>
      <c r="C1653" s="17"/>
      <c r="D1653" s="17"/>
      <c r="E1653" s="17"/>
      <c r="F1653" s="18"/>
      <c r="G1653" s="19">
        <v>632</v>
      </c>
      <c r="H1653" s="17" t="s">
        <v>131</v>
      </c>
      <c r="I1653" s="20">
        <v>3300</v>
      </c>
      <c r="J1653" s="20">
        <f>1257+1425</f>
        <v>2682</v>
      </c>
      <c r="K1653" s="397">
        <f t="shared" si="244"/>
        <v>81.27272727272728</v>
      </c>
      <c r="L1653" s="20"/>
      <c r="M1653" s="20"/>
      <c r="N1653" s="20"/>
      <c r="O1653" s="397"/>
      <c r="P1653" s="20"/>
      <c r="Q1653" s="21">
        <f t="shared" si="239"/>
        <v>3300</v>
      </c>
      <c r="R1653" s="21">
        <f t="shared" si="240"/>
        <v>2682</v>
      </c>
      <c r="S1653" s="448">
        <f t="shared" si="241"/>
        <v>81.27272727272728</v>
      </c>
    </row>
    <row r="1654" spans="2:19" x14ac:dyDescent="0.2">
      <c r="B1654" s="6">
        <f t="shared" si="242"/>
        <v>18</v>
      </c>
      <c r="C1654" s="17"/>
      <c r="D1654" s="17"/>
      <c r="E1654" s="17"/>
      <c r="F1654" s="18"/>
      <c r="G1654" s="19">
        <v>633</v>
      </c>
      <c r="H1654" s="17" t="s">
        <v>122</v>
      </c>
      <c r="I1654" s="20">
        <f>22150-4000</f>
        <v>18150</v>
      </c>
      <c r="J1654" s="20">
        <f>10614+5411</f>
        <v>16025</v>
      </c>
      <c r="K1654" s="397">
        <f t="shared" si="244"/>
        <v>88.292011019283748</v>
      </c>
      <c r="L1654" s="20"/>
      <c r="M1654" s="20"/>
      <c r="N1654" s="20"/>
      <c r="O1654" s="397"/>
      <c r="P1654" s="20"/>
      <c r="Q1654" s="21">
        <f t="shared" si="239"/>
        <v>18150</v>
      </c>
      <c r="R1654" s="21">
        <f t="shared" si="240"/>
        <v>16025</v>
      </c>
      <c r="S1654" s="448">
        <f t="shared" si="241"/>
        <v>88.292011019283748</v>
      </c>
    </row>
    <row r="1655" spans="2:19" x14ac:dyDescent="0.2">
      <c r="B1655" s="6">
        <f t="shared" si="242"/>
        <v>19</v>
      </c>
      <c r="C1655" s="17"/>
      <c r="D1655" s="17"/>
      <c r="E1655" s="17"/>
      <c r="F1655" s="18"/>
      <c r="G1655" s="19">
        <v>634</v>
      </c>
      <c r="H1655" s="17" t="s">
        <v>129</v>
      </c>
      <c r="I1655" s="20">
        <v>9700</v>
      </c>
      <c r="J1655" s="20">
        <f>3521+2432</f>
        <v>5953</v>
      </c>
      <c r="K1655" s="397">
        <f t="shared" si="244"/>
        <v>61.371134020618555</v>
      </c>
      <c r="L1655" s="20"/>
      <c r="M1655" s="20"/>
      <c r="N1655" s="20"/>
      <c r="O1655" s="397"/>
      <c r="P1655" s="20"/>
      <c r="Q1655" s="21">
        <f t="shared" si="239"/>
        <v>9700</v>
      </c>
      <c r="R1655" s="21">
        <f t="shared" si="240"/>
        <v>5953</v>
      </c>
      <c r="S1655" s="448">
        <f t="shared" si="241"/>
        <v>61.371134020618555</v>
      </c>
    </row>
    <row r="1656" spans="2:19" x14ac:dyDescent="0.2">
      <c r="B1656" s="6">
        <f t="shared" si="242"/>
        <v>20</v>
      </c>
      <c r="C1656" s="17"/>
      <c r="D1656" s="17"/>
      <c r="E1656" s="17"/>
      <c r="F1656" s="18"/>
      <c r="G1656" s="19">
        <v>635</v>
      </c>
      <c r="H1656" s="17" t="s">
        <v>130</v>
      </c>
      <c r="I1656" s="20">
        <f>40810-5000+4000+4000</f>
        <v>43810</v>
      </c>
      <c r="J1656" s="20">
        <f>18244+20822</f>
        <v>39066</v>
      </c>
      <c r="K1656" s="397">
        <f t="shared" si="244"/>
        <v>89.171422049760324</v>
      </c>
      <c r="L1656" s="20"/>
      <c r="M1656" s="20"/>
      <c r="N1656" s="20"/>
      <c r="O1656" s="397"/>
      <c r="P1656" s="20"/>
      <c r="Q1656" s="21">
        <f t="shared" si="239"/>
        <v>43810</v>
      </c>
      <c r="R1656" s="21">
        <f t="shared" si="240"/>
        <v>39066</v>
      </c>
      <c r="S1656" s="448">
        <f t="shared" si="241"/>
        <v>89.171422049760324</v>
      </c>
    </row>
    <row r="1657" spans="2:19" x14ac:dyDescent="0.2">
      <c r="B1657" s="6">
        <f t="shared" si="242"/>
        <v>21</v>
      </c>
      <c r="C1657" s="17"/>
      <c r="D1657" s="17"/>
      <c r="E1657" s="17"/>
      <c r="F1657" s="18"/>
      <c r="G1657" s="19">
        <v>636</v>
      </c>
      <c r="H1657" s="17" t="s">
        <v>123</v>
      </c>
      <c r="I1657" s="20">
        <v>3700</v>
      </c>
      <c r="J1657" s="20">
        <f>3194</f>
        <v>3194</v>
      </c>
      <c r="K1657" s="397">
        <f t="shared" si="244"/>
        <v>86.324324324324323</v>
      </c>
      <c r="L1657" s="20"/>
      <c r="M1657" s="20"/>
      <c r="N1657" s="20"/>
      <c r="O1657" s="397"/>
      <c r="P1657" s="20"/>
      <c r="Q1657" s="21">
        <f t="shared" si="239"/>
        <v>3700</v>
      </c>
      <c r="R1657" s="21">
        <f t="shared" si="240"/>
        <v>3194</v>
      </c>
      <c r="S1657" s="448">
        <f t="shared" si="241"/>
        <v>86.324324324324323</v>
      </c>
    </row>
    <row r="1658" spans="2:19" x14ac:dyDescent="0.2">
      <c r="B1658" s="6">
        <f t="shared" si="242"/>
        <v>22</v>
      </c>
      <c r="C1658" s="17"/>
      <c r="D1658" s="17"/>
      <c r="E1658" s="17"/>
      <c r="F1658" s="18"/>
      <c r="G1658" s="19">
        <v>637</v>
      </c>
      <c r="H1658" s="17" t="s">
        <v>119</v>
      </c>
      <c r="I1658" s="20">
        <f>117885-4000-5500-600-5000</f>
        <v>102785</v>
      </c>
      <c r="J1658" s="20">
        <f>20298+64491+1</f>
        <v>84790</v>
      </c>
      <c r="K1658" s="397">
        <f t="shared" si="244"/>
        <v>82.492581602373889</v>
      </c>
      <c r="L1658" s="20"/>
      <c r="M1658" s="20"/>
      <c r="N1658" s="20"/>
      <c r="O1658" s="397"/>
      <c r="P1658" s="20"/>
      <c r="Q1658" s="21">
        <f t="shared" si="239"/>
        <v>102785</v>
      </c>
      <c r="R1658" s="21">
        <f t="shared" si="240"/>
        <v>84790</v>
      </c>
      <c r="S1658" s="448">
        <f t="shared" si="241"/>
        <v>82.492581602373889</v>
      </c>
    </row>
    <row r="1659" spans="2:19" x14ac:dyDescent="0.2">
      <c r="B1659" s="6">
        <f t="shared" si="242"/>
        <v>23</v>
      </c>
      <c r="C1659" s="12"/>
      <c r="D1659" s="12"/>
      <c r="E1659" s="12"/>
      <c r="F1659" s="13" t="s">
        <v>229</v>
      </c>
      <c r="G1659" s="14">
        <v>640</v>
      </c>
      <c r="H1659" s="12" t="s">
        <v>126</v>
      </c>
      <c r="I1659" s="15">
        <f>7100+600</f>
        <v>7700</v>
      </c>
      <c r="J1659" s="15">
        <f>4423+1934</f>
        <v>6357</v>
      </c>
      <c r="K1659" s="397">
        <f t="shared" si="244"/>
        <v>82.558441558441558</v>
      </c>
      <c r="L1659" s="15"/>
      <c r="M1659" s="15"/>
      <c r="N1659" s="15"/>
      <c r="O1659" s="397"/>
      <c r="P1659" s="15"/>
      <c r="Q1659" s="16">
        <f t="shared" si="239"/>
        <v>7700</v>
      </c>
      <c r="R1659" s="16">
        <f t="shared" si="240"/>
        <v>6357</v>
      </c>
      <c r="S1659" s="448">
        <f t="shared" si="241"/>
        <v>82.558441558441558</v>
      </c>
    </row>
    <row r="1660" spans="2:19" x14ac:dyDescent="0.2">
      <c r="B1660" s="6">
        <f t="shared" si="242"/>
        <v>24</v>
      </c>
      <c r="C1660" s="12"/>
      <c r="D1660" s="12"/>
      <c r="E1660" s="12"/>
      <c r="F1660" s="13" t="s">
        <v>229</v>
      </c>
      <c r="G1660" s="14">
        <v>710</v>
      </c>
      <c r="H1660" s="12" t="s">
        <v>172</v>
      </c>
      <c r="I1660" s="15"/>
      <c r="J1660" s="15"/>
      <c r="K1660" s="397"/>
      <c r="L1660" s="15"/>
      <c r="M1660" s="15">
        <f>M1661</f>
        <v>225000</v>
      </c>
      <c r="N1660" s="15">
        <f>N1661</f>
        <v>161130</v>
      </c>
      <c r="O1660" s="397">
        <f>N1660/M1660*100</f>
        <v>71.61333333333333</v>
      </c>
      <c r="P1660" s="15"/>
      <c r="Q1660" s="16">
        <f t="shared" si="239"/>
        <v>225000</v>
      </c>
      <c r="R1660" s="16">
        <f t="shared" si="240"/>
        <v>161130</v>
      </c>
      <c r="S1660" s="448">
        <f t="shared" si="241"/>
        <v>71.61333333333333</v>
      </c>
    </row>
    <row r="1661" spans="2:19" x14ac:dyDescent="0.2">
      <c r="B1661" s="6">
        <f t="shared" si="242"/>
        <v>25</v>
      </c>
      <c r="C1661" s="1"/>
      <c r="D1661" s="1"/>
      <c r="E1661" s="1"/>
      <c r="F1661" s="101"/>
      <c r="G1661" s="19">
        <v>717</v>
      </c>
      <c r="H1661" s="17" t="s">
        <v>179</v>
      </c>
      <c r="I1661" s="24"/>
      <c r="J1661" s="24"/>
      <c r="K1661" s="397"/>
      <c r="L1661" s="24"/>
      <c r="M1661" s="24">
        <f>M1662</f>
        <v>225000</v>
      </c>
      <c r="N1661" s="24">
        <f>N1662</f>
        <v>161130</v>
      </c>
      <c r="O1661" s="397">
        <f>N1661/M1661*100</f>
        <v>71.61333333333333</v>
      </c>
      <c r="P1661" s="24"/>
      <c r="Q1661" s="26">
        <f t="shared" si="239"/>
        <v>225000</v>
      </c>
      <c r="R1661" s="26">
        <f t="shared" si="240"/>
        <v>161130</v>
      </c>
      <c r="S1661" s="448">
        <f t="shared" si="241"/>
        <v>71.61333333333333</v>
      </c>
    </row>
    <row r="1662" spans="2:19" x14ac:dyDescent="0.2">
      <c r="B1662" s="6">
        <f t="shared" si="242"/>
        <v>26</v>
      </c>
      <c r="C1662" s="1"/>
      <c r="D1662" s="1"/>
      <c r="E1662" s="1"/>
      <c r="F1662" s="101"/>
      <c r="G1662" s="124"/>
      <c r="H1662" s="1" t="s">
        <v>470</v>
      </c>
      <c r="I1662" s="24"/>
      <c r="J1662" s="24"/>
      <c r="K1662" s="397"/>
      <c r="L1662" s="24"/>
      <c r="M1662" s="24">
        <v>225000</v>
      </c>
      <c r="N1662" s="24">
        <v>161130</v>
      </c>
      <c r="O1662" s="397">
        <f>N1662/M1662*100</f>
        <v>71.61333333333333</v>
      </c>
      <c r="P1662" s="24"/>
      <c r="Q1662" s="26">
        <f t="shared" si="239"/>
        <v>225000</v>
      </c>
      <c r="R1662" s="26">
        <f t="shared" si="240"/>
        <v>161130</v>
      </c>
      <c r="S1662" s="448">
        <f t="shared" si="241"/>
        <v>71.61333333333333</v>
      </c>
    </row>
    <row r="1663" spans="2:19" x14ac:dyDescent="0.2">
      <c r="B1663" s="6">
        <f t="shared" si="242"/>
        <v>27</v>
      </c>
      <c r="C1663" s="107"/>
      <c r="D1663" s="107"/>
      <c r="E1663" s="107"/>
      <c r="F1663" s="108"/>
      <c r="G1663" s="108"/>
      <c r="H1663" s="107" t="s">
        <v>190</v>
      </c>
      <c r="I1663" s="109">
        <f>I1664+I1665+I1666+I1672</f>
        <v>1362404</v>
      </c>
      <c r="J1663" s="109">
        <f>J1664+J1665+J1666+J1672</f>
        <v>1294258</v>
      </c>
      <c r="K1663" s="415">
        <f t="shared" ref="K1663:K1672" si="245">J1663/I1663*100</f>
        <v>94.998106288589881</v>
      </c>
      <c r="L1663" s="15"/>
      <c r="M1663" s="109">
        <f>M1673</f>
        <v>53300</v>
      </c>
      <c r="N1663" s="109">
        <f>N1673</f>
        <v>51859</v>
      </c>
      <c r="O1663" s="415">
        <f>N1663/M1663*100</f>
        <v>97.296435272045017</v>
      </c>
      <c r="P1663" s="15"/>
      <c r="Q1663" s="110">
        <f t="shared" si="239"/>
        <v>1415704</v>
      </c>
      <c r="R1663" s="110">
        <f t="shared" si="240"/>
        <v>1346117</v>
      </c>
      <c r="S1663" s="467">
        <f t="shared" si="241"/>
        <v>95.084636336409304</v>
      </c>
    </row>
    <row r="1664" spans="2:19" x14ac:dyDescent="0.2">
      <c r="B1664" s="6">
        <f t="shared" si="242"/>
        <v>28</v>
      </c>
      <c r="C1664" s="12"/>
      <c r="D1664" s="12"/>
      <c r="E1664" s="12"/>
      <c r="F1664" s="13" t="s">
        <v>189</v>
      </c>
      <c r="G1664" s="14">
        <v>610</v>
      </c>
      <c r="H1664" s="12" t="s">
        <v>128</v>
      </c>
      <c r="I1664" s="15">
        <f>278000+8600</f>
        <v>286600</v>
      </c>
      <c r="J1664" s="15">
        <v>260672</v>
      </c>
      <c r="K1664" s="397">
        <f t="shared" si="245"/>
        <v>90.953244940683874</v>
      </c>
      <c r="L1664" s="15"/>
      <c r="M1664" s="15"/>
      <c r="N1664" s="15"/>
      <c r="O1664" s="397"/>
      <c r="P1664" s="15"/>
      <c r="Q1664" s="16">
        <f t="shared" si="239"/>
        <v>286600</v>
      </c>
      <c r="R1664" s="16">
        <f t="shared" si="240"/>
        <v>260672</v>
      </c>
      <c r="S1664" s="448">
        <f t="shared" si="241"/>
        <v>90.953244940683874</v>
      </c>
    </row>
    <row r="1665" spans="2:19" x14ac:dyDescent="0.2">
      <c r="B1665" s="6">
        <f t="shared" si="242"/>
        <v>29</v>
      </c>
      <c r="C1665" s="12"/>
      <c r="D1665" s="12"/>
      <c r="E1665" s="12"/>
      <c r="F1665" s="13" t="s">
        <v>189</v>
      </c>
      <c r="G1665" s="14">
        <v>620</v>
      </c>
      <c r="H1665" s="12" t="s">
        <v>121</v>
      </c>
      <c r="I1665" s="15">
        <f>108540+2804</f>
        <v>111344</v>
      </c>
      <c r="J1665" s="15">
        <v>95610</v>
      </c>
      <c r="K1665" s="397">
        <f t="shared" si="245"/>
        <v>85.869018537146147</v>
      </c>
      <c r="L1665" s="15"/>
      <c r="M1665" s="15"/>
      <c r="N1665" s="15"/>
      <c r="O1665" s="397"/>
      <c r="P1665" s="15"/>
      <c r="Q1665" s="16">
        <f t="shared" si="239"/>
        <v>111344</v>
      </c>
      <c r="R1665" s="16">
        <f t="shared" si="240"/>
        <v>95610</v>
      </c>
      <c r="S1665" s="448">
        <f t="shared" si="241"/>
        <v>85.869018537146147</v>
      </c>
    </row>
    <row r="1666" spans="2:19" x14ac:dyDescent="0.2">
      <c r="B1666" s="6">
        <f t="shared" si="242"/>
        <v>30</v>
      </c>
      <c r="C1666" s="12"/>
      <c r="D1666" s="12"/>
      <c r="E1666" s="12"/>
      <c r="F1666" s="13"/>
      <c r="G1666" s="14">
        <v>630</v>
      </c>
      <c r="H1666" s="12" t="s">
        <v>118</v>
      </c>
      <c r="I1666" s="15">
        <f>SUM(I1667:I1671)</f>
        <v>945960</v>
      </c>
      <c r="J1666" s="15">
        <f>SUM(J1667:J1671)</f>
        <v>921067</v>
      </c>
      <c r="K1666" s="397">
        <f t="shared" si="245"/>
        <v>97.368493382384031</v>
      </c>
      <c r="L1666" s="15"/>
      <c r="M1666" s="15"/>
      <c r="N1666" s="15"/>
      <c r="O1666" s="397"/>
      <c r="P1666" s="15"/>
      <c r="Q1666" s="16">
        <f t="shared" si="239"/>
        <v>945960</v>
      </c>
      <c r="R1666" s="16">
        <f t="shared" si="240"/>
        <v>921067</v>
      </c>
      <c r="S1666" s="448">
        <f t="shared" si="241"/>
        <v>97.368493382384031</v>
      </c>
    </row>
    <row r="1667" spans="2:19" x14ac:dyDescent="0.2">
      <c r="B1667" s="6">
        <f t="shared" si="242"/>
        <v>31</v>
      </c>
      <c r="C1667" s="17"/>
      <c r="D1667" s="17"/>
      <c r="E1667" s="17"/>
      <c r="F1667" s="18"/>
      <c r="G1667" s="19">
        <v>633</v>
      </c>
      <c r="H1667" s="17" t="s">
        <v>122</v>
      </c>
      <c r="I1667" s="20">
        <f>348620-171000-5800</f>
        <v>171820</v>
      </c>
      <c r="J1667" s="20">
        <v>169729</v>
      </c>
      <c r="K1667" s="397">
        <f t="shared" si="245"/>
        <v>98.783028751018506</v>
      </c>
      <c r="L1667" s="20"/>
      <c r="M1667" s="20"/>
      <c r="N1667" s="20"/>
      <c r="O1667" s="397"/>
      <c r="P1667" s="20"/>
      <c r="Q1667" s="21">
        <f t="shared" si="239"/>
        <v>171820</v>
      </c>
      <c r="R1667" s="21">
        <f t="shared" si="240"/>
        <v>169729</v>
      </c>
      <c r="S1667" s="448">
        <f t="shared" si="241"/>
        <v>98.783028751018506</v>
      </c>
    </row>
    <row r="1668" spans="2:19" x14ac:dyDescent="0.2">
      <c r="B1668" s="6">
        <f t="shared" si="242"/>
        <v>32</v>
      </c>
      <c r="C1668" s="17"/>
      <c r="D1668" s="17"/>
      <c r="E1668" s="17"/>
      <c r="F1668" s="18"/>
      <c r="G1668" s="19">
        <v>634</v>
      </c>
      <c r="H1668" s="17" t="s">
        <v>129</v>
      </c>
      <c r="I1668" s="20">
        <v>38200</v>
      </c>
      <c r="J1668" s="20">
        <v>32679</v>
      </c>
      <c r="K1668" s="397">
        <f t="shared" si="245"/>
        <v>85.547120418848166</v>
      </c>
      <c r="L1668" s="20"/>
      <c r="M1668" s="20"/>
      <c r="N1668" s="20"/>
      <c r="O1668" s="397"/>
      <c r="P1668" s="20"/>
      <c r="Q1668" s="21">
        <f t="shared" si="239"/>
        <v>38200</v>
      </c>
      <c r="R1668" s="21">
        <f t="shared" si="240"/>
        <v>32679</v>
      </c>
      <c r="S1668" s="448">
        <f t="shared" si="241"/>
        <v>85.547120418848166</v>
      </c>
    </row>
    <row r="1669" spans="2:19" x14ac:dyDescent="0.2">
      <c r="B1669" s="6">
        <f t="shared" si="242"/>
        <v>33</v>
      </c>
      <c r="C1669" s="17"/>
      <c r="D1669" s="17"/>
      <c r="E1669" s="17"/>
      <c r="F1669" s="18"/>
      <c r="G1669" s="19">
        <v>635</v>
      </c>
      <c r="H1669" s="17" t="s">
        <v>130</v>
      </c>
      <c r="I1669" s="20">
        <f>470490+171000+56800-13000</f>
        <v>685290</v>
      </c>
      <c r="J1669" s="20">
        <v>677643</v>
      </c>
      <c r="K1669" s="397">
        <f t="shared" si="245"/>
        <v>98.884122050518769</v>
      </c>
      <c r="L1669" s="20"/>
      <c r="M1669" s="20"/>
      <c r="N1669" s="20"/>
      <c r="O1669" s="397"/>
      <c r="P1669" s="20"/>
      <c r="Q1669" s="21">
        <f t="shared" ref="Q1669:Q1700" si="246">I1669+M1669</f>
        <v>685290</v>
      </c>
      <c r="R1669" s="21">
        <f t="shared" ref="R1669:R1700" si="247">J1669+N1669</f>
        <v>677643</v>
      </c>
      <c r="S1669" s="448">
        <f t="shared" ref="S1669:S1700" si="248">R1669/Q1669*100</f>
        <v>98.884122050518769</v>
      </c>
    </row>
    <row r="1670" spans="2:19" x14ac:dyDescent="0.2">
      <c r="B1670" s="6">
        <f t="shared" ref="B1670:B1701" si="249">B1669+1</f>
        <v>34</v>
      </c>
      <c r="C1670" s="17"/>
      <c r="D1670" s="17"/>
      <c r="E1670" s="17"/>
      <c r="F1670" s="18"/>
      <c r="G1670" s="19">
        <v>636</v>
      </c>
      <c r="H1670" s="17" t="s">
        <v>123</v>
      </c>
      <c r="I1670" s="20">
        <v>500</v>
      </c>
      <c r="J1670" s="20">
        <v>0</v>
      </c>
      <c r="K1670" s="397">
        <f t="shared" si="245"/>
        <v>0</v>
      </c>
      <c r="L1670" s="20"/>
      <c r="M1670" s="20"/>
      <c r="N1670" s="20"/>
      <c r="O1670" s="397"/>
      <c r="P1670" s="20"/>
      <c r="Q1670" s="21">
        <f t="shared" si="246"/>
        <v>500</v>
      </c>
      <c r="R1670" s="21">
        <f t="shared" si="247"/>
        <v>0</v>
      </c>
      <c r="S1670" s="448">
        <f t="shared" si="248"/>
        <v>0</v>
      </c>
    </row>
    <row r="1671" spans="2:19" x14ac:dyDescent="0.2">
      <c r="B1671" s="6">
        <f t="shared" si="249"/>
        <v>35</v>
      </c>
      <c r="C1671" s="17"/>
      <c r="D1671" s="17"/>
      <c r="E1671" s="17"/>
      <c r="F1671" s="18"/>
      <c r="G1671" s="19">
        <v>637</v>
      </c>
      <c r="H1671" s="17" t="s">
        <v>119</v>
      </c>
      <c r="I1671" s="20">
        <f>37150+13000</f>
        <v>50150</v>
      </c>
      <c r="J1671" s="20">
        <v>41016</v>
      </c>
      <c r="K1671" s="397">
        <f t="shared" si="245"/>
        <v>81.786640079760716</v>
      </c>
      <c r="L1671" s="20"/>
      <c r="M1671" s="20"/>
      <c r="N1671" s="20"/>
      <c r="O1671" s="397"/>
      <c r="P1671" s="20"/>
      <c r="Q1671" s="21">
        <f t="shared" si="246"/>
        <v>50150</v>
      </c>
      <c r="R1671" s="21">
        <f t="shared" si="247"/>
        <v>41016</v>
      </c>
      <c r="S1671" s="448">
        <f t="shared" si="248"/>
        <v>81.786640079760716</v>
      </c>
    </row>
    <row r="1672" spans="2:19" x14ac:dyDescent="0.2">
      <c r="B1672" s="6">
        <f t="shared" si="249"/>
        <v>36</v>
      </c>
      <c r="C1672" s="564"/>
      <c r="D1672" s="565"/>
      <c r="E1672" s="565"/>
      <c r="F1672" s="566" t="s">
        <v>189</v>
      </c>
      <c r="G1672" s="567">
        <v>640</v>
      </c>
      <c r="H1672" s="565" t="s">
        <v>126</v>
      </c>
      <c r="I1672" s="568">
        <v>18500</v>
      </c>
      <c r="J1672" s="568">
        <v>16909</v>
      </c>
      <c r="K1672" s="569">
        <f t="shared" si="245"/>
        <v>91.4</v>
      </c>
      <c r="L1672" s="568"/>
      <c r="M1672" s="568"/>
      <c r="N1672" s="568"/>
      <c r="O1672" s="569"/>
      <c r="P1672" s="568"/>
      <c r="Q1672" s="560">
        <f t="shared" si="246"/>
        <v>18500</v>
      </c>
      <c r="R1672" s="16">
        <f t="shared" si="247"/>
        <v>16909</v>
      </c>
      <c r="S1672" s="448">
        <f t="shared" si="248"/>
        <v>91.4</v>
      </c>
    </row>
    <row r="1673" spans="2:19" x14ac:dyDescent="0.2">
      <c r="B1673" s="6">
        <f t="shared" si="249"/>
        <v>37</v>
      </c>
      <c r="C1673" s="564"/>
      <c r="D1673" s="565"/>
      <c r="E1673" s="565"/>
      <c r="F1673" s="566" t="s">
        <v>189</v>
      </c>
      <c r="G1673" s="567">
        <v>710</v>
      </c>
      <c r="H1673" s="565" t="s">
        <v>172</v>
      </c>
      <c r="I1673" s="568"/>
      <c r="J1673" s="568"/>
      <c r="K1673" s="569"/>
      <c r="L1673" s="568"/>
      <c r="M1673" s="568">
        <f>M1674</f>
        <v>53300</v>
      </c>
      <c r="N1673" s="568">
        <f>N1674</f>
        <v>51859</v>
      </c>
      <c r="O1673" s="569">
        <f t="shared" ref="O1673:O1680" si="250">N1673/M1673*100</f>
        <v>97.296435272045017</v>
      </c>
      <c r="P1673" s="568"/>
      <c r="Q1673" s="560">
        <f t="shared" si="246"/>
        <v>53300</v>
      </c>
      <c r="R1673" s="16">
        <f t="shared" si="247"/>
        <v>51859</v>
      </c>
      <c r="S1673" s="448">
        <f t="shared" si="248"/>
        <v>97.296435272045017</v>
      </c>
    </row>
    <row r="1674" spans="2:19" x14ac:dyDescent="0.2">
      <c r="B1674" s="494">
        <f t="shared" si="249"/>
        <v>38</v>
      </c>
      <c r="C1674" s="570"/>
      <c r="D1674" s="571"/>
      <c r="E1674" s="571"/>
      <c r="F1674" s="572"/>
      <c r="G1674" s="573">
        <v>714</v>
      </c>
      <c r="H1674" s="574" t="s">
        <v>173</v>
      </c>
      <c r="I1674" s="575"/>
      <c r="J1674" s="575"/>
      <c r="K1674" s="576"/>
      <c r="L1674" s="575"/>
      <c r="M1674" s="575">
        <f>M1675+M1678+M1677+M1676</f>
        <v>53300</v>
      </c>
      <c r="N1674" s="575">
        <f>N1675+N1678+N1677+N1676</f>
        <v>51859</v>
      </c>
      <c r="O1674" s="576">
        <f t="shared" si="250"/>
        <v>97.296435272045017</v>
      </c>
      <c r="P1674" s="575"/>
      <c r="Q1674" s="561">
        <f t="shared" si="246"/>
        <v>53300</v>
      </c>
      <c r="R1674" s="495">
        <f t="shared" si="247"/>
        <v>51859</v>
      </c>
      <c r="S1674" s="496">
        <f t="shared" si="248"/>
        <v>97.296435272045017</v>
      </c>
    </row>
    <row r="1675" spans="2:19" x14ac:dyDescent="0.2">
      <c r="B1675" s="497">
        <f t="shared" si="249"/>
        <v>39</v>
      </c>
      <c r="C1675" s="132"/>
      <c r="D1675" s="133"/>
      <c r="E1675" s="133"/>
      <c r="F1675" s="134"/>
      <c r="G1675" s="286"/>
      <c r="H1675" s="143" t="s">
        <v>696</v>
      </c>
      <c r="I1675" s="577"/>
      <c r="J1675" s="577"/>
      <c r="K1675" s="429"/>
      <c r="L1675" s="577"/>
      <c r="M1675" s="577">
        <v>5500</v>
      </c>
      <c r="N1675" s="577">
        <v>5500</v>
      </c>
      <c r="O1675" s="429">
        <f t="shared" si="250"/>
        <v>100</v>
      </c>
      <c r="P1675" s="577"/>
      <c r="Q1675" s="562">
        <f t="shared" si="246"/>
        <v>5500</v>
      </c>
      <c r="R1675" s="498">
        <f t="shared" si="247"/>
        <v>5500</v>
      </c>
      <c r="S1675" s="479">
        <f t="shared" si="248"/>
        <v>100</v>
      </c>
    </row>
    <row r="1676" spans="2:19" x14ac:dyDescent="0.2">
      <c r="B1676" s="497">
        <f t="shared" si="249"/>
        <v>40</v>
      </c>
      <c r="C1676" s="132"/>
      <c r="D1676" s="133"/>
      <c r="E1676" s="133"/>
      <c r="F1676" s="134"/>
      <c r="G1676" s="286"/>
      <c r="H1676" s="143" t="s">
        <v>755</v>
      </c>
      <c r="I1676" s="577"/>
      <c r="J1676" s="577"/>
      <c r="K1676" s="429"/>
      <c r="L1676" s="577"/>
      <c r="M1676" s="577">
        <v>23000</v>
      </c>
      <c r="N1676" s="577">
        <v>23000</v>
      </c>
      <c r="O1676" s="429">
        <f t="shared" si="250"/>
        <v>100</v>
      </c>
      <c r="P1676" s="577"/>
      <c r="Q1676" s="562">
        <f t="shared" si="246"/>
        <v>23000</v>
      </c>
      <c r="R1676" s="498">
        <f t="shared" si="247"/>
        <v>23000</v>
      </c>
      <c r="S1676" s="479">
        <f t="shared" si="248"/>
        <v>100</v>
      </c>
    </row>
    <row r="1677" spans="2:19" x14ac:dyDescent="0.2">
      <c r="B1677" s="497">
        <f t="shared" si="249"/>
        <v>41</v>
      </c>
      <c r="C1677" s="132"/>
      <c r="D1677" s="133"/>
      <c r="E1677" s="133"/>
      <c r="F1677" s="134"/>
      <c r="G1677" s="286"/>
      <c r="H1677" s="143" t="s">
        <v>741</v>
      </c>
      <c r="I1677" s="577"/>
      <c r="J1677" s="577"/>
      <c r="K1677" s="429"/>
      <c r="L1677" s="577"/>
      <c r="M1677" s="577">
        <v>5800</v>
      </c>
      <c r="N1677" s="577">
        <v>5769</v>
      </c>
      <c r="O1677" s="429">
        <f t="shared" si="250"/>
        <v>99.465517241379303</v>
      </c>
      <c r="P1677" s="577"/>
      <c r="Q1677" s="562">
        <f t="shared" si="246"/>
        <v>5800</v>
      </c>
      <c r="R1677" s="498">
        <f t="shared" si="247"/>
        <v>5769</v>
      </c>
      <c r="S1677" s="479">
        <f t="shared" si="248"/>
        <v>99.465517241379303</v>
      </c>
    </row>
    <row r="1678" spans="2:19" x14ac:dyDescent="0.2">
      <c r="B1678" s="499">
        <f t="shared" si="249"/>
        <v>42</v>
      </c>
      <c r="C1678" s="578"/>
      <c r="D1678" s="579"/>
      <c r="E1678" s="579"/>
      <c r="F1678" s="580"/>
      <c r="G1678" s="581"/>
      <c r="H1678" s="582" t="s">
        <v>739</v>
      </c>
      <c r="I1678" s="583"/>
      <c r="J1678" s="583"/>
      <c r="K1678" s="584"/>
      <c r="L1678" s="583"/>
      <c r="M1678" s="583">
        <v>19000</v>
      </c>
      <c r="N1678" s="583">
        <v>17590</v>
      </c>
      <c r="O1678" s="584">
        <f t="shared" si="250"/>
        <v>92.578947368421055</v>
      </c>
      <c r="P1678" s="583"/>
      <c r="Q1678" s="563">
        <f t="shared" si="246"/>
        <v>19000</v>
      </c>
      <c r="R1678" s="500">
        <f t="shared" si="247"/>
        <v>17590</v>
      </c>
      <c r="S1678" s="501">
        <f t="shared" si="248"/>
        <v>92.578947368421055</v>
      </c>
    </row>
    <row r="1679" spans="2:19" ht="15" x14ac:dyDescent="0.2">
      <c r="B1679" s="6">
        <f t="shared" si="249"/>
        <v>43</v>
      </c>
      <c r="C1679" s="9">
        <v>2</v>
      </c>
      <c r="D1679" s="637" t="s">
        <v>137</v>
      </c>
      <c r="E1679" s="638"/>
      <c r="F1679" s="638"/>
      <c r="G1679" s="638"/>
      <c r="H1679" s="638"/>
      <c r="I1679" s="10">
        <f>I1680+I1693</f>
        <v>3872300</v>
      </c>
      <c r="J1679" s="10">
        <f>J1680+J1693</f>
        <v>3170579</v>
      </c>
      <c r="K1679" s="395">
        <f t="shared" ref="K1679:K1686" si="251">J1679/I1679*100</f>
        <v>81.878444335407892</v>
      </c>
      <c r="L1679" s="312"/>
      <c r="M1679" s="10">
        <f>M1680</f>
        <v>787615</v>
      </c>
      <c r="N1679" s="10">
        <f>N1680</f>
        <v>240350</v>
      </c>
      <c r="O1679" s="395">
        <f t="shared" si="250"/>
        <v>30.516178589793235</v>
      </c>
      <c r="P1679" s="312"/>
      <c r="Q1679" s="31">
        <f t="shared" si="246"/>
        <v>4659915</v>
      </c>
      <c r="R1679" s="31">
        <f t="shared" si="247"/>
        <v>3410929</v>
      </c>
      <c r="S1679" s="449">
        <f t="shared" si="248"/>
        <v>73.197236430278238</v>
      </c>
    </row>
    <row r="1680" spans="2:19" ht="15" x14ac:dyDescent="0.25">
      <c r="B1680" s="6">
        <f t="shared" si="249"/>
        <v>44</v>
      </c>
      <c r="C1680" s="27"/>
      <c r="D1680" s="27">
        <v>1</v>
      </c>
      <c r="E1680" s="639" t="s">
        <v>136</v>
      </c>
      <c r="F1680" s="640"/>
      <c r="G1680" s="640"/>
      <c r="H1680" s="640"/>
      <c r="I1680" s="28">
        <f>I1681</f>
        <v>3869942</v>
      </c>
      <c r="J1680" s="28">
        <f>J1681</f>
        <v>3168222</v>
      </c>
      <c r="K1680" s="404">
        <f t="shared" si="251"/>
        <v>81.867428504096438</v>
      </c>
      <c r="L1680" s="313"/>
      <c r="M1680" s="28">
        <f>M1687</f>
        <v>787615</v>
      </c>
      <c r="N1680" s="28">
        <f>N1687</f>
        <v>240350</v>
      </c>
      <c r="O1680" s="404">
        <f t="shared" si="250"/>
        <v>30.516178589793235</v>
      </c>
      <c r="P1680" s="313"/>
      <c r="Q1680" s="29">
        <f t="shared" si="246"/>
        <v>4657557</v>
      </c>
      <c r="R1680" s="29">
        <f t="shared" si="247"/>
        <v>3408572</v>
      </c>
      <c r="S1680" s="447">
        <f t="shared" si="248"/>
        <v>73.183688358510693</v>
      </c>
    </row>
    <row r="1681" spans="2:19" x14ac:dyDescent="0.2">
      <c r="B1681" s="6">
        <f t="shared" si="249"/>
        <v>45</v>
      </c>
      <c r="C1681" s="12"/>
      <c r="D1681" s="12"/>
      <c r="E1681" s="12"/>
      <c r="F1681" s="13" t="s">
        <v>135</v>
      </c>
      <c r="G1681" s="14">
        <v>630</v>
      </c>
      <c r="H1681" s="12" t="s">
        <v>118</v>
      </c>
      <c r="I1681" s="15">
        <f>SUM(I1682:I1686)</f>
        <v>3869942</v>
      </c>
      <c r="J1681" s="15">
        <f>SUM(J1682:J1686)</f>
        <v>3168222</v>
      </c>
      <c r="K1681" s="397">
        <f t="shared" si="251"/>
        <v>81.867428504096438</v>
      </c>
      <c r="L1681" s="15"/>
      <c r="M1681" s="15"/>
      <c r="N1681" s="15"/>
      <c r="O1681" s="397"/>
      <c r="P1681" s="15"/>
      <c r="Q1681" s="16">
        <f t="shared" si="246"/>
        <v>3869942</v>
      </c>
      <c r="R1681" s="16">
        <f t="shared" si="247"/>
        <v>3168222</v>
      </c>
      <c r="S1681" s="448">
        <f t="shared" si="248"/>
        <v>81.867428504096438</v>
      </c>
    </row>
    <row r="1682" spans="2:19" x14ac:dyDescent="0.2">
      <c r="B1682" s="6">
        <f t="shared" si="249"/>
        <v>46</v>
      </c>
      <c r="C1682" s="12"/>
      <c r="D1682" s="12"/>
      <c r="E1682" s="12"/>
      <c r="F1682" s="13"/>
      <c r="G1682" s="19">
        <v>633</v>
      </c>
      <c r="H1682" s="17" t="s">
        <v>122</v>
      </c>
      <c r="I1682" s="20">
        <v>2421</v>
      </c>
      <c r="J1682" s="20">
        <v>2421</v>
      </c>
      <c r="K1682" s="397">
        <f t="shared" si="251"/>
        <v>100</v>
      </c>
      <c r="L1682" s="20"/>
      <c r="M1682" s="20"/>
      <c r="N1682" s="20"/>
      <c r="O1682" s="397"/>
      <c r="P1682" s="20"/>
      <c r="Q1682" s="21">
        <f t="shared" si="246"/>
        <v>2421</v>
      </c>
      <c r="R1682" s="21">
        <f t="shared" si="247"/>
        <v>2421</v>
      </c>
      <c r="S1682" s="448">
        <f t="shared" si="248"/>
        <v>100</v>
      </c>
    </row>
    <row r="1683" spans="2:19" x14ac:dyDescent="0.2">
      <c r="B1683" s="6">
        <f t="shared" si="249"/>
        <v>47</v>
      </c>
      <c r="C1683" s="17"/>
      <c r="D1683" s="17"/>
      <c r="E1683" s="17"/>
      <c r="F1683" s="18"/>
      <c r="G1683" s="19">
        <v>635</v>
      </c>
      <c r="H1683" s="17" t="s">
        <v>130</v>
      </c>
      <c r="I1683" s="20">
        <v>4000</v>
      </c>
      <c r="J1683" s="20">
        <v>1506</v>
      </c>
      <c r="K1683" s="397">
        <f t="shared" si="251"/>
        <v>37.65</v>
      </c>
      <c r="L1683" s="20"/>
      <c r="M1683" s="20"/>
      <c r="N1683" s="20"/>
      <c r="O1683" s="397"/>
      <c r="P1683" s="20"/>
      <c r="Q1683" s="21">
        <f t="shared" si="246"/>
        <v>4000</v>
      </c>
      <c r="R1683" s="21">
        <f t="shared" si="247"/>
        <v>1506</v>
      </c>
      <c r="S1683" s="448">
        <f t="shared" si="248"/>
        <v>37.65</v>
      </c>
    </row>
    <row r="1684" spans="2:19" x14ac:dyDescent="0.2">
      <c r="B1684" s="6">
        <f t="shared" si="249"/>
        <v>48</v>
      </c>
      <c r="C1684" s="17"/>
      <c r="D1684" s="17"/>
      <c r="E1684" s="17"/>
      <c r="F1684" s="18"/>
      <c r="G1684" s="19">
        <v>637</v>
      </c>
      <c r="H1684" s="17" t="s">
        <v>119</v>
      </c>
      <c r="I1684" s="30">
        <f>3366000-58+250000-2421</f>
        <v>3613521</v>
      </c>
      <c r="J1684" s="30">
        <f>3164294-J1685-J1686+1</f>
        <v>2914295</v>
      </c>
      <c r="K1684" s="398">
        <f t="shared" si="251"/>
        <v>80.649731937354176</v>
      </c>
      <c r="L1684" s="20"/>
      <c r="M1684" s="20"/>
      <c r="N1684" s="20"/>
      <c r="O1684" s="397"/>
      <c r="P1684" s="20"/>
      <c r="Q1684" s="21">
        <f t="shared" si="246"/>
        <v>3613521</v>
      </c>
      <c r="R1684" s="21">
        <f t="shared" si="247"/>
        <v>2914295</v>
      </c>
      <c r="S1684" s="448">
        <f t="shared" si="248"/>
        <v>80.649731937354176</v>
      </c>
    </row>
    <row r="1685" spans="2:19" x14ac:dyDescent="0.2">
      <c r="B1685" s="6">
        <f t="shared" si="249"/>
        <v>49</v>
      </c>
      <c r="C1685" s="17"/>
      <c r="D1685" s="17"/>
      <c r="E1685" s="17"/>
      <c r="F1685" s="18"/>
      <c r="G1685" s="19">
        <v>637</v>
      </c>
      <c r="H1685" s="17" t="s">
        <v>503</v>
      </c>
      <c r="I1685" s="30">
        <v>97357</v>
      </c>
      <c r="J1685" s="30">
        <v>97357</v>
      </c>
      <c r="K1685" s="398">
        <f t="shared" si="251"/>
        <v>100</v>
      </c>
      <c r="L1685" s="20"/>
      <c r="M1685" s="20"/>
      <c r="N1685" s="20"/>
      <c r="O1685" s="397"/>
      <c r="P1685" s="20"/>
      <c r="Q1685" s="21">
        <f t="shared" si="246"/>
        <v>97357</v>
      </c>
      <c r="R1685" s="21">
        <f t="shared" si="247"/>
        <v>97357</v>
      </c>
      <c r="S1685" s="448">
        <f t="shared" si="248"/>
        <v>100</v>
      </c>
    </row>
    <row r="1686" spans="2:19" ht="24" x14ac:dyDescent="0.2">
      <c r="B1686" s="6">
        <f t="shared" si="249"/>
        <v>50</v>
      </c>
      <c r="C1686" s="17"/>
      <c r="D1686" s="17"/>
      <c r="E1686" s="17"/>
      <c r="F1686" s="18"/>
      <c r="G1686" s="19">
        <v>637</v>
      </c>
      <c r="H1686" s="55" t="s">
        <v>507</v>
      </c>
      <c r="I1686" s="20">
        <v>152643</v>
      </c>
      <c r="J1686" s="20">
        <v>152643</v>
      </c>
      <c r="K1686" s="397">
        <f t="shared" si="251"/>
        <v>100</v>
      </c>
      <c r="L1686" s="20"/>
      <c r="M1686" s="20"/>
      <c r="N1686" s="20"/>
      <c r="O1686" s="397"/>
      <c r="P1686" s="20"/>
      <c r="Q1686" s="21">
        <f t="shared" si="246"/>
        <v>152643</v>
      </c>
      <c r="R1686" s="21">
        <f t="shared" si="247"/>
        <v>152643</v>
      </c>
      <c r="S1686" s="448">
        <f t="shared" si="248"/>
        <v>100</v>
      </c>
    </row>
    <row r="1687" spans="2:19" x14ac:dyDescent="0.2">
      <c r="B1687" s="6">
        <f t="shared" si="249"/>
        <v>51</v>
      </c>
      <c r="C1687" s="12"/>
      <c r="D1687" s="12"/>
      <c r="E1687" s="12"/>
      <c r="F1687" s="13" t="s">
        <v>135</v>
      </c>
      <c r="G1687" s="14">
        <v>710</v>
      </c>
      <c r="H1687" s="12" t="s">
        <v>172</v>
      </c>
      <c r="I1687" s="15"/>
      <c r="J1687" s="15"/>
      <c r="K1687" s="397"/>
      <c r="L1687" s="15"/>
      <c r="M1687" s="15">
        <f>M1690+M1688</f>
        <v>787615</v>
      </c>
      <c r="N1687" s="15">
        <f>N1690+N1688</f>
        <v>240350</v>
      </c>
      <c r="O1687" s="397">
        <f t="shared" ref="O1687:O1692" si="252">N1687/M1687*100</f>
        <v>30.516178589793235</v>
      </c>
      <c r="P1687" s="15"/>
      <c r="Q1687" s="16">
        <f t="shared" si="246"/>
        <v>787615</v>
      </c>
      <c r="R1687" s="16">
        <f t="shared" si="247"/>
        <v>240350</v>
      </c>
      <c r="S1687" s="448">
        <f t="shared" si="248"/>
        <v>30.516178589793235</v>
      </c>
    </row>
    <row r="1688" spans="2:19" x14ac:dyDescent="0.2">
      <c r="B1688" s="6">
        <f t="shared" si="249"/>
        <v>52</v>
      </c>
      <c r="C1688" s="12"/>
      <c r="D1688" s="12"/>
      <c r="E1688" s="12"/>
      <c r="F1688" s="13"/>
      <c r="G1688" s="19">
        <v>716</v>
      </c>
      <c r="H1688" s="17" t="s">
        <v>213</v>
      </c>
      <c r="I1688" s="20"/>
      <c r="J1688" s="20"/>
      <c r="K1688" s="397"/>
      <c r="L1688" s="20"/>
      <c r="M1688" s="20">
        <f>M1689</f>
        <v>15000</v>
      </c>
      <c r="N1688" s="20">
        <f>N1689</f>
        <v>3660</v>
      </c>
      <c r="O1688" s="397">
        <f t="shared" si="252"/>
        <v>24.4</v>
      </c>
      <c r="P1688" s="20"/>
      <c r="Q1688" s="21">
        <f t="shared" si="246"/>
        <v>15000</v>
      </c>
      <c r="R1688" s="21">
        <f t="shared" si="247"/>
        <v>3660</v>
      </c>
      <c r="S1688" s="448">
        <f t="shared" si="248"/>
        <v>24.4</v>
      </c>
    </row>
    <row r="1689" spans="2:19" x14ac:dyDescent="0.2">
      <c r="B1689" s="6">
        <f t="shared" si="249"/>
        <v>53</v>
      </c>
      <c r="C1689" s="12"/>
      <c r="D1689" s="12"/>
      <c r="E1689" s="12"/>
      <c r="F1689" s="13"/>
      <c r="G1689" s="124"/>
      <c r="H1689" s="1" t="s">
        <v>271</v>
      </c>
      <c r="I1689" s="24"/>
      <c r="J1689" s="24"/>
      <c r="K1689" s="397"/>
      <c r="L1689" s="24"/>
      <c r="M1689" s="24">
        <v>15000</v>
      </c>
      <c r="N1689" s="24">
        <v>3660</v>
      </c>
      <c r="O1689" s="397">
        <f t="shared" si="252"/>
        <v>24.4</v>
      </c>
      <c r="P1689" s="24"/>
      <c r="Q1689" s="26">
        <f t="shared" si="246"/>
        <v>15000</v>
      </c>
      <c r="R1689" s="26">
        <f t="shared" si="247"/>
        <v>3660</v>
      </c>
      <c r="S1689" s="448">
        <f t="shared" si="248"/>
        <v>24.4</v>
      </c>
    </row>
    <row r="1690" spans="2:19" x14ac:dyDescent="0.2">
      <c r="B1690" s="6">
        <f t="shared" si="249"/>
        <v>54</v>
      </c>
      <c r="C1690" s="17"/>
      <c r="D1690" s="17"/>
      <c r="E1690" s="17"/>
      <c r="F1690" s="18"/>
      <c r="G1690" s="19">
        <v>717</v>
      </c>
      <c r="H1690" s="17" t="s">
        <v>179</v>
      </c>
      <c r="I1690" s="20"/>
      <c r="J1690" s="20"/>
      <c r="K1690" s="397"/>
      <c r="L1690" s="20"/>
      <c r="M1690" s="20">
        <f>SUM(M1691:M1692)</f>
        <v>772615</v>
      </c>
      <c r="N1690" s="20">
        <f>N1691</f>
        <v>236690</v>
      </c>
      <c r="O1690" s="397">
        <f t="shared" si="252"/>
        <v>30.634921662147384</v>
      </c>
      <c r="P1690" s="20"/>
      <c r="Q1690" s="21">
        <f t="shared" si="246"/>
        <v>772615</v>
      </c>
      <c r="R1690" s="21">
        <f t="shared" si="247"/>
        <v>236690</v>
      </c>
      <c r="S1690" s="448">
        <f t="shared" si="248"/>
        <v>30.634921662147384</v>
      </c>
    </row>
    <row r="1691" spans="2:19" x14ac:dyDescent="0.2">
      <c r="B1691" s="6">
        <f t="shared" si="249"/>
        <v>55</v>
      </c>
      <c r="C1691" s="22"/>
      <c r="D1691" s="22"/>
      <c r="E1691" s="22"/>
      <c r="F1691" s="124"/>
      <c r="G1691" s="124"/>
      <c r="H1691" s="1" t="s">
        <v>271</v>
      </c>
      <c r="I1691" s="24"/>
      <c r="J1691" s="24"/>
      <c r="K1691" s="397"/>
      <c r="L1691" s="24"/>
      <c r="M1691" s="24">
        <f>276400-15000+311215</f>
        <v>572615</v>
      </c>
      <c r="N1691" s="24">
        <v>236690</v>
      </c>
      <c r="O1691" s="397">
        <f t="shared" si="252"/>
        <v>41.334928355002923</v>
      </c>
      <c r="P1691" s="24"/>
      <c r="Q1691" s="26">
        <f t="shared" si="246"/>
        <v>572615</v>
      </c>
      <c r="R1691" s="26">
        <f t="shared" si="247"/>
        <v>236690</v>
      </c>
      <c r="S1691" s="448">
        <f t="shared" si="248"/>
        <v>41.334928355002923</v>
      </c>
    </row>
    <row r="1692" spans="2:19" x14ac:dyDescent="0.2">
      <c r="B1692" s="6">
        <f t="shared" si="249"/>
        <v>56</v>
      </c>
      <c r="C1692" s="22"/>
      <c r="D1692" s="22"/>
      <c r="E1692" s="22"/>
      <c r="F1692" s="124"/>
      <c r="G1692" s="124"/>
      <c r="H1692" s="1" t="s">
        <v>485</v>
      </c>
      <c r="I1692" s="24"/>
      <c r="J1692" s="24"/>
      <c r="K1692" s="397"/>
      <c r="L1692" s="24"/>
      <c r="M1692" s="24">
        <v>200000</v>
      </c>
      <c r="N1692" s="24">
        <v>0</v>
      </c>
      <c r="O1692" s="397">
        <f t="shared" si="252"/>
        <v>0</v>
      </c>
      <c r="P1692" s="24"/>
      <c r="Q1692" s="26">
        <f t="shared" si="246"/>
        <v>200000</v>
      </c>
      <c r="R1692" s="26">
        <f t="shared" si="247"/>
        <v>0</v>
      </c>
      <c r="S1692" s="448">
        <f t="shared" si="248"/>
        <v>0</v>
      </c>
    </row>
    <row r="1693" spans="2:19" ht="15" x14ac:dyDescent="0.25">
      <c r="B1693" s="6">
        <f t="shared" si="249"/>
        <v>57</v>
      </c>
      <c r="C1693" s="27"/>
      <c r="D1693" s="27">
        <v>2</v>
      </c>
      <c r="E1693" s="639" t="s">
        <v>237</v>
      </c>
      <c r="F1693" s="640"/>
      <c r="G1693" s="640"/>
      <c r="H1693" s="640"/>
      <c r="I1693" s="28">
        <f>I1694</f>
        <v>2358</v>
      </c>
      <c r="J1693" s="28">
        <f>J1694</f>
        <v>2357</v>
      </c>
      <c r="K1693" s="404">
        <f t="shared" ref="K1693:K1702" si="253">J1693/I1693*100</f>
        <v>99.957591178965217</v>
      </c>
      <c r="L1693" s="313"/>
      <c r="M1693" s="28"/>
      <c r="N1693" s="28"/>
      <c r="O1693" s="404"/>
      <c r="P1693" s="313"/>
      <c r="Q1693" s="29">
        <f t="shared" si="246"/>
        <v>2358</v>
      </c>
      <c r="R1693" s="29">
        <f t="shared" si="247"/>
        <v>2357</v>
      </c>
      <c r="S1693" s="447">
        <f t="shared" si="248"/>
        <v>99.957591178965217</v>
      </c>
    </row>
    <row r="1694" spans="2:19" x14ac:dyDescent="0.2">
      <c r="B1694" s="6">
        <f t="shared" si="249"/>
        <v>58</v>
      </c>
      <c r="C1694" s="12"/>
      <c r="D1694" s="12"/>
      <c r="E1694" s="12"/>
      <c r="F1694" s="13" t="s">
        <v>135</v>
      </c>
      <c r="G1694" s="14">
        <v>630</v>
      </c>
      <c r="H1694" s="12" t="s">
        <v>118</v>
      </c>
      <c r="I1694" s="15">
        <f>I1695</f>
        <v>2358</v>
      </c>
      <c r="J1694" s="15">
        <f>J1695</f>
        <v>2357</v>
      </c>
      <c r="K1694" s="397">
        <f t="shared" si="253"/>
        <v>99.957591178965217</v>
      </c>
      <c r="L1694" s="15"/>
      <c r="M1694" s="15"/>
      <c r="N1694" s="15"/>
      <c r="O1694" s="397"/>
      <c r="P1694" s="15"/>
      <c r="Q1694" s="16">
        <f t="shared" si="246"/>
        <v>2358</v>
      </c>
      <c r="R1694" s="16">
        <f t="shared" si="247"/>
        <v>2357</v>
      </c>
      <c r="S1694" s="448">
        <f t="shared" si="248"/>
        <v>99.957591178965217</v>
      </c>
    </row>
    <row r="1695" spans="2:19" x14ac:dyDescent="0.2">
      <c r="B1695" s="6">
        <f t="shared" si="249"/>
        <v>59</v>
      </c>
      <c r="C1695" s="17"/>
      <c r="D1695" s="17"/>
      <c r="E1695" s="17"/>
      <c r="F1695" s="18"/>
      <c r="G1695" s="19">
        <v>637</v>
      </c>
      <c r="H1695" s="17" t="s">
        <v>119</v>
      </c>
      <c r="I1695" s="20">
        <f>2300+58</f>
        <v>2358</v>
      </c>
      <c r="J1695" s="20">
        <v>2357</v>
      </c>
      <c r="K1695" s="397">
        <f t="shared" si="253"/>
        <v>99.957591178965217</v>
      </c>
      <c r="L1695" s="20"/>
      <c r="M1695" s="20"/>
      <c r="N1695" s="20"/>
      <c r="O1695" s="397"/>
      <c r="P1695" s="20"/>
      <c r="Q1695" s="21">
        <f t="shared" si="246"/>
        <v>2358</v>
      </c>
      <c r="R1695" s="21">
        <f t="shared" si="247"/>
        <v>2357</v>
      </c>
      <c r="S1695" s="448">
        <f t="shared" si="248"/>
        <v>99.957591178965217</v>
      </c>
    </row>
    <row r="1696" spans="2:19" ht="15" x14ac:dyDescent="0.2">
      <c r="B1696" s="6">
        <f t="shared" si="249"/>
        <v>60</v>
      </c>
      <c r="C1696" s="9">
        <v>3</v>
      </c>
      <c r="D1696" s="637" t="s">
        <v>239</v>
      </c>
      <c r="E1696" s="638"/>
      <c r="F1696" s="638"/>
      <c r="G1696" s="638"/>
      <c r="H1696" s="638"/>
      <c r="I1696" s="10">
        <f>I1697+I1701+I1711</f>
        <v>162296</v>
      </c>
      <c r="J1696" s="10">
        <f>J1697+J1701+J1711</f>
        <v>159161</v>
      </c>
      <c r="K1696" s="395">
        <f t="shared" si="253"/>
        <v>98.068344259870855</v>
      </c>
      <c r="L1696" s="312"/>
      <c r="M1696" s="10">
        <f>M1703+M1709</f>
        <v>74721</v>
      </c>
      <c r="N1696" s="10">
        <f>N1703+N1709</f>
        <v>74438</v>
      </c>
      <c r="O1696" s="395">
        <f>N1696/M1696*100</f>
        <v>99.621257745479852</v>
      </c>
      <c r="P1696" s="312"/>
      <c r="Q1696" s="31">
        <f t="shared" si="246"/>
        <v>237017</v>
      </c>
      <c r="R1696" s="31">
        <f t="shared" si="247"/>
        <v>233599</v>
      </c>
      <c r="S1696" s="449">
        <f t="shared" si="248"/>
        <v>98.557909348274592</v>
      </c>
    </row>
    <row r="1697" spans="2:19" x14ac:dyDescent="0.2">
      <c r="B1697" s="6">
        <f t="shared" si="249"/>
        <v>61</v>
      </c>
      <c r="C1697" s="12"/>
      <c r="D1697" s="12"/>
      <c r="E1697" s="12"/>
      <c r="F1697" s="13" t="s">
        <v>238</v>
      </c>
      <c r="G1697" s="14">
        <v>630</v>
      </c>
      <c r="H1697" s="12" t="s">
        <v>118</v>
      </c>
      <c r="I1697" s="15">
        <f>SUM(I1698:I1700)</f>
        <v>145296</v>
      </c>
      <c r="J1697" s="15">
        <f>SUM(J1698:J1700)</f>
        <v>143530</v>
      </c>
      <c r="K1697" s="397">
        <f t="shared" si="253"/>
        <v>98.784550159674041</v>
      </c>
      <c r="L1697" s="15"/>
      <c r="M1697" s="15"/>
      <c r="N1697" s="15"/>
      <c r="O1697" s="397"/>
      <c r="P1697" s="15"/>
      <c r="Q1697" s="16">
        <f t="shared" si="246"/>
        <v>145296</v>
      </c>
      <c r="R1697" s="16">
        <f t="shared" si="247"/>
        <v>143530</v>
      </c>
      <c r="S1697" s="448">
        <f t="shared" si="248"/>
        <v>98.784550159674041</v>
      </c>
    </row>
    <row r="1698" spans="2:19" x14ac:dyDescent="0.2">
      <c r="B1698" s="6">
        <f t="shared" si="249"/>
        <v>62</v>
      </c>
      <c r="C1698" s="17"/>
      <c r="D1698" s="17"/>
      <c r="E1698" s="17"/>
      <c r="F1698" s="18"/>
      <c r="G1698" s="19">
        <v>633</v>
      </c>
      <c r="H1698" s="17" t="s">
        <v>122</v>
      </c>
      <c r="I1698" s="20">
        <v>100</v>
      </c>
      <c r="J1698" s="20">
        <v>0</v>
      </c>
      <c r="K1698" s="397">
        <f t="shared" si="253"/>
        <v>0</v>
      </c>
      <c r="L1698" s="20"/>
      <c r="M1698" s="20"/>
      <c r="N1698" s="20"/>
      <c r="O1698" s="397"/>
      <c r="P1698" s="20"/>
      <c r="Q1698" s="21">
        <f t="shared" si="246"/>
        <v>100</v>
      </c>
      <c r="R1698" s="21">
        <f t="shared" si="247"/>
        <v>0</v>
      </c>
      <c r="S1698" s="448">
        <f t="shared" si="248"/>
        <v>0</v>
      </c>
    </row>
    <row r="1699" spans="2:19" x14ac:dyDescent="0.2">
      <c r="B1699" s="6">
        <f t="shared" si="249"/>
        <v>63</v>
      </c>
      <c r="C1699" s="17"/>
      <c r="D1699" s="17"/>
      <c r="E1699" s="17"/>
      <c r="F1699" s="18"/>
      <c r="G1699" s="19">
        <v>637</v>
      </c>
      <c r="H1699" s="17" t="s">
        <v>119</v>
      </c>
      <c r="I1699" s="20">
        <f>29230-720+36</f>
        <v>28546</v>
      </c>
      <c r="J1699" s="20">
        <v>26889</v>
      </c>
      <c r="K1699" s="397">
        <f t="shared" si="253"/>
        <v>94.195333847123948</v>
      </c>
      <c r="L1699" s="20"/>
      <c r="M1699" s="20"/>
      <c r="N1699" s="20"/>
      <c r="O1699" s="397"/>
      <c r="P1699" s="20"/>
      <c r="Q1699" s="21">
        <f t="shared" si="246"/>
        <v>28546</v>
      </c>
      <c r="R1699" s="21">
        <f t="shared" si="247"/>
        <v>26889</v>
      </c>
      <c r="S1699" s="448">
        <f t="shared" si="248"/>
        <v>94.195333847123948</v>
      </c>
    </row>
    <row r="1700" spans="2:19" ht="24" x14ac:dyDescent="0.2">
      <c r="B1700" s="6">
        <f t="shared" si="249"/>
        <v>64</v>
      </c>
      <c r="C1700" s="52"/>
      <c r="D1700" s="52"/>
      <c r="E1700" s="52"/>
      <c r="F1700" s="53"/>
      <c r="G1700" s="54">
        <v>635</v>
      </c>
      <c r="H1700" s="55" t="s">
        <v>508</v>
      </c>
      <c r="I1700" s="56">
        <f>93348+23338-36</f>
        <v>116650</v>
      </c>
      <c r="J1700" s="56">
        <v>116641</v>
      </c>
      <c r="K1700" s="396">
        <f t="shared" si="253"/>
        <v>99.992284612087445</v>
      </c>
      <c r="L1700" s="56"/>
      <c r="M1700" s="56"/>
      <c r="N1700" s="56"/>
      <c r="O1700" s="396"/>
      <c r="P1700" s="56"/>
      <c r="Q1700" s="57">
        <f t="shared" si="246"/>
        <v>116650</v>
      </c>
      <c r="R1700" s="57">
        <f t="shared" si="247"/>
        <v>116641</v>
      </c>
      <c r="S1700" s="450">
        <f t="shared" si="248"/>
        <v>99.992284612087445</v>
      </c>
    </row>
    <row r="1701" spans="2:19" x14ac:dyDescent="0.2">
      <c r="B1701" s="6">
        <f t="shared" si="249"/>
        <v>65</v>
      </c>
      <c r="C1701" s="12"/>
      <c r="D1701" s="12"/>
      <c r="E1701" s="12"/>
      <c r="F1701" s="13" t="s">
        <v>238</v>
      </c>
      <c r="G1701" s="14">
        <v>640</v>
      </c>
      <c r="H1701" s="12" t="s">
        <v>126</v>
      </c>
      <c r="I1701" s="15">
        <f>I1702</f>
        <v>7500</v>
      </c>
      <c r="J1701" s="15">
        <f>J1702</f>
        <v>6991</v>
      </c>
      <c r="K1701" s="397">
        <f t="shared" si="253"/>
        <v>93.213333333333338</v>
      </c>
      <c r="L1701" s="15"/>
      <c r="M1701" s="15"/>
      <c r="N1701" s="15"/>
      <c r="O1701" s="397"/>
      <c r="P1701" s="15"/>
      <c r="Q1701" s="16">
        <f t="shared" ref="Q1701:Q1709" si="254">I1701+M1701</f>
        <v>7500</v>
      </c>
      <c r="R1701" s="16">
        <f t="shared" ref="R1701:R1709" si="255">J1701+N1701</f>
        <v>6991</v>
      </c>
      <c r="S1701" s="448">
        <f t="shared" ref="S1701:S1732" si="256">R1701/Q1701*100</f>
        <v>93.213333333333338</v>
      </c>
    </row>
    <row r="1702" spans="2:19" x14ac:dyDescent="0.2">
      <c r="B1702" s="6">
        <f t="shared" ref="B1702:B1735" si="257">B1701+1</f>
        <v>66</v>
      </c>
      <c r="C1702" s="22"/>
      <c r="D1702" s="22"/>
      <c r="E1702" s="22"/>
      <c r="F1702" s="124"/>
      <c r="G1702" s="124"/>
      <c r="H1702" s="1" t="s">
        <v>261</v>
      </c>
      <c r="I1702" s="24">
        <f>10000-2500</f>
        <v>7500</v>
      </c>
      <c r="J1702" s="24">
        <v>6991</v>
      </c>
      <c r="K1702" s="397">
        <f t="shared" si="253"/>
        <v>93.213333333333338</v>
      </c>
      <c r="L1702" s="24"/>
      <c r="M1702" s="24"/>
      <c r="N1702" s="24"/>
      <c r="O1702" s="397"/>
      <c r="P1702" s="24"/>
      <c r="Q1702" s="26">
        <f t="shared" si="254"/>
        <v>7500</v>
      </c>
      <c r="R1702" s="26">
        <f t="shared" si="255"/>
        <v>6991</v>
      </c>
      <c r="S1702" s="448">
        <f t="shared" si="256"/>
        <v>93.213333333333338</v>
      </c>
    </row>
    <row r="1703" spans="2:19" x14ac:dyDescent="0.2">
      <c r="B1703" s="6">
        <f t="shared" si="257"/>
        <v>67</v>
      </c>
      <c r="C1703" s="12"/>
      <c r="D1703" s="12"/>
      <c r="E1703" s="12"/>
      <c r="F1703" s="13" t="s">
        <v>150</v>
      </c>
      <c r="G1703" s="14">
        <v>710</v>
      </c>
      <c r="H1703" s="12" t="s">
        <v>172</v>
      </c>
      <c r="I1703" s="15"/>
      <c r="J1703" s="15"/>
      <c r="K1703" s="397"/>
      <c r="L1703" s="15"/>
      <c r="M1703" s="15">
        <f>M1704+M1706</f>
        <v>68721</v>
      </c>
      <c r="N1703" s="15">
        <f>N1704+N1706</f>
        <v>68438</v>
      </c>
      <c r="O1703" s="397">
        <f t="shared" ref="O1703:O1710" si="258">N1703/M1703*100</f>
        <v>99.588189927387546</v>
      </c>
      <c r="P1703" s="15"/>
      <c r="Q1703" s="16">
        <f t="shared" si="254"/>
        <v>68721</v>
      </c>
      <c r="R1703" s="16">
        <f t="shared" si="255"/>
        <v>68438</v>
      </c>
      <c r="S1703" s="448">
        <f t="shared" si="256"/>
        <v>99.588189927387546</v>
      </c>
    </row>
    <row r="1704" spans="2:19" x14ac:dyDescent="0.2">
      <c r="B1704" s="6">
        <f t="shared" si="257"/>
        <v>68</v>
      </c>
      <c r="C1704" s="17"/>
      <c r="D1704" s="17"/>
      <c r="E1704" s="17"/>
      <c r="F1704" s="18"/>
      <c r="G1704" s="19">
        <v>716</v>
      </c>
      <c r="H1704" s="17" t="s">
        <v>213</v>
      </c>
      <c r="I1704" s="20"/>
      <c r="J1704" s="20"/>
      <c r="K1704" s="397"/>
      <c r="L1704" s="20"/>
      <c r="M1704" s="20">
        <f>M1705</f>
        <v>6000</v>
      </c>
      <c r="N1704" s="20">
        <f>N1705</f>
        <v>5800</v>
      </c>
      <c r="O1704" s="397">
        <f t="shared" si="258"/>
        <v>96.666666666666671</v>
      </c>
      <c r="P1704" s="20"/>
      <c r="Q1704" s="21">
        <f t="shared" si="254"/>
        <v>6000</v>
      </c>
      <c r="R1704" s="21">
        <f t="shared" si="255"/>
        <v>5800</v>
      </c>
      <c r="S1704" s="448">
        <f t="shared" si="256"/>
        <v>96.666666666666671</v>
      </c>
    </row>
    <row r="1705" spans="2:19" x14ac:dyDescent="0.2">
      <c r="B1705" s="6">
        <f t="shared" si="257"/>
        <v>69</v>
      </c>
      <c r="C1705" s="22"/>
      <c r="D1705" s="22"/>
      <c r="E1705" s="22"/>
      <c r="F1705" s="124"/>
      <c r="G1705" s="124"/>
      <c r="H1705" s="1" t="s">
        <v>548</v>
      </c>
      <c r="I1705" s="24"/>
      <c r="J1705" s="24"/>
      <c r="K1705" s="397"/>
      <c r="L1705" s="24"/>
      <c r="M1705" s="24">
        <v>6000</v>
      </c>
      <c r="N1705" s="24">
        <v>5800</v>
      </c>
      <c r="O1705" s="397">
        <f t="shared" si="258"/>
        <v>96.666666666666671</v>
      </c>
      <c r="P1705" s="24"/>
      <c r="Q1705" s="26">
        <f t="shared" si="254"/>
        <v>6000</v>
      </c>
      <c r="R1705" s="26">
        <f t="shared" si="255"/>
        <v>5800</v>
      </c>
      <c r="S1705" s="448">
        <f t="shared" si="256"/>
        <v>96.666666666666671</v>
      </c>
    </row>
    <row r="1706" spans="2:19" x14ac:dyDescent="0.2">
      <c r="B1706" s="6">
        <f t="shared" si="257"/>
        <v>70</v>
      </c>
      <c r="C1706" s="17"/>
      <c r="D1706" s="17"/>
      <c r="E1706" s="17"/>
      <c r="F1706" s="18"/>
      <c r="G1706" s="19">
        <v>717</v>
      </c>
      <c r="H1706" s="17" t="s">
        <v>179</v>
      </c>
      <c r="I1706" s="20"/>
      <c r="J1706" s="20"/>
      <c r="K1706" s="397"/>
      <c r="L1706" s="20"/>
      <c r="M1706" s="20">
        <f>M1707+M1708</f>
        <v>62721</v>
      </c>
      <c r="N1706" s="20">
        <f>N1707+N1708</f>
        <v>62638</v>
      </c>
      <c r="O1706" s="397">
        <f t="shared" si="258"/>
        <v>99.867667926212917</v>
      </c>
      <c r="P1706" s="20"/>
      <c r="Q1706" s="21">
        <f t="shared" si="254"/>
        <v>62721</v>
      </c>
      <c r="R1706" s="21">
        <f t="shared" si="255"/>
        <v>62638</v>
      </c>
      <c r="S1706" s="448">
        <f t="shared" si="256"/>
        <v>99.867667926212917</v>
      </c>
    </row>
    <row r="1707" spans="2:19" x14ac:dyDescent="0.2">
      <c r="B1707" s="6">
        <f t="shared" si="257"/>
        <v>71</v>
      </c>
      <c r="C1707" s="22"/>
      <c r="D1707" s="22"/>
      <c r="E1707" s="22"/>
      <c r="F1707" s="124"/>
      <c r="G1707" s="124"/>
      <c r="H1707" s="1" t="s">
        <v>548</v>
      </c>
      <c r="I1707" s="24"/>
      <c r="J1707" s="24"/>
      <c r="K1707" s="397"/>
      <c r="L1707" s="24"/>
      <c r="M1707" s="24">
        <f>50000-879</f>
        <v>49121</v>
      </c>
      <c r="N1707" s="24">
        <v>49120</v>
      </c>
      <c r="O1707" s="397">
        <f t="shared" si="258"/>
        <v>99.997964210826325</v>
      </c>
      <c r="P1707" s="24"/>
      <c r="Q1707" s="21">
        <f t="shared" si="254"/>
        <v>49121</v>
      </c>
      <c r="R1707" s="21">
        <f t="shared" si="255"/>
        <v>49120</v>
      </c>
      <c r="S1707" s="448">
        <f t="shared" si="256"/>
        <v>99.997964210826325</v>
      </c>
    </row>
    <row r="1708" spans="2:19" x14ac:dyDescent="0.2">
      <c r="B1708" s="6">
        <f t="shared" si="257"/>
        <v>72</v>
      </c>
      <c r="C1708" s="22"/>
      <c r="D1708" s="22"/>
      <c r="E1708" s="22"/>
      <c r="F1708" s="124"/>
      <c r="G1708" s="124"/>
      <c r="H1708" s="1" t="s">
        <v>693</v>
      </c>
      <c r="I1708" s="24"/>
      <c r="J1708" s="24"/>
      <c r="K1708" s="397"/>
      <c r="L1708" s="24"/>
      <c r="M1708" s="24">
        <v>13600</v>
      </c>
      <c r="N1708" s="24">
        <v>13518</v>
      </c>
      <c r="O1708" s="397">
        <f t="shared" si="258"/>
        <v>99.39705882352942</v>
      </c>
      <c r="P1708" s="24"/>
      <c r="Q1708" s="21">
        <f t="shared" si="254"/>
        <v>13600</v>
      </c>
      <c r="R1708" s="21">
        <f t="shared" si="255"/>
        <v>13518</v>
      </c>
      <c r="S1708" s="448">
        <f t="shared" si="256"/>
        <v>99.39705882352942</v>
      </c>
    </row>
    <row r="1709" spans="2:19" x14ac:dyDescent="0.2">
      <c r="B1709" s="6">
        <f t="shared" si="257"/>
        <v>73</v>
      </c>
      <c r="C1709" s="22"/>
      <c r="D1709" s="22"/>
      <c r="E1709" s="22"/>
      <c r="F1709" s="13" t="s">
        <v>141</v>
      </c>
      <c r="G1709" s="14">
        <v>720</v>
      </c>
      <c r="H1709" s="12" t="s">
        <v>3</v>
      </c>
      <c r="I1709" s="15"/>
      <c r="J1709" s="15"/>
      <c r="K1709" s="397"/>
      <c r="L1709" s="15"/>
      <c r="M1709" s="15">
        <f>M1710+M1712</f>
        <v>6000</v>
      </c>
      <c r="N1709" s="15">
        <f>N1710+N1712</f>
        <v>6000</v>
      </c>
      <c r="O1709" s="397">
        <f t="shared" si="258"/>
        <v>100</v>
      </c>
      <c r="P1709" s="15"/>
      <c r="Q1709" s="16">
        <f t="shared" si="254"/>
        <v>6000</v>
      </c>
      <c r="R1709" s="16">
        <f t="shared" si="255"/>
        <v>6000</v>
      </c>
      <c r="S1709" s="448">
        <f t="shared" si="256"/>
        <v>100</v>
      </c>
    </row>
    <row r="1710" spans="2:19" ht="60" x14ac:dyDescent="0.2">
      <c r="B1710" s="6">
        <f t="shared" si="257"/>
        <v>74</v>
      </c>
      <c r="C1710" s="32"/>
      <c r="D1710" s="32"/>
      <c r="E1710" s="32"/>
      <c r="F1710" s="152"/>
      <c r="G1710" s="152">
        <v>720</v>
      </c>
      <c r="H1710" s="559" t="s">
        <v>631</v>
      </c>
      <c r="I1710" s="35"/>
      <c r="J1710" s="35"/>
      <c r="K1710" s="396"/>
      <c r="L1710" s="35"/>
      <c r="M1710" s="35">
        <v>6000</v>
      </c>
      <c r="N1710" s="35">
        <v>6000</v>
      </c>
      <c r="O1710" s="396">
        <f t="shared" si="258"/>
        <v>100</v>
      </c>
      <c r="P1710" s="35"/>
      <c r="Q1710" s="57">
        <f>M1710</f>
        <v>6000</v>
      </c>
      <c r="R1710" s="57">
        <f>N1710</f>
        <v>6000</v>
      </c>
      <c r="S1710" s="450">
        <f t="shared" si="256"/>
        <v>100</v>
      </c>
    </row>
    <row r="1711" spans="2:19" ht="15" x14ac:dyDescent="0.25">
      <c r="B1711" s="6">
        <f t="shared" si="257"/>
        <v>75</v>
      </c>
      <c r="C1711" s="97"/>
      <c r="D1711" s="97"/>
      <c r="E1711" s="97">
        <v>2</v>
      </c>
      <c r="F1711" s="98"/>
      <c r="G1711" s="98"/>
      <c r="H1711" s="97" t="s">
        <v>11</v>
      </c>
      <c r="I1711" s="99">
        <f>I1712</f>
        <v>9500</v>
      </c>
      <c r="J1711" s="99">
        <f>J1712</f>
        <v>8640</v>
      </c>
      <c r="K1711" s="414">
        <f t="shared" ref="K1711:K1735" si="259">J1711/I1711*100</f>
        <v>90.94736842105263</v>
      </c>
      <c r="L1711" s="313"/>
      <c r="M1711" s="99"/>
      <c r="N1711" s="99"/>
      <c r="O1711" s="432"/>
      <c r="P1711" s="313"/>
      <c r="Q1711" s="100">
        <f t="shared" ref="Q1711:Q1735" si="260">I1711+M1711</f>
        <v>9500</v>
      </c>
      <c r="R1711" s="100">
        <f t="shared" ref="R1711:R1735" si="261">J1711+N1711</f>
        <v>8640</v>
      </c>
      <c r="S1711" s="464">
        <f t="shared" si="256"/>
        <v>90.94736842105263</v>
      </c>
    </row>
    <row r="1712" spans="2:19" x14ac:dyDescent="0.2">
      <c r="B1712" s="6">
        <f t="shared" si="257"/>
        <v>76</v>
      </c>
      <c r="C1712" s="12"/>
      <c r="D1712" s="12"/>
      <c r="E1712" s="12"/>
      <c r="F1712" s="13" t="s">
        <v>189</v>
      </c>
      <c r="G1712" s="14">
        <v>630</v>
      </c>
      <c r="H1712" s="12" t="s">
        <v>118</v>
      </c>
      <c r="I1712" s="15">
        <f>I1713</f>
        <v>9500</v>
      </c>
      <c r="J1712" s="15">
        <f>J1713</f>
        <v>8640</v>
      </c>
      <c r="K1712" s="397">
        <f t="shared" si="259"/>
        <v>90.94736842105263</v>
      </c>
      <c r="L1712" s="15"/>
      <c r="M1712" s="15"/>
      <c r="N1712" s="15"/>
      <c r="O1712" s="433"/>
      <c r="P1712" s="15"/>
      <c r="Q1712" s="16">
        <f t="shared" si="260"/>
        <v>9500</v>
      </c>
      <c r="R1712" s="16">
        <f t="shared" si="261"/>
        <v>8640</v>
      </c>
      <c r="S1712" s="448">
        <f t="shared" si="256"/>
        <v>90.94736842105263</v>
      </c>
    </row>
    <row r="1713" spans="2:19" x14ac:dyDescent="0.2">
      <c r="B1713" s="6">
        <f t="shared" si="257"/>
        <v>77</v>
      </c>
      <c r="C1713" s="17"/>
      <c r="D1713" s="17"/>
      <c r="E1713" s="17"/>
      <c r="F1713" s="18"/>
      <c r="G1713" s="19">
        <v>635</v>
      </c>
      <c r="H1713" s="17" t="s">
        <v>130</v>
      </c>
      <c r="I1713" s="20">
        <v>9500</v>
      </c>
      <c r="J1713" s="20">
        <v>8640</v>
      </c>
      <c r="K1713" s="397">
        <f t="shared" si="259"/>
        <v>90.94736842105263</v>
      </c>
      <c r="L1713" s="20"/>
      <c r="M1713" s="20"/>
      <c r="N1713" s="20"/>
      <c r="O1713" s="434"/>
      <c r="P1713" s="20"/>
      <c r="Q1713" s="21">
        <f t="shared" si="260"/>
        <v>9500</v>
      </c>
      <c r="R1713" s="21">
        <f t="shared" si="261"/>
        <v>8640</v>
      </c>
      <c r="S1713" s="448">
        <f t="shared" si="256"/>
        <v>90.94736842105263</v>
      </c>
    </row>
    <row r="1714" spans="2:19" ht="15" x14ac:dyDescent="0.2">
      <c r="B1714" s="6">
        <f t="shared" si="257"/>
        <v>78</v>
      </c>
      <c r="C1714" s="9">
        <v>4</v>
      </c>
      <c r="D1714" s="637" t="s">
        <v>63</v>
      </c>
      <c r="E1714" s="638"/>
      <c r="F1714" s="638"/>
      <c r="G1714" s="638"/>
      <c r="H1714" s="638"/>
      <c r="I1714" s="10">
        <f>I1715</f>
        <v>25000</v>
      </c>
      <c r="J1714" s="10">
        <f>J1715</f>
        <v>25000</v>
      </c>
      <c r="K1714" s="395">
        <f t="shared" si="259"/>
        <v>100</v>
      </c>
      <c r="L1714" s="312"/>
      <c r="M1714" s="10"/>
      <c r="N1714" s="10"/>
      <c r="O1714" s="435"/>
      <c r="P1714" s="312"/>
      <c r="Q1714" s="31">
        <f t="shared" si="260"/>
        <v>25000</v>
      </c>
      <c r="R1714" s="31">
        <f t="shared" si="261"/>
        <v>25000</v>
      </c>
      <c r="S1714" s="449">
        <f t="shared" si="256"/>
        <v>100</v>
      </c>
    </row>
    <row r="1715" spans="2:19" x14ac:dyDescent="0.2">
      <c r="B1715" s="6">
        <f t="shared" si="257"/>
        <v>79</v>
      </c>
      <c r="C1715" s="12"/>
      <c r="D1715" s="12"/>
      <c r="E1715" s="12"/>
      <c r="F1715" s="13" t="s">
        <v>189</v>
      </c>
      <c r="G1715" s="14">
        <v>640</v>
      </c>
      <c r="H1715" s="12" t="s">
        <v>126</v>
      </c>
      <c r="I1715" s="15">
        <f>I1716</f>
        <v>25000</v>
      </c>
      <c r="J1715" s="15">
        <f>J1716</f>
        <v>25000</v>
      </c>
      <c r="K1715" s="397">
        <f t="shared" si="259"/>
        <v>100</v>
      </c>
      <c r="L1715" s="15"/>
      <c r="M1715" s="15"/>
      <c r="N1715" s="15"/>
      <c r="O1715" s="433"/>
      <c r="P1715" s="15"/>
      <c r="Q1715" s="16">
        <f t="shared" si="260"/>
        <v>25000</v>
      </c>
      <c r="R1715" s="16">
        <f t="shared" si="261"/>
        <v>25000</v>
      </c>
      <c r="S1715" s="448">
        <f t="shared" si="256"/>
        <v>100</v>
      </c>
    </row>
    <row r="1716" spans="2:19" x14ac:dyDescent="0.2">
      <c r="B1716" s="6">
        <f t="shared" si="257"/>
        <v>80</v>
      </c>
      <c r="C1716" s="22"/>
      <c r="D1716" s="22"/>
      <c r="E1716" s="22"/>
      <c r="F1716" s="124"/>
      <c r="G1716" s="124"/>
      <c r="H1716" s="1" t="s">
        <v>351</v>
      </c>
      <c r="I1716" s="24">
        <v>25000</v>
      </c>
      <c r="J1716" s="24">
        <v>25000</v>
      </c>
      <c r="K1716" s="397">
        <f t="shared" si="259"/>
        <v>100</v>
      </c>
      <c r="L1716" s="24"/>
      <c r="M1716" s="24"/>
      <c r="N1716" s="24"/>
      <c r="O1716" s="434"/>
      <c r="P1716" s="24"/>
      <c r="Q1716" s="26">
        <f t="shared" si="260"/>
        <v>25000</v>
      </c>
      <c r="R1716" s="26">
        <f t="shared" si="261"/>
        <v>25000</v>
      </c>
      <c r="S1716" s="448">
        <f t="shared" si="256"/>
        <v>100</v>
      </c>
    </row>
    <row r="1717" spans="2:19" ht="15" x14ac:dyDescent="0.2">
      <c r="B1717" s="6">
        <f t="shared" si="257"/>
        <v>81</v>
      </c>
      <c r="C1717" s="9">
        <v>5</v>
      </c>
      <c r="D1717" s="637" t="s">
        <v>43</v>
      </c>
      <c r="E1717" s="638"/>
      <c r="F1717" s="638"/>
      <c r="G1717" s="638"/>
      <c r="H1717" s="638"/>
      <c r="I1717" s="10">
        <f>I1718</f>
        <v>39940</v>
      </c>
      <c r="J1717" s="10">
        <f>J1718</f>
        <v>21010</v>
      </c>
      <c r="K1717" s="395">
        <f t="shared" si="259"/>
        <v>52.603905858788181</v>
      </c>
      <c r="L1717" s="312"/>
      <c r="M1717" s="10"/>
      <c r="N1717" s="10"/>
      <c r="O1717" s="435"/>
      <c r="P1717" s="312"/>
      <c r="Q1717" s="31">
        <f t="shared" si="260"/>
        <v>39940</v>
      </c>
      <c r="R1717" s="31">
        <f t="shared" si="261"/>
        <v>21010</v>
      </c>
      <c r="S1717" s="449">
        <f t="shared" si="256"/>
        <v>52.603905858788181</v>
      </c>
    </row>
    <row r="1718" spans="2:19" ht="15" x14ac:dyDescent="0.25">
      <c r="B1718" s="6">
        <f t="shared" si="257"/>
        <v>82</v>
      </c>
      <c r="C1718" s="97"/>
      <c r="D1718" s="97"/>
      <c r="E1718" s="97">
        <v>2</v>
      </c>
      <c r="F1718" s="98"/>
      <c r="G1718" s="98"/>
      <c r="H1718" s="97" t="s">
        <v>11</v>
      </c>
      <c r="I1718" s="99">
        <f>I1719</f>
        <v>39940</v>
      </c>
      <c r="J1718" s="99">
        <f>J1719</f>
        <v>21010</v>
      </c>
      <c r="K1718" s="414">
        <f t="shared" si="259"/>
        <v>52.603905858788181</v>
      </c>
      <c r="L1718" s="313"/>
      <c r="M1718" s="99"/>
      <c r="N1718" s="99"/>
      <c r="O1718" s="432"/>
      <c r="P1718" s="313"/>
      <c r="Q1718" s="100">
        <f t="shared" si="260"/>
        <v>39940</v>
      </c>
      <c r="R1718" s="100">
        <f t="shared" si="261"/>
        <v>21010</v>
      </c>
      <c r="S1718" s="464">
        <f t="shared" si="256"/>
        <v>52.603905858788181</v>
      </c>
    </row>
    <row r="1719" spans="2:19" x14ac:dyDescent="0.2">
      <c r="B1719" s="6">
        <f t="shared" si="257"/>
        <v>83</v>
      </c>
      <c r="C1719" s="12"/>
      <c r="D1719" s="12"/>
      <c r="E1719" s="12"/>
      <c r="F1719" s="13" t="s">
        <v>189</v>
      </c>
      <c r="G1719" s="14">
        <v>630</v>
      </c>
      <c r="H1719" s="12" t="s">
        <v>118</v>
      </c>
      <c r="I1719" s="15">
        <f>SUM(I1720:I1723)</f>
        <v>39940</v>
      </c>
      <c r="J1719" s="15">
        <f>SUM(J1720:J1723)</f>
        <v>21010</v>
      </c>
      <c r="K1719" s="397">
        <f t="shared" si="259"/>
        <v>52.603905858788181</v>
      </c>
      <c r="L1719" s="15"/>
      <c r="M1719" s="15"/>
      <c r="N1719" s="15"/>
      <c r="O1719" s="433"/>
      <c r="P1719" s="15"/>
      <c r="Q1719" s="16">
        <f t="shared" si="260"/>
        <v>39940</v>
      </c>
      <c r="R1719" s="16">
        <f t="shared" si="261"/>
        <v>21010</v>
      </c>
      <c r="S1719" s="448">
        <f t="shared" si="256"/>
        <v>52.603905858788181</v>
      </c>
    </row>
    <row r="1720" spans="2:19" x14ac:dyDescent="0.2">
      <c r="B1720" s="6">
        <f t="shared" si="257"/>
        <v>84</v>
      </c>
      <c r="C1720" s="17"/>
      <c r="D1720" s="17"/>
      <c r="E1720" s="17"/>
      <c r="F1720" s="18"/>
      <c r="G1720" s="19">
        <v>632</v>
      </c>
      <c r="H1720" s="17" t="s">
        <v>131</v>
      </c>
      <c r="I1720" s="20">
        <v>16650</v>
      </c>
      <c r="J1720" s="20">
        <v>11357</v>
      </c>
      <c r="K1720" s="397">
        <f t="shared" si="259"/>
        <v>68.210210210210207</v>
      </c>
      <c r="L1720" s="20"/>
      <c r="M1720" s="20"/>
      <c r="N1720" s="20"/>
      <c r="O1720" s="434"/>
      <c r="P1720" s="20"/>
      <c r="Q1720" s="21">
        <f t="shared" si="260"/>
        <v>16650</v>
      </c>
      <c r="R1720" s="21">
        <f t="shared" si="261"/>
        <v>11357</v>
      </c>
      <c r="S1720" s="448">
        <f t="shared" si="256"/>
        <v>68.210210210210207</v>
      </c>
    </row>
    <row r="1721" spans="2:19" x14ac:dyDescent="0.2">
      <c r="B1721" s="6">
        <f t="shared" si="257"/>
        <v>85</v>
      </c>
      <c r="C1721" s="17"/>
      <c r="D1721" s="17"/>
      <c r="E1721" s="17"/>
      <c r="F1721" s="18"/>
      <c r="G1721" s="19">
        <v>633</v>
      </c>
      <c r="H1721" s="17" t="s">
        <v>122</v>
      </c>
      <c r="I1721" s="20">
        <v>9000</v>
      </c>
      <c r="J1721" s="20">
        <v>2790</v>
      </c>
      <c r="K1721" s="397">
        <f t="shared" si="259"/>
        <v>31</v>
      </c>
      <c r="L1721" s="20"/>
      <c r="M1721" s="20"/>
      <c r="N1721" s="20"/>
      <c r="O1721" s="434"/>
      <c r="P1721" s="20"/>
      <c r="Q1721" s="21">
        <f t="shared" si="260"/>
        <v>9000</v>
      </c>
      <c r="R1721" s="21">
        <f t="shared" si="261"/>
        <v>2790</v>
      </c>
      <c r="S1721" s="448">
        <f t="shared" si="256"/>
        <v>31</v>
      </c>
    </row>
    <row r="1722" spans="2:19" x14ac:dyDescent="0.2">
      <c r="B1722" s="6">
        <f t="shared" si="257"/>
        <v>86</v>
      </c>
      <c r="C1722" s="17"/>
      <c r="D1722" s="17"/>
      <c r="E1722" s="17"/>
      <c r="F1722" s="18"/>
      <c r="G1722" s="19">
        <v>635</v>
      </c>
      <c r="H1722" s="17" t="s">
        <v>130</v>
      </c>
      <c r="I1722" s="20">
        <v>10000</v>
      </c>
      <c r="J1722" s="20">
        <v>6443</v>
      </c>
      <c r="K1722" s="397">
        <f t="shared" si="259"/>
        <v>64.429999999999993</v>
      </c>
      <c r="L1722" s="20"/>
      <c r="M1722" s="20"/>
      <c r="N1722" s="20"/>
      <c r="O1722" s="434"/>
      <c r="P1722" s="20"/>
      <c r="Q1722" s="21">
        <f t="shared" si="260"/>
        <v>10000</v>
      </c>
      <c r="R1722" s="21">
        <f t="shared" si="261"/>
        <v>6443</v>
      </c>
      <c r="S1722" s="448">
        <f t="shared" si="256"/>
        <v>64.429999999999993</v>
      </c>
    </row>
    <row r="1723" spans="2:19" x14ac:dyDescent="0.2">
      <c r="B1723" s="6">
        <f t="shared" si="257"/>
        <v>87</v>
      </c>
      <c r="C1723" s="17"/>
      <c r="D1723" s="17"/>
      <c r="E1723" s="17"/>
      <c r="F1723" s="18"/>
      <c r="G1723" s="19">
        <v>637</v>
      </c>
      <c r="H1723" s="17" t="s">
        <v>119</v>
      </c>
      <c r="I1723" s="20">
        <v>4290</v>
      </c>
      <c r="J1723" s="20">
        <v>420</v>
      </c>
      <c r="K1723" s="397">
        <f t="shared" si="259"/>
        <v>9.79020979020979</v>
      </c>
      <c r="L1723" s="20"/>
      <c r="M1723" s="20"/>
      <c r="N1723" s="20"/>
      <c r="O1723" s="434"/>
      <c r="P1723" s="20"/>
      <c r="Q1723" s="21">
        <f t="shared" si="260"/>
        <v>4290</v>
      </c>
      <c r="R1723" s="21">
        <f t="shared" si="261"/>
        <v>420</v>
      </c>
      <c r="S1723" s="448">
        <f t="shared" si="256"/>
        <v>9.79020979020979</v>
      </c>
    </row>
    <row r="1724" spans="2:19" ht="15" x14ac:dyDescent="0.2">
      <c r="B1724" s="6">
        <f t="shared" si="257"/>
        <v>88</v>
      </c>
      <c r="C1724" s="9">
        <v>6</v>
      </c>
      <c r="D1724" s="637" t="s">
        <v>56</v>
      </c>
      <c r="E1724" s="638"/>
      <c r="F1724" s="638"/>
      <c r="G1724" s="638"/>
      <c r="H1724" s="638"/>
      <c r="I1724" s="10">
        <f>I1725</f>
        <v>562530</v>
      </c>
      <c r="J1724" s="10">
        <f>J1725</f>
        <v>536307</v>
      </c>
      <c r="K1724" s="395">
        <f t="shared" si="259"/>
        <v>95.338381952962507</v>
      </c>
      <c r="L1724" s="312"/>
      <c r="M1724" s="10"/>
      <c r="N1724" s="10"/>
      <c r="O1724" s="435"/>
      <c r="P1724" s="312"/>
      <c r="Q1724" s="31">
        <f t="shared" si="260"/>
        <v>562530</v>
      </c>
      <c r="R1724" s="31">
        <f t="shared" si="261"/>
        <v>536307</v>
      </c>
      <c r="S1724" s="449">
        <f t="shared" si="256"/>
        <v>95.338381952962507</v>
      </c>
    </row>
    <row r="1725" spans="2:19" ht="15" x14ac:dyDescent="0.25">
      <c r="B1725" s="6">
        <f t="shared" si="257"/>
        <v>89</v>
      </c>
      <c r="C1725" s="97"/>
      <c r="D1725" s="97"/>
      <c r="E1725" s="97">
        <v>2</v>
      </c>
      <c r="F1725" s="98"/>
      <c r="G1725" s="98"/>
      <c r="H1725" s="97" t="s">
        <v>11</v>
      </c>
      <c r="I1725" s="99">
        <f>I1726+I1727+I1728+I1735</f>
        <v>562530</v>
      </c>
      <c r="J1725" s="99">
        <f>J1726+J1727+J1728+J1735</f>
        <v>536307</v>
      </c>
      <c r="K1725" s="414">
        <f t="shared" si="259"/>
        <v>95.338381952962507</v>
      </c>
      <c r="L1725" s="313"/>
      <c r="M1725" s="99"/>
      <c r="N1725" s="99"/>
      <c r="O1725" s="432"/>
      <c r="P1725" s="313"/>
      <c r="Q1725" s="100">
        <f t="shared" si="260"/>
        <v>562530</v>
      </c>
      <c r="R1725" s="100">
        <f t="shared" si="261"/>
        <v>536307</v>
      </c>
      <c r="S1725" s="464">
        <f t="shared" si="256"/>
        <v>95.338381952962507</v>
      </c>
    </row>
    <row r="1726" spans="2:19" x14ac:dyDescent="0.2">
      <c r="B1726" s="6">
        <f t="shared" si="257"/>
        <v>90</v>
      </c>
      <c r="C1726" s="12"/>
      <c r="D1726" s="12"/>
      <c r="E1726" s="12"/>
      <c r="F1726" s="13" t="s">
        <v>189</v>
      </c>
      <c r="G1726" s="14">
        <v>610</v>
      </c>
      <c r="H1726" s="12" t="s">
        <v>128</v>
      </c>
      <c r="I1726" s="15">
        <f>296560+11624</f>
        <v>308184</v>
      </c>
      <c r="J1726" s="15">
        <v>307938</v>
      </c>
      <c r="K1726" s="397">
        <f t="shared" si="259"/>
        <v>99.920177556265088</v>
      </c>
      <c r="L1726" s="15"/>
      <c r="M1726" s="15"/>
      <c r="N1726" s="15"/>
      <c r="O1726" s="433"/>
      <c r="P1726" s="15"/>
      <c r="Q1726" s="16">
        <f t="shared" si="260"/>
        <v>308184</v>
      </c>
      <c r="R1726" s="16">
        <f t="shared" si="261"/>
        <v>307938</v>
      </c>
      <c r="S1726" s="448">
        <f t="shared" si="256"/>
        <v>99.920177556265088</v>
      </c>
    </row>
    <row r="1727" spans="2:19" x14ac:dyDescent="0.2">
      <c r="B1727" s="6">
        <f t="shared" si="257"/>
        <v>91</v>
      </c>
      <c r="C1727" s="12"/>
      <c r="D1727" s="12"/>
      <c r="E1727" s="12"/>
      <c r="F1727" s="13" t="s">
        <v>189</v>
      </c>
      <c r="G1727" s="14">
        <v>620</v>
      </c>
      <c r="H1727" s="12" t="s">
        <v>121</v>
      </c>
      <c r="I1727" s="15">
        <f>114820+4156</f>
        <v>118976</v>
      </c>
      <c r="J1727" s="15">
        <v>115484</v>
      </c>
      <c r="K1727" s="397">
        <f t="shared" si="259"/>
        <v>97.064954276492742</v>
      </c>
      <c r="L1727" s="15"/>
      <c r="M1727" s="15"/>
      <c r="N1727" s="15"/>
      <c r="O1727" s="433"/>
      <c r="P1727" s="15"/>
      <c r="Q1727" s="16">
        <f t="shared" si="260"/>
        <v>118976</v>
      </c>
      <c r="R1727" s="16">
        <f t="shared" si="261"/>
        <v>115484</v>
      </c>
      <c r="S1727" s="448">
        <f t="shared" si="256"/>
        <v>97.064954276492742</v>
      </c>
    </row>
    <row r="1728" spans="2:19" x14ac:dyDescent="0.2">
      <c r="B1728" s="6">
        <f t="shared" si="257"/>
        <v>92</v>
      </c>
      <c r="C1728" s="12"/>
      <c r="D1728" s="12"/>
      <c r="E1728" s="12"/>
      <c r="F1728" s="13" t="s">
        <v>189</v>
      </c>
      <c r="G1728" s="14">
        <v>630</v>
      </c>
      <c r="H1728" s="12" t="s">
        <v>118</v>
      </c>
      <c r="I1728" s="15">
        <f>SUM(I1729:I1734)</f>
        <v>119250</v>
      </c>
      <c r="J1728" s="15">
        <f>SUM(J1729:J1734)</f>
        <v>100597</v>
      </c>
      <c r="K1728" s="397">
        <f t="shared" si="259"/>
        <v>84.358071278826003</v>
      </c>
      <c r="L1728" s="15"/>
      <c r="M1728" s="15"/>
      <c r="N1728" s="15"/>
      <c r="O1728" s="433"/>
      <c r="P1728" s="15"/>
      <c r="Q1728" s="16">
        <f t="shared" si="260"/>
        <v>119250</v>
      </c>
      <c r="R1728" s="16">
        <f t="shared" si="261"/>
        <v>100597</v>
      </c>
      <c r="S1728" s="448">
        <f t="shared" si="256"/>
        <v>84.358071278826003</v>
      </c>
    </row>
    <row r="1729" spans="2:19" x14ac:dyDescent="0.2">
      <c r="B1729" s="6">
        <f t="shared" si="257"/>
        <v>93</v>
      </c>
      <c r="C1729" s="17"/>
      <c r="D1729" s="17"/>
      <c r="E1729" s="17"/>
      <c r="F1729" s="18"/>
      <c r="G1729" s="19">
        <v>631</v>
      </c>
      <c r="H1729" s="17" t="s">
        <v>124</v>
      </c>
      <c r="I1729" s="20">
        <v>1000</v>
      </c>
      <c r="J1729" s="20">
        <v>315</v>
      </c>
      <c r="K1729" s="397">
        <f t="shared" si="259"/>
        <v>31.5</v>
      </c>
      <c r="L1729" s="20"/>
      <c r="M1729" s="20"/>
      <c r="N1729" s="20"/>
      <c r="O1729" s="434"/>
      <c r="P1729" s="20"/>
      <c r="Q1729" s="21">
        <f t="shared" si="260"/>
        <v>1000</v>
      </c>
      <c r="R1729" s="21">
        <f t="shared" si="261"/>
        <v>315</v>
      </c>
      <c r="S1729" s="448">
        <f t="shared" si="256"/>
        <v>31.5</v>
      </c>
    </row>
    <row r="1730" spans="2:19" x14ac:dyDescent="0.2">
      <c r="B1730" s="6">
        <f t="shared" si="257"/>
        <v>94</v>
      </c>
      <c r="C1730" s="17"/>
      <c r="D1730" s="17"/>
      <c r="E1730" s="17"/>
      <c r="F1730" s="18"/>
      <c r="G1730" s="19">
        <v>632</v>
      </c>
      <c r="H1730" s="17" t="s">
        <v>131</v>
      </c>
      <c r="I1730" s="20">
        <v>9350</v>
      </c>
      <c r="J1730" s="20">
        <v>6912</v>
      </c>
      <c r="K1730" s="397">
        <f t="shared" si="259"/>
        <v>73.925133689839569</v>
      </c>
      <c r="L1730" s="20"/>
      <c r="M1730" s="20"/>
      <c r="N1730" s="20"/>
      <c r="O1730" s="434"/>
      <c r="P1730" s="20"/>
      <c r="Q1730" s="21">
        <f t="shared" si="260"/>
        <v>9350</v>
      </c>
      <c r="R1730" s="21">
        <f t="shared" si="261"/>
        <v>6912</v>
      </c>
      <c r="S1730" s="448">
        <f t="shared" si="256"/>
        <v>73.925133689839569</v>
      </c>
    </row>
    <row r="1731" spans="2:19" x14ac:dyDescent="0.2">
      <c r="B1731" s="6">
        <f t="shared" si="257"/>
        <v>95</v>
      </c>
      <c r="C1731" s="17"/>
      <c r="D1731" s="17"/>
      <c r="E1731" s="17"/>
      <c r="F1731" s="18"/>
      <c r="G1731" s="19">
        <v>633</v>
      </c>
      <c r="H1731" s="17" t="s">
        <v>122</v>
      </c>
      <c r="I1731" s="20">
        <f>16100+4000+3000</f>
        <v>23100</v>
      </c>
      <c r="J1731" s="20">
        <v>20714</v>
      </c>
      <c r="K1731" s="397">
        <f t="shared" si="259"/>
        <v>89.670995670995666</v>
      </c>
      <c r="L1731" s="20"/>
      <c r="M1731" s="20"/>
      <c r="N1731" s="20"/>
      <c r="O1731" s="434"/>
      <c r="P1731" s="20"/>
      <c r="Q1731" s="21">
        <f t="shared" si="260"/>
        <v>23100</v>
      </c>
      <c r="R1731" s="21">
        <f t="shared" si="261"/>
        <v>20714</v>
      </c>
      <c r="S1731" s="448">
        <f t="shared" si="256"/>
        <v>89.670995670995666</v>
      </c>
    </row>
    <row r="1732" spans="2:19" x14ac:dyDescent="0.2">
      <c r="B1732" s="6">
        <f t="shared" si="257"/>
        <v>96</v>
      </c>
      <c r="C1732" s="17"/>
      <c r="D1732" s="17"/>
      <c r="E1732" s="17"/>
      <c r="F1732" s="18"/>
      <c r="G1732" s="19">
        <v>634</v>
      </c>
      <c r="H1732" s="17" t="s">
        <v>129</v>
      </c>
      <c r="I1732" s="20">
        <v>19250</v>
      </c>
      <c r="J1732" s="20">
        <v>16838</v>
      </c>
      <c r="K1732" s="397">
        <f t="shared" si="259"/>
        <v>87.470129870129867</v>
      </c>
      <c r="L1732" s="20"/>
      <c r="M1732" s="20"/>
      <c r="N1732" s="20"/>
      <c r="O1732" s="434"/>
      <c r="P1732" s="20"/>
      <c r="Q1732" s="21">
        <f t="shared" si="260"/>
        <v>19250</v>
      </c>
      <c r="R1732" s="21">
        <f t="shared" si="261"/>
        <v>16838</v>
      </c>
      <c r="S1732" s="448">
        <f t="shared" si="256"/>
        <v>87.470129870129867</v>
      </c>
    </row>
    <row r="1733" spans="2:19" x14ac:dyDescent="0.2">
      <c r="B1733" s="6">
        <f t="shared" si="257"/>
        <v>97</v>
      </c>
      <c r="C1733" s="17"/>
      <c r="D1733" s="17"/>
      <c r="E1733" s="17"/>
      <c r="F1733" s="18"/>
      <c r="G1733" s="19">
        <v>635</v>
      </c>
      <c r="H1733" s="17" t="s">
        <v>130</v>
      </c>
      <c r="I1733" s="20">
        <f>4050+2000</f>
        <v>6050</v>
      </c>
      <c r="J1733" s="20">
        <v>4540</v>
      </c>
      <c r="K1733" s="397">
        <f t="shared" si="259"/>
        <v>75.04132231404958</v>
      </c>
      <c r="L1733" s="20"/>
      <c r="M1733" s="20"/>
      <c r="N1733" s="20"/>
      <c r="O1733" s="434"/>
      <c r="P1733" s="20"/>
      <c r="Q1733" s="21">
        <f t="shared" si="260"/>
        <v>6050</v>
      </c>
      <c r="R1733" s="21">
        <f t="shared" si="261"/>
        <v>4540</v>
      </c>
      <c r="S1733" s="448">
        <f t="shared" ref="S1733:S1735" si="262">R1733/Q1733*100</f>
        <v>75.04132231404958</v>
      </c>
    </row>
    <row r="1734" spans="2:19" x14ac:dyDescent="0.2">
      <c r="B1734" s="6">
        <f t="shared" si="257"/>
        <v>98</v>
      </c>
      <c r="C1734" s="17"/>
      <c r="D1734" s="17"/>
      <c r="E1734" s="17"/>
      <c r="F1734" s="18"/>
      <c r="G1734" s="19">
        <v>637</v>
      </c>
      <c r="H1734" s="17" t="s">
        <v>119</v>
      </c>
      <c r="I1734" s="20">
        <f>66500-2000-4000</f>
        <v>60500</v>
      </c>
      <c r="J1734" s="20">
        <v>51278</v>
      </c>
      <c r="K1734" s="397">
        <f t="shared" si="259"/>
        <v>84.757024793388425</v>
      </c>
      <c r="L1734" s="20"/>
      <c r="M1734" s="20"/>
      <c r="N1734" s="20"/>
      <c r="O1734" s="434"/>
      <c r="P1734" s="20"/>
      <c r="Q1734" s="21">
        <f t="shared" si="260"/>
        <v>60500</v>
      </c>
      <c r="R1734" s="21">
        <f t="shared" si="261"/>
        <v>51278</v>
      </c>
      <c r="S1734" s="448">
        <f t="shared" si="262"/>
        <v>84.757024793388425</v>
      </c>
    </row>
    <row r="1735" spans="2:19" x14ac:dyDescent="0.2">
      <c r="B1735" s="159">
        <f t="shared" si="257"/>
        <v>99</v>
      </c>
      <c r="C1735" s="160"/>
      <c r="D1735" s="160"/>
      <c r="E1735" s="160"/>
      <c r="F1735" s="161" t="s">
        <v>189</v>
      </c>
      <c r="G1735" s="162">
        <v>640</v>
      </c>
      <c r="H1735" s="160" t="s">
        <v>126</v>
      </c>
      <c r="I1735" s="163">
        <v>16120</v>
      </c>
      <c r="J1735" s="163">
        <v>12288</v>
      </c>
      <c r="K1735" s="406">
        <f t="shared" si="259"/>
        <v>76.228287841191062</v>
      </c>
      <c r="L1735" s="163"/>
      <c r="M1735" s="163"/>
      <c r="N1735" s="163"/>
      <c r="O1735" s="436"/>
      <c r="P1735" s="163"/>
      <c r="Q1735" s="164">
        <f t="shared" si="260"/>
        <v>16120</v>
      </c>
      <c r="R1735" s="164">
        <f t="shared" si="261"/>
        <v>12288</v>
      </c>
      <c r="S1735" s="454">
        <f t="shared" si="262"/>
        <v>76.228287841191062</v>
      </c>
    </row>
    <row r="1738" spans="2:19" ht="27.75" x14ac:dyDescent="0.4">
      <c r="B1738" s="648" t="s">
        <v>23</v>
      </c>
      <c r="C1738" s="649"/>
      <c r="D1738" s="649"/>
      <c r="E1738" s="649"/>
      <c r="F1738" s="649"/>
      <c r="G1738" s="649"/>
      <c r="H1738" s="649"/>
      <c r="I1738" s="649"/>
      <c r="J1738" s="649"/>
      <c r="K1738" s="649"/>
      <c r="L1738" s="649"/>
      <c r="M1738" s="649"/>
      <c r="N1738" s="649"/>
      <c r="O1738" s="649"/>
      <c r="P1738" s="649"/>
      <c r="Q1738" s="649"/>
      <c r="R1738" s="3"/>
      <c r="S1738" s="154"/>
    </row>
    <row r="1739" spans="2:19" x14ac:dyDescent="0.2">
      <c r="B1739" s="631" t="s">
        <v>432</v>
      </c>
      <c r="C1739" s="632"/>
      <c r="D1739" s="632"/>
      <c r="E1739" s="632"/>
      <c r="F1739" s="632"/>
      <c r="G1739" s="632"/>
      <c r="H1739" s="632"/>
      <c r="I1739" s="632"/>
      <c r="J1739" s="632"/>
      <c r="K1739" s="632"/>
      <c r="L1739" s="632"/>
      <c r="M1739" s="632"/>
      <c r="N1739" s="632"/>
      <c r="O1739" s="632"/>
      <c r="P1739" s="632"/>
      <c r="Q1739" s="624" t="s">
        <v>761</v>
      </c>
      <c r="R1739" s="624" t="s">
        <v>757</v>
      </c>
      <c r="S1739" s="641" t="s">
        <v>758</v>
      </c>
    </row>
    <row r="1740" spans="2:19" x14ac:dyDescent="0.2">
      <c r="B1740" s="633"/>
      <c r="C1740" s="634" t="s">
        <v>111</v>
      </c>
      <c r="D1740" s="634" t="s">
        <v>112</v>
      </c>
      <c r="E1740" s="634"/>
      <c r="F1740" s="634" t="s">
        <v>113</v>
      </c>
      <c r="G1740" s="627" t="s">
        <v>114</v>
      </c>
      <c r="H1740" s="628" t="s">
        <v>115</v>
      </c>
      <c r="I1740" s="626" t="s">
        <v>759</v>
      </c>
      <c r="J1740" s="626" t="s">
        <v>757</v>
      </c>
      <c r="K1740" s="643" t="s">
        <v>758</v>
      </c>
      <c r="L1740" s="310"/>
      <c r="M1740" s="626" t="s">
        <v>760</v>
      </c>
      <c r="N1740" s="626" t="s">
        <v>757</v>
      </c>
      <c r="O1740" s="644" t="s">
        <v>758</v>
      </c>
      <c r="P1740" s="310"/>
      <c r="Q1740" s="625"/>
      <c r="R1740" s="625"/>
      <c r="S1740" s="642"/>
    </row>
    <row r="1741" spans="2:19" x14ac:dyDescent="0.2">
      <c r="B1741" s="633"/>
      <c r="C1741" s="634"/>
      <c r="D1741" s="634"/>
      <c r="E1741" s="634"/>
      <c r="F1741" s="634"/>
      <c r="G1741" s="627"/>
      <c r="H1741" s="628"/>
      <c r="I1741" s="626"/>
      <c r="J1741" s="626"/>
      <c r="K1741" s="643"/>
      <c r="L1741" s="310"/>
      <c r="M1741" s="626"/>
      <c r="N1741" s="626"/>
      <c r="O1741" s="644"/>
      <c r="P1741" s="310"/>
      <c r="Q1741" s="625"/>
      <c r="R1741" s="625"/>
      <c r="S1741" s="642"/>
    </row>
    <row r="1742" spans="2:19" x14ac:dyDescent="0.2">
      <c r="B1742" s="633"/>
      <c r="C1742" s="634"/>
      <c r="D1742" s="634"/>
      <c r="E1742" s="634"/>
      <c r="F1742" s="634"/>
      <c r="G1742" s="627"/>
      <c r="H1742" s="628"/>
      <c r="I1742" s="626"/>
      <c r="J1742" s="626"/>
      <c r="K1742" s="643"/>
      <c r="L1742" s="310"/>
      <c r="M1742" s="626"/>
      <c r="N1742" s="626"/>
      <c r="O1742" s="644"/>
      <c r="P1742" s="310"/>
      <c r="Q1742" s="625"/>
      <c r="R1742" s="625"/>
      <c r="S1742" s="642"/>
    </row>
    <row r="1743" spans="2:19" x14ac:dyDescent="0.2">
      <c r="B1743" s="633"/>
      <c r="C1743" s="634"/>
      <c r="D1743" s="634"/>
      <c r="E1743" s="634"/>
      <c r="F1743" s="634"/>
      <c r="G1743" s="627"/>
      <c r="H1743" s="628"/>
      <c r="I1743" s="626"/>
      <c r="J1743" s="626"/>
      <c r="K1743" s="643"/>
      <c r="L1743" s="310"/>
      <c r="M1743" s="626"/>
      <c r="N1743" s="626"/>
      <c r="O1743" s="644"/>
      <c r="P1743" s="310"/>
      <c r="Q1743" s="625"/>
      <c r="R1743" s="625"/>
      <c r="S1743" s="642"/>
    </row>
    <row r="1744" spans="2:19" ht="15.75" x14ac:dyDescent="0.2">
      <c r="B1744" s="6">
        <v>1</v>
      </c>
      <c r="C1744" s="635" t="s">
        <v>23</v>
      </c>
      <c r="D1744" s="636"/>
      <c r="E1744" s="636"/>
      <c r="F1744" s="636"/>
      <c r="G1744" s="636"/>
      <c r="H1744" s="636"/>
      <c r="I1744" s="7">
        <f>I1745+I1767+I1771+I1792+I1826+I1857+I1882+I1896+I1899+I1904+I1914+I1926</f>
        <v>6536719</v>
      </c>
      <c r="J1744" s="7">
        <f>J1745+J1767+J1771+J1792+J1826+J1857+J1882+J1896+J1899+J1904+J1914+J1926</f>
        <v>6194708</v>
      </c>
      <c r="K1744" s="399">
        <f>J1744/I1744*100</f>
        <v>94.767849130427663</v>
      </c>
      <c r="L1744" s="311"/>
      <c r="M1744" s="7">
        <f>M1745+M1767+M1771+M1792+M1826+M1857+M1882+M1896+M1899+M1904+M1914</f>
        <v>1358225</v>
      </c>
      <c r="N1744" s="7">
        <f>N1745+N1767+N1771+N1792+N1826+N1857+N1882+N1896+N1899+N1904+N1914</f>
        <v>1354324</v>
      </c>
      <c r="O1744" s="422">
        <f t="shared" ref="O1744:O1752" si="263">N1744/M1744*100</f>
        <v>99.712786909385414</v>
      </c>
      <c r="P1744" s="311"/>
      <c r="Q1744" s="8">
        <f t="shared" ref="Q1744:Q1781" si="264">M1744+I1744</f>
        <v>7894944</v>
      </c>
      <c r="R1744" s="8">
        <f t="shared" ref="R1744:R1781" si="265">N1744+J1744</f>
        <v>7549032</v>
      </c>
      <c r="S1744" s="445">
        <f t="shared" ref="S1744:S1765" si="266">R1744/Q1744*100</f>
        <v>95.618562968907696</v>
      </c>
    </row>
    <row r="1745" spans="2:19" ht="15" x14ac:dyDescent="0.2">
      <c r="B1745" s="6">
        <f t="shared" ref="B1745:B1781" si="267">B1744+1</f>
        <v>2</v>
      </c>
      <c r="C1745" s="9">
        <v>1</v>
      </c>
      <c r="D1745" s="637" t="s">
        <v>352</v>
      </c>
      <c r="E1745" s="638"/>
      <c r="F1745" s="638"/>
      <c r="G1745" s="638"/>
      <c r="H1745" s="638"/>
      <c r="I1745" s="10">
        <f>I1746+I1766</f>
        <v>324938</v>
      </c>
      <c r="J1745" s="10">
        <f>J1746+J1766</f>
        <v>313792</v>
      </c>
      <c r="K1745" s="395">
        <f>J1745/I1745*100</f>
        <v>96.569807163212673</v>
      </c>
      <c r="L1745" s="312"/>
      <c r="M1745" s="10">
        <f>M1746+M1766</f>
        <v>735625</v>
      </c>
      <c r="N1745" s="10">
        <f>N1746+N1766</f>
        <v>735203</v>
      </c>
      <c r="O1745" s="423">
        <f t="shared" si="263"/>
        <v>99.942633814783349</v>
      </c>
      <c r="P1745" s="312"/>
      <c r="Q1745" s="31">
        <f t="shared" si="264"/>
        <v>1060563</v>
      </c>
      <c r="R1745" s="31">
        <f t="shared" si="265"/>
        <v>1048995</v>
      </c>
      <c r="S1745" s="449">
        <f t="shared" si="266"/>
        <v>98.90925857304093</v>
      </c>
    </row>
    <row r="1746" spans="2:19" ht="15" x14ac:dyDescent="0.25">
      <c r="B1746" s="6">
        <f t="shared" si="267"/>
        <v>3</v>
      </c>
      <c r="C1746" s="27"/>
      <c r="D1746" s="27">
        <v>1</v>
      </c>
      <c r="E1746" s="639" t="s">
        <v>71</v>
      </c>
      <c r="F1746" s="640"/>
      <c r="G1746" s="640"/>
      <c r="H1746" s="640"/>
      <c r="I1746" s="28">
        <f>I1752</f>
        <v>324938</v>
      </c>
      <c r="J1746" s="28">
        <f>J1752</f>
        <v>313792</v>
      </c>
      <c r="K1746" s="404">
        <f>J1746/I1746*100</f>
        <v>96.569807163212673</v>
      </c>
      <c r="L1746" s="313"/>
      <c r="M1746" s="28">
        <f>M1752+M1747</f>
        <v>735625</v>
      </c>
      <c r="N1746" s="28">
        <f>N1752+N1747</f>
        <v>735203</v>
      </c>
      <c r="O1746" s="425">
        <f t="shared" si="263"/>
        <v>99.942633814783349</v>
      </c>
      <c r="P1746" s="313"/>
      <c r="Q1746" s="29">
        <f t="shared" si="264"/>
        <v>1060563</v>
      </c>
      <c r="R1746" s="29">
        <f t="shared" si="265"/>
        <v>1048995</v>
      </c>
      <c r="S1746" s="447">
        <f t="shared" si="266"/>
        <v>98.90925857304093</v>
      </c>
    </row>
    <row r="1747" spans="2:19" x14ac:dyDescent="0.2">
      <c r="B1747" s="6">
        <f t="shared" si="267"/>
        <v>4</v>
      </c>
      <c r="C1747" s="12"/>
      <c r="D1747" s="12"/>
      <c r="E1747" s="12"/>
      <c r="F1747" s="13" t="s">
        <v>719</v>
      </c>
      <c r="G1747" s="14">
        <v>710</v>
      </c>
      <c r="H1747" s="12" t="s">
        <v>172</v>
      </c>
      <c r="I1747" s="15"/>
      <c r="J1747" s="15"/>
      <c r="K1747" s="397"/>
      <c r="L1747" s="15"/>
      <c r="M1747" s="15">
        <f>M1748+M1750</f>
        <v>727625</v>
      </c>
      <c r="N1747" s="15">
        <f>N1748+N1750</f>
        <v>724323</v>
      </c>
      <c r="O1747" s="424">
        <f t="shared" si="263"/>
        <v>99.546194811887986</v>
      </c>
      <c r="P1747" s="15"/>
      <c r="Q1747" s="16">
        <f t="shared" si="264"/>
        <v>727625</v>
      </c>
      <c r="R1747" s="16">
        <f t="shared" si="265"/>
        <v>724323</v>
      </c>
      <c r="S1747" s="448">
        <f t="shared" si="266"/>
        <v>99.546194811887986</v>
      </c>
    </row>
    <row r="1748" spans="2:19" x14ac:dyDescent="0.2">
      <c r="B1748" s="6">
        <f t="shared" si="267"/>
        <v>5</v>
      </c>
      <c r="C1748" s="17"/>
      <c r="D1748" s="17"/>
      <c r="E1748" s="335"/>
      <c r="F1748" s="18"/>
      <c r="G1748" s="19">
        <v>716</v>
      </c>
      <c r="H1748" s="17" t="s">
        <v>213</v>
      </c>
      <c r="I1748" s="24"/>
      <c r="J1748" s="24"/>
      <c r="K1748" s="397"/>
      <c r="L1748" s="24"/>
      <c r="M1748" s="24">
        <f>M1749</f>
        <v>23125</v>
      </c>
      <c r="N1748" s="24">
        <f>N1749</f>
        <v>23124</v>
      </c>
      <c r="O1748" s="424">
        <f t="shared" si="263"/>
        <v>99.99567567567567</v>
      </c>
      <c r="P1748" s="24"/>
      <c r="Q1748" s="26">
        <f t="shared" si="264"/>
        <v>23125</v>
      </c>
      <c r="R1748" s="26">
        <f t="shared" si="265"/>
        <v>23124</v>
      </c>
      <c r="S1748" s="448">
        <f t="shared" si="266"/>
        <v>99.99567567567567</v>
      </c>
    </row>
    <row r="1749" spans="2:19" x14ac:dyDescent="0.2">
      <c r="B1749" s="6">
        <f t="shared" si="267"/>
        <v>6</v>
      </c>
      <c r="C1749" s="17"/>
      <c r="D1749" s="17"/>
      <c r="E1749" s="335"/>
      <c r="F1749" s="13"/>
      <c r="G1749" s="23"/>
      <c r="H1749" s="1" t="s">
        <v>339</v>
      </c>
      <c r="I1749" s="24"/>
      <c r="J1749" s="24"/>
      <c r="K1749" s="397"/>
      <c r="L1749" s="24"/>
      <c r="M1749" s="24">
        <v>23125</v>
      </c>
      <c r="N1749" s="24">
        <v>23124</v>
      </c>
      <c r="O1749" s="424">
        <f t="shared" si="263"/>
        <v>99.99567567567567</v>
      </c>
      <c r="P1749" s="24"/>
      <c r="Q1749" s="26">
        <f t="shared" si="264"/>
        <v>23125</v>
      </c>
      <c r="R1749" s="26">
        <f t="shared" si="265"/>
        <v>23124</v>
      </c>
      <c r="S1749" s="448">
        <f t="shared" si="266"/>
        <v>99.99567567567567</v>
      </c>
    </row>
    <row r="1750" spans="2:19" x14ac:dyDescent="0.2">
      <c r="B1750" s="6">
        <f t="shared" si="267"/>
        <v>7</v>
      </c>
      <c r="C1750" s="17"/>
      <c r="D1750" s="17"/>
      <c r="E1750" s="335"/>
      <c r="F1750" s="18"/>
      <c r="G1750" s="19">
        <v>717</v>
      </c>
      <c r="H1750" s="17" t="s">
        <v>179</v>
      </c>
      <c r="I1750" s="20"/>
      <c r="J1750" s="20"/>
      <c r="K1750" s="397"/>
      <c r="L1750" s="20"/>
      <c r="M1750" s="20">
        <f>M1751+M1765</f>
        <v>704500</v>
      </c>
      <c r="N1750" s="20">
        <f>N1751</f>
        <v>701199</v>
      </c>
      <c r="O1750" s="424">
        <f t="shared" si="263"/>
        <v>99.531440738112138</v>
      </c>
      <c r="P1750" s="20"/>
      <c r="Q1750" s="21">
        <f t="shared" si="264"/>
        <v>704500</v>
      </c>
      <c r="R1750" s="21">
        <f t="shared" si="265"/>
        <v>701199</v>
      </c>
      <c r="S1750" s="448">
        <f t="shared" si="266"/>
        <v>99.531440738112138</v>
      </c>
    </row>
    <row r="1751" spans="2:19" x14ac:dyDescent="0.2">
      <c r="B1751" s="6">
        <f t="shared" si="267"/>
        <v>8</v>
      </c>
      <c r="C1751" s="17"/>
      <c r="D1751" s="17"/>
      <c r="E1751" s="335"/>
      <c r="F1751" s="13"/>
      <c r="G1751" s="19"/>
      <c r="H1751" s="1" t="s">
        <v>339</v>
      </c>
      <c r="I1751" s="20"/>
      <c r="J1751" s="20"/>
      <c r="K1751" s="397"/>
      <c r="L1751" s="20"/>
      <c r="M1751" s="20">
        <f>950800-23125+32500+75000-333675</f>
        <v>701500</v>
      </c>
      <c r="N1751" s="20">
        <v>701199</v>
      </c>
      <c r="O1751" s="424">
        <f t="shared" si="263"/>
        <v>99.957091945830371</v>
      </c>
      <c r="P1751" s="20"/>
      <c r="Q1751" s="21">
        <f t="shared" si="264"/>
        <v>701500</v>
      </c>
      <c r="R1751" s="21">
        <f t="shared" si="265"/>
        <v>701199</v>
      </c>
      <c r="S1751" s="448">
        <f t="shared" si="266"/>
        <v>99.957091945830371</v>
      </c>
    </row>
    <row r="1752" spans="2:19" ht="15" x14ac:dyDescent="0.25">
      <c r="B1752" s="6">
        <f t="shared" si="267"/>
        <v>9</v>
      </c>
      <c r="C1752" s="97"/>
      <c r="D1752" s="97"/>
      <c r="E1752" s="97">
        <v>5</v>
      </c>
      <c r="F1752" s="98"/>
      <c r="G1752" s="98"/>
      <c r="H1752" s="97" t="s">
        <v>103</v>
      </c>
      <c r="I1752" s="99">
        <f>I1753+I1754+I1755+I1760</f>
        <v>324938</v>
      </c>
      <c r="J1752" s="99">
        <f>J1753+J1754+J1755+J1760</f>
        <v>313792</v>
      </c>
      <c r="K1752" s="414">
        <f t="shared" ref="K1752:K1760" si="268">J1752/I1752*100</f>
        <v>96.569807163212673</v>
      </c>
      <c r="L1752" s="313"/>
      <c r="M1752" s="99">
        <f>M1761</f>
        <v>8000</v>
      </c>
      <c r="N1752" s="99">
        <f>N1761</f>
        <v>10880</v>
      </c>
      <c r="O1752" s="426">
        <f t="shared" si="263"/>
        <v>136</v>
      </c>
      <c r="P1752" s="313"/>
      <c r="Q1752" s="100">
        <f t="shared" si="264"/>
        <v>332938</v>
      </c>
      <c r="R1752" s="100">
        <f t="shared" si="265"/>
        <v>324672</v>
      </c>
      <c r="S1752" s="464">
        <f t="shared" si="266"/>
        <v>97.517255464981474</v>
      </c>
    </row>
    <row r="1753" spans="2:19" x14ac:dyDescent="0.2">
      <c r="B1753" s="6">
        <f t="shared" si="267"/>
        <v>10</v>
      </c>
      <c r="C1753" s="12"/>
      <c r="D1753" s="12"/>
      <c r="E1753" s="12"/>
      <c r="F1753" s="13" t="s">
        <v>75</v>
      </c>
      <c r="G1753" s="14">
        <v>610</v>
      </c>
      <c r="H1753" s="12" t="s">
        <v>128</v>
      </c>
      <c r="I1753" s="15">
        <f>109270+6400+8700</f>
        <v>124370</v>
      </c>
      <c r="J1753" s="15">
        <v>123213</v>
      </c>
      <c r="K1753" s="397">
        <f t="shared" si="268"/>
        <v>99.069711345179698</v>
      </c>
      <c r="L1753" s="15"/>
      <c r="M1753" s="15"/>
      <c r="N1753" s="15"/>
      <c r="O1753" s="424"/>
      <c r="P1753" s="15"/>
      <c r="Q1753" s="16">
        <f t="shared" si="264"/>
        <v>124370</v>
      </c>
      <c r="R1753" s="16">
        <f t="shared" si="265"/>
        <v>123213</v>
      </c>
      <c r="S1753" s="448">
        <f t="shared" si="266"/>
        <v>99.069711345179698</v>
      </c>
    </row>
    <row r="1754" spans="2:19" x14ac:dyDescent="0.2">
      <c r="B1754" s="6">
        <f t="shared" si="267"/>
        <v>11</v>
      </c>
      <c r="C1754" s="12"/>
      <c r="D1754" s="12"/>
      <c r="E1754" s="12"/>
      <c r="F1754" s="13" t="s">
        <v>75</v>
      </c>
      <c r="G1754" s="14">
        <v>620</v>
      </c>
      <c r="H1754" s="12" t="s">
        <v>121</v>
      </c>
      <c r="I1754" s="15">
        <f>40227+2301+1250+2900</f>
        <v>46678</v>
      </c>
      <c r="J1754" s="15">
        <v>46615</v>
      </c>
      <c r="K1754" s="397">
        <f t="shared" si="268"/>
        <v>99.865032777753967</v>
      </c>
      <c r="L1754" s="15"/>
      <c r="M1754" s="15"/>
      <c r="N1754" s="15"/>
      <c r="O1754" s="424"/>
      <c r="P1754" s="15"/>
      <c r="Q1754" s="16">
        <f t="shared" si="264"/>
        <v>46678</v>
      </c>
      <c r="R1754" s="16">
        <f t="shared" si="265"/>
        <v>46615</v>
      </c>
      <c r="S1754" s="448">
        <f t="shared" si="266"/>
        <v>99.865032777753967</v>
      </c>
    </row>
    <row r="1755" spans="2:19" x14ac:dyDescent="0.2">
      <c r="B1755" s="6">
        <f t="shared" si="267"/>
        <v>12</v>
      </c>
      <c r="C1755" s="12"/>
      <c r="D1755" s="12"/>
      <c r="E1755" s="12"/>
      <c r="F1755" s="13" t="s">
        <v>75</v>
      </c>
      <c r="G1755" s="14">
        <v>630</v>
      </c>
      <c r="H1755" s="12" t="s">
        <v>118</v>
      </c>
      <c r="I1755" s="15">
        <f>SUM(I1756:I1759)</f>
        <v>146775</v>
      </c>
      <c r="J1755" s="15">
        <f>SUM(J1756:J1759)</f>
        <v>139050</v>
      </c>
      <c r="K1755" s="397">
        <f t="shared" si="268"/>
        <v>94.73684210526315</v>
      </c>
      <c r="L1755" s="15"/>
      <c r="M1755" s="15"/>
      <c r="N1755" s="15"/>
      <c r="O1755" s="424"/>
      <c r="P1755" s="15"/>
      <c r="Q1755" s="16">
        <f t="shared" si="264"/>
        <v>146775</v>
      </c>
      <c r="R1755" s="16">
        <f t="shared" si="265"/>
        <v>139050</v>
      </c>
      <c r="S1755" s="448">
        <f t="shared" si="266"/>
        <v>94.73684210526315</v>
      </c>
    </row>
    <row r="1756" spans="2:19" x14ac:dyDescent="0.2">
      <c r="B1756" s="6">
        <f t="shared" si="267"/>
        <v>13</v>
      </c>
      <c r="C1756" s="17"/>
      <c r="D1756" s="17"/>
      <c r="E1756" s="17"/>
      <c r="F1756" s="18"/>
      <c r="G1756" s="19">
        <v>632</v>
      </c>
      <c r="H1756" s="17" t="s">
        <v>131</v>
      </c>
      <c r="I1756" s="20">
        <f>40240-7000-4000</f>
        <v>29240</v>
      </c>
      <c r="J1756" s="20">
        <v>25377</v>
      </c>
      <c r="K1756" s="397">
        <f t="shared" si="268"/>
        <v>86.788645690834471</v>
      </c>
      <c r="L1756" s="20"/>
      <c r="M1756" s="20"/>
      <c r="N1756" s="20"/>
      <c r="O1756" s="424"/>
      <c r="P1756" s="20"/>
      <c r="Q1756" s="21">
        <f t="shared" si="264"/>
        <v>29240</v>
      </c>
      <c r="R1756" s="21">
        <f t="shared" si="265"/>
        <v>25377</v>
      </c>
      <c r="S1756" s="448">
        <f t="shared" si="266"/>
        <v>86.788645690834471</v>
      </c>
    </row>
    <row r="1757" spans="2:19" x14ac:dyDescent="0.2">
      <c r="B1757" s="6">
        <f t="shared" si="267"/>
        <v>14</v>
      </c>
      <c r="C1757" s="17"/>
      <c r="D1757" s="17"/>
      <c r="E1757" s="17"/>
      <c r="F1757" s="18"/>
      <c r="G1757" s="19">
        <v>633</v>
      </c>
      <c r="H1757" s="17" t="s">
        <v>122</v>
      </c>
      <c r="I1757" s="20">
        <f>28600-4000+2000</f>
        <v>26600</v>
      </c>
      <c r="J1757" s="20">
        <v>25806</v>
      </c>
      <c r="K1757" s="397">
        <f t="shared" si="268"/>
        <v>97.015037593984971</v>
      </c>
      <c r="L1757" s="20"/>
      <c r="M1757" s="20"/>
      <c r="N1757" s="20"/>
      <c r="O1757" s="424"/>
      <c r="P1757" s="20"/>
      <c r="Q1757" s="21">
        <f t="shared" si="264"/>
        <v>26600</v>
      </c>
      <c r="R1757" s="21">
        <f t="shared" si="265"/>
        <v>25806</v>
      </c>
      <c r="S1757" s="448">
        <f t="shared" si="266"/>
        <v>97.015037593984971</v>
      </c>
    </row>
    <row r="1758" spans="2:19" x14ac:dyDescent="0.2">
      <c r="B1758" s="6">
        <f t="shared" si="267"/>
        <v>15</v>
      </c>
      <c r="C1758" s="17"/>
      <c r="D1758" s="17"/>
      <c r="E1758" s="17"/>
      <c r="F1758" s="18"/>
      <c r="G1758" s="19">
        <v>635</v>
      </c>
      <c r="H1758" s="17" t="s">
        <v>130</v>
      </c>
      <c r="I1758" s="20">
        <f>900+3000+46600+27000</f>
        <v>77500</v>
      </c>
      <c r="J1758" s="20">
        <v>77293</v>
      </c>
      <c r="K1758" s="397">
        <f t="shared" si="268"/>
        <v>99.732903225806453</v>
      </c>
      <c r="L1758" s="20"/>
      <c r="M1758" s="20"/>
      <c r="N1758" s="20"/>
      <c r="O1758" s="424"/>
      <c r="P1758" s="20"/>
      <c r="Q1758" s="21">
        <f t="shared" si="264"/>
        <v>77500</v>
      </c>
      <c r="R1758" s="21">
        <f t="shared" si="265"/>
        <v>77293</v>
      </c>
      <c r="S1758" s="448">
        <f t="shared" si="266"/>
        <v>99.732903225806453</v>
      </c>
    </row>
    <row r="1759" spans="2:19" x14ac:dyDescent="0.2">
      <c r="B1759" s="6">
        <f t="shared" si="267"/>
        <v>16</v>
      </c>
      <c r="C1759" s="17"/>
      <c r="D1759" s="17"/>
      <c r="E1759" s="17"/>
      <c r="F1759" s="18"/>
      <c r="G1759" s="19">
        <v>637</v>
      </c>
      <c r="H1759" s="17" t="s">
        <v>119</v>
      </c>
      <c r="I1759" s="20">
        <f>7435+4000+2000</f>
        <v>13435</v>
      </c>
      <c r="J1759" s="20">
        <v>10574</v>
      </c>
      <c r="K1759" s="397">
        <f t="shared" si="268"/>
        <v>78.704875325641979</v>
      </c>
      <c r="L1759" s="20"/>
      <c r="M1759" s="20"/>
      <c r="N1759" s="20"/>
      <c r="O1759" s="424"/>
      <c r="P1759" s="20"/>
      <c r="Q1759" s="21">
        <f t="shared" si="264"/>
        <v>13435</v>
      </c>
      <c r="R1759" s="21">
        <f t="shared" si="265"/>
        <v>10574</v>
      </c>
      <c r="S1759" s="448">
        <f t="shared" si="266"/>
        <v>78.704875325641979</v>
      </c>
    </row>
    <row r="1760" spans="2:19" x14ac:dyDescent="0.2">
      <c r="B1760" s="6">
        <f t="shared" si="267"/>
        <v>17</v>
      </c>
      <c r="C1760" s="12"/>
      <c r="D1760" s="12"/>
      <c r="E1760" s="12"/>
      <c r="F1760" s="13" t="s">
        <v>75</v>
      </c>
      <c r="G1760" s="14">
        <v>640</v>
      </c>
      <c r="H1760" s="12" t="s">
        <v>126</v>
      </c>
      <c r="I1760" s="15">
        <v>7115</v>
      </c>
      <c r="J1760" s="15">
        <v>4914</v>
      </c>
      <c r="K1760" s="397">
        <f t="shared" si="268"/>
        <v>69.065354884047792</v>
      </c>
      <c r="L1760" s="15"/>
      <c r="M1760" s="15"/>
      <c r="N1760" s="15"/>
      <c r="O1760" s="424"/>
      <c r="P1760" s="15"/>
      <c r="Q1760" s="16">
        <f t="shared" si="264"/>
        <v>7115</v>
      </c>
      <c r="R1760" s="16">
        <f t="shared" si="265"/>
        <v>4914</v>
      </c>
      <c r="S1760" s="448">
        <f t="shared" si="266"/>
        <v>69.065354884047792</v>
      </c>
    </row>
    <row r="1761" spans="2:19" x14ac:dyDescent="0.2">
      <c r="B1761" s="6">
        <f t="shared" si="267"/>
        <v>18</v>
      </c>
      <c r="C1761" s="12"/>
      <c r="D1761" s="12"/>
      <c r="E1761" s="12"/>
      <c r="F1761" s="13" t="s">
        <v>75</v>
      </c>
      <c r="G1761" s="14">
        <v>710</v>
      </c>
      <c r="H1761" s="12" t="s">
        <v>172</v>
      </c>
      <c r="I1761" s="15"/>
      <c r="J1761" s="15"/>
      <c r="K1761" s="397"/>
      <c r="L1761" s="15"/>
      <c r="M1761" s="15">
        <f>M1762</f>
        <v>8000</v>
      </c>
      <c r="N1761" s="15">
        <f>N1762</f>
        <v>10880</v>
      </c>
      <c r="O1761" s="424">
        <f>N1761/M1761*100</f>
        <v>136</v>
      </c>
      <c r="P1761" s="15"/>
      <c r="Q1761" s="16">
        <f t="shared" si="264"/>
        <v>8000</v>
      </c>
      <c r="R1761" s="16">
        <f t="shared" si="265"/>
        <v>10880</v>
      </c>
      <c r="S1761" s="448">
        <f t="shared" si="266"/>
        <v>136</v>
      </c>
    </row>
    <row r="1762" spans="2:19" x14ac:dyDescent="0.2">
      <c r="B1762" s="6">
        <f t="shared" si="267"/>
        <v>19</v>
      </c>
      <c r="C1762" s="12"/>
      <c r="D1762" s="12"/>
      <c r="E1762" s="12"/>
      <c r="F1762" s="13"/>
      <c r="G1762" s="19">
        <v>713</v>
      </c>
      <c r="H1762" s="17" t="s">
        <v>216</v>
      </c>
      <c r="I1762" s="20"/>
      <c r="J1762" s="20"/>
      <c r="K1762" s="397"/>
      <c r="L1762" s="20"/>
      <c r="M1762" s="20">
        <f>M1763+M1764</f>
        <v>8000</v>
      </c>
      <c r="N1762" s="20">
        <f>SUM(N1763:N1765)</f>
        <v>10880</v>
      </c>
      <c r="O1762" s="424">
        <f>N1762/M1762*100</f>
        <v>136</v>
      </c>
      <c r="P1762" s="20"/>
      <c r="Q1762" s="16">
        <f t="shared" si="264"/>
        <v>8000</v>
      </c>
      <c r="R1762" s="16">
        <f t="shared" si="265"/>
        <v>10880</v>
      </c>
      <c r="S1762" s="448">
        <f t="shared" si="266"/>
        <v>136</v>
      </c>
    </row>
    <row r="1763" spans="2:19" x14ac:dyDescent="0.2">
      <c r="B1763" s="6">
        <f t="shared" si="267"/>
        <v>20</v>
      </c>
      <c r="C1763" s="17"/>
      <c r="D1763" s="17"/>
      <c r="E1763" s="17"/>
      <c r="F1763" s="13"/>
      <c r="G1763" s="19"/>
      <c r="H1763" s="1" t="s">
        <v>393</v>
      </c>
      <c r="I1763" s="24"/>
      <c r="J1763" s="24"/>
      <c r="K1763" s="397"/>
      <c r="L1763" s="24"/>
      <c r="M1763" s="24">
        <v>4000</v>
      </c>
      <c r="N1763" s="24">
        <v>4000</v>
      </c>
      <c r="O1763" s="424">
        <f>N1763/M1763*100</f>
        <v>100</v>
      </c>
      <c r="P1763" s="24"/>
      <c r="Q1763" s="26">
        <f t="shared" si="264"/>
        <v>4000</v>
      </c>
      <c r="R1763" s="26">
        <f t="shared" si="265"/>
        <v>4000</v>
      </c>
      <c r="S1763" s="448">
        <f t="shared" si="266"/>
        <v>100</v>
      </c>
    </row>
    <row r="1764" spans="2:19" x14ac:dyDescent="0.2">
      <c r="B1764" s="6">
        <f t="shared" si="267"/>
        <v>21</v>
      </c>
      <c r="C1764" s="17"/>
      <c r="D1764" s="17"/>
      <c r="E1764" s="335"/>
      <c r="F1764" s="13"/>
      <c r="G1764" s="19"/>
      <c r="H1764" s="1" t="s">
        <v>708</v>
      </c>
      <c r="I1764" s="24"/>
      <c r="J1764" s="24"/>
      <c r="K1764" s="397"/>
      <c r="L1764" s="24"/>
      <c r="M1764" s="24">
        <v>4000</v>
      </c>
      <c r="N1764" s="24">
        <v>3885</v>
      </c>
      <c r="O1764" s="424">
        <f>N1764/M1764*100</f>
        <v>97.125</v>
      </c>
      <c r="P1764" s="24"/>
      <c r="Q1764" s="26">
        <f t="shared" si="264"/>
        <v>4000</v>
      </c>
      <c r="R1764" s="26">
        <f t="shared" si="265"/>
        <v>3885</v>
      </c>
      <c r="S1764" s="448">
        <f t="shared" si="266"/>
        <v>97.125</v>
      </c>
    </row>
    <row r="1765" spans="2:19" x14ac:dyDescent="0.2">
      <c r="B1765" s="6">
        <f t="shared" si="267"/>
        <v>22</v>
      </c>
      <c r="C1765" s="17"/>
      <c r="D1765" s="17"/>
      <c r="E1765" s="335"/>
      <c r="F1765" s="13"/>
      <c r="G1765" s="361"/>
      <c r="H1765" s="362" t="s">
        <v>709</v>
      </c>
      <c r="I1765" s="20"/>
      <c r="J1765" s="20"/>
      <c r="K1765" s="397"/>
      <c r="L1765" s="20"/>
      <c r="M1765" s="20">
        <v>3000</v>
      </c>
      <c r="N1765" s="20">
        <v>2995</v>
      </c>
      <c r="O1765" s="424">
        <f>N1765/M1765*100</f>
        <v>99.833333333333329</v>
      </c>
      <c r="P1765" s="20"/>
      <c r="Q1765" s="21">
        <f t="shared" si="264"/>
        <v>3000</v>
      </c>
      <c r="R1765" s="21">
        <f t="shared" si="265"/>
        <v>2995</v>
      </c>
      <c r="S1765" s="448">
        <f t="shared" si="266"/>
        <v>99.833333333333329</v>
      </c>
    </row>
    <row r="1766" spans="2:19" ht="15" x14ac:dyDescent="0.25">
      <c r="B1766" s="6">
        <f t="shared" si="267"/>
        <v>23</v>
      </c>
      <c r="C1766" s="27"/>
      <c r="D1766" s="27">
        <v>2</v>
      </c>
      <c r="E1766" s="645" t="s">
        <v>283</v>
      </c>
      <c r="F1766" s="646"/>
      <c r="G1766" s="646"/>
      <c r="H1766" s="647"/>
      <c r="I1766" s="28"/>
      <c r="J1766" s="28"/>
      <c r="K1766" s="404"/>
      <c r="L1766" s="313"/>
      <c r="M1766" s="28"/>
      <c r="N1766" s="28"/>
      <c r="O1766" s="425"/>
      <c r="P1766" s="313"/>
      <c r="Q1766" s="29">
        <f t="shared" si="264"/>
        <v>0</v>
      </c>
      <c r="R1766" s="29">
        <f t="shared" si="265"/>
        <v>0</v>
      </c>
      <c r="S1766" s="447"/>
    </row>
    <row r="1767" spans="2:19" ht="15" x14ac:dyDescent="0.2">
      <c r="B1767" s="6">
        <f t="shared" si="267"/>
        <v>24</v>
      </c>
      <c r="C1767" s="9">
        <v>2</v>
      </c>
      <c r="D1767" s="637" t="s">
        <v>53</v>
      </c>
      <c r="E1767" s="638"/>
      <c r="F1767" s="638"/>
      <c r="G1767" s="638"/>
      <c r="H1767" s="638"/>
      <c r="I1767" s="10">
        <f>I1768</f>
        <v>232000</v>
      </c>
      <c r="J1767" s="10">
        <f>J1768</f>
        <v>217925</v>
      </c>
      <c r="K1767" s="395">
        <f t="shared" ref="K1767:K1779" si="269">J1767/I1767*100</f>
        <v>93.933189655172413</v>
      </c>
      <c r="L1767" s="312"/>
      <c r="M1767" s="10"/>
      <c r="N1767" s="10"/>
      <c r="O1767" s="423"/>
      <c r="P1767" s="312"/>
      <c r="Q1767" s="31">
        <f t="shared" si="264"/>
        <v>232000</v>
      </c>
      <c r="R1767" s="31">
        <f t="shared" si="265"/>
        <v>217925</v>
      </c>
      <c r="S1767" s="449">
        <f t="shared" ref="S1767:S1781" si="270">R1767/Q1767*100</f>
        <v>93.933189655172413</v>
      </c>
    </row>
    <row r="1768" spans="2:19" x14ac:dyDescent="0.2">
      <c r="B1768" s="6">
        <f t="shared" si="267"/>
        <v>25</v>
      </c>
      <c r="C1768" s="12"/>
      <c r="D1768" s="12"/>
      <c r="E1768" s="12"/>
      <c r="F1768" s="13" t="s">
        <v>52</v>
      </c>
      <c r="G1768" s="14">
        <v>640</v>
      </c>
      <c r="H1768" s="12" t="s">
        <v>126</v>
      </c>
      <c r="I1768" s="15">
        <f>I1770+I1769</f>
        <v>232000</v>
      </c>
      <c r="J1768" s="15">
        <f>J1770+J1769</f>
        <v>217925</v>
      </c>
      <c r="K1768" s="397">
        <f t="shared" si="269"/>
        <v>93.933189655172413</v>
      </c>
      <c r="L1768" s="15"/>
      <c r="M1768" s="15"/>
      <c r="N1768" s="15"/>
      <c r="O1768" s="424"/>
      <c r="P1768" s="15"/>
      <c r="Q1768" s="16">
        <f t="shared" si="264"/>
        <v>232000</v>
      </c>
      <c r="R1768" s="16">
        <f t="shared" si="265"/>
        <v>217925</v>
      </c>
      <c r="S1768" s="448">
        <f t="shared" si="270"/>
        <v>93.933189655172413</v>
      </c>
    </row>
    <row r="1769" spans="2:19" x14ac:dyDescent="0.2">
      <c r="B1769" s="6">
        <f t="shared" si="267"/>
        <v>26</v>
      </c>
      <c r="C1769" s="470"/>
      <c r="D1769" s="470"/>
      <c r="E1769" s="470"/>
      <c r="F1769" s="471"/>
      <c r="G1769" s="54">
        <v>642</v>
      </c>
      <c r="H1769" s="55" t="s">
        <v>614</v>
      </c>
      <c r="I1769" s="35">
        <f>150000+80000</f>
        <v>230000</v>
      </c>
      <c r="J1769" s="35">
        <v>216980</v>
      </c>
      <c r="K1769" s="396">
        <f t="shared" si="269"/>
        <v>94.339130434782604</v>
      </c>
      <c r="L1769" s="35"/>
      <c r="M1769" s="35"/>
      <c r="N1769" s="35"/>
      <c r="O1769" s="437"/>
      <c r="P1769" s="35"/>
      <c r="Q1769" s="37">
        <f t="shared" si="264"/>
        <v>230000</v>
      </c>
      <c r="R1769" s="37">
        <f t="shared" si="265"/>
        <v>216980</v>
      </c>
      <c r="S1769" s="450">
        <f t="shared" si="270"/>
        <v>94.339130434782604</v>
      </c>
    </row>
    <row r="1770" spans="2:19" x14ac:dyDescent="0.2">
      <c r="B1770" s="6">
        <f t="shared" si="267"/>
        <v>27</v>
      </c>
      <c r="C1770" s="22"/>
      <c r="D1770" s="22"/>
      <c r="E1770" s="22"/>
      <c r="F1770" s="18"/>
      <c r="G1770" s="19">
        <v>642</v>
      </c>
      <c r="H1770" s="17" t="s">
        <v>127</v>
      </c>
      <c r="I1770" s="24">
        <v>2000</v>
      </c>
      <c r="J1770" s="24">
        <v>945</v>
      </c>
      <c r="K1770" s="397">
        <f t="shared" si="269"/>
        <v>47.25</v>
      </c>
      <c r="L1770" s="24"/>
      <c r="M1770" s="24"/>
      <c r="N1770" s="24"/>
      <c r="O1770" s="424"/>
      <c r="P1770" s="24"/>
      <c r="Q1770" s="26">
        <f t="shared" si="264"/>
        <v>2000</v>
      </c>
      <c r="R1770" s="26">
        <f t="shared" si="265"/>
        <v>945</v>
      </c>
      <c r="S1770" s="448">
        <f t="shared" si="270"/>
        <v>47.25</v>
      </c>
    </row>
    <row r="1771" spans="2:19" ht="15" x14ac:dyDescent="0.2">
      <c r="B1771" s="6">
        <f t="shared" si="267"/>
        <v>28</v>
      </c>
      <c r="C1771" s="9">
        <v>3</v>
      </c>
      <c r="D1771" s="637" t="s">
        <v>62</v>
      </c>
      <c r="E1771" s="638"/>
      <c r="F1771" s="638"/>
      <c r="G1771" s="638"/>
      <c r="H1771" s="638"/>
      <c r="I1771" s="10">
        <f>I1772+I1783+I1784+I1788+I1786</f>
        <v>187670</v>
      </c>
      <c r="J1771" s="10">
        <f>J1772+J1783+J1784+J1788+J1786</f>
        <v>170234</v>
      </c>
      <c r="K1771" s="395">
        <f t="shared" si="269"/>
        <v>90.709223637235567</v>
      </c>
      <c r="L1771" s="312"/>
      <c r="M1771" s="10">
        <f>M1780</f>
        <v>50000</v>
      </c>
      <c r="N1771" s="10">
        <f>N1780</f>
        <v>50000</v>
      </c>
      <c r="O1771" s="423">
        <f>N1771/M1771*100</f>
        <v>100</v>
      </c>
      <c r="P1771" s="312"/>
      <c r="Q1771" s="31">
        <f t="shared" si="264"/>
        <v>237670</v>
      </c>
      <c r="R1771" s="31">
        <f t="shared" si="265"/>
        <v>220234</v>
      </c>
      <c r="S1771" s="449">
        <f t="shared" si="270"/>
        <v>92.663777506626829</v>
      </c>
    </row>
    <row r="1772" spans="2:19" x14ac:dyDescent="0.2">
      <c r="B1772" s="6">
        <f t="shared" si="267"/>
        <v>29</v>
      </c>
      <c r="C1772" s="12"/>
      <c r="D1772" s="12"/>
      <c r="E1772" s="12"/>
      <c r="F1772" s="13" t="s">
        <v>61</v>
      </c>
      <c r="G1772" s="14">
        <v>640</v>
      </c>
      <c r="H1772" s="12" t="s">
        <v>126</v>
      </c>
      <c r="I1772" s="15">
        <f>SUM(I1773:I1779)</f>
        <v>110500</v>
      </c>
      <c r="J1772" s="15">
        <f>SUM(J1773:J1779)</f>
        <v>110500</v>
      </c>
      <c r="K1772" s="397">
        <f t="shared" si="269"/>
        <v>100</v>
      </c>
      <c r="L1772" s="15"/>
      <c r="M1772" s="15"/>
      <c r="N1772" s="15"/>
      <c r="O1772" s="424"/>
      <c r="P1772" s="15"/>
      <c r="Q1772" s="16">
        <f t="shared" si="264"/>
        <v>110500</v>
      </c>
      <c r="R1772" s="16">
        <f t="shared" si="265"/>
        <v>110500</v>
      </c>
      <c r="S1772" s="448">
        <f t="shared" si="270"/>
        <v>100</v>
      </c>
    </row>
    <row r="1773" spans="2:19" x14ac:dyDescent="0.2">
      <c r="B1773" s="6">
        <f t="shared" si="267"/>
        <v>30</v>
      </c>
      <c r="C1773" s="32"/>
      <c r="D1773" s="32"/>
      <c r="E1773" s="32"/>
      <c r="F1773" s="152"/>
      <c r="G1773" s="152"/>
      <c r="H1773" s="34" t="s">
        <v>261</v>
      </c>
      <c r="I1773" s="35">
        <v>34000</v>
      </c>
      <c r="J1773" s="35">
        <v>34000</v>
      </c>
      <c r="K1773" s="396">
        <f t="shared" si="269"/>
        <v>100</v>
      </c>
      <c r="L1773" s="35"/>
      <c r="M1773" s="36"/>
      <c r="N1773" s="36"/>
      <c r="O1773" s="437"/>
      <c r="P1773" s="36"/>
      <c r="Q1773" s="37">
        <f t="shared" si="264"/>
        <v>34000</v>
      </c>
      <c r="R1773" s="37">
        <f t="shared" si="265"/>
        <v>34000</v>
      </c>
      <c r="S1773" s="450">
        <f t="shared" si="270"/>
        <v>100</v>
      </c>
    </row>
    <row r="1774" spans="2:19" ht="24" x14ac:dyDescent="0.2">
      <c r="B1774" s="6">
        <f t="shared" si="267"/>
        <v>31</v>
      </c>
      <c r="C1774" s="32"/>
      <c r="D1774" s="32"/>
      <c r="E1774" s="32"/>
      <c r="F1774" s="152"/>
      <c r="G1774" s="152"/>
      <c r="H1774" s="34" t="s">
        <v>368</v>
      </c>
      <c r="I1774" s="35">
        <v>25000</v>
      </c>
      <c r="J1774" s="35">
        <v>25000</v>
      </c>
      <c r="K1774" s="396">
        <f t="shared" si="269"/>
        <v>100</v>
      </c>
      <c r="L1774" s="35"/>
      <c r="M1774" s="36"/>
      <c r="N1774" s="36"/>
      <c r="O1774" s="437"/>
      <c r="P1774" s="36"/>
      <c r="Q1774" s="37">
        <f t="shared" si="264"/>
        <v>25000</v>
      </c>
      <c r="R1774" s="37">
        <f t="shared" si="265"/>
        <v>25000</v>
      </c>
      <c r="S1774" s="450">
        <f t="shared" si="270"/>
        <v>100</v>
      </c>
    </row>
    <row r="1775" spans="2:19" ht="24" customHeight="1" x14ac:dyDescent="0.2">
      <c r="B1775" s="6">
        <f t="shared" si="267"/>
        <v>32</v>
      </c>
      <c r="C1775" s="32"/>
      <c r="D1775" s="32"/>
      <c r="E1775" s="32"/>
      <c r="F1775" s="152"/>
      <c r="G1775" s="152"/>
      <c r="H1775" s="34" t="s">
        <v>369</v>
      </c>
      <c r="I1775" s="35">
        <f>20000+10000</f>
        <v>30000</v>
      </c>
      <c r="J1775" s="35">
        <v>30000</v>
      </c>
      <c r="K1775" s="396">
        <f t="shared" si="269"/>
        <v>100</v>
      </c>
      <c r="L1775" s="35"/>
      <c r="M1775" s="36"/>
      <c r="N1775" s="36"/>
      <c r="O1775" s="437"/>
      <c r="P1775" s="36"/>
      <c r="Q1775" s="37">
        <f t="shared" si="264"/>
        <v>30000</v>
      </c>
      <c r="R1775" s="37">
        <f t="shared" si="265"/>
        <v>30000</v>
      </c>
      <c r="S1775" s="450">
        <f t="shared" si="270"/>
        <v>100</v>
      </c>
    </row>
    <row r="1776" spans="2:19" ht="24" x14ac:dyDescent="0.2">
      <c r="B1776" s="6">
        <f t="shared" si="267"/>
        <v>33</v>
      </c>
      <c r="C1776" s="32"/>
      <c r="D1776" s="32"/>
      <c r="E1776" s="32"/>
      <c r="F1776" s="152"/>
      <c r="G1776" s="152"/>
      <c r="H1776" s="34" t="s">
        <v>619</v>
      </c>
      <c r="I1776" s="35">
        <v>2500</v>
      </c>
      <c r="J1776" s="35">
        <v>2500</v>
      </c>
      <c r="K1776" s="396">
        <f t="shared" si="269"/>
        <v>100</v>
      </c>
      <c r="L1776" s="35"/>
      <c r="M1776" s="36"/>
      <c r="N1776" s="36"/>
      <c r="O1776" s="437"/>
      <c r="P1776" s="36"/>
      <c r="Q1776" s="37">
        <f t="shared" si="264"/>
        <v>2500</v>
      </c>
      <c r="R1776" s="37">
        <f t="shared" si="265"/>
        <v>2500</v>
      </c>
      <c r="S1776" s="450">
        <f t="shared" si="270"/>
        <v>100</v>
      </c>
    </row>
    <row r="1777" spans="2:19" ht="24" x14ac:dyDescent="0.2">
      <c r="B1777" s="6">
        <f t="shared" si="267"/>
        <v>34</v>
      </c>
      <c r="C1777" s="32"/>
      <c r="D1777" s="32"/>
      <c r="E1777" s="32"/>
      <c r="F1777" s="152"/>
      <c r="G1777" s="152"/>
      <c r="H1777" s="34" t="s">
        <v>285</v>
      </c>
      <c r="I1777" s="35">
        <v>4000</v>
      </c>
      <c r="J1777" s="35">
        <v>4000</v>
      </c>
      <c r="K1777" s="396">
        <f t="shared" si="269"/>
        <v>100</v>
      </c>
      <c r="L1777" s="35"/>
      <c r="M1777" s="36"/>
      <c r="N1777" s="36"/>
      <c r="O1777" s="437"/>
      <c r="P1777" s="36"/>
      <c r="Q1777" s="37">
        <f t="shared" si="264"/>
        <v>4000</v>
      </c>
      <c r="R1777" s="37">
        <f t="shared" si="265"/>
        <v>4000</v>
      </c>
      <c r="S1777" s="450">
        <f t="shared" si="270"/>
        <v>100</v>
      </c>
    </row>
    <row r="1778" spans="2:19" ht="24" x14ac:dyDescent="0.2">
      <c r="B1778" s="6">
        <f t="shared" si="267"/>
        <v>35</v>
      </c>
      <c r="C1778" s="32"/>
      <c r="D1778" s="32"/>
      <c r="E1778" s="32"/>
      <c r="F1778" s="152"/>
      <c r="G1778" s="152"/>
      <c r="H1778" s="34" t="s">
        <v>469</v>
      </c>
      <c r="I1778" s="35">
        <v>5000</v>
      </c>
      <c r="J1778" s="35">
        <v>5000</v>
      </c>
      <c r="K1778" s="396">
        <f t="shared" si="269"/>
        <v>100</v>
      </c>
      <c r="L1778" s="35"/>
      <c r="M1778" s="36"/>
      <c r="N1778" s="36"/>
      <c r="O1778" s="437"/>
      <c r="P1778" s="36"/>
      <c r="Q1778" s="37">
        <f t="shared" si="264"/>
        <v>5000</v>
      </c>
      <c r="R1778" s="37">
        <f t="shared" si="265"/>
        <v>5000</v>
      </c>
      <c r="S1778" s="450">
        <f t="shared" si="270"/>
        <v>100</v>
      </c>
    </row>
    <row r="1779" spans="2:19" ht="24" x14ac:dyDescent="0.2">
      <c r="B1779" s="6">
        <f t="shared" si="267"/>
        <v>36</v>
      </c>
      <c r="C1779" s="32"/>
      <c r="D1779" s="32"/>
      <c r="E1779" s="32"/>
      <c r="F1779" s="152"/>
      <c r="G1779" s="152"/>
      <c r="H1779" s="34" t="s">
        <v>536</v>
      </c>
      <c r="I1779" s="35">
        <v>10000</v>
      </c>
      <c r="J1779" s="35">
        <v>10000</v>
      </c>
      <c r="K1779" s="396">
        <f t="shared" si="269"/>
        <v>100</v>
      </c>
      <c r="L1779" s="35"/>
      <c r="M1779" s="36"/>
      <c r="N1779" s="36"/>
      <c r="O1779" s="437"/>
      <c r="P1779" s="36"/>
      <c r="Q1779" s="37">
        <f t="shared" si="264"/>
        <v>10000</v>
      </c>
      <c r="R1779" s="37">
        <f t="shared" si="265"/>
        <v>10000</v>
      </c>
      <c r="S1779" s="450">
        <f t="shared" si="270"/>
        <v>100</v>
      </c>
    </row>
    <row r="1780" spans="2:19" x14ac:dyDescent="0.2">
      <c r="B1780" s="6">
        <f t="shared" si="267"/>
        <v>37</v>
      </c>
      <c r="C1780" s="32"/>
      <c r="D1780" s="32"/>
      <c r="E1780" s="32"/>
      <c r="F1780" s="13" t="s">
        <v>61</v>
      </c>
      <c r="G1780" s="14">
        <v>720</v>
      </c>
      <c r="H1780" s="12" t="s">
        <v>3</v>
      </c>
      <c r="I1780" s="15"/>
      <c r="J1780" s="15"/>
      <c r="K1780" s="397"/>
      <c r="L1780" s="15"/>
      <c r="M1780" s="15">
        <f>M1781</f>
        <v>50000</v>
      </c>
      <c r="N1780" s="15">
        <f>N1781</f>
        <v>50000</v>
      </c>
      <c r="O1780" s="424">
        <f>N1780/M1780*100</f>
        <v>100</v>
      </c>
      <c r="P1780" s="15"/>
      <c r="Q1780" s="16">
        <f t="shared" si="264"/>
        <v>50000</v>
      </c>
      <c r="R1780" s="16">
        <f t="shared" si="265"/>
        <v>50000</v>
      </c>
      <c r="S1780" s="448">
        <f t="shared" si="270"/>
        <v>100</v>
      </c>
    </row>
    <row r="1781" spans="2:19" ht="36" x14ac:dyDescent="0.2">
      <c r="B1781" s="6">
        <f t="shared" si="267"/>
        <v>38</v>
      </c>
      <c r="C1781" s="32"/>
      <c r="D1781" s="32"/>
      <c r="E1781" s="32"/>
      <c r="F1781" s="152"/>
      <c r="G1781" s="152"/>
      <c r="H1781" s="34" t="s">
        <v>692</v>
      </c>
      <c r="I1781" s="35"/>
      <c r="J1781" s="35"/>
      <c r="K1781" s="396"/>
      <c r="L1781" s="35"/>
      <c r="M1781" s="35">
        <v>50000</v>
      </c>
      <c r="N1781" s="35">
        <v>50000</v>
      </c>
      <c r="O1781" s="437">
        <f>N1781/M1781*100</f>
        <v>100</v>
      </c>
      <c r="P1781" s="36"/>
      <c r="Q1781" s="37">
        <f t="shared" si="264"/>
        <v>50000</v>
      </c>
      <c r="R1781" s="37">
        <f t="shared" si="265"/>
        <v>50000</v>
      </c>
      <c r="S1781" s="450">
        <f t="shared" si="270"/>
        <v>100</v>
      </c>
    </row>
    <row r="1782" spans="2:19" x14ac:dyDescent="0.2">
      <c r="B1782" s="6">
        <f>B1779+1</f>
        <v>37</v>
      </c>
      <c r="C1782" s="32"/>
      <c r="D1782" s="32"/>
      <c r="E1782" s="32"/>
      <c r="F1782" s="152"/>
      <c r="G1782" s="152"/>
      <c r="H1782" s="34"/>
      <c r="I1782" s="35"/>
      <c r="J1782" s="35"/>
      <c r="K1782" s="396"/>
      <c r="L1782" s="35"/>
      <c r="M1782" s="36"/>
      <c r="N1782" s="36"/>
      <c r="O1782" s="437"/>
      <c r="P1782" s="36"/>
      <c r="Q1782" s="37"/>
      <c r="R1782" s="37"/>
      <c r="S1782" s="450"/>
    </row>
    <row r="1783" spans="2:19" x14ac:dyDescent="0.2">
      <c r="B1783" s="6">
        <f t="shared" ref="B1783:B1814" si="271">B1782+1</f>
        <v>38</v>
      </c>
      <c r="C1783" s="22"/>
      <c r="D1783" s="22"/>
      <c r="E1783" s="22"/>
      <c r="F1783" s="13" t="s">
        <v>77</v>
      </c>
      <c r="G1783" s="14">
        <v>620</v>
      </c>
      <c r="H1783" s="12" t="s">
        <v>121</v>
      </c>
      <c r="I1783" s="15">
        <v>2000</v>
      </c>
      <c r="J1783" s="15">
        <v>1091</v>
      </c>
      <c r="K1783" s="397">
        <f>J1783/I1783*100</f>
        <v>54.55</v>
      </c>
      <c r="L1783" s="25"/>
      <c r="M1783" s="25"/>
      <c r="N1783" s="25"/>
      <c r="O1783" s="424"/>
      <c r="P1783" s="25"/>
      <c r="Q1783" s="16">
        <f t="shared" ref="Q1783:R1786" si="272">M1783+I1783</f>
        <v>2000</v>
      </c>
      <c r="R1783" s="16">
        <f t="shared" si="272"/>
        <v>1091</v>
      </c>
      <c r="S1783" s="448">
        <f>R1783/Q1783*100</f>
        <v>54.55</v>
      </c>
    </row>
    <row r="1784" spans="2:19" x14ac:dyDescent="0.2">
      <c r="B1784" s="6">
        <f t="shared" si="271"/>
        <v>39</v>
      </c>
      <c r="C1784" s="22"/>
      <c r="D1784" s="22"/>
      <c r="E1784" s="22"/>
      <c r="F1784" s="13" t="s">
        <v>77</v>
      </c>
      <c r="G1784" s="14">
        <v>630</v>
      </c>
      <c r="H1784" s="12" t="s">
        <v>118</v>
      </c>
      <c r="I1784" s="15">
        <f>I1785</f>
        <v>5000</v>
      </c>
      <c r="J1784" s="15">
        <f>J1785</f>
        <v>3036</v>
      </c>
      <c r="K1784" s="397">
        <f>J1784/I1784*100</f>
        <v>60.72</v>
      </c>
      <c r="L1784" s="25"/>
      <c r="M1784" s="25"/>
      <c r="N1784" s="25"/>
      <c r="O1784" s="424"/>
      <c r="P1784" s="25"/>
      <c r="Q1784" s="16">
        <f t="shared" si="272"/>
        <v>5000</v>
      </c>
      <c r="R1784" s="16">
        <f t="shared" si="272"/>
        <v>3036</v>
      </c>
      <c r="S1784" s="448">
        <f>R1784/Q1784*100</f>
        <v>60.72</v>
      </c>
    </row>
    <row r="1785" spans="2:19" x14ac:dyDescent="0.2">
      <c r="B1785" s="6">
        <f t="shared" si="271"/>
        <v>40</v>
      </c>
      <c r="C1785" s="22"/>
      <c r="D1785" s="22"/>
      <c r="E1785" s="22"/>
      <c r="F1785" s="124"/>
      <c r="G1785" s="19">
        <v>637</v>
      </c>
      <c r="H1785" s="17" t="s">
        <v>119</v>
      </c>
      <c r="I1785" s="20">
        <v>5000</v>
      </c>
      <c r="J1785" s="20">
        <v>3036</v>
      </c>
      <c r="K1785" s="397">
        <f>J1785/I1785*100</f>
        <v>60.72</v>
      </c>
      <c r="L1785" s="25"/>
      <c r="M1785" s="25"/>
      <c r="N1785" s="25"/>
      <c r="O1785" s="424"/>
      <c r="P1785" s="25"/>
      <c r="Q1785" s="21">
        <f t="shared" si="272"/>
        <v>5000</v>
      </c>
      <c r="R1785" s="21">
        <f t="shared" si="272"/>
        <v>3036</v>
      </c>
      <c r="S1785" s="448">
        <f>R1785/Q1785*100</f>
        <v>60.72</v>
      </c>
    </row>
    <row r="1786" spans="2:19" x14ac:dyDescent="0.2">
      <c r="B1786" s="6">
        <f t="shared" si="271"/>
        <v>41</v>
      </c>
      <c r="C1786" s="22"/>
      <c r="D1786" s="22"/>
      <c r="E1786" s="22"/>
      <c r="F1786" s="124"/>
      <c r="G1786" s="14">
        <v>640</v>
      </c>
      <c r="H1786" s="12" t="s">
        <v>126</v>
      </c>
      <c r="I1786" s="15">
        <f>50+50</f>
        <v>100</v>
      </c>
      <c r="J1786" s="15">
        <v>33</v>
      </c>
      <c r="K1786" s="397">
        <f>J1786/I1786*100</f>
        <v>33</v>
      </c>
      <c r="L1786" s="15"/>
      <c r="M1786" s="15"/>
      <c r="N1786" s="15"/>
      <c r="O1786" s="424"/>
      <c r="P1786" s="15"/>
      <c r="Q1786" s="16">
        <f t="shared" si="272"/>
        <v>100</v>
      </c>
      <c r="R1786" s="16">
        <f t="shared" si="272"/>
        <v>33</v>
      </c>
      <c r="S1786" s="448">
        <f>R1786/Q1786*100</f>
        <v>33</v>
      </c>
    </row>
    <row r="1787" spans="2:19" x14ac:dyDescent="0.2">
      <c r="B1787" s="6">
        <f t="shared" si="271"/>
        <v>42</v>
      </c>
      <c r="C1787" s="22"/>
      <c r="D1787" s="22"/>
      <c r="E1787" s="22"/>
      <c r="F1787" s="124"/>
      <c r="G1787" s="19"/>
      <c r="H1787" s="17"/>
      <c r="I1787" s="20"/>
      <c r="J1787" s="20"/>
      <c r="K1787" s="397"/>
      <c r="L1787" s="25"/>
      <c r="M1787" s="25"/>
      <c r="N1787" s="25"/>
      <c r="O1787" s="424"/>
      <c r="P1787" s="25"/>
      <c r="Q1787" s="21"/>
      <c r="R1787" s="21"/>
      <c r="S1787" s="448"/>
    </row>
    <row r="1788" spans="2:19" x14ac:dyDescent="0.2">
      <c r="B1788" s="6">
        <f t="shared" si="271"/>
        <v>43</v>
      </c>
      <c r="C1788" s="22"/>
      <c r="D1788" s="22"/>
      <c r="E1788" s="22"/>
      <c r="F1788" s="13" t="s">
        <v>77</v>
      </c>
      <c r="G1788" s="14">
        <v>640</v>
      </c>
      <c r="H1788" s="12" t="s">
        <v>126</v>
      </c>
      <c r="I1788" s="15">
        <f>I1789</f>
        <v>70070</v>
      </c>
      <c r="J1788" s="15">
        <f>J1789</f>
        <v>55574</v>
      </c>
      <c r="K1788" s="397">
        <f t="shared" ref="K1788:K1803" si="273">J1788/I1788*100</f>
        <v>79.312116454973605</v>
      </c>
      <c r="L1788" s="333"/>
      <c r="M1788" s="25"/>
      <c r="N1788" s="25"/>
      <c r="O1788" s="424"/>
      <c r="P1788" s="25"/>
      <c r="Q1788" s="45">
        <f t="shared" ref="Q1788:Q1819" si="274">M1788+I1788</f>
        <v>70070</v>
      </c>
      <c r="R1788" s="45">
        <f t="shared" ref="R1788:R1819" si="275">N1788+J1788</f>
        <v>55574</v>
      </c>
      <c r="S1788" s="448">
        <f t="shared" ref="S1788:S1819" si="276">R1788/Q1788*100</f>
        <v>79.312116454973605</v>
      </c>
    </row>
    <row r="1789" spans="2:19" x14ac:dyDescent="0.2">
      <c r="B1789" s="6">
        <f t="shared" si="271"/>
        <v>44</v>
      </c>
      <c r="C1789" s="22"/>
      <c r="D1789" s="22"/>
      <c r="E1789" s="22"/>
      <c r="F1789" s="124"/>
      <c r="G1789" s="19">
        <v>642</v>
      </c>
      <c r="H1789" s="17" t="s">
        <v>127</v>
      </c>
      <c r="I1789" s="20">
        <f>I1790+I1791</f>
        <v>70070</v>
      </c>
      <c r="J1789" s="20">
        <f>J1790+J1791</f>
        <v>55574</v>
      </c>
      <c r="K1789" s="397">
        <f t="shared" si="273"/>
        <v>79.312116454973605</v>
      </c>
      <c r="L1789" s="333"/>
      <c r="M1789" s="25"/>
      <c r="N1789" s="25"/>
      <c r="O1789" s="424"/>
      <c r="P1789" s="25"/>
      <c r="Q1789" s="45">
        <f t="shared" si="274"/>
        <v>70070</v>
      </c>
      <c r="R1789" s="45">
        <f t="shared" si="275"/>
        <v>55574</v>
      </c>
      <c r="S1789" s="448">
        <f t="shared" si="276"/>
        <v>79.312116454973605</v>
      </c>
    </row>
    <row r="1790" spans="2:19" x14ac:dyDescent="0.2">
      <c r="B1790" s="6">
        <f t="shared" si="271"/>
        <v>45</v>
      </c>
      <c r="C1790" s="22"/>
      <c r="D1790" s="22"/>
      <c r="E1790" s="22"/>
      <c r="F1790" s="124"/>
      <c r="G1790" s="124"/>
      <c r="H1790" s="1" t="s">
        <v>14</v>
      </c>
      <c r="I1790" s="24">
        <f>26000-2500-50-380-3000</f>
        <v>20070</v>
      </c>
      <c r="J1790" s="24">
        <v>7131</v>
      </c>
      <c r="K1790" s="397">
        <f t="shared" si="273"/>
        <v>35.530642750373694</v>
      </c>
      <c r="L1790" s="24"/>
      <c r="M1790" s="25"/>
      <c r="N1790" s="25"/>
      <c r="O1790" s="424"/>
      <c r="P1790" s="25"/>
      <c r="Q1790" s="26">
        <f t="shared" si="274"/>
        <v>20070</v>
      </c>
      <c r="R1790" s="26">
        <f t="shared" si="275"/>
        <v>7131</v>
      </c>
      <c r="S1790" s="448">
        <f t="shared" si="276"/>
        <v>35.530642750373694</v>
      </c>
    </row>
    <row r="1791" spans="2:19" x14ac:dyDescent="0.2">
      <c r="B1791" s="6">
        <f t="shared" si="271"/>
        <v>46</v>
      </c>
      <c r="C1791" s="22"/>
      <c r="D1791" s="22"/>
      <c r="E1791" s="22"/>
      <c r="F1791" s="124"/>
      <c r="G1791" s="124"/>
      <c r="H1791" s="1" t="s">
        <v>280</v>
      </c>
      <c r="I1791" s="24">
        <v>50000</v>
      </c>
      <c r="J1791" s="24">
        <v>48443</v>
      </c>
      <c r="K1791" s="397">
        <f t="shared" si="273"/>
        <v>96.88600000000001</v>
      </c>
      <c r="L1791" s="24"/>
      <c r="M1791" s="25"/>
      <c r="N1791" s="25"/>
      <c r="O1791" s="424"/>
      <c r="P1791" s="25"/>
      <c r="Q1791" s="26">
        <f t="shared" si="274"/>
        <v>50000</v>
      </c>
      <c r="R1791" s="26">
        <f t="shared" si="275"/>
        <v>48443</v>
      </c>
      <c r="S1791" s="448">
        <f t="shared" si="276"/>
        <v>96.88600000000001</v>
      </c>
    </row>
    <row r="1792" spans="2:19" ht="15" x14ac:dyDescent="0.2">
      <c r="B1792" s="6">
        <f t="shared" si="271"/>
        <v>47</v>
      </c>
      <c r="C1792" s="9">
        <v>4</v>
      </c>
      <c r="D1792" s="637" t="s">
        <v>266</v>
      </c>
      <c r="E1792" s="638"/>
      <c r="F1792" s="638"/>
      <c r="G1792" s="638"/>
      <c r="H1792" s="638"/>
      <c r="I1792" s="10">
        <f>I1793+I1807+I1821</f>
        <v>244670</v>
      </c>
      <c r="J1792" s="10">
        <f>J1793+J1807+J1821</f>
        <v>215365</v>
      </c>
      <c r="K1792" s="395">
        <f t="shared" si="273"/>
        <v>88.022642743286866</v>
      </c>
      <c r="L1792" s="312"/>
      <c r="M1792" s="10">
        <f>M1793+M1807+M1821</f>
        <v>7900</v>
      </c>
      <c r="N1792" s="10">
        <f>N1793+N1807+N1821</f>
        <v>7599</v>
      </c>
      <c r="O1792" s="423">
        <f>N1792/M1792*100</f>
        <v>96.189873417721515</v>
      </c>
      <c r="P1792" s="312"/>
      <c r="Q1792" s="31">
        <f t="shared" si="274"/>
        <v>252570</v>
      </c>
      <c r="R1792" s="31">
        <f t="shared" si="275"/>
        <v>222964</v>
      </c>
      <c r="S1792" s="449">
        <f t="shared" si="276"/>
        <v>88.278101120481452</v>
      </c>
    </row>
    <row r="1793" spans="2:19" ht="15" x14ac:dyDescent="0.25">
      <c r="B1793" s="6">
        <f t="shared" si="271"/>
        <v>48</v>
      </c>
      <c r="C1793" s="27"/>
      <c r="D1793" s="27">
        <v>1</v>
      </c>
      <c r="E1793" s="639" t="s">
        <v>55</v>
      </c>
      <c r="F1793" s="640"/>
      <c r="G1793" s="640"/>
      <c r="H1793" s="640"/>
      <c r="I1793" s="28">
        <f>I1794</f>
        <v>135035</v>
      </c>
      <c r="J1793" s="28">
        <f>J1794</f>
        <v>114462</v>
      </c>
      <c r="K1793" s="404">
        <f t="shared" si="273"/>
        <v>84.764690635761099</v>
      </c>
      <c r="L1793" s="313"/>
      <c r="M1793" s="28">
        <f>M1794</f>
        <v>2500</v>
      </c>
      <c r="N1793" s="28">
        <f>N1794</f>
        <v>2500</v>
      </c>
      <c r="O1793" s="425">
        <f>N1793/M1793*100</f>
        <v>100</v>
      </c>
      <c r="P1793" s="313"/>
      <c r="Q1793" s="29">
        <f t="shared" si="274"/>
        <v>137535</v>
      </c>
      <c r="R1793" s="29">
        <f t="shared" si="275"/>
        <v>116962</v>
      </c>
      <c r="S1793" s="447">
        <f t="shared" si="276"/>
        <v>85.041625767986332</v>
      </c>
    </row>
    <row r="1794" spans="2:19" ht="15" x14ac:dyDescent="0.25">
      <c r="B1794" s="6">
        <f t="shared" si="271"/>
        <v>49</v>
      </c>
      <c r="C1794" s="97"/>
      <c r="D1794" s="97"/>
      <c r="E1794" s="97">
        <v>5</v>
      </c>
      <c r="F1794" s="98"/>
      <c r="G1794" s="98"/>
      <c r="H1794" s="97" t="s">
        <v>103</v>
      </c>
      <c r="I1794" s="99">
        <f>I1795+I1796+I1797+I1803</f>
        <v>135035</v>
      </c>
      <c r="J1794" s="99">
        <f>J1795+J1796+J1797+J1803</f>
        <v>114462</v>
      </c>
      <c r="K1794" s="414">
        <f t="shared" si="273"/>
        <v>84.764690635761099</v>
      </c>
      <c r="L1794" s="313"/>
      <c r="M1794" s="99">
        <f>M1804</f>
        <v>2500</v>
      </c>
      <c r="N1794" s="99">
        <f>N1804</f>
        <v>2500</v>
      </c>
      <c r="O1794" s="426">
        <f>N1794/M1794*100</f>
        <v>100</v>
      </c>
      <c r="P1794" s="313"/>
      <c r="Q1794" s="100">
        <f t="shared" si="274"/>
        <v>137535</v>
      </c>
      <c r="R1794" s="100">
        <f t="shared" si="275"/>
        <v>116962</v>
      </c>
      <c r="S1794" s="464">
        <f t="shared" si="276"/>
        <v>85.041625767986332</v>
      </c>
    </row>
    <row r="1795" spans="2:19" x14ac:dyDescent="0.2">
      <c r="B1795" s="6">
        <f t="shared" si="271"/>
        <v>50</v>
      </c>
      <c r="C1795" s="12"/>
      <c r="D1795" s="12"/>
      <c r="E1795" s="12"/>
      <c r="F1795" s="13" t="s">
        <v>52</v>
      </c>
      <c r="G1795" s="14">
        <v>610</v>
      </c>
      <c r="H1795" s="12" t="s">
        <v>128</v>
      </c>
      <c r="I1795" s="15">
        <f>54100+2453</f>
        <v>56553</v>
      </c>
      <c r="J1795" s="15">
        <v>53530</v>
      </c>
      <c r="K1795" s="397">
        <f t="shared" si="273"/>
        <v>94.654571817587041</v>
      </c>
      <c r="L1795" s="15"/>
      <c r="M1795" s="15"/>
      <c r="N1795" s="15"/>
      <c r="O1795" s="424"/>
      <c r="P1795" s="15"/>
      <c r="Q1795" s="16">
        <f t="shared" si="274"/>
        <v>56553</v>
      </c>
      <c r="R1795" s="16">
        <f t="shared" si="275"/>
        <v>53530</v>
      </c>
      <c r="S1795" s="448">
        <f t="shared" si="276"/>
        <v>94.654571817587041</v>
      </c>
    </row>
    <row r="1796" spans="2:19" x14ac:dyDescent="0.2">
      <c r="B1796" s="6">
        <f t="shared" si="271"/>
        <v>51</v>
      </c>
      <c r="C1796" s="12"/>
      <c r="D1796" s="12"/>
      <c r="E1796" s="12"/>
      <c r="F1796" s="13" t="s">
        <v>52</v>
      </c>
      <c r="G1796" s="14">
        <v>620</v>
      </c>
      <c r="H1796" s="12" t="s">
        <v>121</v>
      </c>
      <c r="I1796" s="15">
        <f>20480+882</f>
        <v>21362</v>
      </c>
      <c r="J1796" s="15">
        <v>19635</v>
      </c>
      <c r="K1796" s="397">
        <f t="shared" si="273"/>
        <v>91.915550978372806</v>
      </c>
      <c r="L1796" s="15"/>
      <c r="M1796" s="15"/>
      <c r="N1796" s="15"/>
      <c r="O1796" s="424"/>
      <c r="P1796" s="15"/>
      <c r="Q1796" s="16">
        <f t="shared" si="274"/>
        <v>21362</v>
      </c>
      <c r="R1796" s="16">
        <f t="shared" si="275"/>
        <v>19635</v>
      </c>
      <c r="S1796" s="448">
        <f t="shared" si="276"/>
        <v>91.915550978372806</v>
      </c>
    </row>
    <row r="1797" spans="2:19" x14ac:dyDescent="0.2">
      <c r="B1797" s="6">
        <f t="shared" si="271"/>
        <v>52</v>
      </c>
      <c r="C1797" s="12"/>
      <c r="D1797" s="12"/>
      <c r="E1797" s="12"/>
      <c r="F1797" s="13" t="s">
        <v>52</v>
      </c>
      <c r="G1797" s="14">
        <v>630</v>
      </c>
      <c r="H1797" s="12" t="s">
        <v>118</v>
      </c>
      <c r="I1797" s="15">
        <f>SUM(I1798:I1802)</f>
        <v>50020</v>
      </c>
      <c r="J1797" s="15">
        <f>SUM(J1798:J1802)</f>
        <v>37296</v>
      </c>
      <c r="K1797" s="397">
        <f t="shared" si="273"/>
        <v>74.562175129948017</v>
      </c>
      <c r="L1797" s="15"/>
      <c r="M1797" s="15"/>
      <c r="N1797" s="15"/>
      <c r="O1797" s="424"/>
      <c r="P1797" s="15"/>
      <c r="Q1797" s="16">
        <f t="shared" si="274"/>
        <v>50020</v>
      </c>
      <c r="R1797" s="16">
        <f t="shared" si="275"/>
        <v>37296</v>
      </c>
      <c r="S1797" s="448">
        <f t="shared" si="276"/>
        <v>74.562175129948017</v>
      </c>
    </row>
    <row r="1798" spans="2:19" x14ac:dyDescent="0.2">
      <c r="B1798" s="6">
        <f t="shared" si="271"/>
        <v>53</v>
      </c>
      <c r="C1798" s="17"/>
      <c r="D1798" s="17"/>
      <c r="E1798" s="17"/>
      <c r="F1798" s="18"/>
      <c r="G1798" s="19">
        <v>632</v>
      </c>
      <c r="H1798" s="17" t="s">
        <v>131</v>
      </c>
      <c r="I1798" s="20">
        <v>24100</v>
      </c>
      <c r="J1798" s="20">
        <v>15587</v>
      </c>
      <c r="K1798" s="397">
        <f t="shared" si="273"/>
        <v>64.676348547717851</v>
      </c>
      <c r="L1798" s="20"/>
      <c r="M1798" s="20"/>
      <c r="N1798" s="20"/>
      <c r="O1798" s="424"/>
      <c r="P1798" s="20"/>
      <c r="Q1798" s="21">
        <f t="shared" si="274"/>
        <v>24100</v>
      </c>
      <c r="R1798" s="21">
        <f t="shared" si="275"/>
        <v>15587</v>
      </c>
      <c r="S1798" s="448">
        <f t="shared" si="276"/>
        <v>64.676348547717851</v>
      </c>
    </row>
    <row r="1799" spans="2:19" x14ac:dyDescent="0.2">
      <c r="B1799" s="6">
        <f t="shared" si="271"/>
        <v>54</v>
      </c>
      <c r="C1799" s="17"/>
      <c r="D1799" s="17"/>
      <c r="E1799" s="17"/>
      <c r="F1799" s="18"/>
      <c r="G1799" s="19">
        <v>633</v>
      </c>
      <c r="H1799" s="17" t="s">
        <v>122</v>
      </c>
      <c r="I1799" s="20">
        <f>4320+6560</f>
        <v>10880</v>
      </c>
      <c r="J1799" s="20">
        <v>7907</v>
      </c>
      <c r="K1799" s="397">
        <f t="shared" si="273"/>
        <v>72.674632352941188</v>
      </c>
      <c r="L1799" s="20"/>
      <c r="M1799" s="20"/>
      <c r="N1799" s="20"/>
      <c r="O1799" s="424"/>
      <c r="P1799" s="20"/>
      <c r="Q1799" s="21">
        <f t="shared" si="274"/>
        <v>10880</v>
      </c>
      <c r="R1799" s="21">
        <f t="shared" si="275"/>
        <v>7907</v>
      </c>
      <c r="S1799" s="448">
        <f t="shared" si="276"/>
        <v>72.674632352941188</v>
      </c>
    </row>
    <row r="1800" spans="2:19" x14ac:dyDescent="0.2">
      <c r="B1800" s="6">
        <f t="shared" si="271"/>
        <v>55</v>
      </c>
      <c r="C1800" s="17"/>
      <c r="D1800" s="17"/>
      <c r="E1800" s="17"/>
      <c r="F1800" s="18"/>
      <c r="G1800" s="19">
        <v>634</v>
      </c>
      <c r="H1800" s="17" t="s">
        <v>129</v>
      </c>
      <c r="I1800" s="20">
        <v>1760</v>
      </c>
      <c r="J1800" s="20">
        <v>1166</v>
      </c>
      <c r="K1800" s="397">
        <f t="shared" si="273"/>
        <v>66.25</v>
      </c>
      <c r="L1800" s="20"/>
      <c r="M1800" s="20"/>
      <c r="N1800" s="20"/>
      <c r="O1800" s="424"/>
      <c r="P1800" s="20"/>
      <c r="Q1800" s="21">
        <f t="shared" si="274"/>
        <v>1760</v>
      </c>
      <c r="R1800" s="21">
        <f t="shared" si="275"/>
        <v>1166</v>
      </c>
      <c r="S1800" s="448">
        <f t="shared" si="276"/>
        <v>66.25</v>
      </c>
    </row>
    <row r="1801" spans="2:19" x14ac:dyDescent="0.2">
      <c r="B1801" s="6">
        <f t="shared" si="271"/>
        <v>56</v>
      </c>
      <c r="C1801" s="17"/>
      <c r="D1801" s="17"/>
      <c r="E1801" s="17"/>
      <c r="F1801" s="18"/>
      <c r="G1801" s="19">
        <v>635</v>
      </c>
      <c r="H1801" s="17" t="s">
        <v>130</v>
      </c>
      <c r="I1801" s="20">
        <v>2750</v>
      </c>
      <c r="J1801" s="20">
        <v>2130</v>
      </c>
      <c r="K1801" s="397">
        <f t="shared" si="273"/>
        <v>77.454545454545453</v>
      </c>
      <c r="L1801" s="20"/>
      <c r="M1801" s="20"/>
      <c r="N1801" s="20"/>
      <c r="O1801" s="424"/>
      <c r="P1801" s="20"/>
      <c r="Q1801" s="21">
        <f t="shared" si="274"/>
        <v>2750</v>
      </c>
      <c r="R1801" s="21">
        <f t="shared" si="275"/>
        <v>2130</v>
      </c>
      <c r="S1801" s="448">
        <f t="shared" si="276"/>
        <v>77.454545454545453</v>
      </c>
    </row>
    <row r="1802" spans="2:19" x14ac:dyDescent="0.2">
      <c r="B1802" s="6">
        <f t="shared" si="271"/>
        <v>57</v>
      </c>
      <c r="C1802" s="17"/>
      <c r="D1802" s="17"/>
      <c r="E1802" s="17"/>
      <c r="F1802" s="18"/>
      <c r="G1802" s="19">
        <v>637</v>
      </c>
      <c r="H1802" s="17" t="s">
        <v>119</v>
      </c>
      <c r="I1802" s="20">
        <f>8530+2000</f>
        <v>10530</v>
      </c>
      <c r="J1802" s="20">
        <v>10506</v>
      </c>
      <c r="K1802" s="397">
        <f t="shared" si="273"/>
        <v>99.772079772079763</v>
      </c>
      <c r="L1802" s="20"/>
      <c r="M1802" s="20"/>
      <c r="N1802" s="20"/>
      <c r="O1802" s="424"/>
      <c r="P1802" s="20"/>
      <c r="Q1802" s="21">
        <f t="shared" si="274"/>
        <v>10530</v>
      </c>
      <c r="R1802" s="21">
        <f t="shared" si="275"/>
        <v>10506</v>
      </c>
      <c r="S1802" s="448">
        <f t="shared" si="276"/>
        <v>99.772079772079763</v>
      </c>
    </row>
    <row r="1803" spans="2:19" x14ac:dyDescent="0.2">
      <c r="B1803" s="6">
        <f t="shared" si="271"/>
        <v>58</v>
      </c>
      <c r="C1803" s="12"/>
      <c r="D1803" s="12"/>
      <c r="E1803" s="12"/>
      <c r="F1803" s="13" t="s">
        <v>52</v>
      </c>
      <c r="G1803" s="14">
        <v>640</v>
      </c>
      <c r="H1803" s="12" t="s">
        <v>126</v>
      </c>
      <c r="I1803" s="15">
        <v>7100</v>
      </c>
      <c r="J1803" s="15">
        <v>4001</v>
      </c>
      <c r="K1803" s="397">
        <f t="shared" si="273"/>
        <v>56.352112676056343</v>
      </c>
      <c r="L1803" s="15"/>
      <c r="M1803" s="15"/>
      <c r="N1803" s="15"/>
      <c r="O1803" s="424"/>
      <c r="P1803" s="15"/>
      <c r="Q1803" s="16">
        <f t="shared" si="274"/>
        <v>7100</v>
      </c>
      <c r="R1803" s="16">
        <f t="shared" si="275"/>
        <v>4001</v>
      </c>
      <c r="S1803" s="448">
        <f t="shared" si="276"/>
        <v>56.352112676056343</v>
      </c>
    </row>
    <row r="1804" spans="2:19" x14ac:dyDescent="0.2">
      <c r="B1804" s="6">
        <f t="shared" si="271"/>
        <v>59</v>
      </c>
      <c r="C1804" s="12"/>
      <c r="D1804" s="12"/>
      <c r="E1804" s="12"/>
      <c r="F1804" s="13" t="s">
        <v>52</v>
      </c>
      <c r="G1804" s="14">
        <v>710</v>
      </c>
      <c r="H1804" s="12" t="s">
        <v>172</v>
      </c>
      <c r="I1804" s="15"/>
      <c r="J1804" s="15"/>
      <c r="K1804" s="397"/>
      <c r="L1804" s="15"/>
      <c r="M1804" s="15">
        <f>M1805</f>
        <v>2500</v>
      </c>
      <c r="N1804" s="15">
        <f>N1805</f>
        <v>2500</v>
      </c>
      <c r="O1804" s="424">
        <f>N1804/M1804*100</f>
        <v>100</v>
      </c>
      <c r="P1804" s="15"/>
      <c r="Q1804" s="16">
        <f t="shared" si="274"/>
        <v>2500</v>
      </c>
      <c r="R1804" s="16">
        <f t="shared" si="275"/>
        <v>2500</v>
      </c>
      <c r="S1804" s="448">
        <f t="shared" si="276"/>
        <v>100</v>
      </c>
    </row>
    <row r="1805" spans="2:19" x14ac:dyDescent="0.2">
      <c r="B1805" s="6">
        <f t="shared" si="271"/>
        <v>60</v>
      </c>
      <c r="C1805" s="12"/>
      <c r="D1805" s="12"/>
      <c r="E1805" s="12"/>
      <c r="F1805" s="153"/>
      <c r="G1805" s="19">
        <v>717</v>
      </c>
      <c r="H1805" s="17" t="s">
        <v>179</v>
      </c>
      <c r="I1805" s="15"/>
      <c r="J1805" s="15"/>
      <c r="K1805" s="397"/>
      <c r="L1805" s="15"/>
      <c r="M1805" s="20">
        <f>M1806</f>
        <v>2500</v>
      </c>
      <c r="N1805" s="20">
        <f>N1806</f>
        <v>2500</v>
      </c>
      <c r="O1805" s="424">
        <f>N1805/M1805*100</f>
        <v>100</v>
      </c>
      <c r="P1805" s="15"/>
      <c r="Q1805" s="21">
        <f t="shared" si="274"/>
        <v>2500</v>
      </c>
      <c r="R1805" s="21">
        <f t="shared" si="275"/>
        <v>2500</v>
      </c>
      <c r="S1805" s="448">
        <f t="shared" si="276"/>
        <v>100</v>
      </c>
    </row>
    <row r="1806" spans="2:19" x14ac:dyDescent="0.2">
      <c r="B1806" s="6">
        <f t="shared" si="271"/>
        <v>61</v>
      </c>
      <c r="C1806" s="12"/>
      <c r="D1806" s="12"/>
      <c r="E1806" s="12"/>
      <c r="F1806" s="153"/>
      <c r="G1806" s="23"/>
      <c r="H1806" s="39" t="s">
        <v>654</v>
      </c>
      <c r="I1806" s="15"/>
      <c r="J1806" s="15"/>
      <c r="K1806" s="397"/>
      <c r="L1806" s="15"/>
      <c r="M1806" s="24">
        <v>2500</v>
      </c>
      <c r="N1806" s="24">
        <v>2500</v>
      </c>
      <c r="O1806" s="424">
        <f>N1806/M1806*100</f>
        <v>100</v>
      </c>
      <c r="P1806" s="15"/>
      <c r="Q1806" s="26">
        <f t="shared" si="274"/>
        <v>2500</v>
      </c>
      <c r="R1806" s="26">
        <f t="shared" si="275"/>
        <v>2500</v>
      </c>
      <c r="S1806" s="448">
        <f t="shared" si="276"/>
        <v>100</v>
      </c>
    </row>
    <row r="1807" spans="2:19" ht="15" x14ac:dyDescent="0.25">
      <c r="B1807" s="6">
        <f t="shared" si="271"/>
        <v>62</v>
      </c>
      <c r="C1807" s="27"/>
      <c r="D1807" s="27">
        <v>2</v>
      </c>
      <c r="E1807" s="639" t="s">
        <v>265</v>
      </c>
      <c r="F1807" s="640"/>
      <c r="G1807" s="640"/>
      <c r="H1807" s="640"/>
      <c r="I1807" s="28">
        <f>I1808</f>
        <v>106355</v>
      </c>
      <c r="J1807" s="28">
        <f>J1808</f>
        <v>98074</v>
      </c>
      <c r="K1807" s="404">
        <f t="shared" ref="K1807:K1817" si="277">J1807/I1807*100</f>
        <v>92.213812232617173</v>
      </c>
      <c r="L1807" s="313"/>
      <c r="M1807" s="28">
        <f>M1808</f>
        <v>5400</v>
      </c>
      <c r="N1807" s="28">
        <f>N1808</f>
        <v>5099</v>
      </c>
      <c r="O1807" s="425">
        <f>N1807/M1807*100</f>
        <v>94.425925925925924</v>
      </c>
      <c r="P1807" s="313"/>
      <c r="Q1807" s="29">
        <f t="shared" si="274"/>
        <v>111755</v>
      </c>
      <c r="R1807" s="29">
        <f t="shared" si="275"/>
        <v>103173</v>
      </c>
      <c r="S1807" s="447">
        <f t="shared" si="276"/>
        <v>92.320701534606954</v>
      </c>
    </row>
    <row r="1808" spans="2:19" ht="15" x14ac:dyDescent="0.25">
      <c r="B1808" s="6">
        <f t="shared" si="271"/>
        <v>63</v>
      </c>
      <c r="C1808" s="97"/>
      <c r="D1808" s="97"/>
      <c r="E1808" s="97">
        <v>5</v>
      </c>
      <c r="F1808" s="98"/>
      <c r="G1808" s="98"/>
      <c r="H1808" s="97" t="s">
        <v>103</v>
      </c>
      <c r="I1808" s="99">
        <f>I1809+I1810+I1811+I1817</f>
        <v>106355</v>
      </c>
      <c r="J1808" s="99">
        <f>J1809+J1810+J1811+J1817</f>
        <v>98074</v>
      </c>
      <c r="K1808" s="414">
        <f t="shared" si="277"/>
        <v>92.213812232617173</v>
      </c>
      <c r="L1808" s="313"/>
      <c r="M1808" s="99">
        <f>M1818</f>
        <v>5400</v>
      </c>
      <c r="N1808" s="99">
        <f>N1818</f>
        <v>5099</v>
      </c>
      <c r="O1808" s="426">
        <f>N1808/M1808*100</f>
        <v>94.425925925925924</v>
      </c>
      <c r="P1808" s="313"/>
      <c r="Q1808" s="100">
        <f t="shared" si="274"/>
        <v>111755</v>
      </c>
      <c r="R1808" s="100">
        <f t="shared" si="275"/>
        <v>103173</v>
      </c>
      <c r="S1808" s="464">
        <f t="shared" si="276"/>
        <v>92.320701534606954</v>
      </c>
    </row>
    <row r="1809" spans="2:19" x14ac:dyDescent="0.2">
      <c r="B1809" s="6">
        <f t="shared" si="271"/>
        <v>64</v>
      </c>
      <c r="C1809" s="12"/>
      <c r="D1809" s="12"/>
      <c r="E1809" s="12"/>
      <c r="F1809" s="13" t="s">
        <v>52</v>
      </c>
      <c r="G1809" s="14">
        <v>610</v>
      </c>
      <c r="H1809" s="12" t="s">
        <v>128</v>
      </c>
      <c r="I1809" s="15">
        <f>63776+2400</f>
        <v>66176</v>
      </c>
      <c r="J1809" s="15">
        <v>62318</v>
      </c>
      <c r="K1809" s="397">
        <f t="shared" si="277"/>
        <v>94.1700918762089</v>
      </c>
      <c r="L1809" s="15"/>
      <c r="M1809" s="15"/>
      <c r="N1809" s="15"/>
      <c r="O1809" s="424"/>
      <c r="P1809" s="15"/>
      <c r="Q1809" s="16">
        <f t="shared" si="274"/>
        <v>66176</v>
      </c>
      <c r="R1809" s="16">
        <f t="shared" si="275"/>
        <v>62318</v>
      </c>
      <c r="S1809" s="448">
        <f t="shared" si="276"/>
        <v>94.1700918762089</v>
      </c>
    </row>
    <row r="1810" spans="2:19" x14ac:dyDescent="0.2">
      <c r="B1810" s="6">
        <f t="shared" si="271"/>
        <v>65</v>
      </c>
      <c r="C1810" s="12"/>
      <c r="D1810" s="12"/>
      <c r="E1810" s="12"/>
      <c r="F1810" s="13" t="s">
        <v>52</v>
      </c>
      <c r="G1810" s="14">
        <v>620</v>
      </c>
      <c r="H1810" s="12" t="s">
        <v>121</v>
      </c>
      <c r="I1810" s="15">
        <f>23476+863</f>
        <v>24339</v>
      </c>
      <c r="J1810" s="15">
        <v>23157</v>
      </c>
      <c r="K1810" s="397">
        <f t="shared" si="277"/>
        <v>95.143596696659685</v>
      </c>
      <c r="L1810" s="15"/>
      <c r="M1810" s="15"/>
      <c r="N1810" s="15"/>
      <c r="O1810" s="424"/>
      <c r="P1810" s="15"/>
      <c r="Q1810" s="16">
        <f t="shared" si="274"/>
        <v>24339</v>
      </c>
      <c r="R1810" s="16">
        <f t="shared" si="275"/>
        <v>23157</v>
      </c>
      <c r="S1810" s="448">
        <f t="shared" si="276"/>
        <v>95.143596696659685</v>
      </c>
    </row>
    <row r="1811" spans="2:19" x14ac:dyDescent="0.2">
      <c r="B1811" s="6">
        <f t="shared" si="271"/>
        <v>66</v>
      </c>
      <c r="C1811" s="12"/>
      <c r="D1811" s="12"/>
      <c r="E1811" s="12"/>
      <c r="F1811" s="13" t="s">
        <v>52</v>
      </c>
      <c r="G1811" s="14">
        <v>630</v>
      </c>
      <c r="H1811" s="12" t="s">
        <v>118</v>
      </c>
      <c r="I1811" s="15">
        <f>SUM(I1812:I1816)</f>
        <v>12520</v>
      </c>
      <c r="J1811" s="15">
        <f>SUM(J1812:J1816)</f>
        <v>9901</v>
      </c>
      <c r="K1811" s="397">
        <f t="shared" si="277"/>
        <v>79.08146964856229</v>
      </c>
      <c r="L1811" s="15"/>
      <c r="M1811" s="15"/>
      <c r="N1811" s="15"/>
      <c r="O1811" s="424"/>
      <c r="P1811" s="15"/>
      <c r="Q1811" s="16">
        <f t="shared" si="274"/>
        <v>12520</v>
      </c>
      <c r="R1811" s="16">
        <f t="shared" si="275"/>
        <v>9901</v>
      </c>
      <c r="S1811" s="448">
        <f t="shared" si="276"/>
        <v>79.08146964856229</v>
      </c>
    </row>
    <row r="1812" spans="2:19" x14ac:dyDescent="0.2">
      <c r="B1812" s="6">
        <f t="shared" si="271"/>
        <v>67</v>
      </c>
      <c r="C1812" s="17"/>
      <c r="D1812" s="17"/>
      <c r="E1812" s="17"/>
      <c r="F1812" s="18"/>
      <c r="G1812" s="19">
        <v>631</v>
      </c>
      <c r="H1812" s="17" t="s">
        <v>124</v>
      </c>
      <c r="I1812" s="20">
        <f>100+200+200</f>
        <v>500</v>
      </c>
      <c r="J1812" s="20">
        <v>299</v>
      </c>
      <c r="K1812" s="397">
        <f t="shared" si="277"/>
        <v>59.8</v>
      </c>
      <c r="L1812" s="20"/>
      <c r="M1812" s="20"/>
      <c r="N1812" s="20"/>
      <c r="O1812" s="424"/>
      <c r="P1812" s="20"/>
      <c r="Q1812" s="21">
        <f t="shared" si="274"/>
        <v>500</v>
      </c>
      <c r="R1812" s="21">
        <f t="shared" si="275"/>
        <v>299</v>
      </c>
      <c r="S1812" s="448">
        <f t="shared" si="276"/>
        <v>59.8</v>
      </c>
    </row>
    <row r="1813" spans="2:19" x14ac:dyDescent="0.2">
      <c r="B1813" s="6">
        <f t="shared" si="271"/>
        <v>68</v>
      </c>
      <c r="C1813" s="17"/>
      <c r="D1813" s="17"/>
      <c r="E1813" s="17"/>
      <c r="F1813" s="18"/>
      <c r="G1813" s="19">
        <v>632</v>
      </c>
      <c r="H1813" s="17" t="s">
        <v>131</v>
      </c>
      <c r="I1813" s="20">
        <f>12830-200-10000</f>
        <v>2630</v>
      </c>
      <c r="J1813" s="20">
        <v>691</v>
      </c>
      <c r="K1813" s="397">
        <f t="shared" si="277"/>
        <v>26.273764258555133</v>
      </c>
      <c r="L1813" s="20"/>
      <c r="M1813" s="20"/>
      <c r="N1813" s="20"/>
      <c r="O1813" s="424"/>
      <c r="P1813" s="20"/>
      <c r="Q1813" s="21">
        <f t="shared" si="274"/>
        <v>2630</v>
      </c>
      <c r="R1813" s="21">
        <f t="shared" si="275"/>
        <v>691</v>
      </c>
      <c r="S1813" s="448">
        <f t="shared" si="276"/>
        <v>26.273764258555133</v>
      </c>
    </row>
    <row r="1814" spans="2:19" x14ac:dyDescent="0.2">
      <c r="B1814" s="6">
        <f t="shared" si="271"/>
        <v>69</v>
      </c>
      <c r="C1814" s="17"/>
      <c r="D1814" s="17"/>
      <c r="E1814" s="17"/>
      <c r="F1814" s="18"/>
      <c r="G1814" s="19">
        <v>633</v>
      </c>
      <c r="H1814" s="17" t="s">
        <v>122</v>
      </c>
      <c r="I1814" s="20">
        <f>4650+600</f>
        <v>5250</v>
      </c>
      <c r="J1814" s="20">
        <v>4977</v>
      </c>
      <c r="K1814" s="397">
        <f t="shared" si="277"/>
        <v>94.8</v>
      </c>
      <c r="L1814" s="20"/>
      <c r="M1814" s="20"/>
      <c r="N1814" s="20"/>
      <c r="O1814" s="424"/>
      <c r="P1814" s="20"/>
      <c r="Q1814" s="21">
        <f t="shared" si="274"/>
        <v>5250</v>
      </c>
      <c r="R1814" s="21">
        <f t="shared" si="275"/>
        <v>4977</v>
      </c>
      <c r="S1814" s="448">
        <f t="shared" si="276"/>
        <v>94.8</v>
      </c>
    </row>
    <row r="1815" spans="2:19" x14ac:dyDescent="0.2">
      <c r="B1815" s="6">
        <f t="shared" ref="B1815:B1846" si="278">B1814+1</f>
        <v>70</v>
      </c>
      <c r="C1815" s="17"/>
      <c r="D1815" s="17"/>
      <c r="E1815" s="17"/>
      <c r="F1815" s="18"/>
      <c r="G1815" s="19">
        <v>635</v>
      </c>
      <c r="H1815" s="17" t="s">
        <v>130</v>
      </c>
      <c r="I1815" s="20">
        <f>950-800</f>
        <v>150</v>
      </c>
      <c r="J1815" s="20">
        <v>0</v>
      </c>
      <c r="K1815" s="397">
        <f t="shared" si="277"/>
        <v>0</v>
      </c>
      <c r="L1815" s="20"/>
      <c r="M1815" s="20"/>
      <c r="N1815" s="20"/>
      <c r="O1815" s="424"/>
      <c r="P1815" s="20"/>
      <c r="Q1815" s="21">
        <f t="shared" si="274"/>
        <v>150</v>
      </c>
      <c r="R1815" s="21">
        <f t="shared" si="275"/>
        <v>0</v>
      </c>
      <c r="S1815" s="448">
        <f t="shared" si="276"/>
        <v>0</v>
      </c>
    </row>
    <row r="1816" spans="2:19" x14ac:dyDescent="0.2">
      <c r="B1816" s="6">
        <f t="shared" si="278"/>
        <v>71</v>
      </c>
      <c r="C1816" s="17"/>
      <c r="D1816" s="17"/>
      <c r="E1816" s="17"/>
      <c r="F1816" s="18"/>
      <c r="G1816" s="19">
        <v>637</v>
      </c>
      <c r="H1816" s="17" t="s">
        <v>119</v>
      </c>
      <c r="I1816" s="20">
        <v>3990</v>
      </c>
      <c r="J1816" s="20">
        <v>3934</v>
      </c>
      <c r="K1816" s="397">
        <f t="shared" si="277"/>
        <v>98.596491228070164</v>
      </c>
      <c r="L1816" s="20"/>
      <c r="M1816" s="20"/>
      <c r="N1816" s="20"/>
      <c r="O1816" s="424"/>
      <c r="P1816" s="20"/>
      <c r="Q1816" s="21">
        <f t="shared" si="274"/>
        <v>3990</v>
      </c>
      <c r="R1816" s="21">
        <f t="shared" si="275"/>
        <v>3934</v>
      </c>
      <c r="S1816" s="448">
        <f t="shared" si="276"/>
        <v>98.596491228070164</v>
      </c>
    </row>
    <row r="1817" spans="2:19" x14ac:dyDescent="0.2">
      <c r="B1817" s="6">
        <f t="shared" si="278"/>
        <v>72</v>
      </c>
      <c r="C1817" s="12"/>
      <c r="D1817" s="12"/>
      <c r="E1817" s="12"/>
      <c r="F1817" s="13" t="s">
        <v>52</v>
      </c>
      <c r="G1817" s="14">
        <v>640</v>
      </c>
      <c r="H1817" s="12" t="s">
        <v>126</v>
      </c>
      <c r="I1817" s="15">
        <v>3320</v>
      </c>
      <c r="J1817" s="15">
        <v>2698</v>
      </c>
      <c r="K1817" s="397">
        <f t="shared" si="277"/>
        <v>81.265060240963862</v>
      </c>
      <c r="L1817" s="15"/>
      <c r="M1817" s="15"/>
      <c r="N1817" s="15"/>
      <c r="O1817" s="424"/>
      <c r="P1817" s="15"/>
      <c r="Q1817" s="16">
        <f t="shared" si="274"/>
        <v>3320</v>
      </c>
      <c r="R1817" s="16">
        <f t="shared" si="275"/>
        <v>2698</v>
      </c>
      <c r="S1817" s="448">
        <f t="shared" si="276"/>
        <v>81.265060240963862</v>
      </c>
    </row>
    <row r="1818" spans="2:19" x14ac:dyDescent="0.2">
      <c r="B1818" s="6">
        <f t="shared" si="278"/>
        <v>73</v>
      </c>
      <c r="C1818" s="12"/>
      <c r="D1818" s="12"/>
      <c r="E1818" s="12"/>
      <c r="F1818" s="13" t="s">
        <v>52</v>
      </c>
      <c r="G1818" s="14">
        <v>710</v>
      </c>
      <c r="H1818" s="12" t="s">
        <v>172</v>
      </c>
      <c r="I1818" s="15"/>
      <c r="J1818" s="15"/>
      <c r="K1818" s="397"/>
      <c r="L1818" s="15"/>
      <c r="M1818" s="15">
        <f>M1819</f>
        <v>5400</v>
      </c>
      <c r="N1818" s="15">
        <f>N1819</f>
        <v>5099</v>
      </c>
      <c r="O1818" s="424">
        <f>N1818/M1818*100</f>
        <v>94.425925925925924</v>
      </c>
      <c r="P1818" s="15"/>
      <c r="Q1818" s="16">
        <f t="shared" si="274"/>
        <v>5400</v>
      </c>
      <c r="R1818" s="16">
        <f t="shared" si="275"/>
        <v>5099</v>
      </c>
      <c r="S1818" s="448">
        <f t="shared" si="276"/>
        <v>94.425925925925924</v>
      </c>
    </row>
    <row r="1819" spans="2:19" x14ac:dyDescent="0.2">
      <c r="B1819" s="6">
        <f t="shared" si="278"/>
        <v>74</v>
      </c>
      <c r="C1819" s="12"/>
      <c r="D1819" s="12"/>
      <c r="E1819" s="12"/>
      <c r="F1819" s="153"/>
      <c r="G1819" s="19">
        <v>713</v>
      </c>
      <c r="H1819" s="17" t="s">
        <v>216</v>
      </c>
      <c r="I1819" s="15"/>
      <c r="J1819" s="15"/>
      <c r="K1819" s="397"/>
      <c r="L1819" s="15"/>
      <c r="M1819" s="20">
        <f>M1820</f>
        <v>5400</v>
      </c>
      <c r="N1819" s="20">
        <f>N1820</f>
        <v>5099</v>
      </c>
      <c r="O1819" s="424">
        <f>N1819/M1819*100</f>
        <v>94.425925925925924</v>
      </c>
      <c r="P1819" s="15"/>
      <c r="Q1819" s="21">
        <f t="shared" si="274"/>
        <v>5400</v>
      </c>
      <c r="R1819" s="21">
        <f t="shared" si="275"/>
        <v>5099</v>
      </c>
      <c r="S1819" s="448">
        <f t="shared" si="276"/>
        <v>94.425925925925924</v>
      </c>
    </row>
    <row r="1820" spans="2:19" x14ac:dyDescent="0.2">
      <c r="B1820" s="6">
        <f t="shared" si="278"/>
        <v>75</v>
      </c>
      <c r="C1820" s="12"/>
      <c r="D1820" s="12"/>
      <c r="E1820" s="12"/>
      <c r="F1820" s="153"/>
      <c r="G1820" s="23"/>
      <c r="H1820" s="39" t="s">
        <v>655</v>
      </c>
      <c r="I1820" s="15"/>
      <c r="J1820" s="15"/>
      <c r="K1820" s="397"/>
      <c r="L1820" s="15"/>
      <c r="M1820" s="24">
        <v>5400</v>
      </c>
      <c r="N1820" s="24">
        <v>5099</v>
      </c>
      <c r="O1820" s="424">
        <f>N1820/M1820*100</f>
        <v>94.425925925925924</v>
      </c>
      <c r="P1820" s="15"/>
      <c r="Q1820" s="26">
        <f t="shared" ref="Q1820:Q1851" si="279">M1820+I1820</f>
        <v>5400</v>
      </c>
      <c r="R1820" s="26">
        <f t="shared" ref="R1820:R1851" si="280">N1820+J1820</f>
        <v>5099</v>
      </c>
      <c r="S1820" s="448">
        <f t="shared" ref="S1820:S1851" si="281">R1820/Q1820*100</f>
        <v>94.425925925925924</v>
      </c>
    </row>
    <row r="1821" spans="2:19" ht="15" x14ac:dyDescent="0.25">
      <c r="B1821" s="6">
        <f t="shared" si="278"/>
        <v>76</v>
      </c>
      <c r="C1821" s="27"/>
      <c r="D1821" s="27">
        <v>3</v>
      </c>
      <c r="E1821" s="639" t="s">
        <v>395</v>
      </c>
      <c r="F1821" s="640"/>
      <c r="G1821" s="640"/>
      <c r="H1821" s="640"/>
      <c r="I1821" s="28">
        <f>I1822</f>
        <v>3280</v>
      </c>
      <c r="J1821" s="28">
        <f>J1822</f>
        <v>2829</v>
      </c>
      <c r="K1821" s="404">
        <f t="shared" ref="K1821:K1847" si="282">J1821/I1821*100</f>
        <v>86.25</v>
      </c>
      <c r="L1821" s="313"/>
      <c r="M1821" s="28"/>
      <c r="N1821" s="28"/>
      <c r="O1821" s="425"/>
      <c r="P1821" s="313"/>
      <c r="Q1821" s="29">
        <f t="shared" si="279"/>
        <v>3280</v>
      </c>
      <c r="R1821" s="29">
        <f t="shared" si="280"/>
        <v>2829</v>
      </c>
      <c r="S1821" s="447">
        <f t="shared" si="281"/>
        <v>86.25</v>
      </c>
    </row>
    <row r="1822" spans="2:19" ht="15" x14ac:dyDescent="0.25">
      <c r="B1822" s="6">
        <f t="shared" si="278"/>
        <v>77</v>
      </c>
      <c r="C1822" s="97"/>
      <c r="D1822" s="97"/>
      <c r="E1822" s="97">
        <v>5</v>
      </c>
      <c r="F1822" s="98"/>
      <c r="G1822" s="98"/>
      <c r="H1822" s="97" t="s">
        <v>103</v>
      </c>
      <c r="I1822" s="99">
        <f>I1823+I1824</f>
        <v>3280</v>
      </c>
      <c r="J1822" s="99">
        <f>J1823+J1824</f>
        <v>2829</v>
      </c>
      <c r="K1822" s="414">
        <f t="shared" si="282"/>
        <v>86.25</v>
      </c>
      <c r="L1822" s="313"/>
      <c r="M1822" s="99"/>
      <c r="N1822" s="99"/>
      <c r="O1822" s="426"/>
      <c r="P1822" s="313"/>
      <c r="Q1822" s="100">
        <f t="shared" si="279"/>
        <v>3280</v>
      </c>
      <c r="R1822" s="100">
        <f t="shared" si="280"/>
        <v>2829</v>
      </c>
      <c r="S1822" s="464">
        <f t="shared" si="281"/>
        <v>86.25</v>
      </c>
    </row>
    <row r="1823" spans="2:19" x14ac:dyDescent="0.2">
      <c r="B1823" s="6">
        <f t="shared" si="278"/>
        <v>78</v>
      </c>
      <c r="C1823" s="12"/>
      <c r="D1823" s="12"/>
      <c r="E1823" s="12"/>
      <c r="F1823" s="13" t="s">
        <v>52</v>
      </c>
      <c r="G1823" s="14">
        <v>620</v>
      </c>
      <c r="H1823" s="12" t="s">
        <v>121</v>
      </c>
      <c r="I1823" s="15">
        <v>780</v>
      </c>
      <c r="J1823" s="15">
        <v>748</v>
      </c>
      <c r="K1823" s="397">
        <f t="shared" si="282"/>
        <v>95.897435897435898</v>
      </c>
      <c r="L1823" s="15"/>
      <c r="M1823" s="15"/>
      <c r="N1823" s="15"/>
      <c r="O1823" s="424"/>
      <c r="P1823" s="15"/>
      <c r="Q1823" s="16">
        <f t="shared" si="279"/>
        <v>780</v>
      </c>
      <c r="R1823" s="16">
        <f t="shared" si="280"/>
        <v>748</v>
      </c>
      <c r="S1823" s="448">
        <f t="shared" si="281"/>
        <v>95.897435897435898</v>
      </c>
    </row>
    <row r="1824" spans="2:19" x14ac:dyDescent="0.2">
      <c r="B1824" s="6">
        <f t="shared" si="278"/>
        <v>79</v>
      </c>
      <c r="C1824" s="12"/>
      <c r="D1824" s="12"/>
      <c r="E1824" s="12"/>
      <c r="F1824" s="13" t="s">
        <v>52</v>
      </c>
      <c r="G1824" s="14">
        <v>630</v>
      </c>
      <c r="H1824" s="12" t="s">
        <v>118</v>
      </c>
      <c r="I1824" s="15">
        <f>I1825</f>
        <v>2500</v>
      </c>
      <c r="J1824" s="15">
        <f>J1825</f>
        <v>2081</v>
      </c>
      <c r="K1824" s="397">
        <f t="shared" si="282"/>
        <v>83.240000000000009</v>
      </c>
      <c r="L1824" s="15"/>
      <c r="M1824" s="15"/>
      <c r="N1824" s="15"/>
      <c r="O1824" s="424"/>
      <c r="P1824" s="15"/>
      <c r="Q1824" s="16">
        <f t="shared" si="279"/>
        <v>2500</v>
      </c>
      <c r="R1824" s="16">
        <f t="shared" si="280"/>
        <v>2081</v>
      </c>
      <c r="S1824" s="448">
        <f t="shared" si="281"/>
        <v>83.240000000000009</v>
      </c>
    </row>
    <row r="1825" spans="2:19" x14ac:dyDescent="0.2">
      <c r="B1825" s="6">
        <f t="shared" si="278"/>
        <v>80</v>
      </c>
      <c r="C1825" s="17"/>
      <c r="D1825" s="17"/>
      <c r="E1825" s="17"/>
      <c r="F1825" s="18"/>
      <c r="G1825" s="19">
        <v>637</v>
      </c>
      <c r="H1825" s="17" t="s">
        <v>119</v>
      </c>
      <c r="I1825" s="20">
        <v>2500</v>
      </c>
      <c r="J1825" s="20">
        <v>2081</v>
      </c>
      <c r="K1825" s="397">
        <f t="shared" si="282"/>
        <v>83.240000000000009</v>
      </c>
      <c r="L1825" s="20"/>
      <c r="M1825" s="20"/>
      <c r="N1825" s="20"/>
      <c r="O1825" s="424"/>
      <c r="P1825" s="20"/>
      <c r="Q1825" s="21">
        <f t="shared" si="279"/>
        <v>2500</v>
      </c>
      <c r="R1825" s="21">
        <f t="shared" si="280"/>
        <v>2081</v>
      </c>
      <c r="S1825" s="448">
        <f t="shared" si="281"/>
        <v>83.240000000000009</v>
      </c>
    </row>
    <row r="1826" spans="2:19" ht="15" x14ac:dyDescent="0.2">
      <c r="B1826" s="6">
        <f t="shared" si="278"/>
        <v>81</v>
      </c>
      <c r="C1826" s="9">
        <v>5</v>
      </c>
      <c r="D1826" s="637" t="s">
        <v>174</v>
      </c>
      <c r="E1826" s="638"/>
      <c r="F1826" s="638"/>
      <c r="G1826" s="638"/>
      <c r="H1826" s="638"/>
      <c r="I1826" s="10">
        <f>I1827+I1835+I1851</f>
        <v>1398006</v>
      </c>
      <c r="J1826" s="10">
        <f>J1827+J1835+J1851</f>
        <v>1352064</v>
      </c>
      <c r="K1826" s="395">
        <f t="shared" si="282"/>
        <v>96.713748009665196</v>
      </c>
      <c r="L1826" s="312"/>
      <c r="M1826" s="10">
        <f>M1835</f>
        <v>118000</v>
      </c>
      <c r="N1826" s="10">
        <f>N1835</f>
        <v>117662</v>
      </c>
      <c r="O1826" s="423">
        <f>N1826/M1826*100</f>
        <v>99.713559322033902</v>
      </c>
      <c r="P1826" s="312"/>
      <c r="Q1826" s="31">
        <f t="shared" si="279"/>
        <v>1516006</v>
      </c>
      <c r="R1826" s="31">
        <f t="shared" si="280"/>
        <v>1469726</v>
      </c>
      <c r="S1826" s="449">
        <f t="shared" si="281"/>
        <v>96.9472416336083</v>
      </c>
    </row>
    <row r="1827" spans="2:19" ht="15" x14ac:dyDescent="0.25">
      <c r="B1827" s="6">
        <f t="shared" si="278"/>
        <v>82</v>
      </c>
      <c r="C1827" s="27"/>
      <c r="D1827" s="27">
        <v>1</v>
      </c>
      <c r="E1827" s="639" t="s">
        <v>415</v>
      </c>
      <c r="F1827" s="640"/>
      <c r="G1827" s="640"/>
      <c r="H1827" s="640"/>
      <c r="I1827" s="28">
        <f>I1828+I1832</f>
        <v>9880</v>
      </c>
      <c r="J1827" s="28">
        <f>J1828+J1832</f>
        <v>9860</v>
      </c>
      <c r="K1827" s="404">
        <f t="shared" si="282"/>
        <v>99.797570850202433</v>
      </c>
      <c r="L1827" s="313"/>
      <c r="M1827" s="28"/>
      <c r="N1827" s="28"/>
      <c r="O1827" s="425"/>
      <c r="P1827" s="313"/>
      <c r="Q1827" s="29">
        <f t="shared" si="279"/>
        <v>9880</v>
      </c>
      <c r="R1827" s="29">
        <f t="shared" si="280"/>
        <v>9860</v>
      </c>
      <c r="S1827" s="447">
        <f t="shared" si="281"/>
        <v>99.797570850202433</v>
      </c>
    </row>
    <row r="1828" spans="2:19" x14ac:dyDescent="0.2">
      <c r="B1828" s="6">
        <f t="shared" si="278"/>
        <v>83</v>
      </c>
      <c r="C1828" s="12"/>
      <c r="D1828" s="12"/>
      <c r="E1828" s="12"/>
      <c r="F1828" s="13" t="s">
        <v>77</v>
      </c>
      <c r="G1828" s="14">
        <v>630</v>
      </c>
      <c r="H1828" s="12" t="s">
        <v>118</v>
      </c>
      <c r="I1828" s="15">
        <f>I1829+I1830+I1831</f>
        <v>5880</v>
      </c>
      <c r="J1828" s="15">
        <f>J1829+J1830+J1831</f>
        <v>5860</v>
      </c>
      <c r="K1828" s="397">
        <f t="shared" si="282"/>
        <v>99.659863945578238</v>
      </c>
      <c r="L1828" s="15"/>
      <c r="M1828" s="15"/>
      <c r="N1828" s="15"/>
      <c r="O1828" s="424"/>
      <c r="P1828" s="15"/>
      <c r="Q1828" s="16">
        <f t="shared" si="279"/>
        <v>5880</v>
      </c>
      <c r="R1828" s="16">
        <f t="shared" si="280"/>
        <v>5860</v>
      </c>
      <c r="S1828" s="448">
        <f t="shared" si="281"/>
        <v>99.659863945578238</v>
      </c>
    </row>
    <row r="1829" spans="2:19" x14ac:dyDescent="0.2">
      <c r="B1829" s="6">
        <f t="shared" si="278"/>
        <v>84</v>
      </c>
      <c r="C1829" s="17"/>
      <c r="D1829" s="17"/>
      <c r="E1829" s="17"/>
      <c r="F1829" s="18" t="s">
        <v>77</v>
      </c>
      <c r="G1829" s="19">
        <v>633</v>
      </c>
      <c r="H1829" s="17" t="s">
        <v>122</v>
      </c>
      <c r="I1829" s="20">
        <f>2500+270</f>
        <v>2770</v>
      </c>
      <c r="J1829" s="20">
        <v>2752</v>
      </c>
      <c r="K1829" s="397">
        <f t="shared" si="282"/>
        <v>99.350180505415167</v>
      </c>
      <c r="L1829" s="20"/>
      <c r="M1829" s="20"/>
      <c r="N1829" s="20"/>
      <c r="O1829" s="424"/>
      <c r="P1829" s="20"/>
      <c r="Q1829" s="21">
        <f t="shared" si="279"/>
        <v>2770</v>
      </c>
      <c r="R1829" s="21">
        <f t="shared" si="280"/>
        <v>2752</v>
      </c>
      <c r="S1829" s="448">
        <f t="shared" si="281"/>
        <v>99.350180505415167</v>
      </c>
    </row>
    <row r="1830" spans="2:19" x14ac:dyDescent="0.2">
      <c r="B1830" s="6">
        <f t="shared" si="278"/>
        <v>85</v>
      </c>
      <c r="C1830" s="17"/>
      <c r="D1830" s="17"/>
      <c r="E1830" s="17"/>
      <c r="F1830" s="18" t="s">
        <v>77</v>
      </c>
      <c r="G1830" s="19">
        <v>634</v>
      </c>
      <c r="H1830" s="17" t="s">
        <v>129</v>
      </c>
      <c r="I1830" s="20">
        <f>3000-200-300-100-292-432-270</f>
        <v>1406</v>
      </c>
      <c r="J1830" s="20">
        <v>1405</v>
      </c>
      <c r="K1830" s="397">
        <f t="shared" si="282"/>
        <v>99.928876244665716</v>
      </c>
      <c r="L1830" s="20"/>
      <c r="M1830" s="20"/>
      <c r="N1830" s="20"/>
      <c r="O1830" s="424"/>
      <c r="P1830" s="20"/>
      <c r="Q1830" s="21">
        <f t="shared" si="279"/>
        <v>1406</v>
      </c>
      <c r="R1830" s="21">
        <f t="shared" si="280"/>
        <v>1405</v>
      </c>
      <c r="S1830" s="448">
        <f t="shared" si="281"/>
        <v>99.928876244665716</v>
      </c>
    </row>
    <row r="1831" spans="2:19" x14ac:dyDescent="0.2">
      <c r="B1831" s="6">
        <f t="shared" si="278"/>
        <v>86</v>
      </c>
      <c r="C1831" s="17"/>
      <c r="D1831" s="17"/>
      <c r="E1831" s="17"/>
      <c r="F1831" s="18" t="s">
        <v>77</v>
      </c>
      <c r="G1831" s="19">
        <v>637</v>
      </c>
      <c r="H1831" s="17" t="s">
        <v>119</v>
      </c>
      <c r="I1831" s="20">
        <f>380+200+300+100+292+432</f>
        <v>1704</v>
      </c>
      <c r="J1831" s="20">
        <v>1703</v>
      </c>
      <c r="K1831" s="397">
        <f t="shared" si="282"/>
        <v>99.941314553990608</v>
      </c>
      <c r="L1831" s="20"/>
      <c r="M1831" s="20"/>
      <c r="N1831" s="20"/>
      <c r="O1831" s="424"/>
      <c r="P1831" s="20"/>
      <c r="Q1831" s="21">
        <f t="shared" si="279"/>
        <v>1704</v>
      </c>
      <c r="R1831" s="21">
        <f t="shared" si="280"/>
        <v>1703</v>
      </c>
      <c r="S1831" s="448">
        <f t="shared" si="281"/>
        <v>99.941314553990608</v>
      </c>
    </row>
    <row r="1832" spans="2:19" x14ac:dyDescent="0.2">
      <c r="B1832" s="6">
        <f t="shared" si="278"/>
        <v>87</v>
      </c>
      <c r="C1832" s="12"/>
      <c r="D1832" s="12"/>
      <c r="E1832" s="12"/>
      <c r="F1832" s="13" t="s">
        <v>74</v>
      </c>
      <c r="G1832" s="14">
        <v>640</v>
      </c>
      <c r="H1832" s="12" t="s">
        <v>126</v>
      </c>
      <c r="I1832" s="15">
        <f>I1833+I1834</f>
        <v>4000</v>
      </c>
      <c r="J1832" s="15">
        <f>J1833+J1834</f>
        <v>4000</v>
      </c>
      <c r="K1832" s="397">
        <f t="shared" si="282"/>
        <v>100</v>
      </c>
      <c r="L1832" s="20"/>
      <c r="M1832" s="15"/>
      <c r="N1832" s="15"/>
      <c r="O1832" s="424"/>
      <c r="P1832" s="15"/>
      <c r="Q1832" s="16">
        <f t="shared" si="279"/>
        <v>4000</v>
      </c>
      <c r="R1832" s="16">
        <f t="shared" si="280"/>
        <v>4000</v>
      </c>
      <c r="S1832" s="448">
        <f t="shared" si="281"/>
        <v>100</v>
      </c>
    </row>
    <row r="1833" spans="2:19" x14ac:dyDescent="0.2">
      <c r="B1833" s="6">
        <f t="shared" si="278"/>
        <v>88</v>
      </c>
      <c r="C1833" s="22"/>
      <c r="D1833" s="22"/>
      <c r="E1833" s="22"/>
      <c r="F1833" s="124"/>
      <c r="G1833" s="124"/>
      <c r="H1833" s="1" t="s">
        <v>232</v>
      </c>
      <c r="I1833" s="20">
        <v>2000</v>
      </c>
      <c r="J1833" s="20">
        <v>2000</v>
      </c>
      <c r="K1833" s="397">
        <f t="shared" si="282"/>
        <v>100</v>
      </c>
      <c r="L1833" s="20"/>
      <c r="M1833" s="24"/>
      <c r="N1833" s="24"/>
      <c r="O1833" s="424"/>
      <c r="P1833" s="24"/>
      <c r="Q1833" s="26">
        <f t="shared" si="279"/>
        <v>2000</v>
      </c>
      <c r="R1833" s="26">
        <f t="shared" si="280"/>
        <v>2000</v>
      </c>
      <c r="S1833" s="448">
        <f t="shared" si="281"/>
        <v>100</v>
      </c>
    </row>
    <row r="1834" spans="2:19" x14ac:dyDescent="0.2">
      <c r="B1834" s="6">
        <f t="shared" si="278"/>
        <v>89</v>
      </c>
      <c r="C1834" s="22"/>
      <c r="D1834" s="22"/>
      <c r="E1834" s="22"/>
      <c r="F1834" s="124"/>
      <c r="G1834" s="124"/>
      <c r="H1834" s="1" t="s">
        <v>2</v>
      </c>
      <c r="I1834" s="20">
        <v>2000</v>
      </c>
      <c r="J1834" s="20">
        <v>2000</v>
      </c>
      <c r="K1834" s="397">
        <f t="shared" si="282"/>
        <v>100</v>
      </c>
      <c r="L1834" s="20"/>
      <c r="M1834" s="24"/>
      <c r="N1834" s="24"/>
      <c r="O1834" s="424"/>
      <c r="P1834" s="24"/>
      <c r="Q1834" s="26">
        <f t="shared" si="279"/>
        <v>2000</v>
      </c>
      <c r="R1834" s="26">
        <f t="shared" si="280"/>
        <v>2000</v>
      </c>
      <c r="S1834" s="448">
        <f t="shared" si="281"/>
        <v>100</v>
      </c>
    </row>
    <row r="1835" spans="2:19" ht="15" x14ac:dyDescent="0.25">
      <c r="B1835" s="6">
        <f t="shared" si="278"/>
        <v>90</v>
      </c>
      <c r="C1835" s="27"/>
      <c r="D1835" s="27">
        <v>2</v>
      </c>
      <c r="E1835" s="639" t="s">
        <v>58</v>
      </c>
      <c r="F1835" s="640"/>
      <c r="G1835" s="640"/>
      <c r="H1835" s="640"/>
      <c r="I1835" s="28">
        <f>I1836</f>
        <v>1332656</v>
      </c>
      <c r="J1835" s="28">
        <f>J1836</f>
        <v>1314443</v>
      </c>
      <c r="K1835" s="404">
        <f t="shared" si="282"/>
        <v>98.633330732011856</v>
      </c>
      <c r="L1835" s="313"/>
      <c r="M1835" s="28">
        <f>M1836</f>
        <v>118000</v>
      </c>
      <c r="N1835" s="28">
        <f>N1836</f>
        <v>117662</v>
      </c>
      <c r="O1835" s="425">
        <f>N1835/M1835*100</f>
        <v>99.713559322033902</v>
      </c>
      <c r="P1835" s="313"/>
      <c r="Q1835" s="29">
        <f t="shared" si="279"/>
        <v>1450656</v>
      </c>
      <c r="R1835" s="29">
        <f t="shared" si="280"/>
        <v>1432105</v>
      </c>
      <c r="S1835" s="447">
        <f t="shared" si="281"/>
        <v>98.721199236759091</v>
      </c>
    </row>
    <row r="1836" spans="2:19" ht="15" x14ac:dyDescent="0.25">
      <c r="B1836" s="6">
        <f t="shared" si="278"/>
        <v>91</v>
      </c>
      <c r="C1836" s="97"/>
      <c r="D1836" s="97"/>
      <c r="E1836" s="97">
        <v>5</v>
      </c>
      <c r="F1836" s="98"/>
      <c r="G1836" s="98"/>
      <c r="H1836" s="97" t="s">
        <v>103</v>
      </c>
      <c r="I1836" s="99">
        <f>I1837+I1838+I1839+I1847</f>
        <v>1332656</v>
      </c>
      <c r="J1836" s="99">
        <f>J1837+J1838+J1839+J1847</f>
        <v>1314443</v>
      </c>
      <c r="K1836" s="414">
        <f t="shared" si="282"/>
        <v>98.633330732011856</v>
      </c>
      <c r="L1836" s="313"/>
      <c r="M1836" s="99">
        <f>M1848</f>
        <v>118000</v>
      </c>
      <c r="N1836" s="99">
        <f>N1848</f>
        <v>117662</v>
      </c>
      <c r="O1836" s="426">
        <f>N1836/M1836*100</f>
        <v>99.713559322033902</v>
      </c>
      <c r="P1836" s="313"/>
      <c r="Q1836" s="100">
        <f t="shared" si="279"/>
        <v>1450656</v>
      </c>
      <c r="R1836" s="100">
        <f t="shared" si="280"/>
        <v>1432105</v>
      </c>
      <c r="S1836" s="464">
        <f t="shared" si="281"/>
        <v>98.721199236759091</v>
      </c>
    </row>
    <row r="1837" spans="2:19" x14ac:dyDescent="0.2">
      <c r="B1837" s="6">
        <f t="shared" si="278"/>
        <v>92</v>
      </c>
      <c r="C1837" s="12"/>
      <c r="D1837" s="12"/>
      <c r="E1837" s="12"/>
      <c r="F1837" s="13" t="s">
        <v>77</v>
      </c>
      <c r="G1837" s="14">
        <v>610</v>
      </c>
      <c r="H1837" s="12" t="s">
        <v>128</v>
      </c>
      <c r="I1837" s="15">
        <f>588500+28000+10000</f>
        <v>626500</v>
      </c>
      <c r="J1837" s="15">
        <v>626391</v>
      </c>
      <c r="K1837" s="397">
        <f t="shared" si="282"/>
        <v>99.982601755786121</v>
      </c>
      <c r="L1837" s="15"/>
      <c r="M1837" s="15"/>
      <c r="N1837" s="15"/>
      <c r="O1837" s="424"/>
      <c r="P1837" s="15"/>
      <c r="Q1837" s="16">
        <f t="shared" si="279"/>
        <v>626500</v>
      </c>
      <c r="R1837" s="16">
        <f t="shared" si="280"/>
        <v>626391</v>
      </c>
      <c r="S1837" s="448">
        <f t="shared" si="281"/>
        <v>99.982601755786121</v>
      </c>
    </row>
    <row r="1838" spans="2:19" x14ac:dyDescent="0.2">
      <c r="B1838" s="6">
        <f t="shared" si="278"/>
        <v>93</v>
      </c>
      <c r="C1838" s="12"/>
      <c r="D1838" s="12"/>
      <c r="E1838" s="12"/>
      <c r="F1838" s="13" t="s">
        <v>77</v>
      </c>
      <c r="G1838" s="14">
        <v>620</v>
      </c>
      <c r="H1838" s="12" t="s">
        <v>121</v>
      </c>
      <c r="I1838" s="15">
        <f>216975+10066+10000</f>
        <v>237041</v>
      </c>
      <c r="J1838" s="15">
        <v>236760</v>
      </c>
      <c r="K1838" s="397">
        <f t="shared" si="282"/>
        <v>99.881455106922431</v>
      </c>
      <c r="L1838" s="15"/>
      <c r="M1838" s="15"/>
      <c r="N1838" s="15"/>
      <c r="O1838" s="424"/>
      <c r="P1838" s="15"/>
      <c r="Q1838" s="16">
        <f t="shared" si="279"/>
        <v>237041</v>
      </c>
      <c r="R1838" s="16">
        <f t="shared" si="280"/>
        <v>236760</v>
      </c>
      <c r="S1838" s="448">
        <f t="shared" si="281"/>
        <v>99.881455106922431</v>
      </c>
    </row>
    <row r="1839" spans="2:19" x14ac:dyDescent="0.2">
      <c r="B1839" s="6">
        <f t="shared" si="278"/>
        <v>94</v>
      </c>
      <c r="C1839" s="12"/>
      <c r="D1839" s="12"/>
      <c r="E1839" s="12"/>
      <c r="F1839" s="13" t="s">
        <v>77</v>
      </c>
      <c r="G1839" s="14">
        <v>630</v>
      </c>
      <c r="H1839" s="12" t="s">
        <v>118</v>
      </c>
      <c r="I1839" s="15">
        <f>SUM(I1840:I1846)</f>
        <v>415525</v>
      </c>
      <c r="J1839" s="15">
        <f>SUM(J1840:J1846)</f>
        <v>401276</v>
      </c>
      <c r="K1839" s="397">
        <f t="shared" si="282"/>
        <v>96.570844112869253</v>
      </c>
      <c r="L1839" s="15"/>
      <c r="M1839" s="15"/>
      <c r="N1839" s="15"/>
      <c r="O1839" s="424"/>
      <c r="P1839" s="15"/>
      <c r="Q1839" s="16">
        <f t="shared" si="279"/>
        <v>415525</v>
      </c>
      <c r="R1839" s="16">
        <f t="shared" si="280"/>
        <v>401276</v>
      </c>
      <c r="S1839" s="448">
        <f t="shared" si="281"/>
        <v>96.570844112869253</v>
      </c>
    </row>
    <row r="1840" spans="2:19" x14ac:dyDescent="0.2">
      <c r="B1840" s="6">
        <f t="shared" si="278"/>
        <v>95</v>
      </c>
      <c r="C1840" s="17"/>
      <c r="D1840" s="17"/>
      <c r="E1840" s="17"/>
      <c r="F1840" s="18"/>
      <c r="G1840" s="19">
        <v>631</v>
      </c>
      <c r="H1840" s="17" t="s">
        <v>124</v>
      </c>
      <c r="I1840" s="20">
        <v>100</v>
      </c>
      <c r="J1840" s="20">
        <v>0</v>
      </c>
      <c r="K1840" s="397">
        <f t="shared" si="282"/>
        <v>0</v>
      </c>
      <c r="L1840" s="20"/>
      <c r="M1840" s="20"/>
      <c r="N1840" s="20"/>
      <c r="O1840" s="424"/>
      <c r="P1840" s="20"/>
      <c r="Q1840" s="21">
        <f t="shared" si="279"/>
        <v>100</v>
      </c>
      <c r="R1840" s="21">
        <f t="shared" si="280"/>
        <v>0</v>
      </c>
      <c r="S1840" s="448">
        <f t="shared" si="281"/>
        <v>0</v>
      </c>
    </row>
    <row r="1841" spans="2:19" x14ac:dyDescent="0.2">
      <c r="B1841" s="6">
        <f t="shared" si="278"/>
        <v>96</v>
      </c>
      <c r="C1841" s="17"/>
      <c r="D1841" s="17"/>
      <c r="E1841" s="17"/>
      <c r="F1841" s="18"/>
      <c r="G1841" s="19">
        <v>632</v>
      </c>
      <c r="H1841" s="17" t="s">
        <v>131</v>
      </c>
      <c r="I1841" s="20">
        <f>172420-45000-13000-1500</f>
        <v>112920</v>
      </c>
      <c r="J1841" s="20">
        <v>101117</v>
      </c>
      <c r="K1841" s="397">
        <f t="shared" si="282"/>
        <v>89.547467233439605</v>
      </c>
      <c r="L1841" s="20"/>
      <c r="M1841" s="20"/>
      <c r="N1841" s="20"/>
      <c r="O1841" s="424"/>
      <c r="P1841" s="20"/>
      <c r="Q1841" s="21">
        <f t="shared" si="279"/>
        <v>112920</v>
      </c>
      <c r="R1841" s="21">
        <f t="shared" si="280"/>
        <v>101117</v>
      </c>
      <c r="S1841" s="448">
        <f t="shared" si="281"/>
        <v>89.547467233439605</v>
      </c>
    </row>
    <row r="1842" spans="2:19" x14ac:dyDescent="0.2">
      <c r="B1842" s="6">
        <f t="shared" si="278"/>
        <v>97</v>
      </c>
      <c r="C1842" s="17"/>
      <c r="D1842" s="17"/>
      <c r="E1842" s="17"/>
      <c r="F1842" s="18"/>
      <c r="G1842" s="19">
        <v>633</v>
      </c>
      <c r="H1842" s="17" t="s">
        <v>122</v>
      </c>
      <c r="I1842" s="20">
        <v>45880</v>
      </c>
      <c r="J1842" s="20">
        <v>45868</v>
      </c>
      <c r="K1842" s="397">
        <f t="shared" si="282"/>
        <v>99.973844812554489</v>
      </c>
      <c r="L1842" s="20"/>
      <c r="M1842" s="20"/>
      <c r="N1842" s="20"/>
      <c r="O1842" s="424"/>
      <c r="P1842" s="20"/>
      <c r="Q1842" s="21">
        <f t="shared" si="279"/>
        <v>45880</v>
      </c>
      <c r="R1842" s="21">
        <f t="shared" si="280"/>
        <v>45868</v>
      </c>
      <c r="S1842" s="448">
        <f t="shared" si="281"/>
        <v>99.973844812554489</v>
      </c>
    </row>
    <row r="1843" spans="2:19" x14ac:dyDescent="0.2">
      <c r="B1843" s="6">
        <f t="shared" si="278"/>
        <v>98</v>
      </c>
      <c r="C1843" s="17"/>
      <c r="D1843" s="17"/>
      <c r="E1843" s="17"/>
      <c r="F1843" s="18"/>
      <c r="G1843" s="19">
        <v>634</v>
      </c>
      <c r="H1843" s="17" t="s">
        <v>129</v>
      </c>
      <c r="I1843" s="20">
        <v>3950</v>
      </c>
      <c r="J1843" s="20">
        <v>2425</v>
      </c>
      <c r="K1843" s="397">
        <f t="shared" si="282"/>
        <v>61.392405063291143</v>
      </c>
      <c r="L1843" s="20"/>
      <c r="M1843" s="20"/>
      <c r="N1843" s="20"/>
      <c r="O1843" s="424"/>
      <c r="P1843" s="20"/>
      <c r="Q1843" s="21">
        <f t="shared" si="279"/>
        <v>3950</v>
      </c>
      <c r="R1843" s="21">
        <f t="shared" si="280"/>
        <v>2425</v>
      </c>
      <c r="S1843" s="448">
        <f t="shared" si="281"/>
        <v>61.392405063291143</v>
      </c>
    </row>
    <row r="1844" spans="2:19" x14ac:dyDescent="0.2">
      <c r="B1844" s="6">
        <f t="shared" si="278"/>
        <v>99</v>
      </c>
      <c r="C1844" s="17"/>
      <c r="D1844" s="17"/>
      <c r="E1844" s="17"/>
      <c r="F1844" s="18"/>
      <c r="G1844" s="19">
        <v>635</v>
      </c>
      <c r="H1844" s="17" t="s">
        <v>130</v>
      </c>
      <c r="I1844" s="20">
        <f>27400-21000</f>
        <v>6400</v>
      </c>
      <c r="J1844" s="20">
        <v>6284</v>
      </c>
      <c r="K1844" s="397">
        <f t="shared" si="282"/>
        <v>98.1875</v>
      </c>
      <c r="L1844" s="20"/>
      <c r="M1844" s="20"/>
      <c r="N1844" s="20"/>
      <c r="O1844" s="424"/>
      <c r="P1844" s="20"/>
      <c r="Q1844" s="21">
        <f t="shared" si="279"/>
        <v>6400</v>
      </c>
      <c r="R1844" s="21">
        <f t="shared" si="280"/>
        <v>6284</v>
      </c>
      <c r="S1844" s="448">
        <f t="shared" si="281"/>
        <v>98.1875</v>
      </c>
    </row>
    <row r="1845" spans="2:19" x14ac:dyDescent="0.2">
      <c r="B1845" s="6">
        <f t="shared" si="278"/>
        <v>100</v>
      </c>
      <c r="C1845" s="17"/>
      <c r="D1845" s="17"/>
      <c r="E1845" s="17"/>
      <c r="F1845" s="18"/>
      <c r="G1845" s="19">
        <v>636</v>
      </c>
      <c r="H1845" s="17" t="s">
        <v>123</v>
      </c>
      <c r="I1845" s="20">
        <v>1000</v>
      </c>
      <c r="J1845" s="20">
        <v>320</v>
      </c>
      <c r="K1845" s="397">
        <f t="shared" si="282"/>
        <v>32</v>
      </c>
      <c r="L1845" s="20"/>
      <c r="M1845" s="20"/>
      <c r="N1845" s="20"/>
      <c r="O1845" s="424"/>
      <c r="P1845" s="20"/>
      <c r="Q1845" s="21">
        <f t="shared" si="279"/>
        <v>1000</v>
      </c>
      <c r="R1845" s="21">
        <f t="shared" si="280"/>
        <v>320</v>
      </c>
      <c r="S1845" s="448">
        <f t="shared" si="281"/>
        <v>32</v>
      </c>
    </row>
    <row r="1846" spans="2:19" x14ac:dyDescent="0.2">
      <c r="B1846" s="6">
        <f t="shared" si="278"/>
        <v>101</v>
      </c>
      <c r="C1846" s="17"/>
      <c r="D1846" s="17"/>
      <c r="E1846" s="17"/>
      <c r="F1846" s="18"/>
      <c r="G1846" s="19">
        <v>637</v>
      </c>
      <c r="H1846" s="17" t="s">
        <v>119</v>
      </c>
      <c r="I1846" s="20">
        <f>230775+13000+1500</f>
        <v>245275</v>
      </c>
      <c r="J1846" s="20">
        <v>245262</v>
      </c>
      <c r="K1846" s="397">
        <f t="shared" si="282"/>
        <v>99.99469982672511</v>
      </c>
      <c r="L1846" s="20"/>
      <c r="M1846" s="20"/>
      <c r="N1846" s="20"/>
      <c r="O1846" s="424"/>
      <c r="P1846" s="20"/>
      <c r="Q1846" s="21">
        <f t="shared" si="279"/>
        <v>245275</v>
      </c>
      <c r="R1846" s="21">
        <f t="shared" si="280"/>
        <v>245262</v>
      </c>
      <c r="S1846" s="448">
        <f t="shared" si="281"/>
        <v>99.99469982672511</v>
      </c>
    </row>
    <row r="1847" spans="2:19" x14ac:dyDescent="0.2">
      <c r="B1847" s="6">
        <f t="shared" ref="B1847:B1878" si="283">B1846+1</f>
        <v>102</v>
      </c>
      <c r="C1847" s="12"/>
      <c r="D1847" s="12"/>
      <c r="E1847" s="12"/>
      <c r="F1847" s="13" t="s">
        <v>77</v>
      </c>
      <c r="G1847" s="14">
        <v>640</v>
      </c>
      <c r="H1847" s="12" t="s">
        <v>126</v>
      </c>
      <c r="I1847" s="15">
        <f>28890+24700</f>
        <v>53590</v>
      </c>
      <c r="J1847" s="15">
        <v>50016</v>
      </c>
      <c r="K1847" s="397">
        <f t="shared" si="282"/>
        <v>93.330845306960256</v>
      </c>
      <c r="L1847" s="15"/>
      <c r="M1847" s="15"/>
      <c r="N1847" s="15"/>
      <c r="O1847" s="424"/>
      <c r="P1847" s="15"/>
      <c r="Q1847" s="16">
        <f t="shared" si="279"/>
        <v>53590</v>
      </c>
      <c r="R1847" s="16">
        <f t="shared" si="280"/>
        <v>50016</v>
      </c>
      <c r="S1847" s="448">
        <f t="shared" si="281"/>
        <v>93.330845306960256</v>
      </c>
    </row>
    <row r="1848" spans="2:19" x14ac:dyDescent="0.2">
      <c r="B1848" s="6">
        <f t="shared" si="283"/>
        <v>103</v>
      </c>
      <c r="C1848" s="12"/>
      <c r="D1848" s="12"/>
      <c r="E1848" s="12"/>
      <c r="F1848" s="13" t="s">
        <v>77</v>
      </c>
      <c r="G1848" s="14">
        <v>710</v>
      </c>
      <c r="H1848" s="12" t="s">
        <v>172</v>
      </c>
      <c r="I1848" s="15"/>
      <c r="J1848" s="15"/>
      <c r="K1848" s="397"/>
      <c r="L1848" s="15"/>
      <c r="M1848" s="15">
        <f>M1849</f>
        <v>118000</v>
      </c>
      <c r="N1848" s="15">
        <f>N1849</f>
        <v>117662</v>
      </c>
      <c r="O1848" s="424">
        <f>N1848/M1848*100</f>
        <v>99.713559322033902</v>
      </c>
      <c r="P1848" s="15"/>
      <c r="Q1848" s="16">
        <f t="shared" si="279"/>
        <v>118000</v>
      </c>
      <c r="R1848" s="16">
        <f t="shared" si="280"/>
        <v>117662</v>
      </c>
      <c r="S1848" s="448">
        <f t="shared" si="281"/>
        <v>99.713559322033902</v>
      </c>
    </row>
    <row r="1849" spans="2:19" x14ac:dyDescent="0.2">
      <c r="B1849" s="6">
        <f t="shared" si="283"/>
        <v>104</v>
      </c>
      <c r="C1849" s="22"/>
      <c r="D1849" s="22"/>
      <c r="E1849" s="22"/>
      <c r="F1849" s="153"/>
      <c r="G1849" s="19">
        <v>716</v>
      </c>
      <c r="H1849" s="17" t="s">
        <v>213</v>
      </c>
      <c r="I1849" s="24"/>
      <c r="J1849" s="24"/>
      <c r="K1849" s="397"/>
      <c r="L1849" s="24"/>
      <c r="M1849" s="24">
        <f>M1850</f>
        <v>118000</v>
      </c>
      <c r="N1849" s="24">
        <f>N1850</f>
        <v>117662</v>
      </c>
      <c r="O1849" s="424">
        <f>N1849/M1849*100</f>
        <v>99.713559322033902</v>
      </c>
      <c r="P1849" s="24"/>
      <c r="Q1849" s="26">
        <f t="shared" si="279"/>
        <v>118000</v>
      </c>
      <c r="R1849" s="26">
        <f t="shared" si="280"/>
        <v>117662</v>
      </c>
      <c r="S1849" s="448">
        <f t="shared" si="281"/>
        <v>99.713559322033902</v>
      </c>
    </row>
    <row r="1850" spans="2:19" ht="24" x14ac:dyDescent="0.2">
      <c r="B1850" s="6">
        <f t="shared" si="283"/>
        <v>105</v>
      </c>
      <c r="C1850" s="22"/>
      <c r="D1850" s="22"/>
      <c r="E1850" s="22"/>
      <c r="F1850" s="153"/>
      <c r="G1850" s="23"/>
      <c r="H1850" s="39" t="s">
        <v>537</v>
      </c>
      <c r="I1850" s="24"/>
      <c r="J1850" s="24"/>
      <c r="K1850" s="397"/>
      <c r="L1850" s="24"/>
      <c r="M1850" s="24">
        <v>118000</v>
      </c>
      <c r="N1850" s="24">
        <v>117662</v>
      </c>
      <c r="O1850" s="424">
        <f>N1850/M1850*100</f>
        <v>99.713559322033902</v>
      </c>
      <c r="P1850" s="24"/>
      <c r="Q1850" s="26">
        <f t="shared" si="279"/>
        <v>118000</v>
      </c>
      <c r="R1850" s="26">
        <f t="shared" si="280"/>
        <v>117662</v>
      </c>
      <c r="S1850" s="448">
        <f t="shared" si="281"/>
        <v>99.713559322033902</v>
      </c>
    </row>
    <row r="1851" spans="2:19" ht="15" x14ac:dyDescent="0.25">
      <c r="B1851" s="6">
        <f t="shared" si="283"/>
        <v>106</v>
      </c>
      <c r="C1851" s="27"/>
      <c r="D1851" s="27">
        <v>3</v>
      </c>
      <c r="E1851" s="639" t="s">
        <v>353</v>
      </c>
      <c r="F1851" s="640"/>
      <c r="G1851" s="640"/>
      <c r="H1851" s="640"/>
      <c r="I1851" s="28">
        <f>I1852</f>
        <v>55470</v>
      </c>
      <c r="J1851" s="28">
        <f>J1852</f>
        <v>27761</v>
      </c>
      <c r="K1851" s="404">
        <f t="shared" ref="K1851:K1871" si="284">J1851/I1851*100</f>
        <v>50.046872183162073</v>
      </c>
      <c r="L1851" s="313"/>
      <c r="M1851" s="28"/>
      <c r="N1851" s="28"/>
      <c r="O1851" s="425"/>
      <c r="P1851" s="313"/>
      <c r="Q1851" s="29">
        <f t="shared" si="279"/>
        <v>55470</v>
      </c>
      <c r="R1851" s="29">
        <f t="shared" si="280"/>
        <v>27761</v>
      </c>
      <c r="S1851" s="447">
        <f t="shared" si="281"/>
        <v>50.046872183162073</v>
      </c>
    </row>
    <row r="1852" spans="2:19" x14ac:dyDescent="0.2">
      <c r="B1852" s="6">
        <f t="shared" si="283"/>
        <v>107</v>
      </c>
      <c r="C1852" s="12"/>
      <c r="D1852" s="12"/>
      <c r="E1852" s="12"/>
      <c r="F1852" s="13" t="s">
        <v>77</v>
      </c>
      <c r="G1852" s="14">
        <v>630</v>
      </c>
      <c r="H1852" s="12" t="s">
        <v>118</v>
      </c>
      <c r="I1852" s="15">
        <f>SUM(I1853:I1856)</f>
        <v>55470</v>
      </c>
      <c r="J1852" s="15">
        <f>SUM(J1853:J1856)</f>
        <v>27761</v>
      </c>
      <c r="K1852" s="397">
        <f t="shared" si="284"/>
        <v>50.046872183162073</v>
      </c>
      <c r="L1852" s="15"/>
      <c r="M1852" s="15"/>
      <c r="N1852" s="15"/>
      <c r="O1852" s="424"/>
      <c r="P1852" s="15"/>
      <c r="Q1852" s="16">
        <f t="shared" ref="Q1852:Q1857" si="285">M1852+I1852</f>
        <v>55470</v>
      </c>
      <c r="R1852" s="16">
        <f t="shared" ref="R1852:R1857" si="286">N1852+J1852</f>
        <v>27761</v>
      </c>
      <c r="S1852" s="448">
        <f t="shared" ref="S1852:S1883" si="287">R1852/Q1852*100</f>
        <v>50.046872183162073</v>
      </c>
    </row>
    <row r="1853" spans="2:19" x14ac:dyDescent="0.2">
      <c r="B1853" s="6">
        <f t="shared" si="283"/>
        <v>108</v>
      </c>
      <c r="C1853" s="17"/>
      <c r="D1853" s="17"/>
      <c r="E1853" s="17"/>
      <c r="F1853" s="18"/>
      <c r="G1853" s="19">
        <v>632</v>
      </c>
      <c r="H1853" s="17" t="s">
        <v>131</v>
      </c>
      <c r="I1853" s="20">
        <f>55000-15000-3000</f>
        <v>37000</v>
      </c>
      <c r="J1853" s="20">
        <v>22179</v>
      </c>
      <c r="K1853" s="397">
        <f t="shared" si="284"/>
        <v>59.943243243243238</v>
      </c>
      <c r="L1853" s="20"/>
      <c r="M1853" s="20"/>
      <c r="N1853" s="20"/>
      <c r="O1853" s="424"/>
      <c r="P1853" s="20"/>
      <c r="Q1853" s="21">
        <f t="shared" si="285"/>
        <v>37000</v>
      </c>
      <c r="R1853" s="21">
        <f t="shared" si="286"/>
        <v>22179</v>
      </c>
      <c r="S1853" s="448">
        <f t="shared" si="287"/>
        <v>59.943243243243238</v>
      </c>
    </row>
    <row r="1854" spans="2:19" x14ac:dyDescent="0.2">
      <c r="B1854" s="6">
        <f t="shared" si="283"/>
        <v>109</v>
      </c>
      <c r="C1854" s="17"/>
      <c r="D1854" s="17"/>
      <c r="E1854" s="17"/>
      <c r="F1854" s="18"/>
      <c r="G1854" s="19">
        <v>633</v>
      </c>
      <c r="H1854" s="17" t="s">
        <v>122</v>
      </c>
      <c r="I1854" s="20">
        <v>3500</v>
      </c>
      <c r="J1854" s="20">
        <v>1840</v>
      </c>
      <c r="K1854" s="397">
        <f t="shared" si="284"/>
        <v>52.571428571428569</v>
      </c>
      <c r="L1854" s="20"/>
      <c r="M1854" s="20"/>
      <c r="N1854" s="20"/>
      <c r="O1854" s="424"/>
      <c r="P1854" s="20"/>
      <c r="Q1854" s="21">
        <f t="shared" si="285"/>
        <v>3500</v>
      </c>
      <c r="R1854" s="21">
        <f t="shared" si="286"/>
        <v>1840</v>
      </c>
      <c r="S1854" s="448">
        <f t="shared" si="287"/>
        <v>52.571428571428569</v>
      </c>
    </row>
    <row r="1855" spans="2:19" x14ac:dyDescent="0.2">
      <c r="B1855" s="6">
        <f t="shared" si="283"/>
        <v>110</v>
      </c>
      <c r="C1855" s="17"/>
      <c r="D1855" s="17"/>
      <c r="E1855" s="17"/>
      <c r="F1855" s="18"/>
      <c r="G1855" s="19">
        <v>635</v>
      </c>
      <c r="H1855" s="17" t="s">
        <v>130</v>
      </c>
      <c r="I1855" s="20">
        <v>5200</v>
      </c>
      <c r="J1855" s="20">
        <v>1833</v>
      </c>
      <c r="K1855" s="397">
        <f t="shared" si="284"/>
        <v>35.25</v>
      </c>
      <c r="L1855" s="20"/>
      <c r="M1855" s="20"/>
      <c r="N1855" s="20"/>
      <c r="O1855" s="424"/>
      <c r="P1855" s="20"/>
      <c r="Q1855" s="21">
        <f t="shared" si="285"/>
        <v>5200</v>
      </c>
      <c r="R1855" s="21">
        <f t="shared" si="286"/>
        <v>1833</v>
      </c>
      <c r="S1855" s="448">
        <f t="shared" si="287"/>
        <v>35.25</v>
      </c>
    </row>
    <row r="1856" spans="2:19" x14ac:dyDescent="0.2">
      <c r="B1856" s="6">
        <f t="shared" si="283"/>
        <v>111</v>
      </c>
      <c r="C1856" s="17"/>
      <c r="D1856" s="17"/>
      <c r="E1856" s="17"/>
      <c r="F1856" s="18"/>
      <c r="G1856" s="19">
        <v>637</v>
      </c>
      <c r="H1856" s="17" t="s">
        <v>119</v>
      </c>
      <c r="I1856" s="20">
        <f>6770+3000</f>
        <v>9770</v>
      </c>
      <c r="J1856" s="20">
        <v>1909</v>
      </c>
      <c r="K1856" s="397">
        <f t="shared" si="284"/>
        <v>19.539406345957012</v>
      </c>
      <c r="L1856" s="20"/>
      <c r="M1856" s="20"/>
      <c r="N1856" s="20"/>
      <c r="O1856" s="424"/>
      <c r="P1856" s="20"/>
      <c r="Q1856" s="21">
        <f t="shared" si="285"/>
        <v>9770</v>
      </c>
      <c r="R1856" s="21">
        <f t="shared" si="286"/>
        <v>1909</v>
      </c>
      <c r="S1856" s="448">
        <f t="shared" si="287"/>
        <v>19.539406345957012</v>
      </c>
    </row>
    <row r="1857" spans="2:19" ht="15" x14ac:dyDescent="0.2">
      <c r="B1857" s="6">
        <f t="shared" si="283"/>
        <v>112</v>
      </c>
      <c r="C1857" s="9">
        <v>6</v>
      </c>
      <c r="D1857" s="637" t="s">
        <v>227</v>
      </c>
      <c r="E1857" s="638"/>
      <c r="F1857" s="638"/>
      <c r="G1857" s="638"/>
      <c r="H1857" s="638"/>
      <c r="I1857" s="10">
        <f>I1860+I1858</f>
        <v>2604798</v>
      </c>
      <c r="J1857" s="10">
        <f>J1860+J1858</f>
        <v>2475361</v>
      </c>
      <c r="K1857" s="395">
        <f t="shared" si="284"/>
        <v>95.030823887303356</v>
      </c>
      <c r="L1857" s="312"/>
      <c r="M1857" s="10">
        <f>M1860</f>
        <v>446700</v>
      </c>
      <c r="N1857" s="10">
        <f>N1860</f>
        <v>443860</v>
      </c>
      <c r="O1857" s="423">
        <f>N1857/M1857*100</f>
        <v>99.364226550257442</v>
      </c>
      <c r="P1857" s="312"/>
      <c r="Q1857" s="31">
        <f t="shared" si="285"/>
        <v>3051498</v>
      </c>
      <c r="R1857" s="31">
        <f t="shared" si="286"/>
        <v>2919221</v>
      </c>
      <c r="S1857" s="449">
        <f t="shared" si="287"/>
        <v>95.665178217387009</v>
      </c>
    </row>
    <row r="1858" spans="2:19" ht="15" x14ac:dyDescent="0.2">
      <c r="B1858" s="6">
        <f t="shared" si="283"/>
        <v>113</v>
      </c>
      <c r="C1858" s="343"/>
      <c r="D1858" s="343"/>
      <c r="E1858" s="344"/>
      <c r="F1858" s="13" t="s">
        <v>77</v>
      </c>
      <c r="G1858" s="14">
        <v>630</v>
      </c>
      <c r="H1858" s="12" t="s">
        <v>118</v>
      </c>
      <c r="I1858" s="15">
        <f>I1859</f>
        <v>601</v>
      </c>
      <c r="J1858" s="15">
        <f>J1859</f>
        <v>601</v>
      </c>
      <c r="K1858" s="397">
        <f t="shared" si="284"/>
        <v>100</v>
      </c>
      <c r="L1858" s="342"/>
      <c r="M1858" s="342"/>
      <c r="N1858" s="342"/>
      <c r="O1858" s="438"/>
      <c r="P1858" s="342"/>
      <c r="Q1858" s="339">
        <f>I1858</f>
        <v>601</v>
      </c>
      <c r="R1858" s="339">
        <f>J1858</f>
        <v>601</v>
      </c>
      <c r="S1858" s="468">
        <f t="shared" si="287"/>
        <v>100</v>
      </c>
    </row>
    <row r="1859" spans="2:19" ht="15" x14ac:dyDescent="0.2">
      <c r="B1859" s="6">
        <f t="shared" si="283"/>
        <v>114</v>
      </c>
      <c r="C1859" s="343"/>
      <c r="D1859" s="343"/>
      <c r="E1859" s="344"/>
      <c r="F1859" s="18"/>
      <c r="G1859" s="19">
        <v>637</v>
      </c>
      <c r="H1859" s="17" t="s">
        <v>656</v>
      </c>
      <c r="I1859" s="20">
        <v>601</v>
      </c>
      <c r="J1859" s="20">
        <v>601</v>
      </c>
      <c r="K1859" s="397">
        <f t="shared" si="284"/>
        <v>100</v>
      </c>
      <c r="L1859" s="342"/>
      <c r="M1859" s="342"/>
      <c r="N1859" s="342"/>
      <c r="O1859" s="438"/>
      <c r="P1859" s="342"/>
      <c r="Q1859" s="127">
        <f>I1859</f>
        <v>601</v>
      </c>
      <c r="R1859" s="127">
        <f>J1859</f>
        <v>601</v>
      </c>
      <c r="S1859" s="468">
        <f t="shared" si="287"/>
        <v>100</v>
      </c>
    </row>
    <row r="1860" spans="2:19" ht="15" x14ac:dyDescent="0.25">
      <c r="B1860" s="6">
        <f t="shared" si="283"/>
        <v>115</v>
      </c>
      <c r="C1860" s="97"/>
      <c r="D1860" s="97"/>
      <c r="E1860" s="97">
        <v>5</v>
      </c>
      <c r="F1860" s="98"/>
      <c r="G1860" s="98"/>
      <c r="H1860" s="97" t="s">
        <v>103</v>
      </c>
      <c r="I1860" s="99">
        <f>I1861+I1862+I1863+I1871</f>
        <v>2604197</v>
      </c>
      <c r="J1860" s="99">
        <f>J1861+J1862+J1863+J1871</f>
        <v>2474760</v>
      </c>
      <c r="K1860" s="414">
        <f t="shared" si="284"/>
        <v>95.029677094321201</v>
      </c>
      <c r="L1860" s="313"/>
      <c r="M1860" s="99">
        <f>M1872</f>
        <v>446700</v>
      </c>
      <c r="N1860" s="99">
        <f>N1872</f>
        <v>443860</v>
      </c>
      <c r="O1860" s="426">
        <f>N1860/M1860*100</f>
        <v>99.364226550257442</v>
      </c>
      <c r="P1860" s="313"/>
      <c r="Q1860" s="100">
        <f t="shared" ref="Q1860:Q1891" si="288">M1860+I1860</f>
        <v>3050897</v>
      </c>
      <c r="R1860" s="100">
        <f t="shared" ref="R1860:R1891" si="289">N1860+J1860</f>
        <v>2918620</v>
      </c>
      <c r="S1860" s="464">
        <f t="shared" si="287"/>
        <v>95.664324295444914</v>
      </c>
    </row>
    <row r="1861" spans="2:19" x14ac:dyDescent="0.2">
      <c r="B1861" s="6">
        <f t="shared" si="283"/>
        <v>116</v>
      </c>
      <c r="C1861" s="12"/>
      <c r="D1861" s="12"/>
      <c r="E1861" s="12"/>
      <c r="F1861" s="13" t="s">
        <v>76</v>
      </c>
      <c r="G1861" s="14">
        <v>610</v>
      </c>
      <c r="H1861" s="12" t="s">
        <v>128</v>
      </c>
      <c r="I1861" s="15">
        <f>1178880+52800-10110</f>
        <v>1221570</v>
      </c>
      <c r="J1861" s="15">
        <v>1175661</v>
      </c>
      <c r="K1861" s="397">
        <f t="shared" si="284"/>
        <v>96.241803580638035</v>
      </c>
      <c r="L1861" s="15"/>
      <c r="M1861" s="15"/>
      <c r="N1861" s="15"/>
      <c r="O1861" s="424"/>
      <c r="P1861" s="15"/>
      <c r="Q1861" s="16">
        <f t="shared" si="288"/>
        <v>1221570</v>
      </c>
      <c r="R1861" s="16">
        <f t="shared" si="289"/>
        <v>1175661</v>
      </c>
      <c r="S1861" s="448">
        <f t="shared" si="287"/>
        <v>96.241803580638035</v>
      </c>
    </row>
    <row r="1862" spans="2:19" x14ac:dyDescent="0.2">
      <c r="B1862" s="6">
        <f t="shared" si="283"/>
        <v>117</v>
      </c>
      <c r="C1862" s="12"/>
      <c r="D1862" s="12"/>
      <c r="E1862" s="12"/>
      <c r="F1862" s="13" t="s">
        <v>76</v>
      </c>
      <c r="G1862" s="14">
        <v>620</v>
      </c>
      <c r="H1862" s="12" t="s">
        <v>121</v>
      </c>
      <c r="I1862" s="15">
        <f>431390+18982-7000</f>
        <v>443372</v>
      </c>
      <c r="J1862" s="15">
        <v>430791</v>
      </c>
      <c r="K1862" s="397">
        <f t="shared" si="284"/>
        <v>97.162427938615878</v>
      </c>
      <c r="L1862" s="15"/>
      <c r="M1862" s="15"/>
      <c r="N1862" s="15"/>
      <c r="O1862" s="424"/>
      <c r="P1862" s="15"/>
      <c r="Q1862" s="16">
        <f t="shared" si="288"/>
        <v>443372</v>
      </c>
      <c r="R1862" s="16">
        <f t="shared" si="289"/>
        <v>430791</v>
      </c>
      <c r="S1862" s="448">
        <f t="shared" si="287"/>
        <v>97.162427938615878</v>
      </c>
    </row>
    <row r="1863" spans="2:19" x14ac:dyDescent="0.2">
      <c r="B1863" s="6">
        <f t="shared" si="283"/>
        <v>118</v>
      </c>
      <c r="C1863" s="12"/>
      <c r="D1863" s="12"/>
      <c r="E1863" s="12"/>
      <c r="F1863" s="13" t="s">
        <v>76</v>
      </c>
      <c r="G1863" s="14">
        <v>630</v>
      </c>
      <c r="H1863" s="12" t="s">
        <v>118</v>
      </c>
      <c r="I1863" s="15">
        <f>SUM(I1864:I1870)</f>
        <v>829550</v>
      </c>
      <c r="J1863" s="15">
        <f>SUM(J1864:J1870)</f>
        <v>761766</v>
      </c>
      <c r="K1863" s="397">
        <f t="shared" si="284"/>
        <v>91.828822855765168</v>
      </c>
      <c r="L1863" s="15"/>
      <c r="M1863" s="15"/>
      <c r="N1863" s="15"/>
      <c r="O1863" s="424"/>
      <c r="P1863" s="15"/>
      <c r="Q1863" s="16">
        <f t="shared" si="288"/>
        <v>829550</v>
      </c>
      <c r="R1863" s="16">
        <f t="shared" si="289"/>
        <v>761766</v>
      </c>
      <c r="S1863" s="448">
        <f t="shared" si="287"/>
        <v>91.828822855765168</v>
      </c>
    </row>
    <row r="1864" spans="2:19" x14ac:dyDescent="0.2">
      <c r="B1864" s="6">
        <f t="shared" si="283"/>
        <v>119</v>
      </c>
      <c r="C1864" s="17"/>
      <c r="D1864" s="17"/>
      <c r="E1864" s="17"/>
      <c r="F1864" s="18"/>
      <c r="G1864" s="19">
        <v>631</v>
      </c>
      <c r="H1864" s="17" t="s">
        <v>124</v>
      </c>
      <c r="I1864" s="20">
        <v>200</v>
      </c>
      <c r="J1864" s="20">
        <v>28</v>
      </c>
      <c r="K1864" s="397">
        <f t="shared" si="284"/>
        <v>14.000000000000002</v>
      </c>
      <c r="L1864" s="20"/>
      <c r="M1864" s="20"/>
      <c r="N1864" s="20"/>
      <c r="O1864" s="424"/>
      <c r="P1864" s="20"/>
      <c r="Q1864" s="21">
        <f t="shared" si="288"/>
        <v>200</v>
      </c>
      <c r="R1864" s="21">
        <f t="shared" si="289"/>
        <v>28</v>
      </c>
      <c r="S1864" s="448">
        <f t="shared" si="287"/>
        <v>14.000000000000002</v>
      </c>
    </row>
    <row r="1865" spans="2:19" x14ac:dyDescent="0.2">
      <c r="B1865" s="6">
        <f t="shared" si="283"/>
        <v>120</v>
      </c>
      <c r="C1865" s="17"/>
      <c r="D1865" s="17"/>
      <c r="E1865" s="17"/>
      <c r="F1865" s="18"/>
      <c r="G1865" s="19">
        <v>632</v>
      </c>
      <c r="H1865" s="17" t="s">
        <v>131</v>
      </c>
      <c r="I1865" s="20">
        <f>228500-31000-7500-35000</f>
        <v>155000</v>
      </c>
      <c r="J1865" s="20">
        <v>137689</v>
      </c>
      <c r="K1865" s="397">
        <f t="shared" si="284"/>
        <v>88.831612903225803</v>
      </c>
      <c r="L1865" s="20"/>
      <c r="M1865" s="20"/>
      <c r="N1865" s="20"/>
      <c r="O1865" s="424"/>
      <c r="P1865" s="20"/>
      <c r="Q1865" s="21">
        <f t="shared" si="288"/>
        <v>155000</v>
      </c>
      <c r="R1865" s="21">
        <f t="shared" si="289"/>
        <v>137689</v>
      </c>
      <c r="S1865" s="448">
        <f t="shared" si="287"/>
        <v>88.831612903225803</v>
      </c>
    </row>
    <row r="1866" spans="2:19" x14ac:dyDescent="0.2">
      <c r="B1866" s="6">
        <f t="shared" si="283"/>
        <v>121</v>
      </c>
      <c r="C1866" s="17"/>
      <c r="D1866" s="17"/>
      <c r="E1866" s="17"/>
      <c r="F1866" s="18"/>
      <c r="G1866" s="19">
        <v>633</v>
      </c>
      <c r="H1866" s="17" t="s">
        <v>122</v>
      </c>
      <c r="I1866" s="20">
        <f>50200+10750+20000+7500+10000</f>
        <v>98450</v>
      </c>
      <c r="J1866" s="20">
        <v>93540</v>
      </c>
      <c r="K1866" s="397">
        <f t="shared" si="284"/>
        <v>95.012696800406289</v>
      </c>
      <c r="L1866" s="20"/>
      <c r="M1866" s="20"/>
      <c r="N1866" s="20"/>
      <c r="O1866" s="424"/>
      <c r="P1866" s="20"/>
      <c r="Q1866" s="21">
        <f t="shared" si="288"/>
        <v>98450</v>
      </c>
      <c r="R1866" s="21">
        <f t="shared" si="289"/>
        <v>93540</v>
      </c>
      <c r="S1866" s="448">
        <f t="shared" si="287"/>
        <v>95.012696800406289</v>
      </c>
    </row>
    <row r="1867" spans="2:19" x14ac:dyDescent="0.2">
      <c r="B1867" s="6">
        <f t="shared" si="283"/>
        <v>122</v>
      </c>
      <c r="C1867" s="17"/>
      <c r="D1867" s="17"/>
      <c r="E1867" s="17"/>
      <c r="F1867" s="18"/>
      <c r="G1867" s="19">
        <v>634</v>
      </c>
      <c r="H1867" s="17" t="s">
        <v>129</v>
      </c>
      <c r="I1867" s="20">
        <v>2440</v>
      </c>
      <c r="J1867" s="20">
        <v>1951</v>
      </c>
      <c r="K1867" s="397">
        <f t="shared" si="284"/>
        <v>79.959016393442624</v>
      </c>
      <c r="L1867" s="20"/>
      <c r="M1867" s="20"/>
      <c r="N1867" s="20"/>
      <c r="O1867" s="424"/>
      <c r="P1867" s="20"/>
      <c r="Q1867" s="21">
        <f t="shared" si="288"/>
        <v>2440</v>
      </c>
      <c r="R1867" s="21">
        <f t="shared" si="289"/>
        <v>1951</v>
      </c>
      <c r="S1867" s="448">
        <f t="shared" si="287"/>
        <v>79.959016393442624</v>
      </c>
    </row>
    <row r="1868" spans="2:19" x14ac:dyDescent="0.2">
      <c r="B1868" s="6">
        <f t="shared" si="283"/>
        <v>123</v>
      </c>
      <c r="C1868" s="17"/>
      <c r="D1868" s="17"/>
      <c r="E1868" s="17"/>
      <c r="F1868" s="18"/>
      <c r="G1868" s="19">
        <v>635</v>
      </c>
      <c r="H1868" s="17" t="s">
        <v>130</v>
      </c>
      <c r="I1868" s="20">
        <f>76250-3000+60000+25000</f>
        <v>158250</v>
      </c>
      <c r="J1868" s="20">
        <v>141532</v>
      </c>
      <c r="K1868" s="397">
        <f t="shared" si="284"/>
        <v>89.435703001579782</v>
      </c>
      <c r="L1868" s="20"/>
      <c r="M1868" s="20"/>
      <c r="N1868" s="20"/>
      <c r="O1868" s="424"/>
      <c r="P1868" s="20"/>
      <c r="Q1868" s="21">
        <f t="shared" si="288"/>
        <v>158250</v>
      </c>
      <c r="R1868" s="21">
        <f t="shared" si="289"/>
        <v>141532</v>
      </c>
      <c r="S1868" s="448">
        <f t="shared" si="287"/>
        <v>89.435703001579782</v>
      </c>
    </row>
    <row r="1869" spans="2:19" x14ac:dyDescent="0.2">
      <c r="B1869" s="6">
        <f t="shared" si="283"/>
        <v>124</v>
      </c>
      <c r="C1869" s="17"/>
      <c r="D1869" s="17"/>
      <c r="E1869" s="17"/>
      <c r="F1869" s="18"/>
      <c r="G1869" s="19">
        <v>636</v>
      </c>
      <c r="H1869" s="17" t="s">
        <v>123</v>
      </c>
      <c r="I1869" s="20">
        <v>1000</v>
      </c>
      <c r="J1869" s="20">
        <v>685</v>
      </c>
      <c r="K1869" s="397">
        <f t="shared" si="284"/>
        <v>68.5</v>
      </c>
      <c r="L1869" s="20"/>
      <c r="M1869" s="20"/>
      <c r="N1869" s="20"/>
      <c r="O1869" s="424"/>
      <c r="P1869" s="20"/>
      <c r="Q1869" s="21">
        <f t="shared" si="288"/>
        <v>1000</v>
      </c>
      <c r="R1869" s="21">
        <f t="shared" si="289"/>
        <v>685</v>
      </c>
      <c r="S1869" s="448">
        <f t="shared" si="287"/>
        <v>68.5</v>
      </c>
    </row>
    <row r="1870" spans="2:19" x14ac:dyDescent="0.2">
      <c r="B1870" s="6">
        <f t="shared" si="283"/>
        <v>125</v>
      </c>
      <c r="C1870" s="17"/>
      <c r="D1870" s="17"/>
      <c r="E1870" s="17"/>
      <c r="F1870" s="18"/>
      <c r="G1870" s="19">
        <v>637</v>
      </c>
      <c r="H1870" s="17" t="s">
        <v>119</v>
      </c>
      <c r="I1870" s="20">
        <v>414210</v>
      </c>
      <c r="J1870" s="20">
        <v>386341</v>
      </c>
      <c r="K1870" s="397">
        <f t="shared" si="284"/>
        <v>93.271770358030949</v>
      </c>
      <c r="L1870" s="20"/>
      <c r="M1870" s="20"/>
      <c r="N1870" s="20"/>
      <c r="O1870" s="424"/>
      <c r="P1870" s="20"/>
      <c r="Q1870" s="21">
        <f t="shared" si="288"/>
        <v>414210</v>
      </c>
      <c r="R1870" s="21">
        <f t="shared" si="289"/>
        <v>386341</v>
      </c>
      <c r="S1870" s="448">
        <f t="shared" si="287"/>
        <v>93.271770358030949</v>
      </c>
    </row>
    <row r="1871" spans="2:19" x14ac:dyDescent="0.2">
      <c r="B1871" s="6">
        <f t="shared" si="283"/>
        <v>126</v>
      </c>
      <c r="C1871" s="12"/>
      <c r="D1871" s="12"/>
      <c r="E1871" s="12"/>
      <c r="F1871" s="13" t="s">
        <v>76</v>
      </c>
      <c r="G1871" s="14">
        <v>640</v>
      </c>
      <c r="H1871" s="12" t="s">
        <v>126</v>
      </c>
      <c r="I1871" s="15">
        <f>65605+44100</f>
        <v>109705</v>
      </c>
      <c r="J1871" s="15">
        <v>106542</v>
      </c>
      <c r="K1871" s="397">
        <f t="shared" si="284"/>
        <v>97.116813271956616</v>
      </c>
      <c r="L1871" s="15"/>
      <c r="M1871" s="15"/>
      <c r="N1871" s="15"/>
      <c r="O1871" s="424"/>
      <c r="P1871" s="15"/>
      <c r="Q1871" s="16">
        <f t="shared" si="288"/>
        <v>109705</v>
      </c>
      <c r="R1871" s="16">
        <f t="shared" si="289"/>
        <v>106542</v>
      </c>
      <c r="S1871" s="448">
        <f t="shared" si="287"/>
        <v>97.116813271956616</v>
      </c>
    </row>
    <row r="1872" spans="2:19" x14ac:dyDescent="0.2">
      <c r="B1872" s="6">
        <f t="shared" si="283"/>
        <v>127</v>
      </c>
      <c r="C1872" s="12"/>
      <c r="D1872" s="12"/>
      <c r="E1872" s="12"/>
      <c r="F1872" s="13" t="s">
        <v>76</v>
      </c>
      <c r="G1872" s="14">
        <v>710</v>
      </c>
      <c r="H1872" s="12" t="s">
        <v>172</v>
      </c>
      <c r="I1872" s="15"/>
      <c r="J1872" s="15"/>
      <c r="K1872" s="397"/>
      <c r="L1872" s="15"/>
      <c r="M1872" s="15">
        <f>M1878+M1876+M1873</f>
        <v>446700</v>
      </c>
      <c r="N1872" s="15">
        <f>N1878+N1876+N1873</f>
        <v>443860</v>
      </c>
      <c r="O1872" s="424">
        <f t="shared" ref="O1872:O1881" si="290">N1872/M1872*100</f>
        <v>99.364226550257442</v>
      </c>
      <c r="P1872" s="15"/>
      <c r="Q1872" s="16">
        <f t="shared" si="288"/>
        <v>446700</v>
      </c>
      <c r="R1872" s="16">
        <f t="shared" si="289"/>
        <v>443860</v>
      </c>
      <c r="S1872" s="448">
        <f t="shared" si="287"/>
        <v>99.364226550257442</v>
      </c>
    </row>
    <row r="1873" spans="2:19" x14ac:dyDescent="0.2">
      <c r="B1873" s="6">
        <f t="shared" si="283"/>
        <v>128</v>
      </c>
      <c r="C1873" s="17"/>
      <c r="D1873" s="17"/>
      <c r="E1873" s="17"/>
      <c r="F1873" s="18"/>
      <c r="G1873" s="19">
        <v>713</v>
      </c>
      <c r="H1873" s="17" t="s">
        <v>216</v>
      </c>
      <c r="I1873" s="20"/>
      <c r="J1873" s="20"/>
      <c r="K1873" s="397"/>
      <c r="L1873" s="20"/>
      <c r="M1873" s="20">
        <f>SUM(M1874:M1875)</f>
        <v>10000</v>
      </c>
      <c r="N1873" s="20">
        <f>SUM(N1874:N1875)</f>
        <v>10000</v>
      </c>
      <c r="O1873" s="424">
        <f t="shared" si="290"/>
        <v>100</v>
      </c>
      <c r="P1873" s="20"/>
      <c r="Q1873" s="21">
        <f t="shared" si="288"/>
        <v>10000</v>
      </c>
      <c r="R1873" s="21">
        <f t="shared" si="289"/>
        <v>10000</v>
      </c>
      <c r="S1873" s="448">
        <f t="shared" si="287"/>
        <v>100</v>
      </c>
    </row>
    <row r="1874" spans="2:19" x14ac:dyDescent="0.2">
      <c r="B1874" s="6">
        <f t="shared" si="283"/>
        <v>129</v>
      </c>
      <c r="C1874" s="1"/>
      <c r="D1874" s="1"/>
      <c r="E1874" s="1"/>
      <c r="F1874" s="101"/>
      <c r="G1874" s="23"/>
      <c r="H1874" s="1" t="s">
        <v>393</v>
      </c>
      <c r="I1874" s="24"/>
      <c r="J1874" s="24"/>
      <c r="K1874" s="397"/>
      <c r="L1874" s="24"/>
      <c r="M1874" s="24">
        <v>7000</v>
      </c>
      <c r="N1874" s="24">
        <v>7000</v>
      </c>
      <c r="O1874" s="424">
        <f t="shared" si="290"/>
        <v>100</v>
      </c>
      <c r="P1874" s="24"/>
      <c r="Q1874" s="26">
        <f t="shared" si="288"/>
        <v>7000</v>
      </c>
      <c r="R1874" s="26">
        <f t="shared" si="289"/>
        <v>7000</v>
      </c>
      <c r="S1874" s="448">
        <f t="shared" si="287"/>
        <v>100</v>
      </c>
    </row>
    <row r="1875" spans="2:19" x14ac:dyDescent="0.2">
      <c r="B1875" s="6">
        <f t="shared" si="283"/>
        <v>130</v>
      </c>
      <c r="C1875" s="1"/>
      <c r="D1875" s="1"/>
      <c r="E1875" s="1"/>
      <c r="F1875" s="101"/>
      <c r="G1875" s="23"/>
      <c r="H1875" s="1" t="s">
        <v>388</v>
      </c>
      <c r="I1875" s="24"/>
      <c r="J1875" s="24"/>
      <c r="K1875" s="397"/>
      <c r="L1875" s="24"/>
      <c r="M1875" s="24">
        <v>3000</v>
      </c>
      <c r="N1875" s="24">
        <v>3000</v>
      </c>
      <c r="O1875" s="424">
        <f t="shared" si="290"/>
        <v>100</v>
      </c>
      <c r="P1875" s="24"/>
      <c r="Q1875" s="26">
        <f t="shared" si="288"/>
        <v>3000</v>
      </c>
      <c r="R1875" s="26">
        <f t="shared" si="289"/>
        <v>3000</v>
      </c>
      <c r="S1875" s="448">
        <f t="shared" si="287"/>
        <v>100</v>
      </c>
    </row>
    <row r="1876" spans="2:19" x14ac:dyDescent="0.2">
      <c r="B1876" s="6">
        <f t="shared" si="283"/>
        <v>131</v>
      </c>
      <c r="C1876" s="17"/>
      <c r="D1876" s="17"/>
      <c r="E1876" s="17"/>
      <c r="F1876" s="18"/>
      <c r="G1876" s="19">
        <v>714</v>
      </c>
      <c r="H1876" s="17" t="s">
        <v>173</v>
      </c>
      <c r="I1876" s="20"/>
      <c r="J1876" s="20"/>
      <c r="K1876" s="397"/>
      <c r="L1876" s="20"/>
      <c r="M1876" s="20">
        <f>M1877</f>
        <v>50000</v>
      </c>
      <c r="N1876" s="20">
        <f>N1877</f>
        <v>49060</v>
      </c>
      <c r="O1876" s="424">
        <f t="shared" si="290"/>
        <v>98.11999999999999</v>
      </c>
      <c r="P1876" s="20"/>
      <c r="Q1876" s="21">
        <f t="shared" si="288"/>
        <v>50000</v>
      </c>
      <c r="R1876" s="21">
        <f t="shared" si="289"/>
        <v>49060</v>
      </c>
      <c r="S1876" s="448">
        <f t="shared" si="287"/>
        <v>98.11999999999999</v>
      </c>
    </row>
    <row r="1877" spans="2:19" x14ac:dyDescent="0.2">
      <c r="B1877" s="6">
        <f t="shared" si="283"/>
        <v>132</v>
      </c>
      <c r="C1877" s="1"/>
      <c r="D1877" s="1"/>
      <c r="E1877" s="1"/>
      <c r="F1877" s="101"/>
      <c r="G1877" s="23"/>
      <c r="H1877" s="1" t="s">
        <v>522</v>
      </c>
      <c r="I1877" s="24"/>
      <c r="J1877" s="24"/>
      <c r="K1877" s="397"/>
      <c r="L1877" s="24"/>
      <c r="M1877" s="24">
        <v>50000</v>
      </c>
      <c r="N1877" s="24">
        <v>49060</v>
      </c>
      <c r="O1877" s="424">
        <f t="shared" si="290"/>
        <v>98.11999999999999</v>
      </c>
      <c r="P1877" s="24"/>
      <c r="Q1877" s="26">
        <f t="shared" si="288"/>
        <v>50000</v>
      </c>
      <c r="R1877" s="26">
        <f t="shared" si="289"/>
        <v>49060</v>
      </c>
      <c r="S1877" s="448">
        <f t="shared" si="287"/>
        <v>98.11999999999999</v>
      </c>
    </row>
    <row r="1878" spans="2:19" x14ac:dyDescent="0.2">
      <c r="B1878" s="6">
        <f t="shared" si="283"/>
        <v>133</v>
      </c>
      <c r="C1878" s="17"/>
      <c r="D1878" s="17"/>
      <c r="E1878" s="17"/>
      <c r="F1878" s="18"/>
      <c r="G1878" s="19">
        <v>717</v>
      </c>
      <c r="H1878" s="17" t="s">
        <v>179</v>
      </c>
      <c r="I1878" s="20"/>
      <c r="J1878" s="20"/>
      <c r="K1878" s="397"/>
      <c r="L1878" s="20"/>
      <c r="M1878" s="20">
        <f>SUM(M1879:M1881)</f>
        <v>386700</v>
      </c>
      <c r="N1878" s="20">
        <f>SUM(N1879:N1881)</f>
        <v>384800</v>
      </c>
      <c r="O1878" s="424">
        <f t="shared" si="290"/>
        <v>99.508663046289115</v>
      </c>
      <c r="P1878" s="20"/>
      <c r="Q1878" s="21">
        <f t="shared" si="288"/>
        <v>386700</v>
      </c>
      <c r="R1878" s="21">
        <f t="shared" si="289"/>
        <v>384800</v>
      </c>
      <c r="S1878" s="448">
        <f t="shared" si="287"/>
        <v>99.508663046289115</v>
      </c>
    </row>
    <row r="1879" spans="2:19" x14ac:dyDescent="0.2">
      <c r="B1879" s="6">
        <f t="shared" ref="B1879:B1910" si="291">B1878+1</f>
        <v>134</v>
      </c>
      <c r="C1879" s="1"/>
      <c r="D1879" s="1"/>
      <c r="E1879" s="1"/>
      <c r="F1879" s="101"/>
      <c r="G1879" s="23"/>
      <c r="H1879" s="1" t="s">
        <v>549</v>
      </c>
      <c r="I1879" s="24"/>
      <c r="J1879" s="24"/>
      <c r="K1879" s="397"/>
      <c r="L1879" s="24"/>
      <c r="M1879" s="24">
        <v>12000</v>
      </c>
      <c r="N1879" s="24">
        <v>10695</v>
      </c>
      <c r="O1879" s="424">
        <f t="shared" si="290"/>
        <v>89.125</v>
      </c>
      <c r="P1879" s="24"/>
      <c r="Q1879" s="26">
        <f t="shared" si="288"/>
        <v>12000</v>
      </c>
      <c r="R1879" s="26">
        <f t="shared" si="289"/>
        <v>10695</v>
      </c>
      <c r="S1879" s="448">
        <f t="shared" si="287"/>
        <v>89.125</v>
      </c>
    </row>
    <row r="1880" spans="2:19" x14ac:dyDescent="0.2">
      <c r="B1880" s="6">
        <f t="shared" si="291"/>
        <v>135</v>
      </c>
      <c r="C1880" s="1"/>
      <c r="D1880" s="1"/>
      <c r="E1880" s="1"/>
      <c r="F1880" s="101"/>
      <c r="G1880" s="23"/>
      <c r="H1880" s="1" t="s">
        <v>557</v>
      </c>
      <c r="I1880" s="24"/>
      <c r="J1880" s="24"/>
      <c r="K1880" s="397"/>
      <c r="L1880" s="24"/>
      <c r="M1880" s="24">
        <v>102500</v>
      </c>
      <c r="N1880" s="24">
        <v>101918</v>
      </c>
      <c r="O1880" s="424">
        <f t="shared" si="290"/>
        <v>99.43219512195121</v>
      </c>
      <c r="P1880" s="24"/>
      <c r="Q1880" s="26">
        <f t="shared" si="288"/>
        <v>102500</v>
      </c>
      <c r="R1880" s="26">
        <f t="shared" si="289"/>
        <v>101918</v>
      </c>
      <c r="S1880" s="448">
        <f t="shared" si="287"/>
        <v>99.43219512195121</v>
      </c>
    </row>
    <row r="1881" spans="2:19" x14ac:dyDescent="0.2">
      <c r="B1881" s="6">
        <f t="shared" si="291"/>
        <v>136</v>
      </c>
      <c r="C1881" s="1"/>
      <c r="D1881" s="1"/>
      <c r="E1881" s="1"/>
      <c r="F1881" s="101"/>
      <c r="G1881" s="23"/>
      <c r="H1881" s="1" t="s">
        <v>394</v>
      </c>
      <c r="I1881" s="24"/>
      <c r="J1881" s="24"/>
      <c r="K1881" s="397"/>
      <c r="L1881" s="24"/>
      <c r="M1881" s="24">
        <f>250000+23000-800</f>
        <v>272200</v>
      </c>
      <c r="N1881" s="24">
        <v>272187</v>
      </c>
      <c r="O1881" s="424">
        <f t="shared" si="290"/>
        <v>99.995224099926531</v>
      </c>
      <c r="P1881" s="24"/>
      <c r="Q1881" s="26">
        <f t="shared" si="288"/>
        <v>272200</v>
      </c>
      <c r="R1881" s="26">
        <f t="shared" si="289"/>
        <v>272187</v>
      </c>
      <c r="S1881" s="448">
        <f t="shared" si="287"/>
        <v>99.995224099926531</v>
      </c>
    </row>
    <row r="1882" spans="2:19" ht="15" x14ac:dyDescent="0.2">
      <c r="B1882" s="6">
        <f t="shared" si="291"/>
        <v>137</v>
      </c>
      <c r="C1882" s="9">
        <v>7</v>
      </c>
      <c r="D1882" s="637" t="s">
        <v>51</v>
      </c>
      <c r="E1882" s="638"/>
      <c r="F1882" s="638"/>
      <c r="G1882" s="638"/>
      <c r="H1882" s="638"/>
      <c r="I1882" s="10">
        <f>I1885+I1883</f>
        <v>1241481</v>
      </c>
      <c r="J1882" s="10">
        <f>J1885+J1883</f>
        <v>1157883</v>
      </c>
      <c r="K1882" s="395">
        <f t="shared" ref="K1882:K1925" si="292">J1882/I1882*100</f>
        <v>93.266268271524083</v>
      </c>
      <c r="L1882" s="312"/>
      <c r="M1882" s="10"/>
      <c r="N1882" s="10"/>
      <c r="O1882" s="423"/>
      <c r="P1882" s="312"/>
      <c r="Q1882" s="31">
        <f t="shared" si="288"/>
        <v>1241481</v>
      </c>
      <c r="R1882" s="31">
        <f t="shared" si="289"/>
        <v>1157883</v>
      </c>
      <c r="S1882" s="449">
        <f t="shared" si="287"/>
        <v>93.266268271524083</v>
      </c>
    </row>
    <row r="1883" spans="2:19" x14ac:dyDescent="0.2">
      <c r="B1883" s="6">
        <f t="shared" si="291"/>
        <v>138</v>
      </c>
      <c r="C1883" s="12"/>
      <c r="D1883" s="12"/>
      <c r="E1883" s="12"/>
      <c r="F1883" s="13" t="s">
        <v>76</v>
      </c>
      <c r="G1883" s="14">
        <v>630</v>
      </c>
      <c r="H1883" s="12" t="s">
        <v>118</v>
      </c>
      <c r="I1883" s="15">
        <f>I1884</f>
        <v>3992</v>
      </c>
      <c r="J1883" s="15">
        <f>J1884</f>
        <v>3365</v>
      </c>
      <c r="K1883" s="397">
        <f t="shared" si="292"/>
        <v>84.293587174348687</v>
      </c>
      <c r="L1883" s="15"/>
      <c r="M1883" s="15"/>
      <c r="N1883" s="15"/>
      <c r="O1883" s="424"/>
      <c r="P1883" s="15"/>
      <c r="Q1883" s="16">
        <f t="shared" si="288"/>
        <v>3992</v>
      </c>
      <c r="R1883" s="16">
        <f t="shared" si="289"/>
        <v>3365</v>
      </c>
      <c r="S1883" s="448">
        <f t="shared" si="287"/>
        <v>84.293587174348687</v>
      </c>
    </row>
    <row r="1884" spans="2:19" x14ac:dyDescent="0.2">
      <c r="B1884" s="6">
        <f t="shared" si="291"/>
        <v>139</v>
      </c>
      <c r="C1884" s="17"/>
      <c r="D1884" s="17"/>
      <c r="E1884" s="17"/>
      <c r="F1884" s="18"/>
      <c r="G1884" s="19">
        <v>637</v>
      </c>
      <c r="H1884" s="17" t="s">
        <v>119</v>
      </c>
      <c r="I1884" s="20">
        <f>2576+776+640</f>
        <v>3992</v>
      </c>
      <c r="J1884" s="20">
        <v>3365</v>
      </c>
      <c r="K1884" s="397">
        <f t="shared" si="292"/>
        <v>84.293587174348687</v>
      </c>
      <c r="L1884" s="20"/>
      <c r="M1884" s="20"/>
      <c r="N1884" s="20"/>
      <c r="O1884" s="424"/>
      <c r="P1884" s="20"/>
      <c r="Q1884" s="21">
        <f t="shared" si="288"/>
        <v>3992</v>
      </c>
      <c r="R1884" s="21">
        <f t="shared" si="289"/>
        <v>3365</v>
      </c>
      <c r="S1884" s="448">
        <f t="shared" ref="S1884:S1915" si="293">R1884/Q1884*100</f>
        <v>84.293587174348687</v>
      </c>
    </row>
    <row r="1885" spans="2:19" ht="15" x14ac:dyDescent="0.25">
      <c r="B1885" s="6">
        <f t="shared" si="291"/>
        <v>140</v>
      </c>
      <c r="C1885" s="97"/>
      <c r="D1885" s="97"/>
      <c r="E1885" s="97">
        <v>5</v>
      </c>
      <c r="F1885" s="98"/>
      <c r="G1885" s="98"/>
      <c r="H1885" s="97" t="s">
        <v>103</v>
      </c>
      <c r="I1885" s="99">
        <f>I1886+I1887+I1888+I1895</f>
        <v>1237489</v>
      </c>
      <c r="J1885" s="99">
        <f>J1886+J1887+J1888+J1895</f>
        <v>1154518</v>
      </c>
      <c r="K1885" s="414">
        <f t="shared" si="292"/>
        <v>93.295213129167209</v>
      </c>
      <c r="L1885" s="313"/>
      <c r="M1885" s="99"/>
      <c r="N1885" s="99"/>
      <c r="O1885" s="426"/>
      <c r="P1885" s="313"/>
      <c r="Q1885" s="100">
        <f t="shared" si="288"/>
        <v>1237489</v>
      </c>
      <c r="R1885" s="100">
        <f t="shared" si="289"/>
        <v>1154518</v>
      </c>
      <c r="S1885" s="464">
        <f t="shared" si="293"/>
        <v>93.295213129167209</v>
      </c>
    </row>
    <row r="1886" spans="2:19" x14ac:dyDescent="0.2">
      <c r="B1886" s="6">
        <f t="shared" si="291"/>
        <v>141</v>
      </c>
      <c r="C1886" s="12"/>
      <c r="D1886" s="12"/>
      <c r="E1886" s="12"/>
      <c r="F1886" s="13" t="s">
        <v>76</v>
      </c>
      <c r="G1886" s="14">
        <v>610</v>
      </c>
      <c r="H1886" s="12" t="s">
        <v>128</v>
      </c>
      <c r="I1886" s="15">
        <f>773630-10000+48664-9800</f>
        <v>802494</v>
      </c>
      <c r="J1886" s="15">
        <v>766281</v>
      </c>
      <c r="K1886" s="397">
        <f t="shared" si="292"/>
        <v>95.487442896769323</v>
      </c>
      <c r="L1886" s="15"/>
      <c r="M1886" s="15"/>
      <c r="N1886" s="15"/>
      <c r="O1886" s="424"/>
      <c r="P1886" s="15"/>
      <c r="Q1886" s="16">
        <f t="shared" si="288"/>
        <v>802494</v>
      </c>
      <c r="R1886" s="16">
        <f t="shared" si="289"/>
        <v>766281</v>
      </c>
      <c r="S1886" s="448">
        <f t="shared" si="293"/>
        <v>95.487442896769323</v>
      </c>
    </row>
    <row r="1887" spans="2:19" x14ac:dyDescent="0.2">
      <c r="B1887" s="6">
        <f t="shared" si="291"/>
        <v>142</v>
      </c>
      <c r="C1887" s="12"/>
      <c r="D1887" s="12"/>
      <c r="E1887" s="12"/>
      <c r="F1887" s="13" t="s">
        <v>76</v>
      </c>
      <c r="G1887" s="14">
        <v>620</v>
      </c>
      <c r="H1887" s="12" t="s">
        <v>121</v>
      </c>
      <c r="I1887" s="15">
        <f>284170-3500+17495-1950-8870</f>
        <v>287345</v>
      </c>
      <c r="J1887" s="15">
        <v>277063</v>
      </c>
      <c r="K1887" s="397">
        <f t="shared" si="292"/>
        <v>96.421723015886826</v>
      </c>
      <c r="L1887" s="15"/>
      <c r="M1887" s="15"/>
      <c r="N1887" s="15"/>
      <c r="O1887" s="424"/>
      <c r="P1887" s="15"/>
      <c r="Q1887" s="16">
        <f t="shared" si="288"/>
        <v>287345</v>
      </c>
      <c r="R1887" s="16">
        <f t="shared" si="289"/>
        <v>277063</v>
      </c>
      <c r="S1887" s="448">
        <f t="shared" si="293"/>
        <v>96.421723015886826</v>
      </c>
    </row>
    <row r="1888" spans="2:19" x14ac:dyDescent="0.2">
      <c r="B1888" s="6">
        <f t="shared" si="291"/>
        <v>143</v>
      </c>
      <c r="C1888" s="12"/>
      <c r="D1888" s="12"/>
      <c r="E1888" s="12"/>
      <c r="F1888" s="13" t="s">
        <v>76</v>
      </c>
      <c r="G1888" s="14">
        <v>630</v>
      </c>
      <c r="H1888" s="12" t="s">
        <v>118</v>
      </c>
      <c r="I1888" s="15">
        <f>SUM(I1889:I1894)</f>
        <v>42730</v>
      </c>
      <c r="J1888" s="15">
        <f>SUM(J1889:J1894)</f>
        <v>33516</v>
      </c>
      <c r="K1888" s="397">
        <f t="shared" si="292"/>
        <v>78.436695530072555</v>
      </c>
      <c r="L1888" s="15"/>
      <c r="M1888" s="15"/>
      <c r="N1888" s="15"/>
      <c r="O1888" s="424"/>
      <c r="P1888" s="15"/>
      <c r="Q1888" s="16">
        <f t="shared" si="288"/>
        <v>42730</v>
      </c>
      <c r="R1888" s="16">
        <f t="shared" si="289"/>
        <v>33516</v>
      </c>
      <c r="S1888" s="448">
        <f t="shared" si="293"/>
        <v>78.436695530072555</v>
      </c>
    </row>
    <row r="1889" spans="2:19" x14ac:dyDescent="0.2">
      <c r="B1889" s="6">
        <f t="shared" si="291"/>
        <v>144</v>
      </c>
      <c r="C1889" s="17"/>
      <c r="D1889" s="17"/>
      <c r="E1889" s="17"/>
      <c r="F1889" s="18"/>
      <c r="G1889" s="19">
        <v>631</v>
      </c>
      <c r="H1889" s="17" t="s">
        <v>124</v>
      </c>
      <c r="I1889" s="20">
        <v>400</v>
      </c>
      <c r="J1889" s="20">
        <v>156</v>
      </c>
      <c r="K1889" s="397">
        <f t="shared" si="292"/>
        <v>39</v>
      </c>
      <c r="L1889" s="20"/>
      <c r="M1889" s="20"/>
      <c r="N1889" s="20"/>
      <c r="O1889" s="424"/>
      <c r="P1889" s="20"/>
      <c r="Q1889" s="21">
        <f t="shared" si="288"/>
        <v>400</v>
      </c>
      <c r="R1889" s="21">
        <f t="shared" si="289"/>
        <v>156</v>
      </c>
      <c r="S1889" s="448">
        <f t="shared" si="293"/>
        <v>39</v>
      </c>
    </row>
    <row r="1890" spans="2:19" x14ac:dyDescent="0.2">
      <c r="B1890" s="6">
        <f t="shared" si="291"/>
        <v>145</v>
      </c>
      <c r="C1890" s="17"/>
      <c r="D1890" s="17"/>
      <c r="E1890" s="17"/>
      <c r="F1890" s="18"/>
      <c r="G1890" s="19">
        <v>632</v>
      </c>
      <c r="H1890" s="17" t="s">
        <v>131</v>
      </c>
      <c r="I1890" s="20">
        <v>700</v>
      </c>
      <c r="J1890" s="20">
        <v>578</v>
      </c>
      <c r="K1890" s="397">
        <f t="shared" si="292"/>
        <v>82.571428571428569</v>
      </c>
      <c r="L1890" s="20"/>
      <c r="M1890" s="20"/>
      <c r="N1890" s="20"/>
      <c r="O1890" s="424"/>
      <c r="P1890" s="20"/>
      <c r="Q1890" s="21">
        <f t="shared" si="288"/>
        <v>700</v>
      </c>
      <c r="R1890" s="21">
        <f t="shared" si="289"/>
        <v>578</v>
      </c>
      <c r="S1890" s="448">
        <f t="shared" si="293"/>
        <v>82.571428571428569</v>
      </c>
    </row>
    <row r="1891" spans="2:19" x14ac:dyDescent="0.2">
      <c r="B1891" s="6">
        <f t="shared" si="291"/>
        <v>146</v>
      </c>
      <c r="C1891" s="17"/>
      <c r="D1891" s="17"/>
      <c r="E1891" s="17"/>
      <c r="F1891" s="18"/>
      <c r="G1891" s="19">
        <v>633</v>
      </c>
      <c r="H1891" s="17" t="s">
        <v>122</v>
      </c>
      <c r="I1891" s="20">
        <v>6850</v>
      </c>
      <c r="J1891" s="20">
        <v>4925</v>
      </c>
      <c r="K1891" s="397">
        <f t="shared" si="292"/>
        <v>71.897810218978094</v>
      </c>
      <c r="L1891" s="20"/>
      <c r="M1891" s="20"/>
      <c r="N1891" s="20"/>
      <c r="O1891" s="424"/>
      <c r="P1891" s="20"/>
      <c r="Q1891" s="21">
        <f t="shared" si="288"/>
        <v>6850</v>
      </c>
      <c r="R1891" s="21">
        <f t="shared" si="289"/>
        <v>4925</v>
      </c>
      <c r="S1891" s="448">
        <f t="shared" si="293"/>
        <v>71.897810218978094</v>
      </c>
    </row>
    <row r="1892" spans="2:19" x14ac:dyDescent="0.2">
      <c r="B1892" s="6">
        <f t="shared" si="291"/>
        <v>147</v>
      </c>
      <c r="C1892" s="17"/>
      <c r="D1892" s="17"/>
      <c r="E1892" s="17"/>
      <c r="F1892" s="18"/>
      <c r="G1892" s="19">
        <v>634</v>
      </c>
      <c r="H1892" s="17" t="s">
        <v>129</v>
      </c>
      <c r="I1892" s="20">
        <v>6500</v>
      </c>
      <c r="J1892" s="20">
        <v>6048</v>
      </c>
      <c r="K1892" s="397">
        <f t="shared" si="292"/>
        <v>93.046153846153842</v>
      </c>
      <c r="L1892" s="20"/>
      <c r="M1892" s="20"/>
      <c r="N1892" s="20"/>
      <c r="O1892" s="424"/>
      <c r="P1892" s="20"/>
      <c r="Q1892" s="21">
        <f t="shared" ref="Q1892:Q1926" si="294">M1892+I1892</f>
        <v>6500</v>
      </c>
      <c r="R1892" s="21">
        <f t="shared" ref="R1892:R1926" si="295">N1892+J1892</f>
        <v>6048</v>
      </c>
      <c r="S1892" s="448">
        <f t="shared" si="293"/>
        <v>93.046153846153842</v>
      </c>
    </row>
    <row r="1893" spans="2:19" x14ac:dyDescent="0.2">
      <c r="B1893" s="6">
        <f t="shared" si="291"/>
        <v>148</v>
      </c>
      <c r="C1893" s="17"/>
      <c r="D1893" s="17"/>
      <c r="E1893" s="17"/>
      <c r="F1893" s="18"/>
      <c r="G1893" s="19">
        <v>636</v>
      </c>
      <c r="H1893" s="17" t="s">
        <v>123</v>
      </c>
      <c r="I1893" s="20">
        <v>500</v>
      </c>
      <c r="J1893" s="20">
        <v>0</v>
      </c>
      <c r="K1893" s="397">
        <f t="shared" si="292"/>
        <v>0</v>
      </c>
      <c r="L1893" s="20"/>
      <c r="M1893" s="20"/>
      <c r="N1893" s="20"/>
      <c r="O1893" s="424"/>
      <c r="P1893" s="20"/>
      <c r="Q1893" s="21">
        <f t="shared" si="294"/>
        <v>500</v>
      </c>
      <c r="R1893" s="21">
        <f t="shared" si="295"/>
        <v>0</v>
      </c>
      <c r="S1893" s="448">
        <f t="shared" si="293"/>
        <v>0</v>
      </c>
    </row>
    <row r="1894" spans="2:19" x14ac:dyDescent="0.2">
      <c r="B1894" s="6">
        <f t="shared" si="291"/>
        <v>149</v>
      </c>
      <c r="C1894" s="17"/>
      <c r="D1894" s="17"/>
      <c r="E1894" s="17"/>
      <c r="F1894" s="18"/>
      <c r="G1894" s="19">
        <v>637</v>
      </c>
      <c r="H1894" s="17" t="s">
        <v>119</v>
      </c>
      <c r="I1894" s="20">
        <f>27780</f>
        <v>27780</v>
      </c>
      <c r="J1894" s="20">
        <v>21809</v>
      </c>
      <c r="K1894" s="397">
        <f t="shared" si="292"/>
        <v>78.506119510439163</v>
      </c>
      <c r="L1894" s="20"/>
      <c r="M1894" s="20"/>
      <c r="N1894" s="20"/>
      <c r="O1894" s="424"/>
      <c r="P1894" s="20"/>
      <c r="Q1894" s="21">
        <f t="shared" si="294"/>
        <v>27780</v>
      </c>
      <c r="R1894" s="21">
        <f t="shared" si="295"/>
        <v>21809</v>
      </c>
      <c r="S1894" s="448">
        <f t="shared" si="293"/>
        <v>78.506119510439163</v>
      </c>
    </row>
    <row r="1895" spans="2:19" x14ac:dyDescent="0.2">
      <c r="B1895" s="6">
        <f t="shared" si="291"/>
        <v>150</v>
      </c>
      <c r="C1895" s="12"/>
      <c r="D1895" s="12"/>
      <c r="E1895" s="12"/>
      <c r="F1895" s="13" t="s">
        <v>76</v>
      </c>
      <c r="G1895" s="14">
        <v>640</v>
      </c>
      <c r="H1895" s="12" t="s">
        <v>126</v>
      </c>
      <c r="I1895" s="15">
        <f>76420+28500</f>
        <v>104920</v>
      </c>
      <c r="J1895" s="15">
        <v>77658</v>
      </c>
      <c r="K1895" s="397">
        <f t="shared" si="292"/>
        <v>74.016393442622956</v>
      </c>
      <c r="L1895" s="15"/>
      <c r="M1895" s="15"/>
      <c r="N1895" s="15"/>
      <c r="O1895" s="424"/>
      <c r="P1895" s="15"/>
      <c r="Q1895" s="16">
        <f t="shared" si="294"/>
        <v>104920</v>
      </c>
      <c r="R1895" s="16">
        <f t="shared" si="295"/>
        <v>77658</v>
      </c>
      <c r="S1895" s="448">
        <f t="shared" si="293"/>
        <v>74.016393442622956</v>
      </c>
    </row>
    <row r="1896" spans="2:19" ht="15" x14ac:dyDescent="0.2">
      <c r="B1896" s="6">
        <f t="shared" si="291"/>
        <v>151</v>
      </c>
      <c r="C1896" s="9">
        <v>8</v>
      </c>
      <c r="D1896" s="637" t="s">
        <v>191</v>
      </c>
      <c r="E1896" s="638"/>
      <c r="F1896" s="638"/>
      <c r="G1896" s="638"/>
      <c r="H1896" s="638"/>
      <c r="I1896" s="10">
        <f>I1897</f>
        <v>8000</v>
      </c>
      <c r="J1896" s="10">
        <f>J1897</f>
        <v>5718</v>
      </c>
      <c r="K1896" s="395">
        <f t="shared" si="292"/>
        <v>71.474999999999994</v>
      </c>
      <c r="L1896" s="312"/>
      <c r="M1896" s="10"/>
      <c r="N1896" s="10"/>
      <c r="O1896" s="423"/>
      <c r="P1896" s="312"/>
      <c r="Q1896" s="31">
        <f t="shared" si="294"/>
        <v>8000</v>
      </c>
      <c r="R1896" s="31">
        <f t="shared" si="295"/>
        <v>5718</v>
      </c>
      <c r="S1896" s="449">
        <f t="shared" si="293"/>
        <v>71.474999999999994</v>
      </c>
    </row>
    <row r="1897" spans="2:19" x14ac:dyDescent="0.2">
      <c r="B1897" s="6">
        <f t="shared" si="291"/>
        <v>152</v>
      </c>
      <c r="C1897" s="12"/>
      <c r="D1897" s="12"/>
      <c r="E1897" s="12"/>
      <c r="F1897" s="13" t="s">
        <v>141</v>
      </c>
      <c r="G1897" s="14">
        <v>630</v>
      </c>
      <c r="H1897" s="12" t="s">
        <v>118</v>
      </c>
      <c r="I1897" s="15">
        <f>I1898</f>
        <v>8000</v>
      </c>
      <c r="J1897" s="15">
        <f>J1898</f>
        <v>5718</v>
      </c>
      <c r="K1897" s="397">
        <f t="shared" si="292"/>
        <v>71.474999999999994</v>
      </c>
      <c r="L1897" s="15"/>
      <c r="M1897" s="15"/>
      <c r="N1897" s="15"/>
      <c r="O1897" s="424"/>
      <c r="P1897" s="15"/>
      <c r="Q1897" s="16">
        <f t="shared" si="294"/>
        <v>8000</v>
      </c>
      <c r="R1897" s="16">
        <f t="shared" si="295"/>
        <v>5718</v>
      </c>
      <c r="S1897" s="448">
        <f t="shared" si="293"/>
        <v>71.474999999999994</v>
      </c>
    </row>
    <row r="1898" spans="2:19" x14ac:dyDescent="0.2">
      <c r="B1898" s="6">
        <f t="shared" si="291"/>
        <v>153</v>
      </c>
      <c r="C1898" s="17"/>
      <c r="D1898" s="17"/>
      <c r="E1898" s="17"/>
      <c r="F1898" s="18"/>
      <c r="G1898" s="19">
        <v>637</v>
      </c>
      <c r="H1898" s="17" t="s">
        <v>119</v>
      </c>
      <c r="I1898" s="20">
        <v>8000</v>
      </c>
      <c r="J1898" s="20">
        <v>5718</v>
      </c>
      <c r="K1898" s="397">
        <f t="shared" si="292"/>
        <v>71.474999999999994</v>
      </c>
      <c r="L1898" s="20"/>
      <c r="M1898" s="20"/>
      <c r="N1898" s="20"/>
      <c r="O1898" s="424"/>
      <c r="P1898" s="20"/>
      <c r="Q1898" s="21">
        <f t="shared" si="294"/>
        <v>8000</v>
      </c>
      <c r="R1898" s="21">
        <f t="shared" si="295"/>
        <v>5718</v>
      </c>
      <c r="S1898" s="448">
        <f t="shared" si="293"/>
        <v>71.474999999999994</v>
      </c>
    </row>
    <row r="1899" spans="2:19" ht="15" x14ac:dyDescent="0.2">
      <c r="B1899" s="6">
        <f t="shared" si="291"/>
        <v>154</v>
      </c>
      <c r="C1899" s="9">
        <v>9</v>
      </c>
      <c r="D1899" s="637" t="s">
        <v>170</v>
      </c>
      <c r="E1899" s="638"/>
      <c r="F1899" s="638"/>
      <c r="G1899" s="638"/>
      <c r="H1899" s="638"/>
      <c r="I1899" s="10">
        <f>I1900+I1902</f>
        <v>17500</v>
      </c>
      <c r="J1899" s="10">
        <f>J1900+J1902</f>
        <v>15485</v>
      </c>
      <c r="K1899" s="395">
        <f t="shared" si="292"/>
        <v>88.485714285714295</v>
      </c>
      <c r="L1899" s="312"/>
      <c r="M1899" s="10"/>
      <c r="N1899" s="10"/>
      <c r="O1899" s="423"/>
      <c r="P1899" s="312"/>
      <c r="Q1899" s="31">
        <f t="shared" si="294"/>
        <v>17500</v>
      </c>
      <c r="R1899" s="31">
        <f t="shared" si="295"/>
        <v>15485</v>
      </c>
      <c r="S1899" s="449">
        <f t="shared" si="293"/>
        <v>88.485714285714295</v>
      </c>
    </row>
    <row r="1900" spans="2:19" x14ac:dyDescent="0.2">
      <c r="B1900" s="6">
        <f t="shared" si="291"/>
        <v>155</v>
      </c>
      <c r="C1900" s="12"/>
      <c r="D1900" s="12"/>
      <c r="E1900" s="12"/>
      <c r="F1900" s="13" t="s">
        <v>75</v>
      </c>
      <c r="G1900" s="14">
        <v>630</v>
      </c>
      <c r="H1900" s="12" t="s">
        <v>118</v>
      </c>
      <c r="I1900" s="15">
        <f>I1901</f>
        <v>16000</v>
      </c>
      <c r="J1900" s="15">
        <f>J1901</f>
        <v>15110</v>
      </c>
      <c r="K1900" s="397">
        <f t="shared" si="292"/>
        <v>94.4375</v>
      </c>
      <c r="L1900" s="15"/>
      <c r="M1900" s="15"/>
      <c r="N1900" s="15"/>
      <c r="O1900" s="424"/>
      <c r="P1900" s="15"/>
      <c r="Q1900" s="16">
        <f t="shared" si="294"/>
        <v>16000</v>
      </c>
      <c r="R1900" s="16">
        <f t="shared" si="295"/>
        <v>15110</v>
      </c>
      <c r="S1900" s="448">
        <f t="shared" si="293"/>
        <v>94.4375</v>
      </c>
    </row>
    <row r="1901" spans="2:19" x14ac:dyDescent="0.2">
      <c r="B1901" s="6">
        <f t="shared" si="291"/>
        <v>156</v>
      </c>
      <c r="C1901" s="17"/>
      <c r="D1901" s="17"/>
      <c r="E1901" s="17"/>
      <c r="F1901" s="18"/>
      <c r="G1901" s="19">
        <v>637</v>
      </c>
      <c r="H1901" s="17" t="s">
        <v>119</v>
      </c>
      <c r="I1901" s="20">
        <v>16000</v>
      </c>
      <c r="J1901" s="20">
        <v>15110</v>
      </c>
      <c r="K1901" s="397">
        <f t="shared" si="292"/>
        <v>94.4375</v>
      </c>
      <c r="L1901" s="20"/>
      <c r="M1901" s="20"/>
      <c r="N1901" s="20"/>
      <c r="O1901" s="424"/>
      <c r="P1901" s="20"/>
      <c r="Q1901" s="21">
        <f t="shared" si="294"/>
        <v>16000</v>
      </c>
      <c r="R1901" s="21">
        <f t="shared" si="295"/>
        <v>15110</v>
      </c>
      <c r="S1901" s="448">
        <f t="shared" si="293"/>
        <v>94.4375</v>
      </c>
    </row>
    <row r="1902" spans="2:19" x14ac:dyDescent="0.2">
      <c r="B1902" s="6">
        <f t="shared" si="291"/>
        <v>157</v>
      </c>
      <c r="C1902" s="12"/>
      <c r="D1902" s="12"/>
      <c r="E1902" s="12"/>
      <c r="F1902" s="13" t="s">
        <v>75</v>
      </c>
      <c r="G1902" s="14">
        <v>640</v>
      </c>
      <c r="H1902" s="12" t="s">
        <v>126</v>
      </c>
      <c r="I1902" s="15">
        <f>I1903</f>
        <v>1500</v>
      </c>
      <c r="J1902" s="15">
        <f>J1903</f>
        <v>375</v>
      </c>
      <c r="K1902" s="397">
        <f t="shared" si="292"/>
        <v>25</v>
      </c>
      <c r="L1902" s="15"/>
      <c r="M1902" s="15"/>
      <c r="N1902" s="15"/>
      <c r="O1902" s="424"/>
      <c r="P1902" s="15"/>
      <c r="Q1902" s="16">
        <f t="shared" si="294"/>
        <v>1500</v>
      </c>
      <c r="R1902" s="16">
        <f t="shared" si="295"/>
        <v>375</v>
      </c>
      <c r="S1902" s="448">
        <f t="shared" si="293"/>
        <v>25</v>
      </c>
    </row>
    <row r="1903" spans="2:19" x14ac:dyDescent="0.2">
      <c r="B1903" s="6">
        <f t="shared" si="291"/>
        <v>158</v>
      </c>
      <c r="C1903" s="22"/>
      <c r="D1903" s="22"/>
      <c r="E1903" s="22"/>
      <c r="F1903" s="124"/>
      <c r="G1903" s="124"/>
      <c r="H1903" s="1" t="s">
        <v>355</v>
      </c>
      <c r="I1903" s="24">
        <v>1500</v>
      </c>
      <c r="J1903" s="24">
        <v>375</v>
      </c>
      <c r="K1903" s="397">
        <f t="shared" si="292"/>
        <v>25</v>
      </c>
      <c r="L1903" s="24"/>
      <c r="M1903" s="24"/>
      <c r="N1903" s="24"/>
      <c r="O1903" s="424"/>
      <c r="P1903" s="24"/>
      <c r="Q1903" s="26">
        <f t="shared" si="294"/>
        <v>1500</v>
      </c>
      <c r="R1903" s="26">
        <f t="shared" si="295"/>
        <v>375</v>
      </c>
      <c r="S1903" s="448">
        <f t="shared" si="293"/>
        <v>25</v>
      </c>
    </row>
    <row r="1904" spans="2:19" ht="15" x14ac:dyDescent="0.2">
      <c r="B1904" s="6">
        <f t="shared" si="291"/>
        <v>159</v>
      </c>
      <c r="C1904" s="9">
        <v>10</v>
      </c>
      <c r="D1904" s="637" t="s">
        <v>171</v>
      </c>
      <c r="E1904" s="638"/>
      <c r="F1904" s="638"/>
      <c r="G1904" s="638"/>
      <c r="H1904" s="638"/>
      <c r="I1904" s="10">
        <f>I1905</f>
        <v>30803</v>
      </c>
      <c r="J1904" s="10">
        <f>J1905</f>
        <v>29611</v>
      </c>
      <c r="K1904" s="395">
        <f t="shared" si="292"/>
        <v>96.130247053858383</v>
      </c>
      <c r="L1904" s="312"/>
      <c r="M1904" s="10"/>
      <c r="N1904" s="10"/>
      <c r="O1904" s="423"/>
      <c r="P1904" s="312"/>
      <c r="Q1904" s="31">
        <f t="shared" si="294"/>
        <v>30803</v>
      </c>
      <c r="R1904" s="31">
        <f t="shared" si="295"/>
        <v>29611</v>
      </c>
      <c r="S1904" s="449">
        <f t="shared" si="293"/>
        <v>96.130247053858383</v>
      </c>
    </row>
    <row r="1905" spans="2:19" ht="15" x14ac:dyDescent="0.25">
      <c r="B1905" s="6">
        <f t="shared" si="291"/>
        <v>160</v>
      </c>
      <c r="C1905" s="97"/>
      <c r="D1905" s="97"/>
      <c r="E1905" s="97">
        <v>5</v>
      </c>
      <c r="F1905" s="98"/>
      <c r="G1905" s="98"/>
      <c r="H1905" s="97" t="s">
        <v>103</v>
      </c>
      <c r="I1905" s="99">
        <f>I1906+I1907+I1908+I1913</f>
        <v>30803</v>
      </c>
      <c r="J1905" s="99">
        <f>J1906+J1907+J1908+J1913</f>
        <v>29611</v>
      </c>
      <c r="K1905" s="414">
        <f t="shared" si="292"/>
        <v>96.130247053858383</v>
      </c>
      <c r="L1905" s="313"/>
      <c r="M1905" s="99"/>
      <c r="N1905" s="99"/>
      <c r="O1905" s="426"/>
      <c r="P1905" s="313"/>
      <c r="Q1905" s="100">
        <f t="shared" si="294"/>
        <v>30803</v>
      </c>
      <c r="R1905" s="100">
        <f t="shared" si="295"/>
        <v>29611</v>
      </c>
      <c r="S1905" s="464">
        <f t="shared" si="293"/>
        <v>96.130247053858383</v>
      </c>
    </row>
    <row r="1906" spans="2:19" x14ac:dyDescent="0.2">
      <c r="B1906" s="6">
        <f t="shared" si="291"/>
        <v>161</v>
      </c>
      <c r="C1906" s="12"/>
      <c r="D1906" s="12"/>
      <c r="E1906" s="12"/>
      <c r="F1906" s="13" t="s">
        <v>76</v>
      </c>
      <c r="G1906" s="14">
        <v>610</v>
      </c>
      <c r="H1906" s="12" t="s">
        <v>128</v>
      </c>
      <c r="I1906" s="15">
        <f>16150+800+1100+110</f>
        <v>18160</v>
      </c>
      <c r="J1906" s="15">
        <v>18154</v>
      </c>
      <c r="K1906" s="397">
        <f t="shared" si="292"/>
        <v>99.966960352422902</v>
      </c>
      <c r="L1906" s="15"/>
      <c r="M1906" s="15"/>
      <c r="N1906" s="15"/>
      <c r="O1906" s="424"/>
      <c r="P1906" s="15"/>
      <c r="Q1906" s="16">
        <f t="shared" si="294"/>
        <v>18160</v>
      </c>
      <c r="R1906" s="16">
        <f t="shared" si="295"/>
        <v>18154</v>
      </c>
      <c r="S1906" s="448">
        <f t="shared" si="293"/>
        <v>99.966960352422902</v>
      </c>
    </row>
    <row r="1907" spans="2:19" x14ac:dyDescent="0.2">
      <c r="B1907" s="6">
        <f t="shared" si="291"/>
        <v>162</v>
      </c>
      <c r="C1907" s="12"/>
      <c r="D1907" s="12"/>
      <c r="E1907" s="12"/>
      <c r="F1907" s="13" t="s">
        <v>76</v>
      </c>
      <c r="G1907" s="14">
        <v>620</v>
      </c>
      <c r="H1907" s="12" t="s">
        <v>121</v>
      </c>
      <c r="I1907" s="15">
        <f>5890+288+700+170</f>
        <v>7048</v>
      </c>
      <c r="J1907" s="15">
        <v>7038</v>
      </c>
      <c r="K1907" s="397">
        <f t="shared" si="292"/>
        <v>99.858115777525541</v>
      </c>
      <c r="L1907" s="15"/>
      <c r="M1907" s="15"/>
      <c r="N1907" s="15"/>
      <c r="O1907" s="424"/>
      <c r="P1907" s="15"/>
      <c r="Q1907" s="16">
        <f t="shared" si="294"/>
        <v>7048</v>
      </c>
      <c r="R1907" s="16">
        <f t="shared" si="295"/>
        <v>7038</v>
      </c>
      <c r="S1907" s="448">
        <f t="shared" si="293"/>
        <v>99.858115777525541</v>
      </c>
    </row>
    <row r="1908" spans="2:19" x14ac:dyDescent="0.2">
      <c r="B1908" s="6">
        <f t="shared" si="291"/>
        <v>163</v>
      </c>
      <c r="C1908" s="12"/>
      <c r="D1908" s="12"/>
      <c r="E1908" s="12"/>
      <c r="F1908" s="13" t="s">
        <v>76</v>
      </c>
      <c r="G1908" s="14">
        <v>630</v>
      </c>
      <c r="H1908" s="12" t="s">
        <v>118</v>
      </c>
      <c r="I1908" s="15">
        <f>SUM(I1909:I1912)</f>
        <v>5395</v>
      </c>
      <c r="J1908" s="15">
        <f>SUM(J1909:J1912)</f>
        <v>4419</v>
      </c>
      <c r="K1908" s="397">
        <f t="shared" si="292"/>
        <v>81.909175162187211</v>
      </c>
      <c r="L1908" s="15"/>
      <c r="M1908" s="15"/>
      <c r="N1908" s="15"/>
      <c r="O1908" s="424"/>
      <c r="P1908" s="15"/>
      <c r="Q1908" s="16">
        <f t="shared" si="294"/>
        <v>5395</v>
      </c>
      <c r="R1908" s="16">
        <f t="shared" si="295"/>
        <v>4419</v>
      </c>
      <c r="S1908" s="448">
        <f t="shared" si="293"/>
        <v>81.909175162187211</v>
      </c>
    </row>
    <row r="1909" spans="2:19" x14ac:dyDescent="0.2">
      <c r="B1909" s="6">
        <f t="shared" si="291"/>
        <v>164</v>
      </c>
      <c r="C1909" s="17"/>
      <c r="D1909" s="17"/>
      <c r="E1909" s="17"/>
      <c r="F1909" s="18"/>
      <c r="G1909" s="19">
        <v>632</v>
      </c>
      <c r="H1909" s="17" t="s">
        <v>131</v>
      </c>
      <c r="I1909" s="20">
        <v>50</v>
      </c>
      <c r="J1909" s="20">
        <v>13</v>
      </c>
      <c r="K1909" s="397">
        <f t="shared" si="292"/>
        <v>26</v>
      </c>
      <c r="L1909" s="20"/>
      <c r="M1909" s="20"/>
      <c r="N1909" s="20"/>
      <c r="O1909" s="424"/>
      <c r="P1909" s="20"/>
      <c r="Q1909" s="21">
        <f t="shared" si="294"/>
        <v>50</v>
      </c>
      <c r="R1909" s="21">
        <f t="shared" si="295"/>
        <v>13</v>
      </c>
      <c r="S1909" s="448">
        <f t="shared" si="293"/>
        <v>26</v>
      </c>
    </row>
    <row r="1910" spans="2:19" x14ac:dyDescent="0.2">
      <c r="B1910" s="6">
        <f t="shared" si="291"/>
        <v>165</v>
      </c>
      <c r="C1910" s="17"/>
      <c r="D1910" s="17"/>
      <c r="E1910" s="17"/>
      <c r="F1910" s="18"/>
      <c r="G1910" s="19">
        <v>633</v>
      </c>
      <c r="H1910" s="17" t="s">
        <v>122</v>
      </c>
      <c r="I1910" s="20">
        <v>120</v>
      </c>
      <c r="J1910" s="20">
        <v>80</v>
      </c>
      <c r="K1910" s="397">
        <f t="shared" si="292"/>
        <v>66.666666666666657</v>
      </c>
      <c r="L1910" s="20"/>
      <c r="M1910" s="20"/>
      <c r="N1910" s="20"/>
      <c r="O1910" s="424"/>
      <c r="P1910" s="20"/>
      <c r="Q1910" s="21">
        <f t="shared" si="294"/>
        <v>120</v>
      </c>
      <c r="R1910" s="21">
        <f t="shared" si="295"/>
        <v>80</v>
      </c>
      <c r="S1910" s="448">
        <f t="shared" si="293"/>
        <v>66.666666666666657</v>
      </c>
    </row>
    <row r="1911" spans="2:19" x14ac:dyDescent="0.2">
      <c r="B1911" s="6">
        <f t="shared" ref="B1911:B1926" si="296">B1910+1</f>
        <v>166</v>
      </c>
      <c r="C1911" s="17"/>
      <c r="D1911" s="17"/>
      <c r="E1911" s="17"/>
      <c r="F1911" s="18"/>
      <c r="G1911" s="19">
        <v>634</v>
      </c>
      <c r="H1911" s="17" t="s">
        <v>129</v>
      </c>
      <c r="I1911" s="20">
        <v>3750</v>
      </c>
      <c r="J1911" s="20">
        <v>3130</v>
      </c>
      <c r="K1911" s="397">
        <f t="shared" si="292"/>
        <v>83.466666666666669</v>
      </c>
      <c r="L1911" s="20"/>
      <c r="M1911" s="20"/>
      <c r="N1911" s="20"/>
      <c r="O1911" s="424"/>
      <c r="P1911" s="20"/>
      <c r="Q1911" s="21">
        <f t="shared" si="294"/>
        <v>3750</v>
      </c>
      <c r="R1911" s="21">
        <f t="shared" si="295"/>
        <v>3130</v>
      </c>
      <c r="S1911" s="448">
        <f t="shared" si="293"/>
        <v>83.466666666666669</v>
      </c>
    </row>
    <row r="1912" spans="2:19" x14ac:dyDescent="0.2">
      <c r="B1912" s="6">
        <f t="shared" si="296"/>
        <v>167</v>
      </c>
      <c r="C1912" s="17"/>
      <c r="D1912" s="17"/>
      <c r="E1912" s="17"/>
      <c r="F1912" s="18"/>
      <c r="G1912" s="19">
        <v>637</v>
      </c>
      <c r="H1912" s="17" t="s">
        <v>119</v>
      </c>
      <c r="I1912" s="20">
        <v>1475</v>
      </c>
      <c r="J1912" s="20">
        <v>1196</v>
      </c>
      <c r="K1912" s="397">
        <f t="shared" si="292"/>
        <v>81.084745762711862</v>
      </c>
      <c r="L1912" s="20"/>
      <c r="M1912" s="20"/>
      <c r="N1912" s="20"/>
      <c r="O1912" s="424"/>
      <c r="P1912" s="20"/>
      <c r="Q1912" s="21">
        <f t="shared" si="294"/>
        <v>1475</v>
      </c>
      <c r="R1912" s="21">
        <f t="shared" si="295"/>
        <v>1196</v>
      </c>
      <c r="S1912" s="448">
        <f t="shared" si="293"/>
        <v>81.084745762711862</v>
      </c>
    </row>
    <row r="1913" spans="2:19" x14ac:dyDescent="0.2">
      <c r="B1913" s="6">
        <f t="shared" si="296"/>
        <v>168</v>
      </c>
      <c r="C1913" s="12"/>
      <c r="D1913" s="12"/>
      <c r="E1913" s="12"/>
      <c r="F1913" s="13" t="s">
        <v>76</v>
      </c>
      <c r="G1913" s="14">
        <v>640</v>
      </c>
      <c r="H1913" s="12" t="s">
        <v>126</v>
      </c>
      <c r="I1913" s="15">
        <v>200</v>
      </c>
      <c r="J1913" s="15">
        <v>0</v>
      </c>
      <c r="K1913" s="397">
        <f t="shared" si="292"/>
        <v>0</v>
      </c>
      <c r="L1913" s="15"/>
      <c r="M1913" s="15"/>
      <c r="N1913" s="15"/>
      <c r="O1913" s="424"/>
      <c r="P1913" s="15"/>
      <c r="Q1913" s="16">
        <f t="shared" si="294"/>
        <v>200</v>
      </c>
      <c r="R1913" s="16">
        <f t="shared" si="295"/>
        <v>0</v>
      </c>
      <c r="S1913" s="448">
        <f t="shared" si="293"/>
        <v>0</v>
      </c>
    </row>
    <row r="1914" spans="2:19" ht="15" x14ac:dyDescent="0.2">
      <c r="B1914" s="6">
        <f t="shared" si="296"/>
        <v>169</v>
      </c>
      <c r="C1914" s="9">
        <v>11</v>
      </c>
      <c r="D1914" s="637" t="s">
        <v>72</v>
      </c>
      <c r="E1914" s="638"/>
      <c r="F1914" s="638"/>
      <c r="G1914" s="638"/>
      <c r="H1914" s="638"/>
      <c r="I1914" s="10">
        <f>I1915</f>
        <v>246853</v>
      </c>
      <c r="J1914" s="10">
        <f>J1915</f>
        <v>241270</v>
      </c>
      <c r="K1914" s="395">
        <f t="shared" si="292"/>
        <v>97.738330099289854</v>
      </c>
      <c r="L1914" s="312"/>
      <c r="M1914" s="10"/>
      <c r="N1914" s="10"/>
      <c r="O1914" s="423"/>
      <c r="P1914" s="312"/>
      <c r="Q1914" s="31">
        <f t="shared" si="294"/>
        <v>246853</v>
      </c>
      <c r="R1914" s="31">
        <f t="shared" si="295"/>
        <v>241270</v>
      </c>
      <c r="S1914" s="449">
        <f t="shared" si="293"/>
        <v>97.738330099289854</v>
      </c>
    </row>
    <row r="1915" spans="2:19" ht="15" x14ac:dyDescent="0.25">
      <c r="B1915" s="6">
        <f t="shared" si="296"/>
        <v>170</v>
      </c>
      <c r="C1915" s="97"/>
      <c r="D1915" s="97"/>
      <c r="E1915" s="97">
        <v>5</v>
      </c>
      <c r="F1915" s="98"/>
      <c r="G1915" s="98"/>
      <c r="H1915" s="97" t="s">
        <v>103</v>
      </c>
      <c r="I1915" s="99">
        <f>I1916+I1917+I1918+I1925</f>
        <v>246853</v>
      </c>
      <c r="J1915" s="99">
        <f>J1916+J1917+J1918+J1925</f>
        <v>241270</v>
      </c>
      <c r="K1915" s="414">
        <f t="shared" si="292"/>
        <v>97.738330099289854</v>
      </c>
      <c r="L1915" s="313"/>
      <c r="M1915" s="99"/>
      <c r="N1915" s="99"/>
      <c r="O1915" s="426"/>
      <c r="P1915" s="313"/>
      <c r="Q1915" s="100">
        <f t="shared" si="294"/>
        <v>246853</v>
      </c>
      <c r="R1915" s="100">
        <f t="shared" si="295"/>
        <v>241270</v>
      </c>
      <c r="S1915" s="464">
        <f t="shared" si="293"/>
        <v>97.738330099289854</v>
      </c>
    </row>
    <row r="1916" spans="2:19" x14ac:dyDescent="0.2">
      <c r="B1916" s="6">
        <f t="shared" si="296"/>
        <v>171</v>
      </c>
      <c r="C1916" s="12"/>
      <c r="D1916" s="12"/>
      <c r="E1916" s="12"/>
      <c r="F1916" s="13" t="s">
        <v>61</v>
      </c>
      <c r="G1916" s="14">
        <v>610</v>
      </c>
      <c r="H1916" s="12" t="s">
        <v>128</v>
      </c>
      <c r="I1916" s="15">
        <f>145158+4640</f>
        <v>149798</v>
      </c>
      <c r="J1916" s="15">
        <v>149248</v>
      </c>
      <c r="K1916" s="397">
        <f t="shared" si="292"/>
        <v>99.6328388897048</v>
      </c>
      <c r="L1916" s="15"/>
      <c r="M1916" s="15"/>
      <c r="N1916" s="15"/>
      <c r="O1916" s="424"/>
      <c r="P1916" s="15"/>
      <c r="Q1916" s="16">
        <f t="shared" si="294"/>
        <v>149798</v>
      </c>
      <c r="R1916" s="16">
        <f t="shared" si="295"/>
        <v>149248</v>
      </c>
      <c r="S1916" s="448">
        <f t="shared" ref="S1916:S1925" si="297">R1916/Q1916*100</f>
        <v>99.6328388897048</v>
      </c>
    </row>
    <row r="1917" spans="2:19" x14ac:dyDescent="0.2">
      <c r="B1917" s="6">
        <f t="shared" si="296"/>
        <v>172</v>
      </c>
      <c r="C1917" s="12"/>
      <c r="D1917" s="12"/>
      <c r="E1917" s="12"/>
      <c r="F1917" s="13" t="s">
        <v>61</v>
      </c>
      <c r="G1917" s="14">
        <v>620</v>
      </c>
      <c r="H1917" s="12" t="s">
        <v>121</v>
      </c>
      <c r="I1917" s="15">
        <f>55482+1668+2800</f>
        <v>59950</v>
      </c>
      <c r="J1917" s="15">
        <v>59928</v>
      </c>
      <c r="K1917" s="397">
        <f t="shared" si="292"/>
        <v>99.963302752293586</v>
      </c>
      <c r="L1917" s="15"/>
      <c r="M1917" s="15"/>
      <c r="N1917" s="15"/>
      <c r="O1917" s="424"/>
      <c r="P1917" s="15"/>
      <c r="Q1917" s="16">
        <f t="shared" si="294"/>
        <v>59950</v>
      </c>
      <c r="R1917" s="16">
        <f t="shared" si="295"/>
        <v>59928</v>
      </c>
      <c r="S1917" s="448">
        <f t="shared" si="297"/>
        <v>99.963302752293586</v>
      </c>
    </row>
    <row r="1918" spans="2:19" x14ac:dyDescent="0.2">
      <c r="B1918" s="6">
        <f t="shared" si="296"/>
        <v>173</v>
      </c>
      <c r="C1918" s="12"/>
      <c r="D1918" s="12"/>
      <c r="E1918" s="12"/>
      <c r="F1918" s="13" t="s">
        <v>61</v>
      </c>
      <c r="G1918" s="14">
        <v>630</v>
      </c>
      <c r="H1918" s="12" t="s">
        <v>118</v>
      </c>
      <c r="I1918" s="15">
        <f>SUM(I1919:I1924)</f>
        <v>32445</v>
      </c>
      <c r="J1918" s="15">
        <f>SUM(J1919:J1924)</f>
        <v>27737</v>
      </c>
      <c r="K1918" s="397">
        <f t="shared" si="292"/>
        <v>85.489289566959471</v>
      </c>
      <c r="L1918" s="15"/>
      <c r="M1918" s="15"/>
      <c r="N1918" s="15"/>
      <c r="O1918" s="424"/>
      <c r="P1918" s="15"/>
      <c r="Q1918" s="16">
        <f t="shared" si="294"/>
        <v>32445</v>
      </c>
      <c r="R1918" s="16">
        <f t="shared" si="295"/>
        <v>27737</v>
      </c>
      <c r="S1918" s="448">
        <f t="shared" si="297"/>
        <v>85.489289566959471</v>
      </c>
    </row>
    <row r="1919" spans="2:19" x14ac:dyDescent="0.2">
      <c r="B1919" s="6">
        <f t="shared" si="296"/>
        <v>174</v>
      </c>
      <c r="C1919" s="17"/>
      <c r="D1919" s="17"/>
      <c r="E1919" s="17"/>
      <c r="F1919" s="18"/>
      <c r="G1919" s="19">
        <v>631</v>
      </c>
      <c r="H1919" s="17" t="s">
        <v>124</v>
      </c>
      <c r="I1919" s="20">
        <v>200</v>
      </c>
      <c r="J1919" s="20">
        <v>60</v>
      </c>
      <c r="K1919" s="397">
        <f t="shared" si="292"/>
        <v>30</v>
      </c>
      <c r="L1919" s="20"/>
      <c r="M1919" s="20"/>
      <c r="N1919" s="20"/>
      <c r="O1919" s="424"/>
      <c r="P1919" s="20"/>
      <c r="Q1919" s="21">
        <f t="shared" si="294"/>
        <v>200</v>
      </c>
      <c r="R1919" s="21">
        <f t="shared" si="295"/>
        <v>60</v>
      </c>
      <c r="S1919" s="448">
        <f t="shared" si="297"/>
        <v>30</v>
      </c>
    </row>
    <row r="1920" spans="2:19" x14ac:dyDescent="0.2">
      <c r="B1920" s="6">
        <f t="shared" si="296"/>
        <v>175</v>
      </c>
      <c r="C1920" s="17"/>
      <c r="D1920" s="17"/>
      <c r="E1920" s="17"/>
      <c r="F1920" s="18"/>
      <c r="G1920" s="19">
        <v>632</v>
      </c>
      <c r="H1920" s="17" t="s">
        <v>131</v>
      </c>
      <c r="I1920" s="20">
        <v>1730</v>
      </c>
      <c r="J1920" s="20">
        <v>1211</v>
      </c>
      <c r="K1920" s="397">
        <f t="shared" si="292"/>
        <v>70</v>
      </c>
      <c r="L1920" s="20"/>
      <c r="M1920" s="20"/>
      <c r="N1920" s="20"/>
      <c r="O1920" s="424"/>
      <c r="P1920" s="20"/>
      <c r="Q1920" s="21">
        <f t="shared" si="294"/>
        <v>1730</v>
      </c>
      <c r="R1920" s="21">
        <f t="shared" si="295"/>
        <v>1211</v>
      </c>
      <c r="S1920" s="448">
        <f t="shared" si="297"/>
        <v>70</v>
      </c>
    </row>
    <row r="1921" spans="2:19" x14ac:dyDescent="0.2">
      <c r="B1921" s="6">
        <f t="shared" si="296"/>
        <v>176</v>
      </c>
      <c r="C1921" s="17"/>
      <c r="D1921" s="17"/>
      <c r="E1921" s="17"/>
      <c r="F1921" s="18"/>
      <c r="G1921" s="19">
        <v>633</v>
      </c>
      <c r="H1921" s="17" t="s">
        <v>122</v>
      </c>
      <c r="I1921" s="20">
        <f>4750-700</f>
        <v>4050</v>
      </c>
      <c r="J1921" s="20">
        <v>2948</v>
      </c>
      <c r="K1921" s="397">
        <f t="shared" si="292"/>
        <v>72.790123456790127</v>
      </c>
      <c r="L1921" s="20"/>
      <c r="M1921" s="20"/>
      <c r="N1921" s="20"/>
      <c r="O1921" s="424"/>
      <c r="P1921" s="20"/>
      <c r="Q1921" s="21">
        <f t="shared" si="294"/>
        <v>4050</v>
      </c>
      <c r="R1921" s="21">
        <f t="shared" si="295"/>
        <v>2948</v>
      </c>
      <c r="S1921" s="448">
        <f t="shared" si="297"/>
        <v>72.790123456790127</v>
      </c>
    </row>
    <row r="1922" spans="2:19" x14ac:dyDescent="0.2">
      <c r="B1922" s="6">
        <f t="shared" si="296"/>
        <v>177</v>
      </c>
      <c r="C1922" s="17"/>
      <c r="D1922" s="17"/>
      <c r="E1922" s="17"/>
      <c r="F1922" s="18"/>
      <c r="G1922" s="19">
        <v>634</v>
      </c>
      <c r="H1922" s="17" t="s">
        <v>129</v>
      </c>
      <c r="I1922" s="20">
        <v>1705</v>
      </c>
      <c r="J1922" s="20">
        <v>1068</v>
      </c>
      <c r="K1922" s="397">
        <f t="shared" si="292"/>
        <v>62.639296187683279</v>
      </c>
      <c r="L1922" s="20"/>
      <c r="M1922" s="20"/>
      <c r="N1922" s="20"/>
      <c r="O1922" s="424"/>
      <c r="P1922" s="20"/>
      <c r="Q1922" s="21">
        <f t="shared" si="294"/>
        <v>1705</v>
      </c>
      <c r="R1922" s="21">
        <f t="shared" si="295"/>
        <v>1068</v>
      </c>
      <c r="S1922" s="448">
        <f t="shared" si="297"/>
        <v>62.639296187683279</v>
      </c>
    </row>
    <row r="1923" spans="2:19" x14ac:dyDescent="0.2">
      <c r="B1923" s="6">
        <f t="shared" si="296"/>
        <v>178</v>
      </c>
      <c r="C1923" s="17"/>
      <c r="D1923" s="17"/>
      <c r="E1923" s="17"/>
      <c r="F1923" s="18"/>
      <c r="G1923" s="19">
        <v>635</v>
      </c>
      <c r="H1923" s="17" t="s">
        <v>130</v>
      </c>
      <c r="I1923" s="20">
        <f>550-450</f>
        <v>100</v>
      </c>
      <c r="J1923" s="20">
        <v>0</v>
      </c>
      <c r="K1923" s="397">
        <f t="shared" si="292"/>
        <v>0</v>
      </c>
      <c r="L1923" s="20"/>
      <c r="M1923" s="20"/>
      <c r="N1923" s="20"/>
      <c r="O1923" s="424"/>
      <c r="P1923" s="20"/>
      <c r="Q1923" s="21">
        <f t="shared" si="294"/>
        <v>100</v>
      </c>
      <c r="R1923" s="21">
        <f t="shared" si="295"/>
        <v>0</v>
      </c>
      <c r="S1923" s="448">
        <f t="shared" si="297"/>
        <v>0</v>
      </c>
    </row>
    <row r="1924" spans="2:19" x14ac:dyDescent="0.2">
      <c r="B1924" s="6">
        <f t="shared" si="296"/>
        <v>179</v>
      </c>
      <c r="C1924" s="17"/>
      <c r="D1924" s="17"/>
      <c r="E1924" s="17"/>
      <c r="F1924" s="18"/>
      <c r="G1924" s="19">
        <v>637</v>
      </c>
      <c r="H1924" s="17" t="s">
        <v>119</v>
      </c>
      <c r="I1924" s="20">
        <f>23960+700</f>
        <v>24660</v>
      </c>
      <c r="J1924" s="20">
        <v>22450</v>
      </c>
      <c r="K1924" s="397">
        <f t="shared" si="292"/>
        <v>91.038118410381188</v>
      </c>
      <c r="L1924" s="20"/>
      <c r="M1924" s="20"/>
      <c r="N1924" s="20"/>
      <c r="O1924" s="424"/>
      <c r="P1924" s="20"/>
      <c r="Q1924" s="21">
        <f t="shared" si="294"/>
        <v>24660</v>
      </c>
      <c r="R1924" s="21">
        <f t="shared" si="295"/>
        <v>22450</v>
      </c>
      <c r="S1924" s="448">
        <f t="shared" si="297"/>
        <v>91.038118410381188</v>
      </c>
    </row>
    <row r="1925" spans="2:19" x14ac:dyDescent="0.2">
      <c r="B1925" s="6">
        <f t="shared" si="296"/>
        <v>180</v>
      </c>
      <c r="C1925" s="155"/>
      <c r="D1925" s="155"/>
      <c r="E1925" s="155"/>
      <c r="F1925" s="156" t="s">
        <v>61</v>
      </c>
      <c r="G1925" s="157">
        <v>640</v>
      </c>
      <c r="H1925" s="155" t="s">
        <v>126</v>
      </c>
      <c r="I1925" s="122">
        <f>4210+450</f>
        <v>4660</v>
      </c>
      <c r="J1925" s="122">
        <v>4357</v>
      </c>
      <c r="K1925" s="405">
        <f t="shared" si="292"/>
        <v>93.497854077253223</v>
      </c>
      <c r="L1925" s="122"/>
      <c r="M1925" s="122"/>
      <c r="N1925" s="122"/>
      <c r="O1925" s="427"/>
      <c r="P1925" s="122"/>
      <c r="Q1925" s="123">
        <f t="shared" si="294"/>
        <v>4660</v>
      </c>
      <c r="R1925" s="123">
        <f t="shared" si="295"/>
        <v>4357</v>
      </c>
      <c r="S1925" s="477">
        <f t="shared" si="297"/>
        <v>93.497854077253223</v>
      </c>
    </row>
    <row r="1926" spans="2:19" ht="15" x14ac:dyDescent="0.2">
      <c r="B1926" s="6">
        <f t="shared" si="296"/>
        <v>181</v>
      </c>
      <c r="C1926" s="158">
        <v>12</v>
      </c>
      <c r="D1926" s="650" t="s">
        <v>528</v>
      </c>
      <c r="E1926" s="651"/>
      <c r="F1926" s="651"/>
      <c r="G1926" s="651"/>
      <c r="H1926" s="651"/>
      <c r="I1926" s="130"/>
      <c r="J1926" s="130"/>
      <c r="K1926" s="491"/>
      <c r="L1926" s="334"/>
      <c r="M1926" s="130"/>
      <c r="N1926" s="130"/>
      <c r="O1926" s="439"/>
      <c r="P1926" s="334"/>
      <c r="Q1926" s="131">
        <f t="shared" si="294"/>
        <v>0</v>
      </c>
      <c r="R1926" s="131">
        <f t="shared" si="295"/>
        <v>0</v>
      </c>
      <c r="S1926" s="488"/>
    </row>
    <row r="1930" spans="2:19" ht="27.75" x14ac:dyDescent="0.4">
      <c r="B1930" s="629" t="s">
        <v>24</v>
      </c>
      <c r="C1930" s="630"/>
      <c r="D1930" s="630"/>
      <c r="E1930" s="630"/>
      <c r="F1930" s="630"/>
      <c r="G1930" s="630"/>
      <c r="H1930" s="630"/>
      <c r="I1930" s="630"/>
      <c r="J1930" s="630"/>
      <c r="K1930" s="630"/>
      <c r="L1930" s="630"/>
      <c r="M1930" s="630"/>
      <c r="N1930" s="630"/>
      <c r="O1930" s="630"/>
      <c r="P1930" s="630"/>
      <c r="Q1930" s="630"/>
      <c r="R1930" s="288"/>
      <c r="S1930" s="288"/>
    </row>
    <row r="1931" spans="2:19" x14ac:dyDescent="0.2">
      <c r="B1931" s="631" t="s">
        <v>432</v>
      </c>
      <c r="C1931" s="632"/>
      <c r="D1931" s="632"/>
      <c r="E1931" s="632"/>
      <c r="F1931" s="632"/>
      <c r="G1931" s="632"/>
      <c r="H1931" s="632"/>
      <c r="I1931" s="632"/>
      <c r="J1931" s="632"/>
      <c r="K1931" s="632"/>
      <c r="L1931" s="632"/>
      <c r="M1931" s="632"/>
      <c r="N1931" s="632"/>
      <c r="O1931" s="632"/>
      <c r="P1931" s="632"/>
      <c r="Q1931" s="624" t="s">
        <v>761</v>
      </c>
      <c r="R1931" s="624" t="s">
        <v>757</v>
      </c>
      <c r="S1931" s="624" t="s">
        <v>758</v>
      </c>
    </row>
    <row r="1932" spans="2:19" x14ac:dyDescent="0.2">
      <c r="B1932" s="633"/>
      <c r="C1932" s="634" t="s">
        <v>111</v>
      </c>
      <c r="D1932" s="634" t="s">
        <v>112</v>
      </c>
      <c r="E1932" s="634"/>
      <c r="F1932" s="634" t="s">
        <v>113</v>
      </c>
      <c r="G1932" s="627" t="s">
        <v>114</v>
      </c>
      <c r="H1932" s="628" t="s">
        <v>115</v>
      </c>
      <c r="I1932" s="626" t="s">
        <v>759</v>
      </c>
      <c r="J1932" s="626" t="s">
        <v>757</v>
      </c>
      <c r="K1932" s="626" t="s">
        <v>758</v>
      </c>
      <c r="L1932" s="310"/>
      <c r="M1932" s="626" t="s">
        <v>760</v>
      </c>
      <c r="N1932" s="626" t="s">
        <v>757</v>
      </c>
      <c r="O1932" s="626" t="s">
        <v>758</v>
      </c>
      <c r="P1932" s="310"/>
      <c r="Q1932" s="625"/>
      <c r="R1932" s="625"/>
      <c r="S1932" s="625"/>
    </row>
    <row r="1933" spans="2:19" x14ac:dyDescent="0.2">
      <c r="B1933" s="633"/>
      <c r="C1933" s="634"/>
      <c r="D1933" s="634"/>
      <c r="E1933" s="634"/>
      <c r="F1933" s="634"/>
      <c r="G1933" s="627"/>
      <c r="H1933" s="628"/>
      <c r="I1933" s="626"/>
      <c r="J1933" s="626"/>
      <c r="K1933" s="626"/>
      <c r="L1933" s="310"/>
      <c r="M1933" s="626"/>
      <c r="N1933" s="626"/>
      <c r="O1933" s="626"/>
      <c r="P1933" s="310"/>
      <c r="Q1933" s="625"/>
      <c r="R1933" s="625"/>
      <c r="S1933" s="625"/>
    </row>
    <row r="1934" spans="2:19" x14ac:dyDescent="0.2">
      <c r="B1934" s="633"/>
      <c r="C1934" s="634"/>
      <c r="D1934" s="634"/>
      <c r="E1934" s="634"/>
      <c r="F1934" s="634"/>
      <c r="G1934" s="627"/>
      <c r="H1934" s="628"/>
      <c r="I1934" s="626"/>
      <c r="J1934" s="626"/>
      <c r="K1934" s="626"/>
      <c r="L1934" s="310"/>
      <c r="M1934" s="626"/>
      <c r="N1934" s="626"/>
      <c r="O1934" s="626"/>
      <c r="P1934" s="310"/>
      <c r="Q1934" s="625"/>
      <c r="R1934" s="625"/>
      <c r="S1934" s="625"/>
    </row>
    <row r="1935" spans="2:19" x14ac:dyDescent="0.2">
      <c r="B1935" s="633"/>
      <c r="C1935" s="634"/>
      <c r="D1935" s="634"/>
      <c r="E1935" s="634"/>
      <c r="F1935" s="634"/>
      <c r="G1935" s="627"/>
      <c r="H1935" s="628"/>
      <c r="I1935" s="626"/>
      <c r="J1935" s="626"/>
      <c r="K1935" s="626"/>
      <c r="L1935" s="310"/>
      <c r="M1935" s="626"/>
      <c r="N1935" s="626"/>
      <c r="O1935" s="626"/>
      <c r="P1935" s="310"/>
      <c r="Q1935" s="625"/>
      <c r="R1935" s="625"/>
      <c r="S1935" s="625"/>
    </row>
    <row r="1936" spans="2:19" ht="15.75" x14ac:dyDescent="0.2">
      <c r="B1936" s="6">
        <v>1</v>
      </c>
      <c r="C1936" s="635" t="s">
        <v>24</v>
      </c>
      <c r="D1936" s="636"/>
      <c r="E1936" s="636"/>
      <c r="F1936" s="636"/>
      <c r="G1936" s="636"/>
      <c r="H1936" s="636"/>
      <c r="I1936" s="7">
        <f>I1937</f>
        <v>439003</v>
      </c>
      <c r="J1936" s="7">
        <f>J1937</f>
        <v>409976</v>
      </c>
      <c r="K1936" s="399">
        <f t="shared" ref="K1936:K1943" si="298">J1936/I1936*100</f>
        <v>93.387972291761102</v>
      </c>
      <c r="L1936" s="311"/>
      <c r="M1936" s="7">
        <f>M1937</f>
        <v>1650</v>
      </c>
      <c r="N1936" s="7">
        <f>N1937</f>
        <v>1635</v>
      </c>
      <c r="O1936" s="422">
        <f>N1936/M1936*100</f>
        <v>99.090909090909093</v>
      </c>
      <c r="P1936" s="311"/>
      <c r="Q1936" s="8">
        <f t="shared" ref="Q1936:Q1956" si="299">M1936+I1936</f>
        <v>440653</v>
      </c>
      <c r="R1936" s="8">
        <f t="shared" ref="R1936:R1956" si="300">N1936+J1936</f>
        <v>411611</v>
      </c>
      <c r="S1936" s="445">
        <f t="shared" ref="S1936:S1946" si="301">R1936/Q1936*100</f>
        <v>93.409326613003884</v>
      </c>
    </row>
    <row r="1937" spans="2:19" ht="15" x14ac:dyDescent="0.2">
      <c r="B1937" s="6">
        <f t="shared" ref="B1937:B1956" si="302">B1936+1</f>
        <v>2</v>
      </c>
      <c r="C1937" s="9">
        <v>1</v>
      </c>
      <c r="D1937" s="637" t="s">
        <v>152</v>
      </c>
      <c r="E1937" s="638"/>
      <c r="F1937" s="638"/>
      <c r="G1937" s="638"/>
      <c r="H1937" s="638"/>
      <c r="I1937" s="10">
        <f>I1938+I1947+I1948</f>
        <v>439003</v>
      </c>
      <c r="J1937" s="10">
        <f>J1938+J1947+J1948</f>
        <v>409976</v>
      </c>
      <c r="K1937" s="395">
        <f t="shared" si="298"/>
        <v>93.387972291761102</v>
      </c>
      <c r="L1937" s="312"/>
      <c r="M1937" s="10">
        <f>M1944</f>
        <v>1650</v>
      </c>
      <c r="N1937" s="10">
        <f>N1944</f>
        <v>1635</v>
      </c>
      <c r="O1937" s="423">
        <f>N1937/M1937*100</f>
        <v>99.090909090909093</v>
      </c>
      <c r="P1937" s="312"/>
      <c r="Q1937" s="31">
        <f t="shared" si="299"/>
        <v>440653</v>
      </c>
      <c r="R1937" s="31">
        <f t="shared" si="300"/>
        <v>411611</v>
      </c>
      <c r="S1937" s="449">
        <f t="shared" si="301"/>
        <v>93.409326613003884</v>
      </c>
    </row>
    <row r="1938" spans="2:19" ht="15" x14ac:dyDescent="0.25">
      <c r="B1938" s="6">
        <f t="shared" si="302"/>
        <v>3</v>
      </c>
      <c r="C1938" s="27"/>
      <c r="D1938" s="27">
        <v>1</v>
      </c>
      <c r="E1938" s="639" t="s">
        <v>151</v>
      </c>
      <c r="F1938" s="640"/>
      <c r="G1938" s="640"/>
      <c r="H1938" s="640"/>
      <c r="I1938" s="28">
        <f>I1939+I1942</f>
        <v>361650</v>
      </c>
      <c r="J1938" s="28">
        <f>J1939+J1942</f>
        <v>334521</v>
      </c>
      <c r="K1938" s="404">
        <f t="shared" si="298"/>
        <v>92.498548320199092</v>
      </c>
      <c r="L1938" s="313"/>
      <c r="M1938" s="28">
        <f>M1944</f>
        <v>1650</v>
      </c>
      <c r="N1938" s="28">
        <f>N1944</f>
        <v>1635</v>
      </c>
      <c r="O1938" s="425">
        <f>N1938/M1938*100</f>
        <v>99.090909090909093</v>
      </c>
      <c r="P1938" s="313"/>
      <c r="Q1938" s="29">
        <f t="shared" si="299"/>
        <v>363300</v>
      </c>
      <c r="R1938" s="29">
        <f t="shared" si="300"/>
        <v>336156</v>
      </c>
      <c r="S1938" s="447">
        <f t="shared" si="301"/>
        <v>92.528488852188275</v>
      </c>
    </row>
    <row r="1939" spans="2:19" x14ac:dyDescent="0.2">
      <c r="B1939" s="6">
        <f t="shared" si="302"/>
        <v>4</v>
      </c>
      <c r="C1939" s="12"/>
      <c r="D1939" s="12"/>
      <c r="E1939" s="12"/>
      <c r="F1939" s="13" t="s">
        <v>150</v>
      </c>
      <c r="G1939" s="14">
        <v>630</v>
      </c>
      <c r="H1939" s="12" t="s">
        <v>118</v>
      </c>
      <c r="I1939" s="15">
        <f>I1940+I1941</f>
        <v>265650</v>
      </c>
      <c r="J1939" s="15">
        <f>J1940+J1941</f>
        <v>239599</v>
      </c>
      <c r="K1939" s="397">
        <f t="shared" si="298"/>
        <v>90.193487671748542</v>
      </c>
      <c r="L1939" s="15"/>
      <c r="M1939" s="15"/>
      <c r="N1939" s="15"/>
      <c r="O1939" s="424"/>
      <c r="P1939" s="15"/>
      <c r="Q1939" s="16">
        <f t="shared" si="299"/>
        <v>265650</v>
      </c>
      <c r="R1939" s="16">
        <f t="shared" si="300"/>
        <v>239599</v>
      </c>
      <c r="S1939" s="448">
        <f t="shared" si="301"/>
        <v>90.193487671748542</v>
      </c>
    </row>
    <row r="1940" spans="2:19" x14ac:dyDescent="0.2">
      <c r="B1940" s="6">
        <f t="shared" si="302"/>
        <v>5</v>
      </c>
      <c r="C1940" s="17"/>
      <c r="D1940" s="17"/>
      <c r="E1940" s="17"/>
      <c r="F1940" s="18"/>
      <c r="G1940" s="19">
        <v>635</v>
      </c>
      <c r="H1940" s="17" t="s">
        <v>130</v>
      </c>
      <c r="I1940" s="20">
        <v>10000</v>
      </c>
      <c r="J1940" s="20">
        <v>228</v>
      </c>
      <c r="K1940" s="397">
        <f t="shared" si="298"/>
        <v>2.2800000000000002</v>
      </c>
      <c r="L1940" s="20"/>
      <c r="M1940" s="20"/>
      <c r="N1940" s="20"/>
      <c r="O1940" s="424"/>
      <c r="P1940" s="20"/>
      <c r="Q1940" s="21">
        <f t="shared" si="299"/>
        <v>10000</v>
      </c>
      <c r="R1940" s="21">
        <f t="shared" si="300"/>
        <v>228</v>
      </c>
      <c r="S1940" s="448">
        <f t="shared" si="301"/>
        <v>2.2800000000000002</v>
      </c>
    </row>
    <row r="1941" spans="2:19" x14ac:dyDescent="0.2">
      <c r="B1941" s="6">
        <f t="shared" si="302"/>
        <v>6</v>
      </c>
      <c r="C1941" s="17"/>
      <c r="D1941" s="17"/>
      <c r="E1941" s="17"/>
      <c r="F1941" s="18"/>
      <c r="G1941" s="19">
        <v>637</v>
      </c>
      <c r="H1941" s="17" t="s">
        <v>119</v>
      </c>
      <c r="I1941" s="20">
        <f>247850+9600-1800</f>
        <v>255650</v>
      </c>
      <c r="J1941" s="20">
        <v>239371</v>
      </c>
      <c r="K1941" s="397">
        <f t="shared" si="298"/>
        <v>93.632309798552711</v>
      </c>
      <c r="L1941" s="20"/>
      <c r="M1941" s="20"/>
      <c r="N1941" s="20"/>
      <c r="O1941" s="424"/>
      <c r="P1941" s="20"/>
      <c r="Q1941" s="21">
        <f t="shared" si="299"/>
        <v>255650</v>
      </c>
      <c r="R1941" s="21">
        <f t="shared" si="300"/>
        <v>239371</v>
      </c>
      <c r="S1941" s="448">
        <f t="shared" si="301"/>
        <v>93.632309798552711</v>
      </c>
    </row>
    <row r="1942" spans="2:19" x14ac:dyDescent="0.2">
      <c r="B1942" s="6">
        <f t="shared" si="302"/>
        <v>7</v>
      </c>
      <c r="C1942" s="12"/>
      <c r="D1942" s="12"/>
      <c r="E1942" s="12"/>
      <c r="F1942" s="13" t="s">
        <v>150</v>
      </c>
      <c r="G1942" s="14">
        <v>640</v>
      </c>
      <c r="H1942" s="12" t="s">
        <v>126</v>
      </c>
      <c r="I1942" s="15">
        <f>I1943</f>
        <v>96000</v>
      </c>
      <c r="J1942" s="15">
        <f>J1943</f>
        <v>94922</v>
      </c>
      <c r="K1942" s="397">
        <f t="shared" si="298"/>
        <v>98.877083333333331</v>
      </c>
      <c r="L1942" s="15"/>
      <c r="M1942" s="15"/>
      <c r="N1942" s="15"/>
      <c r="O1942" s="424"/>
      <c r="P1942" s="15"/>
      <c r="Q1942" s="16">
        <f t="shared" si="299"/>
        <v>96000</v>
      </c>
      <c r="R1942" s="16">
        <f t="shared" si="300"/>
        <v>94922</v>
      </c>
      <c r="S1942" s="448">
        <f t="shared" si="301"/>
        <v>98.877083333333331</v>
      </c>
    </row>
    <row r="1943" spans="2:19" x14ac:dyDescent="0.2">
      <c r="B1943" s="6">
        <f t="shared" si="302"/>
        <v>8</v>
      </c>
      <c r="C1943" s="17"/>
      <c r="D1943" s="17"/>
      <c r="E1943" s="17"/>
      <c r="F1943" s="18"/>
      <c r="G1943" s="19">
        <v>642</v>
      </c>
      <c r="H1943" s="17" t="s">
        <v>127</v>
      </c>
      <c r="I1943" s="20">
        <f>94200+1800</f>
        <v>96000</v>
      </c>
      <c r="J1943" s="20">
        <v>94922</v>
      </c>
      <c r="K1943" s="397">
        <f t="shared" si="298"/>
        <v>98.877083333333331</v>
      </c>
      <c r="L1943" s="20"/>
      <c r="M1943" s="20"/>
      <c r="N1943" s="20"/>
      <c r="O1943" s="424"/>
      <c r="P1943" s="20"/>
      <c r="Q1943" s="21">
        <f t="shared" si="299"/>
        <v>96000</v>
      </c>
      <c r="R1943" s="21">
        <f t="shared" si="300"/>
        <v>94922</v>
      </c>
      <c r="S1943" s="448">
        <f t="shared" si="301"/>
        <v>98.877083333333331</v>
      </c>
    </row>
    <row r="1944" spans="2:19" x14ac:dyDescent="0.2">
      <c r="B1944" s="6">
        <f t="shared" si="302"/>
        <v>9</v>
      </c>
      <c r="C1944" s="12"/>
      <c r="D1944" s="12"/>
      <c r="E1944" s="12"/>
      <c r="F1944" s="13" t="s">
        <v>150</v>
      </c>
      <c r="G1944" s="14">
        <v>710</v>
      </c>
      <c r="H1944" s="12" t="s">
        <v>172</v>
      </c>
      <c r="I1944" s="15"/>
      <c r="J1944" s="15"/>
      <c r="K1944" s="397"/>
      <c r="L1944" s="15"/>
      <c r="M1944" s="15">
        <f>M1945</f>
        <v>1650</v>
      </c>
      <c r="N1944" s="15">
        <f>N1945</f>
        <v>1635</v>
      </c>
      <c r="O1944" s="424">
        <f>N1944/M1944*100</f>
        <v>99.090909090909093</v>
      </c>
      <c r="P1944" s="15"/>
      <c r="Q1944" s="16">
        <f t="shared" si="299"/>
        <v>1650</v>
      </c>
      <c r="R1944" s="16">
        <f t="shared" si="300"/>
        <v>1635</v>
      </c>
      <c r="S1944" s="448">
        <f t="shared" si="301"/>
        <v>99.090909090909093</v>
      </c>
    </row>
    <row r="1945" spans="2:19" x14ac:dyDescent="0.2">
      <c r="B1945" s="6">
        <f t="shared" si="302"/>
        <v>10</v>
      </c>
      <c r="C1945" s="17"/>
      <c r="D1945" s="17"/>
      <c r="E1945" s="17"/>
      <c r="F1945" s="18"/>
      <c r="G1945" s="19">
        <v>717</v>
      </c>
      <c r="H1945" s="17" t="s">
        <v>179</v>
      </c>
      <c r="I1945" s="20"/>
      <c r="J1945" s="20"/>
      <c r="K1945" s="397"/>
      <c r="L1945" s="20"/>
      <c r="M1945" s="20">
        <f>M1946</f>
        <v>1650</v>
      </c>
      <c r="N1945" s="20">
        <f>N1946</f>
        <v>1635</v>
      </c>
      <c r="O1945" s="424">
        <f>N1945/M1945*100</f>
        <v>99.090909090909093</v>
      </c>
      <c r="P1945" s="20"/>
      <c r="Q1945" s="21">
        <f t="shared" si="299"/>
        <v>1650</v>
      </c>
      <c r="R1945" s="21">
        <f t="shared" si="300"/>
        <v>1635</v>
      </c>
      <c r="S1945" s="448">
        <f t="shared" si="301"/>
        <v>99.090909090909093</v>
      </c>
    </row>
    <row r="1946" spans="2:19" x14ac:dyDescent="0.2">
      <c r="B1946" s="6">
        <f t="shared" si="302"/>
        <v>11</v>
      </c>
      <c r="C1946" s="22"/>
      <c r="D1946" s="22"/>
      <c r="E1946" s="22"/>
      <c r="F1946" s="124"/>
      <c r="G1946" s="124"/>
      <c r="H1946" s="1" t="s">
        <v>416</v>
      </c>
      <c r="I1946" s="24"/>
      <c r="J1946" s="24"/>
      <c r="K1946" s="397"/>
      <c r="L1946" s="24"/>
      <c r="M1946" s="24">
        <v>1650</v>
      </c>
      <c r="N1946" s="24">
        <v>1635</v>
      </c>
      <c r="O1946" s="424">
        <f>N1946/M1946*100</f>
        <v>99.090909090909093</v>
      </c>
      <c r="P1946" s="24"/>
      <c r="Q1946" s="26">
        <f t="shared" si="299"/>
        <v>1650</v>
      </c>
      <c r="R1946" s="26">
        <f t="shared" si="300"/>
        <v>1635</v>
      </c>
      <c r="S1946" s="448">
        <f t="shared" si="301"/>
        <v>99.090909090909093</v>
      </c>
    </row>
    <row r="1947" spans="2:19" ht="15" x14ac:dyDescent="0.25">
      <c r="B1947" s="6">
        <f t="shared" si="302"/>
        <v>12</v>
      </c>
      <c r="C1947" s="27"/>
      <c r="D1947" s="27">
        <v>2</v>
      </c>
      <c r="E1947" s="639" t="s">
        <v>333</v>
      </c>
      <c r="F1947" s="640"/>
      <c r="G1947" s="640"/>
      <c r="H1947" s="640"/>
      <c r="I1947" s="28">
        <v>0</v>
      </c>
      <c r="J1947" s="28"/>
      <c r="K1947" s="404"/>
      <c r="L1947" s="313"/>
      <c r="M1947" s="28"/>
      <c r="N1947" s="28"/>
      <c r="O1947" s="28"/>
      <c r="P1947" s="313"/>
      <c r="Q1947" s="29">
        <f t="shared" si="299"/>
        <v>0</v>
      </c>
      <c r="R1947" s="29">
        <f t="shared" si="300"/>
        <v>0</v>
      </c>
      <c r="S1947" s="447"/>
    </row>
    <row r="1948" spans="2:19" ht="15" x14ac:dyDescent="0.25">
      <c r="B1948" s="6">
        <f t="shared" si="302"/>
        <v>13</v>
      </c>
      <c r="C1948" s="27"/>
      <c r="D1948" s="27">
        <v>3</v>
      </c>
      <c r="E1948" s="639" t="s">
        <v>183</v>
      </c>
      <c r="F1948" s="640"/>
      <c r="G1948" s="640"/>
      <c r="H1948" s="640"/>
      <c r="I1948" s="28">
        <f>I1949+I1950+I1951+I1956</f>
        <v>77353</v>
      </c>
      <c r="J1948" s="28">
        <f>J1949+J1950+J1951+J1956</f>
        <v>75455</v>
      </c>
      <c r="K1948" s="404">
        <f t="shared" ref="K1948:K1956" si="303">J1948/I1948*100</f>
        <v>97.546313652993419</v>
      </c>
      <c r="L1948" s="313"/>
      <c r="M1948" s="28"/>
      <c r="N1948" s="28"/>
      <c r="O1948" s="28"/>
      <c r="P1948" s="313"/>
      <c r="Q1948" s="29">
        <f t="shared" si="299"/>
        <v>77353</v>
      </c>
      <c r="R1948" s="29">
        <f t="shared" si="300"/>
        <v>75455</v>
      </c>
      <c r="S1948" s="447">
        <f t="shared" ref="S1948:S1956" si="304">R1948/Q1948*100</f>
        <v>97.546313652993419</v>
      </c>
    </row>
    <row r="1949" spans="2:19" x14ac:dyDescent="0.2">
      <c r="B1949" s="6">
        <f t="shared" si="302"/>
        <v>14</v>
      </c>
      <c r="C1949" s="12"/>
      <c r="D1949" s="12"/>
      <c r="E1949" s="12"/>
      <c r="F1949" s="13" t="s">
        <v>182</v>
      </c>
      <c r="G1949" s="14">
        <v>610</v>
      </c>
      <c r="H1949" s="12" t="s">
        <v>128</v>
      </c>
      <c r="I1949" s="15">
        <f>50000+2400-2500</f>
        <v>49900</v>
      </c>
      <c r="J1949" s="15">
        <v>49900</v>
      </c>
      <c r="K1949" s="397">
        <f t="shared" si="303"/>
        <v>100</v>
      </c>
      <c r="L1949" s="15"/>
      <c r="M1949" s="15"/>
      <c r="N1949" s="15"/>
      <c r="O1949" s="15"/>
      <c r="P1949" s="15"/>
      <c r="Q1949" s="16">
        <f t="shared" si="299"/>
        <v>49900</v>
      </c>
      <c r="R1949" s="16">
        <f t="shared" si="300"/>
        <v>49900</v>
      </c>
      <c r="S1949" s="448">
        <f t="shared" si="304"/>
        <v>100</v>
      </c>
    </row>
    <row r="1950" spans="2:19" x14ac:dyDescent="0.2">
      <c r="B1950" s="6">
        <f t="shared" si="302"/>
        <v>15</v>
      </c>
      <c r="C1950" s="12"/>
      <c r="D1950" s="12"/>
      <c r="E1950" s="12"/>
      <c r="F1950" s="13" t="s">
        <v>182</v>
      </c>
      <c r="G1950" s="14">
        <v>620</v>
      </c>
      <c r="H1950" s="12" t="s">
        <v>121</v>
      </c>
      <c r="I1950" s="15">
        <f>16270+863+1500</f>
        <v>18633</v>
      </c>
      <c r="J1950" s="15">
        <v>18633</v>
      </c>
      <c r="K1950" s="397">
        <f t="shared" si="303"/>
        <v>100</v>
      </c>
      <c r="L1950" s="15"/>
      <c r="M1950" s="15"/>
      <c r="N1950" s="15"/>
      <c r="O1950" s="15"/>
      <c r="P1950" s="15"/>
      <c r="Q1950" s="16">
        <f t="shared" si="299"/>
        <v>18633</v>
      </c>
      <c r="R1950" s="16">
        <f t="shared" si="300"/>
        <v>18633</v>
      </c>
      <c r="S1950" s="448">
        <f t="shared" si="304"/>
        <v>100</v>
      </c>
    </row>
    <row r="1951" spans="2:19" x14ac:dyDescent="0.2">
      <c r="B1951" s="6">
        <f t="shared" si="302"/>
        <v>16</v>
      </c>
      <c r="C1951" s="12"/>
      <c r="D1951" s="12"/>
      <c r="E1951" s="12"/>
      <c r="F1951" s="13" t="s">
        <v>182</v>
      </c>
      <c r="G1951" s="14">
        <v>630</v>
      </c>
      <c r="H1951" s="12" t="s">
        <v>118</v>
      </c>
      <c r="I1951" s="15">
        <f>SUM(I1952:I1955)</f>
        <v>5020</v>
      </c>
      <c r="J1951" s="15">
        <f>SUM(J1952:J1955)</f>
        <v>4466</v>
      </c>
      <c r="K1951" s="397">
        <f t="shared" si="303"/>
        <v>88.964143426294811</v>
      </c>
      <c r="L1951" s="15"/>
      <c r="M1951" s="15"/>
      <c r="N1951" s="15"/>
      <c r="O1951" s="15"/>
      <c r="P1951" s="15"/>
      <c r="Q1951" s="16">
        <f t="shared" si="299"/>
        <v>5020</v>
      </c>
      <c r="R1951" s="16">
        <f t="shared" si="300"/>
        <v>4466</v>
      </c>
      <c r="S1951" s="448">
        <f t="shared" si="304"/>
        <v>88.964143426294811</v>
      </c>
    </row>
    <row r="1952" spans="2:19" x14ac:dyDescent="0.2">
      <c r="B1952" s="6">
        <f t="shared" si="302"/>
        <v>17</v>
      </c>
      <c r="C1952" s="17"/>
      <c r="D1952" s="17"/>
      <c r="E1952" s="17"/>
      <c r="F1952" s="18"/>
      <c r="G1952" s="19">
        <v>632</v>
      </c>
      <c r="H1952" s="17" t="s">
        <v>131</v>
      </c>
      <c r="I1952" s="20">
        <f>1600+1370</f>
        <v>2970</v>
      </c>
      <c r="J1952" s="20">
        <v>2967</v>
      </c>
      <c r="K1952" s="397">
        <f t="shared" si="303"/>
        <v>99.898989898989896</v>
      </c>
      <c r="L1952" s="20"/>
      <c r="M1952" s="20"/>
      <c r="N1952" s="20"/>
      <c r="O1952" s="20"/>
      <c r="P1952" s="20"/>
      <c r="Q1952" s="21">
        <f t="shared" si="299"/>
        <v>2970</v>
      </c>
      <c r="R1952" s="21">
        <f t="shared" si="300"/>
        <v>2967</v>
      </c>
      <c r="S1952" s="448">
        <f t="shared" si="304"/>
        <v>99.898989898989896</v>
      </c>
    </row>
    <row r="1953" spans="2:19" x14ac:dyDescent="0.2">
      <c r="B1953" s="6">
        <f t="shared" si="302"/>
        <v>18</v>
      </c>
      <c r="C1953" s="17"/>
      <c r="D1953" s="17"/>
      <c r="E1953" s="17"/>
      <c r="F1953" s="18"/>
      <c r="G1953" s="19">
        <v>633</v>
      </c>
      <c r="H1953" s="17" t="s">
        <v>122</v>
      </c>
      <c r="I1953" s="20">
        <f>1050-650</f>
        <v>400</v>
      </c>
      <c r="J1953" s="20">
        <v>326</v>
      </c>
      <c r="K1953" s="397">
        <f t="shared" si="303"/>
        <v>81.5</v>
      </c>
      <c r="L1953" s="20"/>
      <c r="M1953" s="20"/>
      <c r="N1953" s="20"/>
      <c r="O1953" s="20"/>
      <c r="P1953" s="20"/>
      <c r="Q1953" s="21">
        <f t="shared" si="299"/>
        <v>400</v>
      </c>
      <c r="R1953" s="21">
        <f t="shared" si="300"/>
        <v>326</v>
      </c>
      <c r="S1953" s="448">
        <f t="shared" si="304"/>
        <v>81.5</v>
      </c>
    </row>
    <row r="1954" spans="2:19" x14ac:dyDescent="0.2">
      <c r="B1954" s="6">
        <f t="shared" si="302"/>
        <v>19</v>
      </c>
      <c r="C1954" s="17"/>
      <c r="D1954" s="17"/>
      <c r="E1954" s="17"/>
      <c r="F1954" s="18"/>
      <c r="G1954" s="19">
        <v>635</v>
      </c>
      <c r="H1954" s="17" t="s">
        <v>130</v>
      </c>
      <c r="I1954" s="20">
        <v>100</v>
      </c>
      <c r="J1954" s="20">
        <v>0</v>
      </c>
      <c r="K1954" s="397">
        <f t="shared" si="303"/>
        <v>0</v>
      </c>
      <c r="L1954" s="20"/>
      <c r="M1954" s="20"/>
      <c r="N1954" s="20"/>
      <c r="O1954" s="20"/>
      <c r="P1954" s="20"/>
      <c r="Q1954" s="21">
        <f t="shared" si="299"/>
        <v>100</v>
      </c>
      <c r="R1954" s="21">
        <f t="shared" si="300"/>
        <v>0</v>
      </c>
      <c r="S1954" s="448">
        <f t="shared" si="304"/>
        <v>0</v>
      </c>
    </row>
    <row r="1955" spans="2:19" x14ac:dyDescent="0.2">
      <c r="B1955" s="6">
        <f t="shared" si="302"/>
        <v>20</v>
      </c>
      <c r="C1955" s="17"/>
      <c r="D1955" s="17"/>
      <c r="E1955" s="17"/>
      <c r="F1955" s="18"/>
      <c r="G1955" s="19">
        <v>637</v>
      </c>
      <c r="H1955" s="17" t="s">
        <v>119</v>
      </c>
      <c r="I1955" s="20">
        <v>1550</v>
      </c>
      <c r="J1955" s="20">
        <v>1173</v>
      </c>
      <c r="K1955" s="397">
        <f t="shared" si="303"/>
        <v>75.677419354838705</v>
      </c>
      <c r="L1955" s="20"/>
      <c r="M1955" s="20"/>
      <c r="N1955" s="20"/>
      <c r="O1955" s="20"/>
      <c r="P1955" s="20"/>
      <c r="Q1955" s="21">
        <f t="shared" si="299"/>
        <v>1550</v>
      </c>
      <c r="R1955" s="21">
        <f t="shared" si="300"/>
        <v>1173</v>
      </c>
      <c r="S1955" s="448">
        <f t="shared" si="304"/>
        <v>75.677419354838705</v>
      </c>
    </row>
    <row r="1956" spans="2:19" x14ac:dyDescent="0.2">
      <c r="B1956" s="159">
        <f t="shared" si="302"/>
        <v>21</v>
      </c>
      <c r="C1956" s="160"/>
      <c r="D1956" s="160"/>
      <c r="E1956" s="160"/>
      <c r="F1956" s="161" t="s">
        <v>182</v>
      </c>
      <c r="G1956" s="162">
        <v>640</v>
      </c>
      <c r="H1956" s="160" t="s">
        <v>126</v>
      </c>
      <c r="I1956" s="163">
        <f>2800+1000</f>
        <v>3800</v>
      </c>
      <c r="J1956" s="163">
        <v>2456</v>
      </c>
      <c r="K1956" s="406">
        <f t="shared" si="303"/>
        <v>64.631578947368411</v>
      </c>
      <c r="L1956" s="163"/>
      <c r="M1956" s="163"/>
      <c r="N1956" s="163"/>
      <c r="O1956" s="163"/>
      <c r="P1956" s="163"/>
      <c r="Q1956" s="164">
        <f t="shared" si="299"/>
        <v>3800</v>
      </c>
      <c r="R1956" s="164">
        <f t="shared" si="300"/>
        <v>2456</v>
      </c>
      <c r="S1956" s="454">
        <f t="shared" si="304"/>
        <v>64.631578947368411</v>
      </c>
    </row>
  </sheetData>
  <mergeCells count="322">
    <mergeCell ref="I3:I6"/>
    <mergeCell ref="D3:D6"/>
    <mergeCell ref="B1:Q1"/>
    <mergeCell ref="D76:H76"/>
    <mergeCell ref="E16:H16"/>
    <mergeCell ref="D29:H29"/>
    <mergeCell ref="E19:H19"/>
    <mergeCell ref="E22:H22"/>
    <mergeCell ref="E9:H9"/>
    <mergeCell ref="D8:H8"/>
    <mergeCell ref="H3:H6"/>
    <mergeCell ref="G3:G6"/>
    <mergeCell ref="B3:B6"/>
    <mergeCell ref="C3:C6"/>
    <mergeCell ref="E3:E6"/>
    <mergeCell ref="R83:R87"/>
    <mergeCell ref="S83:S87"/>
    <mergeCell ref="B83:P83"/>
    <mergeCell ref="J84:J87"/>
    <mergeCell ref="K84:K87"/>
    <mergeCell ref="N84:N87"/>
    <mergeCell ref="O84:O87"/>
    <mergeCell ref="F3:F6"/>
    <mergeCell ref="S2:S6"/>
    <mergeCell ref="R2:R6"/>
    <mergeCell ref="J3:J6"/>
    <mergeCell ref="K3:K6"/>
    <mergeCell ref="N3:N6"/>
    <mergeCell ref="O3:O6"/>
    <mergeCell ref="Q2:Q6"/>
    <mergeCell ref="M3:M6"/>
    <mergeCell ref="B2:P2"/>
    <mergeCell ref="D79:H79"/>
    <mergeCell ref="D48:H48"/>
    <mergeCell ref="D64:H64"/>
    <mergeCell ref="D67:H67"/>
    <mergeCell ref="D66:H66"/>
    <mergeCell ref="D65:H65"/>
    <mergeCell ref="C7:H7"/>
    <mergeCell ref="E119:H119"/>
    <mergeCell ref="E126:H126"/>
    <mergeCell ref="D138:H138"/>
    <mergeCell ref="D167:H167"/>
    <mergeCell ref="D187:H187"/>
    <mergeCell ref="D192:H192"/>
    <mergeCell ref="D202:H202"/>
    <mergeCell ref="B82:Q82"/>
    <mergeCell ref="Q83:Q87"/>
    <mergeCell ref="B84:B87"/>
    <mergeCell ref="C84:C87"/>
    <mergeCell ref="D84:D87"/>
    <mergeCell ref="E84:E87"/>
    <mergeCell ref="F84:F87"/>
    <mergeCell ref="G84:G87"/>
    <mergeCell ref="H84:H87"/>
    <mergeCell ref="D98:H98"/>
    <mergeCell ref="C88:H88"/>
    <mergeCell ref="D89:H89"/>
    <mergeCell ref="I84:I87"/>
    <mergeCell ref="M84:M87"/>
    <mergeCell ref="D282:H282"/>
    <mergeCell ref="R106:R110"/>
    <mergeCell ref="S106:S110"/>
    <mergeCell ref="J107:J110"/>
    <mergeCell ref="K107:K110"/>
    <mergeCell ref="N107:N110"/>
    <mergeCell ref="O107:O110"/>
    <mergeCell ref="B105:Q105"/>
    <mergeCell ref="B106:P106"/>
    <mergeCell ref="Q106:Q110"/>
    <mergeCell ref="B107:B110"/>
    <mergeCell ref="C107:C110"/>
    <mergeCell ref="D107:D110"/>
    <mergeCell ref="E107:E110"/>
    <mergeCell ref="F107:F110"/>
    <mergeCell ref="G107:G110"/>
    <mergeCell ref="D134:H134"/>
    <mergeCell ref="M107:M110"/>
    <mergeCell ref="C111:H111"/>
    <mergeCell ref="H107:H110"/>
    <mergeCell ref="I107:I110"/>
    <mergeCell ref="D112:H112"/>
    <mergeCell ref="D115:H115"/>
    <mergeCell ref="E116:H116"/>
    <mergeCell ref="C216:H216"/>
    <mergeCell ref="D217:H217"/>
    <mergeCell ref="D223:H223"/>
    <mergeCell ref="M212:M215"/>
    <mergeCell ref="B211:P211"/>
    <mergeCell ref="D233:H233"/>
    <mergeCell ref="D242:H242"/>
    <mergeCell ref="D257:H257"/>
    <mergeCell ref="D268:H268"/>
    <mergeCell ref="R211:R215"/>
    <mergeCell ref="S211:S215"/>
    <mergeCell ref="J212:J215"/>
    <mergeCell ref="K212:K215"/>
    <mergeCell ref="N212:N215"/>
    <mergeCell ref="O212:O215"/>
    <mergeCell ref="B210:Q210"/>
    <mergeCell ref="Q211:Q215"/>
    <mergeCell ref="B212:B215"/>
    <mergeCell ref="C212:C215"/>
    <mergeCell ref="D212:D215"/>
    <mergeCell ref="E212:E215"/>
    <mergeCell ref="F212:F215"/>
    <mergeCell ref="G212:G215"/>
    <mergeCell ref="H212:H215"/>
    <mergeCell ref="I212:I215"/>
    <mergeCell ref="B292:Q292"/>
    <mergeCell ref="M294:M297"/>
    <mergeCell ref="B293:P293"/>
    <mergeCell ref="Q293:Q297"/>
    <mergeCell ref="B294:B297"/>
    <mergeCell ref="C294:C297"/>
    <mergeCell ref="D294:D297"/>
    <mergeCell ref="E294:E297"/>
    <mergeCell ref="F294:F297"/>
    <mergeCell ref="G294:G297"/>
    <mergeCell ref="H294:H297"/>
    <mergeCell ref="I294:I297"/>
    <mergeCell ref="D420:H420"/>
    <mergeCell ref="C371:H371"/>
    <mergeCell ref="D372:H372"/>
    <mergeCell ref="D391:H391"/>
    <mergeCell ref="E392:H392"/>
    <mergeCell ref="E412:H412"/>
    <mergeCell ref="R293:R297"/>
    <mergeCell ref="S293:S297"/>
    <mergeCell ref="J294:J297"/>
    <mergeCell ref="K294:K297"/>
    <mergeCell ref="N294:N297"/>
    <mergeCell ref="O294:O297"/>
    <mergeCell ref="D340:H340"/>
    <mergeCell ref="D347:H347"/>
    <mergeCell ref="D353:H353"/>
    <mergeCell ref="C298:H298"/>
    <mergeCell ref="D299:H299"/>
    <mergeCell ref="D316:H316"/>
    <mergeCell ref="R366:R370"/>
    <mergeCell ref="S366:S370"/>
    <mergeCell ref="J367:J370"/>
    <mergeCell ref="K367:K370"/>
    <mergeCell ref="N367:N370"/>
    <mergeCell ref="O367:O370"/>
    <mergeCell ref="B365:Q365"/>
    <mergeCell ref="B366:P366"/>
    <mergeCell ref="Q366:Q370"/>
    <mergeCell ref="B367:B370"/>
    <mergeCell ref="C367:C370"/>
    <mergeCell ref="D367:D370"/>
    <mergeCell ref="E367:E370"/>
    <mergeCell ref="M367:M370"/>
    <mergeCell ref="F367:F370"/>
    <mergeCell ref="G367:G370"/>
    <mergeCell ref="H367:H370"/>
    <mergeCell ref="I367:I370"/>
    <mergeCell ref="D504:H504"/>
    <mergeCell ref="D727:H727"/>
    <mergeCell ref="D945:H945"/>
    <mergeCell ref="D1054:H1054"/>
    <mergeCell ref="D1379:H1379"/>
    <mergeCell ref="R498:R502"/>
    <mergeCell ref="S498:S502"/>
    <mergeCell ref="J499:J502"/>
    <mergeCell ref="K499:K502"/>
    <mergeCell ref="N499:N502"/>
    <mergeCell ref="O499:O502"/>
    <mergeCell ref="M499:M502"/>
    <mergeCell ref="C503:H503"/>
    <mergeCell ref="H499:H502"/>
    <mergeCell ref="I499:I502"/>
    <mergeCell ref="B497:Q497"/>
    <mergeCell ref="B498:P498"/>
    <mergeCell ref="Q498:Q502"/>
    <mergeCell ref="B499:B502"/>
    <mergeCell ref="C499:C502"/>
    <mergeCell ref="D499:D502"/>
    <mergeCell ref="E499:E502"/>
    <mergeCell ref="F499:F502"/>
    <mergeCell ref="G499:G502"/>
    <mergeCell ref="C1405:H1405"/>
    <mergeCell ref="D1406:H1406"/>
    <mergeCell ref="D1409:H1409"/>
    <mergeCell ref="M1401:M1404"/>
    <mergeCell ref="B1400:P1400"/>
    <mergeCell ref="D1496:H1496"/>
    <mergeCell ref="D1426:H1426"/>
    <mergeCell ref="E1427:H1427"/>
    <mergeCell ref="E1436:H1436"/>
    <mergeCell ref="E1446:H1446"/>
    <mergeCell ref="E1482:H1482"/>
    <mergeCell ref="E1495:H1495"/>
    <mergeCell ref="R1400:R1404"/>
    <mergeCell ref="S1400:S1404"/>
    <mergeCell ref="J1401:J1404"/>
    <mergeCell ref="K1401:K1404"/>
    <mergeCell ref="N1401:N1404"/>
    <mergeCell ref="O1401:O1404"/>
    <mergeCell ref="B1399:Q1399"/>
    <mergeCell ref="Q1400:Q1404"/>
    <mergeCell ref="B1401:B1404"/>
    <mergeCell ref="C1401:C1404"/>
    <mergeCell ref="D1401:D1404"/>
    <mergeCell ref="E1401:E1404"/>
    <mergeCell ref="F1401:F1404"/>
    <mergeCell ref="G1401:G1404"/>
    <mergeCell ref="H1401:H1404"/>
    <mergeCell ref="I1401:I1404"/>
    <mergeCell ref="D1562:H1562"/>
    <mergeCell ref="D1580:H1580"/>
    <mergeCell ref="D1585:H1585"/>
    <mergeCell ref="D1602:H1602"/>
    <mergeCell ref="D1617:H1617"/>
    <mergeCell ref="B1631:Q1631"/>
    <mergeCell ref="B1632:P1632"/>
    <mergeCell ref="B1555:Q1555"/>
    <mergeCell ref="B1556:P1556"/>
    <mergeCell ref="Q1556:Q1560"/>
    <mergeCell ref="B1557:B1560"/>
    <mergeCell ref="C1557:C1560"/>
    <mergeCell ref="D1557:D1560"/>
    <mergeCell ref="E1557:E1560"/>
    <mergeCell ref="F1557:F1560"/>
    <mergeCell ref="G1557:G1560"/>
    <mergeCell ref="R1556:R1560"/>
    <mergeCell ref="S1556:S1560"/>
    <mergeCell ref="J1557:J1560"/>
    <mergeCell ref="K1557:K1560"/>
    <mergeCell ref="N1557:N1560"/>
    <mergeCell ref="O1557:O1560"/>
    <mergeCell ref="M1557:M1560"/>
    <mergeCell ref="C1561:H1561"/>
    <mergeCell ref="H1557:H1560"/>
    <mergeCell ref="I1557:I1560"/>
    <mergeCell ref="B1633:B1636"/>
    <mergeCell ref="C1633:C1636"/>
    <mergeCell ref="D1633:D1636"/>
    <mergeCell ref="E1633:E1636"/>
    <mergeCell ref="F1633:F1636"/>
    <mergeCell ref="G1633:G1636"/>
    <mergeCell ref="H1633:H1636"/>
    <mergeCell ref="R1632:R1636"/>
    <mergeCell ref="D1724:H1724"/>
    <mergeCell ref="D1679:H1679"/>
    <mergeCell ref="E1680:H1680"/>
    <mergeCell ref="E1693:H1693"/>
    <mergeCell ref="D1696:H1696"/>
    <mergeCell ref="D1714:H1714"/>
    <mergeCell ref="D1717:H1717"/>
    <mergeCell ref="S1632:S1636"/>
    <mergeCell ref="J1633:J1636"/>
    <mergeCell ref="K1633:K1636"/>
    <mergeCell ref="N1633:N1636"/>
    <mergeCell ref="O1633:O1636"/>
    <mergeCell ref="C1637:H1637"/>
    <mergeCell ref="D1638:H1638"/>
    <mergeCell ref="I1633:I1636"/>
    <mergeCell ref="M1633:M1636"/>
    <mergeCell ref="Q1632:Q1636"/>
    <mergeCell ref="D1826:H1826"/>
    <mergeCell ref="E1827:H1827"/>
    <mergeCell ref="D1914:H1914"/>
    <mergeCell ref="D1926:H1926"/>
    <mergeCell ref="E1851:H1851"/>
    <mergeCell ref="D1857:H1857"/>
    <mergeCell ref="D1882:H1882"/>
    <mergeCell ref="D1896:H1896"/>
    <mergeCell ref="D1899:H1899"/>
    <mergeCell ref="D1904:H1904"/>
    <mergeCell ref="B1738:Q1738"/>
    <mergeCell ref="B1739:P1739"/>
    <mergeCell ref="Q1739:Q1743"/>
    <mergeCell ref="B1740:B1743"/>
    <mergeCell ref="C1740:C1743"/>
    <mergeCell ref="D1740:D1743"/>
    <mergeCell ref="E1740:E1743"/>
    <mergeCell ref="F1740:F1743"/>
    <mergeCell ref="G1740:G1743"/>
    <mergeCell ref="D1937:H1937"/>
    <mergeCell ref="E1938:H1938"/>
    <mergeCell ref="E1947:H1947"/>
    <mergeCell ref="E1948:H1948"/>
    <mergeCell ref="R1739:R1743"/>
    <mergeCell ref="S1739:S1743"/>
    <mergeCell ref="J1740:J1743"/>
    <mergeCell ref="K1740:K1743"/>
    <mergeCell ref="N1740:N1743"/>
    <mergeCell ref="O1740:O1743"/>
    <mergeCell ref="M1740:M1743"/>
    <mergeCell ref="C1744:H1744"/>
    <mergeCell ref="H1740:H1743"/>
    <mergeCell ref="I1740:I1743"/>
    <mergeCell ref="E1835:H1835"/>
    <mergeCell ref="D1745:H1745"/>
    <mergeCell ref="E1746:H1746"/>
    <mergeCell ref="E1766:H1766"/>
    <mergeCell ref="D1767:H1767"/>
    <mergeCell ref="D1771:H1771"/>
    <mergeCell ref="D1792:H1792"/>
    <mergeCell ref="E1793:H1793"/>
    <mergeCell ref="E1807:H1807"/>
    <mergeCell ref="E1821:H1821"/>
    <mergeCell ref="B1930:Q1930"/>
    <mergeCell ref="B1931:P1931"/>
    <mergeCell ref="Q1931:Q1935"/>
    <mergeCell ref="B1932:B1935"/>
    <mergeCell ref="C1932:C1935"/>
    <mergeCell ref="D1932:D1935"/>
    <mergeCell ref="E1932:E1935"/>
    <mergeCell ref="F1932:F1935"/>
    <mergeCell ref="C1936:H1936"/>
    <mergeCell ref="R1931:R1935"/>
    <mergeCell ref="S1931:S1935"/>
    <mergeCell ref="J1932:J1935"/>
    <mergeCell ref="K1932:K1935"/>
    <mergeCell ref="N1932:N1935"/>
    <mergeCell ref="O1932:O1935"/>
    <mergeCell ref="M1932:M1935"/>
    <mergeCell ref="G1932:G1935"/>
    <mergeCell ref="H1932:H1935"/>
    <mergeCell ref="I1932:I1935"/>
  </mergeCells>
  <phoneticPr fontId="2" type="noConversion"/>
  <pageMargins left="0.27559055118110237" right="0" top="0.57999999999999996" bottom="0.35433070866141736" header="0.48" footer="0.31496062992125984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6C603-2897-4A55-B404-2B65079AC896}">
  <sheetPr codeName="Sheet12"/>
  <dimension ref="B1:Q1642"/>
  <sheetViews>
    <sheetView zoomScale="80" zoomScaleNormal="80" zoomScaleSheetLayoutView="80" workbookViewId="0"/>
  </sheetViews>
  <sheetFormatPr defaultRowHeight="12.75" x14ac:dyDescent="0.2"/>
  <cols>
    <col min="1" max="1" width="1" style="5" customWidth="1"/>
    <col min="2" max="2" width="3.5703125" style="5" customWidth="1"/>
    <col min="3" max="3" width="35.85546875" style="5" customWidth="1"/>
    <col min="4" max="4" width="14.140625" style="5" customWidth="1"/>
    <col min="5" max="5" width="13.5703125" style="5" customWidth="1"/>
    <col min="6" max="6" width="14.140625" style="5" customWidth="1"/>
    <col min="7" max="7" width="7.140625" style="5" customWidth="1"/>
    <col min="8" max="8" width="0.85546875" style="5" customWidth="1"/>
    <col min="9" max="9" width="13.5703125" style="5" customWidth="1"/>
    <col min="10" max="10" width="14.140625" style="5" customWidth="1"/>
    <col min="11" max="11" width="14.42578125" style="5" customWidth="1"/>
    <col min="12" max="12" width="7.140625" style="5" customWidth="1"/>
    <col min="13" max="13" width="1.28515625" style="5" customWidth="1"/>
    <col min="14" max="14" width="13.7109375" style="5" customWidth="1"/>
    <col min="15" max="15" width="17.85546875" style="5" customWidth="1"/>
    <col min="16" max="16" width="14.28515625" style="5" customWidth="1"/>
    <col min="17" max="17" width="7.140625" style="5" customWidth="1"/>
    <col min="18" max="16384" width="9.140625" style="5"/>
  </cols>
  <sheetData>
    <row r="1" spans="2:17" ht="7.5" customHeight="1" x14ac:dyDescent="0.2"/>
    <row r="2" spans="2:17" s="235" customFormat="1" ht="30.75" customHeight="1" x14ac:dyDescent="0.2">
      <c r="B2" s="700"/>
      <c r="C2" s="701"/>
      <c r="D2" s="706" t="s">
        <v>781</v>
      </c>
      <c r="E2" s="707"/>
      <c r="F2" s="707"/>
      <c r="G2" s="707"/>
      <c r="H2" s="707"/>
      <c r="I2" s="707"/>
      <c r="J2" s="707"/>
      <c r="K2" s="707"/>
      <c r="L2" s="707"/>
      <c r="M2" s="707"/>
      <c r="N2" s="707"/>
      <c r="O2" s="707"/>
      <c r="P2" s="707"/>
      <c r="Q2" s="707"/>
    </row>
    <row r="3" spans="2:17" s="171" customFormat="1" ht="60" customHeight="1" x14ac:dyDescent="0.2">
      <c r="B3" s="702"/>
      <c r="C3" s="703"/>
      <c r="D3" s="237" t="s">
        <v>775</v>
      </c>
      <c r="E3" s="237" t="s">
        <v>777</v>
      </c>
      <c r="F3" s="237" t="s">
        <v>762</v>
      </c>
      <c r="G3" s="237" t="s">
        <v>758</v>
      </c>
      <c r="H3" s="238"/>
      <c r="I3" s="237" t="s">
        <v>776</v>
      </c>
      <c r="J3" s="237" t="s">
        <v>778</v>
      </c>
      <c r="K3" s="237" t="s">
        <v>763</v>
      </c>
      <c r="L3" s="237" t="s">
        <v>758</v>
      </c>
      <c r="M3" s="238"/>
      <c r="N3" s="237" t="s">
        <v>779</v>
      </c>
      <c r="O3" s="237" t="s">
        <v>780</v>
      </c>
      <c r="P3" s="237" t="s">
        <v>764</v>
      </c>
      <c r="Q3" s="237" t="s">
        <v>758</v>
      </c>
    </row>
    <row r="4" spans="2:17" ht="3.75" customHeight="1" x14ac:dyDescent="0.2">
      <c r="B4" s="239"/>
      <c r="C4" s="240"/>
      <c r="D4" s="240"/>
      <c r="E4" s="240"/>
      <c r="F4" s="240"/>
      <c r="G4" s="240"/>
      <c r="H4" s="240"/>
      <c r="I4" s="240"/>
      <c r="J4" s="76"/>
      <c r="K4" s="76"/>
      <c r="L4" s="76"/>
      <c r="M4" s="240"/>
      <c r="N4" s="240"/>
      <c r="O4" s="76"/>
      <c r="P4" s="76"/>
      <c r="Q4" s="76"/>
    </row>
    <row r="5" spans="2:17" s="235" customFormat="1" ht="15" x14ac:dyDescent="0.25">
      <c r="B5" s="241">
        <v>1</v>
      </c>
      <c r="C5" s="242" t="s">
        <v>341</v>
      </c>
      <c r="D5" s="243">
        <v>73628228</v>
      </c>
      <c r="E5" s="243">
        <f>'Príjmy 2025'!E342</f>
        <v>79177100</v>
      </c>
      <c r="F5" s="243">
        <f>'Príjmy 2025'!F342</f>
        <v>78612236</v>
      </c>
      <c r="G5" s="440">
        <f>F5/E5*100</f>
        <v>99.286581599982824</v>
      </c>
      <c r="H5" s="244"/>
      <c r="I5" s="243">
        <v>59039613</v>
      </c>
      <c r="J5" s="243">
        <f>'Príjmy 2025'!E394</f>
        <v>60983450</v>
      </c>
      <c r="K5" s="243">
        <f>'Príjmy 2025'!F394</f>
        <v>13559812</v>
      </c>
      <c r="L5" s="440">
        <f>K5/J5*100</f>
        <v>22.235232673782804</v>
      </c>
      <c r="M5" s="244"/>
      <c r="N5" s="243">
        <f t="shared" ref="N5:O18" si="0">D5+I5</f>
        <v>132667841</v>
      </c>
      <c r="O5" s="243">
        <f t="shared" si="0"/>
        <v>140160550</v>
      </c>
      <c r="P5" s="243">
        <f t="shared" ref="P5:P18" si="1">F5+K5</f>
        <v>92172048</v>
      </c>
      <c r="Q5" s="440">
        <f t="shared" ref="Q5:Q18" si="2">G5+L5</f>
        <v>121.52181427376563</v>
      </c>
    </row>
    <row r="6" spans="2:17" s="235" customFormat="1" ht="15" x14ac:dyDescent="0.25">
      <c r="B6" s="241">
        <v>2</v>
      </c>
      <c r="C6" s="242" t="s">
        <v>342</v>
      </c>
      <c r="D6" s="243">
        <f>SUM(D7:D18)</f>
        <v>71763048</v>
      </c>
      <c r="E6" s="243">
        <f>SUM(E7:E18)</f>
        <v>79008746</v>
      </c>
      <c r="F6" s="243">
        <f>SUM(F7:F18)</f>
        <v>73811299</v>
      </c>
      <c r="G6" s="440">
        <f t="shared" ref="G6:G18" si="3">F6/E6*100</f>
        <v>93.421681442710153</v>
      </c>
      <c r="H6" s="244"/>
      <c r="I6" s="243">
        <f>SUM(I7:I18)</f>
        <v>91029371</v>
      </c>
      <c r="J6" s="243">
        <f>SUM(J7:J18)</f>
        <v>97136579</v>
      </c>
      <c r="K6" s="243">
        <f>SUM(K7:K18)</f>
        <v>30783069</v>
      </c>
      <c r="L6" s="440">
        <f t="shared" ref="L6:L18" si="4">K6/J6*100</f>
        <v>31.69050147421807</v>
      </c>
      <c r="M6" s="244"/>
      <c r="N6" s="243">
        <f t="shared" si="0"/>
        <v>162792419</v>
      </c>
      <c r="O6" s="243">
        <f t="shared" si="0"/>
        <v>176145325</v>
      </c>
      <c r="P6" s="243">
        <f t="shared" si="1"/>
        <v>104594368</v>
      </c>
      <c r="Q6" s="440">
        <f t="shared" si="2"/>
        <v>125.11218291692822</v>
      </c>
    </row>
    <row r="7" spans="2:17" ht="14.25" x14ac:dyDescent="0.2">
      <c r="B7" s="241">
        <v>3</v>
      </c>
      <c r="C7" s="85" t="s">
        <v>25</v>
      </c>
      <c r="D7" s="245">
        <v>727300</v>
      </c>
      <c r="E7" s="245">
        <f>'Výdavky 2025'!I7</f>
        <v>1469860</v>
      </c>
      <c r="F7" s="245">
        <f>'Výdavky 2025'!J7</f>
        <v>654924</v>
      </c>
      <c r="G7" s="408">
        <f t="shared" si="3"/>
        <v>44.556896575184027</v>
      </c>
      <c r="H7" s="246"/>
      <c r="I7" s="245">
        <v>1943594</v>
      </c>
      <c r="J7" s="245">
        <f>'Výdavky 2025'!M7</f>
        <v>3230464</v>
      </c>
      <c r="K7" s="245">
        <f>'Výdavky 2025'!N7</f>
        <v>186599</v>
      </c>
      <c r="L7" s="408">
        <f t="shared" si="4"/>
        <v>5.7762290494492436</v>
      </c>
      <c r="M7" s="246"/>
      <c r="N7" s="245">
        <f t="shared" si="0"/>
        <v>2670894</v>
      </c>
      <c r="O7" s="245">
        <f t="shared" si="0"/>
        <v>4700324</v>
      </c>
      <c r="P7" s="245">
        <f t="shared" si="1"/>
        <v>841523</v>
      </c>
      <c r="Q7" s="408">
        <f t="shared" si="2"/>
        <v>50.333125624633269</v>
      </c>
    </row>
    <row r="8" spans="2:17" s="171" customFormat="1" ht="24" x14ac:dyDescent="0.2">
      <c r="B8" s="247">
        <v>4</v>
      </c>
      <c r="C8" s="593" t="s">
        <v>26</v>
      </c>
      <c r="D8" s="594">
        <v>171000</v>
      </c>
      <c r="E8" s="594">
        <f>'Výdavky 2025'!I88</f>
        <v>178360</v>
      </c>
      <c r="F8" s="594">
        <f>'Výdavky 2025'!J88</f>
        <v>147448</v>
      </c>
      <c r="G8" s="595">
        <f t="shared" si="3"/>
        <v>82.668759811616951</v>
      </c>
      <c r="H8" s="596"/>
      <c r="I8" s="594">
        <v>0</v>
      </c>
      <c r="J8" s="594">
        <f>'Výdavky 2025'!M88</f>
        <v>0</v>
      </c>
      <c r="K8" s="594">
        <v>0</v>
      </c>
      <c r="L8" s="595">
        <v>0</v>
      </c>
      <c r="M8" s="596"/>
      <c r="N8" s="594">
        <f t="shared" si="0"/>
        <v>171000</v>
      </c>
      <c r="O8" s="594">
        <f t="shared" si="0"/>
        <v>178360</v>
      </c>
      <c r="P8" s="594">
        <f t="shared" si="1"/>
        <v>147448</v>
      </c>
      <c r="Q8" s="595">
        <f t="shared" si="2"/>
        <v>82.668759811616951</v>
      </c>
    </row>
    <row r="9" spans="2:17" ht="14.25" x14ac:dyDescent="0.2">
      <c r="B9" s="241">
        <v>5</v>
      </c>
      <c r="C9" s="85" t="s">
        <v>27</v>
      </c>
      <c r="D9" s="245">
        <v>7638518</v>
      </c>
      <c r="E9" s="245">
        <f>'Výdavky 2025'!I111</f>
        <v>9579924</v>
      </c>
      <c r="F9" s="245">
        <f>'Výdavky 2025'!J111</f>
        <v>9108977</v>
      </c>
      <c r="G9" s="408">
        <f t="shared" si="3"/>
        <v>95.084021543385944</v>
      </c>
      <c r="H9" s="246"/>
      <c r="I9" s="245">
        <v>5371693</v>
      </c>
      <c r="J9" s="245">
        <f>'Výdavky 2025'!M111</f>
        <v>6698938</v>
      </c>
      <c r="K9" s="245">
        <f>'Výdavky 2025'!N111</f>
        <v>2051918</v>
      </c>
      <c r="L9" s="408">
        <f t="shared" si="4"/>
        <v>30.630496953397689</v>
      </c>
      <c r="M9" s="246"/>
      <c r="N9" s="245">
        <f>D9+I9</f>
        <v>13010211</v>
      </c>
      <c r="O9" s="245">
        <f>E9+J9</f>
        <v>16278862</v>
      </c>
      <c r="P9" s="245">
        <f t="shared" si="1"/>
        <v>11160895</v>
      </c>
      <c r="Q9" s="408">
        <f t="shared" si="2"/>
        <v>125.71451849678363</v>
      </c>
    </row>
    <row r="10" spans="2:17" ht="14.25" x14ac:dyDescent="0.2">
      <c r="B10" s="241">
        <v>6</v>
      </c>
      <c r="C10" s="85" t="s">
        <v>28</v>
      </c>
      <c r="D10" s="245">
        <v>1020965</v>
      </c>
      <c r="E10" s="245">
        <f>'Výdavky 2025'!I216</f>
        <v>1046697</v>
      </c>
      <c r="F10" s="245">
        <f>'Výdavky 2025'!J216</f>
        <v>903428</v>
      </c>
      <c r="G10" s="408">
        <f t="shared" si="3"/>
        <v>86.312275663348615</v>
      </c>
      <c r="H10" s="246"/>
      <c r="I10" s="245">
        <v>615160</v>
      </c>
      <c r="J10" s="245">
        <f>'Výdavky 2025'!M216</f>
        <v>665360</v>
      </c>
      <c r="K10" s="245">
        <f>'Výdavky 2025'!N216</f>
        <v>353128</v>
      </c>
      <c r="L10" s="408">
        <f t="shared" si="4"/>
        <v>53.073223518095467</v>
      </c>
      <c r="M10" s="246"/>
      <c r="N10" s="245">
        <f t="shared" si="0"/>
        <v>1636125</v>
      </c>
      <c r="O10" s="245">
        <f t="shared" si="0"/>
        <v>1712057</v>
      </c>
      <c r="P10" s="245">
        <f t="shared" si="1"/>
        <v>1256556</v>
      </c>
      <c r="Q10" s="408">
        <f t="shared" si="2"/>
        <v>139.38549918144409</v>
      </c>
    </row>
    <row r="11" spans="2:17" ht="14.25" x14ac:dyDescent="0.2">
      <c r="B11" s="241">
        <v>7</v>
      </c>
      <c r="C11" s="85" t="s">
        <v>392</v>
      </c>
      <c r="D11" s="245">
        <v>2594014</v>
      </c>
      <c r="E11" s="245">
        <f>'Výdavky 2025'!I298</f>
        <v>2552477</v>
      </c>
      <c r="F11" s="245">
        <f>'Výdavky 2025'!J298</f>
        <v>2426703</v>
      </c>
      <c r="G11" s="408">
        <f t="shared" si="3"/>
        <v>95.072472739225461</v>
      </c>
      <c r="H11" s="246"/>
      <c r="I11" s="245">
        <v>15210700</v>
      </c>
      <c r="J11" s="245">
        <f>'Výdavky 2025'!M298</f>
        <v>15179900</v>
      </c>
      <c r="K11" s="245">
        <f>'Výdavky 2025'!N298</f>
        <v>3238559</v>
      </c>
      <c r="L11" s="408">
        <f t="shared" si="4"/>
        <v>21.334521307782001</v>
      </c>
      <c r="M11" s="246"/>
      <c r="N11" s="245">
        <f t="shared" si="0"/>
        <v>17804714</v>
      </c>
      <c r="O11" s="245">
        <f t="shared" si="0"/>
        <v>17732377</v>
      </c>
      <c r="P11" s="245">
        <f t="shared" si="1"/>
        <v>5665262</v>
      </c>
      <c r="Q11" s="408">
        <f t="shared" si="2"/>
        <v>116.40699404700746</v>
      </c>
    </row>
    <row r="12" spans="2:17" ht="14.25" x14ac:dyDescent="0.2">
      <c r="B12" s="241">
        <v>8</v>
      </c>
      <c r="C12" s="85" t="s">
        <v>29</v>
      </c>
      <c r="D12" s="245">
        <v>7608657</v>
      </c>
      <c r="E12" s="245">
        <f>'Výdavky 2025'!I371</f>
        <v>7775851</v>
      </c>
      <c r="F12" s="245">
        <f>'Výdavky 2025'!J371</f>
        <v>7384295</v>
      </c>
      <c r="G12" s="408">
        <f t="shared" si="3"/>
        <v>94.964461124576587</v>
      </c>
      <c r="H12" s="246"/>
      <c r="I12" s="245">
        <v>6450703</v>
      </c>
      <c r="J12" s="245">
        <f>'Výdavky 2025'!M371</f>
        <v>12963197</v>
      </c>
      <c r="K12" s="245">
        <f>'Výdavky 2025'!N371</f>
        <v>2037024</v>
      </c>
      <c r="L12" s="408">
        <f t="shared" si="4"/>
        <v>15.713901439590867</v>
      </c>
      <c r="M12" s="246"/>
      <c r="N12" s="245">
        <f t="shared" si="0"/>
        <v>14059360</v>
      </c>
      <c r="O12" s="245">
        <f t="shared" si="0"/>
        <v>20739048</v>
      </c>
      <c r="P12" s="245">
        <f t="shared" si="1"/>
        <v>9421319</v>
      </c>
      <c r="Q12" s="408">
        <f t="shared" si="2"/>
        <v>110.67836256416746</v>
      </c>
    </row>
    <row r="13" spans="2:17" ht="14.25" x14ac:dyDescent="0.2">
      <c r="B13" s="241">
        <v>9</v>
      </c>
      <c r="C13" s="85" t="s">
        <v>391</v>
      </c>
      <c r="D13" s="245">
        <v>34277307</v>
      </c>
      <c r="E13" s="245">
        <f>'Výdavky 2025'!I503</f>
        <v>37495847</v>
      </c>
      <c r="F13" s="245">
        <f>'Výdavky 2025'!J503</f>
        <v>36027729</v>
      </c>
      <c r="G13" s="408">
        <f t="shared" si="3"/>
        <v>96.084585047512064</v>
      </c>
      <c r="H13" s="246"/>
      <c r="I13" s="245">
        <v>2095562</v>
      </c>
      <c r="J13" s="245">
        <f>'Výdavky 2025'!M503</f>
        <v>2689942</v>
      </c>
      <c r="K13" s="245">
        <f>'Výdavky 2025'!N503</f>
        <v>709361</v>
      </c>
      <c r="L13" s="408">
        <f t="shared" si="4"/>
        <v>26.370865988932103</v>
      </c>
      <c r="M13" s="246"/>
      <c r="N13" s="245">
        <f t="shared" si="0"/>
        <v>36372869</v>
      </c>
      <c r="O13" s="245">
        <f t="shared" si="0"/>
        <v>40185789</v>
      </c>
      <c r="P13" s="245">
        <f t="shared" si="1"/>
        <v>36737090</v>
      </c>
      <c r="Q13" s="408">
        <f t="shared" si="2"/>
        <v>122.45545103644417</v>
      </c>
    </row>
    <row r="14" spans="2:17" ht="14.25" x14ac:dyDescent="0.2">
      <c r="B14" s="241">
        <v>10</v>
      </c>
      <c r="C14" s="85" t="s">
        <v>390</v>
      </c>
      <c r="D14" s="245">
        <v>2922185</v>
      </c>
      <c r="E14" s="245">
        <f>'Výdavky 2025'!I1405</f>
        <v>3054044</v>
      </c>
      <c r="F14" s="245">
        <f>'Výdavky 2025'!J1405</f>
        <v>2872838</v>
      </c>
      <c r="G14" s="408">
        <f t="shared" si="3"/>
        <v>94.066686662012728</v>
      </c>
      <c r="H14" s="246"/>
      <c r="I14" s="245">
        <v>49295983</v>
      </c>
      <c r="J14" s="245">
        <f>'Výdavky 2025'!M1405</f>
        <v>45384891</v>
      </c>
      <c r="K14" s="245">
        <f>'Výdavky 2025'!N1405</f>
        <v>19989754</v>
      </c>
      <c r="L14" s="408">
        <f t="shared" si="4"/>
        <v>44.044953198191003</v>
      </c>
      <c r="M14" s="246"/>
      <c r="N14" s="245">
        <f t="shared" si="0"/>
        <v>52218168</v>
      </c>
      <c r="O14" s="245">
        <f t="shared" si="0"/>
        <v>48438935</v>
      </c>
      <c r="P14" s="245">
        <f t="shared" si="1"/>
        <v>22862592</v>
      </c>
      <c r="Q14" s="408">
        <f t="shared" si="2"/>
        <v>138.11163986020372</v>
      </c>
    </row>
    <row r="15" spans="2:17" ht="14.25" x14ac:dyDescent="0.2">
      <c r="B15" s="241">
        <v>11</v>
      </c>
      <c r="C15" s="85" t="s">
        <v>30</v>
      </c>
      <c r="D15" s="245">
        <v>2330912</v>
      </c>
      <c r="E15" s="245">
        <f>'Výdavky 2025'!I1561</f>
        <v>2496473</v>
      </c>
      <c r="F15" s="245">
        <f>'Výdavky 2025'!J1561</f>
        <v>2154772</v>
      </c>
      <c r="G15" s="408">
        <f t="shared" si="3"/>
        <v>86.312649886459809</v>
      </c>
      <c r="H15" s="246"/>
      <c r="I15" s="245">
        <v>7526626</v>
      </c>
      <c r="J15" s="245">
        <f>'Výdavky 2025'!M1561</f>
        <v>7547426</v>
      </c>
      <c r="K15" s="245">
        <f>'Výdavky 2025'!N1561</f>
        <v>227020</v>
      </c>
      <c r="L15" s="408">
        <f t="shared" si="4"/>
        <v>3.0079128963967321</v>
      </c>
      <c r="M15" s="246"/>
      <c r="N15" s="245">
        <f t="shared" si="0"/>
        <v>9857538</v>
      </c>
      <c r="O15" s="245">
        <f t="shared" si="0"/>
        <v>10043899</v>
      </c>
      <c r="P15" s="245">
        <f t="shared" si="1"/>
        <v>2381792</v>
      </c>
      <c r="Q15" s="408">
        <f t="shared" si="2"/>
        <v>89.320562782856541</v>
      </c>
    </row>
    <row r="16" spans="2:17" ht="14.25" x14ac:dyDescent="0.2">
      <c r="B16" s="241">
        <v>12</v>
      </c>
      <c r="C16" s="85" t="s">
        <v>31</v>
      </c>
      <c r="D16" s="245">
        <v>6058506</v>
      </c>
      <c r="E16" s="245">
        <f>'Výdavky 2025'!I1637</f>
        <v>6383491</v>
      </c>
      <c r="F16" s="245">
        <f>'Výdavky 2025'!J1637</f>
        <v>5525501</v>
      </c>
      <c r="G16" s="408">
        <f t="shared" si="3"/>
        <v>86.559235377632703</v>
      </c>
      <c r="H16" s="246"/>
      <c r="I16" s="245">
        <v>1020400</v>
      </c>
      <c r="J16" s="245">
        <f>'Výdavky 2025'!M1637</f>
        <v>1416586</v>
      </c>
      <c r="K16" s="245">
        <f>'Výdavky 2025'!N1637</f>
        <v>633747</v>
      </c>
      <c r="L16" s="408">
        <f t="shared" si="4"/>
        <v>44.737629766212571</v>
      </c>
      <c r="M16" s="246"/>
      <c r="N16" s="245">
        <f t="shared" si="0"/>
        <v>7078906</v>
      </c>
      <c r="O16" s="245">
        <f t="shared" si="0"/>
        <v>7800077</v>
      </c>
      <c r="P16" s="245">
        <f t="shared" si="1"/>
        <v>6159248</v>
      </c>
      <c r="Q16" s="408">
        <f t="shared" si="2"/>
        <v>131.29686514384528</v>
      </c>
    </row>
    <row r="17" spans="2:17" ht="14.25" x14ac:dyDescent="0.2">
      <c r="B17" s="241">
        <v>13</v>
      </c>
      <c r="C17" s="85" t="s">
        <v>32</v>
      </c>
      <c r="D17" s="245">
        <v>5978664</v>
      </c>
      <c r="E17" s="245">
        <f>'Výdavky 2025'!I1744</f>
        <v>6536719</v>
      </c>
      <c r="F17" s="245">
        <f>'Výdavky 2025'!J1744</f>
        <v>6194708</v>
      </c>
      <c r="G17" s="408">
        <f t="shared" si="3"/>
        <v>94.767849130427663</v>
      </c>
      <c r="H17" s="246"/>
      <c r="I17" s="245">
        <v>1497300</v>
      </c>
      <c r="J17" s="245">
        <f>'Výdavky 2025'!M1744</f>
        <v>1358225</v>
      </c>
      <c r="K17" s="245">
        <f>'Výdavky 2025'!N1744</f>
        <v>1354324</v>
      </c>
      <c r="L17" s="408">
        <f t="shared" si="4"/>
        <v>99.712786909385414</v>
      </c>
      <c r="M17" s="246"/>
      <c r="N17" s="245">
        <f t="shared" si="0"/>
        <v>7475964</v>
      </c>
      <c r="O17" s="245">
        <f t="shared" si="0"/>
        <v>7894944</v>
      </c>
      <c r="P17" s="245">
        <f t="shared" si="1"/>
        <v>7549032</v>
      </c>
      <c r="Q17" s="408">
        <f t="shared" si="2"/>
        <v>194.48063603981308</v>
      </c>
    </row>
    <row r="18" spans="2:17" ht="14.25" x14ac:dyDescent="0.2">
      <c r="B18" s="241">
        <v>14</v>
      </c>
      <c r="C18" s="85" t="s">
        <v>33</v>
      </c>
      <c r="D18" s="245">
        <v>435020</v>
      </c>
      <c r="E18" s="245">
        <f>'Výdavky 2025'!I1936</f>
        <v>439003</v>
      </c>
      <c r="F18" s="245">
        <f>'Výdavky 2025'!J1936</f>
        <v>409976</v>
      </c>
      <c r="G18" s="408">
        <f t="shared" si="3"/>
        <v>93.387972291761102</v>
      </c>
      <c r="H18" s="246"/>
      <c r="I18" s="245">
        <v>1650</v>
      </c>
      <c r="J18" s="245">
        <f>'Výdavky 2025'!M1936</f>
        <v>1650</v>
      </c>
      <c r="K18" s="245">
        <f>'Výdavky 2025'!N1936</f>
        <v>1635</v>
      </c>
      <c r="L18" s="408">
        <f t="shared" si="4"/>
        <v>99.090909090909093</v>
      </c>
      <c r="M18" s="246"/>
      <c r="N18" s="245">
        <f t="shared" si="0"/>
        <v>436670</v>
      </c>
      <c r="O18" s="245">
        <f t="shared" si="0"/>
        <v>440653</v>
      </c>
      <c r="P18" s="245">
        <f t="shared" si="1"/>
        <v>411611</v>
      </c>
      <c r="Q18" s="408">
        <f t="shared" si="2"/>
        <v>192.47888138267018</v>
      </c>
    </row>
    <row r="19" spans="2:17" s="236" customFormat="1" ht="15" x14ac:dyDescent="0.2">
      <c r="B19" s="247">
        <v>15</v>
      </c>
      <c r="C19" s="248" t="s">
        <v>34</v>
      </c>
      <c r="D19" s="249">
        <f>D5-D6</f>
        <v>1865180</v>
      </c>
      <c r="E19" s="249">
        <f>E5-E6</f>
        <v>168354</v>
      </c>
      <c r="F19" s="249">
        <f>F5-F6</f>
        <v>4800937</v>
      </c>
      <c r="G19" s="518"/>
      <c r="H19" s="250"/>
      <c r="I19" s="248"/>
      <c r="J19" s="248"/>
      <c r="K19" s="248"/>
      <c r="L19" s="248"/>
      <c r="M19" s="250"/>
      <c r="N19" s="248"/>
      <c r="O19" s="248"/>
      <c r="P19" s="248"/>
      <c r="Q19" s="248"/>
    </row>
    <row r="20" spans="2:17" s="236" customFormat="1" ht="15" x14ac:dyDescent="0.2">
      <c r="B20" s="247">
        <v>16</v>
      </c>
      <c r="C20" s="248" t="s">
        <v>426</v>
      </c>
      <c r="D20" s="248"/>
      <c r="E20" s="248"/>
      <c r="F20" s="248"/>
      <c r="G20" s="248"/>
      <c r="H20" s="250"/>
      <c r="I20" s="249">
        <f>I5-I6</f>
        <v>-31989758</v>
      </c>
      <c r="J20" s="249">
        <f>J5-J6</f>
        <v>-36153129</v>
      </c>
      <c r="K20" s="249">
        <f>K5-K6</f>
        <v>-17223257</v>
      </c>
      <c r="L20" s="249"/>
      <c r="M20" s="250"/>
      <c r="N20" s="248"/>
      <c r="O20" s="248"/>
      <c r="P20" s="248"/>
      <c r="Q20" s="248"/>
    </row>
    <row r="21" spans="2:17" s="236" customFormat="1" ht="15" x14ac:dyDescent="0.2">
      <c r="B21" s="251">
        <v>17</v>
      </c>
      <c r="C21" s="252" t="s">
        <v>427</v>
      </c>
      <c r="D21" s="252"/>
      <c r="E21" s="252"/>
      <c r="F21" s="252"/>
      <c r="G21" s="252"/>
      <c r="H21" s="253"/>
      <c r="I21" s="252"/>
      <c r="J21" s="252"/>
      <c r="K21" s="252"/>
      <c r="L21" s="252"/>
      <c r="M21" s="253"/>
      <c r="N21" s="254">
        <f>N5-N6</f>
        <v>-30124578</v>
      </c>
      <c r="O21" s="254">
        <f>O5-O6</f>
        <v>-35984775</v>
      </c>
      <c r="P21" s="254">
        <f>P5-P6</f>
        <v>-12422320</v>
      </c>
      <c r="Q21" s="254"/>
    </row>
    <row r="22" spans="2:17" ht="4.5" customHeight="1" x14ac:dyDescent="0.2">
      <c r="N22" s="275" t="s">
        <v>782</v>
      </c>
    </row>
    <row r="23" spans="2:17" ht="15" x14ac:dyDescent="0.2">
      <c r="B23" s="704" t="s">
        <v>106</v>
      </c>
      <c r="C23" s="705"/>
      <c r="D23" s="705"/>
      <c r="E23" s="705"/>
      <c r="F23" s="705"/>
      <c r="G23" s="705"/>
      <c r="H23" s="705"/>
      <c r="I23" s="705"/>
      <c r="J23" s="705"/>
      <c r="K23" s="705"/>
      <c r="L23" s="705"/>
      <c r="M23" s="705"/>
      <c r="N23" s="705"/>
      <c r="O23" s="705"/>
      <c r="P23" s="705"/>
      <c r="Q23" s="705"/>
    </row>
    <row r="24" spans="2:17" s="235" customFormat="1" ht="15" x14ac:dyDescent="0.25">
      <c r="B24" s="241">
        <v>1</v>
      </c>
      <c r="C24" s="696" t="s">
        <v>35</v>
      </c>
      <c r="D24" s="697"/>
      <c r="E24" s="697"/>
      <c r="F24" s="697"/>
      <c r="G24" s="697"/>
      <c r="H24" s="697"/>
      <c r="I24" s="697"/>
      <c r="J24" s="697"/>
      <c r="K24" s="367"/>
      <c r="L24" s="367"/>
      <c r="M24" s="255"/>
      <c r="N24" s="269">
        <f>SUM(N25:N38)</f>
        <v>33092578</v>
      </c>
      <c r="O24" s="269">
        <f>SUM(O25:O38)</f>
        <v>38859981</v>
      </c>
      <c r="P24" s="269">
        <f>SUM(P25:P38)</f>
        <v>20385606</v>
      </c>
      <c r="Q24" s="516">
        <f>P24/O24*100</f>
        <v>52.459124980014785</v>
      </c>
    </row>
    <row r="25" spans="2:17" ht="15" x14ac:dyDescent="0.25">
      <c r="B25" s="241">
        <f>B24+1</f>
        <v>2</v>
      </c>
      <c r="C25" s="698" t="s">
        <v>343</v>
      </c>
      <c r="D25" s="699"/>
      <c r="E25" s="699"/>
      <c r="F25" s="699"/>
      <c r="G25" s="699"/>
      <c r="H25" s="699"/>
      <c r="I25" s="699"/>
      <c r="J25" s="699"/>
      <c r="K25" s="257"/>
      <c r="L25" s="257"/>
      <c r="M25" s="240"/>
      <c r="N25" s="244">
        <v>732548</v>
      </c>
      <c r="O25" s="244">
        <f>93348+200000+276400+150000+12800+957731</f>
        <v>1690279</v>
      </c>
      <c r="P25" s="244">
        <v>1692226</v>
      </c>
      <c r="Q25" s="408">
        <f t="shared" ref="Q25:Q44" si="5">P25/O25*100</f>
        <v>100.11518808433402</v>
      </c>
    </row>
    <row r="26" spans="2:17" ht="15" x14ac:dyDescent="0.25">
      <c r="B26" s="241">
        <f t="shared" ref="B26:B42" si="6">B25+1</f>
        <v>3</v>
      </c>
      <c r="C26" s="256" t="s">
        <v>657</v>
      </c>
      <c r="D26" s="257"/>
      <c r="E26" s="257"/>
      <c r="F26" s="257"/>
      <c r="G26" s="257"/>
      <c r="H26" s="257"/>
      <c r="I26" s="257"/>
      <c r="J26" s="257"/>
      <c r="K26" s="257"/>
      <c r="L26" s="257"/>
      <c r="M26" s="240"/>
      <c r="N26" s="244">
        <v>0</v>
      </c>
      <c r="O26" s="244">
        <v>1037615</v>
      </c>
      <c r="P26" s="244">
        <f>561215+236690</f>
        <v>797905</v>
      </c>
      <c r="Q26" s="408">
        <f t="shared" si="5"/>
        <v>76.897982392313153</v>
      </c>
    </row>
    <row r="27" spans="2:17" ht="15" x14ac:dyDescent="0.25">
      <c r="B27" s="241">
        <f t="shared" si="6"/>
        <v>4</v>
      </c>
      <c r="C27" s="256" t="s">
        <v>658</v>
      </c>
      <c r="D27" s="257"/>
      <c r="E27" s="257"/>
      <c r="F27" s="257"/>
      <c r="G27" s="257"/>
      <c r="H27" s="257"/>
      <c r="I27" s="257"/>
      <c r="J27" s="257"/>
      <c r="K27" s="257"/>
      <c r="L27" s="257"/>
      <c r="M27" s="240"/>
      <c r="N27" s="244">
        <v>0</v>
      </c>
      <c r="O27" s="244">
        <v>24486</v>
      </c>
      <c r="P27" s="244">
        <v>24486</v>
      </c>
      <c r="Q27" s="408">
        <f t="shared" si="5"/>
        <v>100</v>
      </c>
    </row>
    <row r="28" spans="2:17" ht="15" x14ac:dyDescent="0.25">
      <c r="B28" s="241">
        <f t="shared" si="6"/>
        <v>5</v>
      </c>
      <c r="C28" s="256" t="s">
        <v>659</v>
      </c>
      <c r="D28" s="257"/>
      <c r="E28" s="257"/>
      <c r="F28" s="257"/>
      <c r="G28" s="257"/>
      <c r="H28" s="257"/>
      <c r="I28" s="257"/>
      <c r="J28" s="257"/>
      <c r="K28" s="257"/>
      <c r="L28" s="257"/>
      <c r="M28" s="240"/>
      <c r="N28" s="244">
        <v>0</v>
      </c>
      <c r="O28" s="244">
        <v>99550</v>
      </c>
      <c r="P28" s="244">
        <f>16860+32660.19+1100+5000+29509.81+14420</f>
        <v>99550</v>
      </c>
      <c r="Q28" s="408">
        <f t="shared" si="5"/>
        <v>100</v>
      </c>
    </row>
    <row r="29" spans="2:17" ht="15" x14ac:dyDescent="0.25">
      <c r="B29" s="241">
        <f t="shared" si="6"/>
        <v>6</v>
      </c>
      <c r="C29" s="256" t="s">
        <v>660</v>
      </c>
      <c r="D29" s="257"/>
      <c r="E29" s="257"/>
      <c r="F29" s="257"/>
      <c r="G29" s="257"/>
      <c r="H29" s="257"/>
      <c r="I29" s="257"/>
      <c r="J29" s="257"/>
      <c r="K29" s="257"/>
      <c r="L29" s="257"/>
      <c r="M29" s="240"/>
      <c r="N29" s="244">
        <v>0</v>
      </c>
      <c r="O29" s="244">
        <v>10750</v>
      </c>
      <c r="P29" s="244">
        <v>10750</v>
      </c>
      <c r="Q29" s="408">
        <f t="shared" si="5"/>
        <v>100</v>
      </c>
    </row>
    <row r="30" spans="2:17" ht="15" x14ac:dyDescent="0.25">
      <c r="B30" s="241">
        <f t="shared" si="6"/>
        <v>7</v>
      </c>
      <c r="C30" s="256" t="s">
        <v>661</v>
      </c>
      <c r="D30" s="257"/>
      <c r="E30" s="257"/>
      <c r="F30" s="257"/>
      <c r="G30" s="257"/>
      <c r="H30" s="257"/>
      <c r="I30" s="257"/>
      <c r="J30" s="257"/>
      <c r="K30" s="257"/>
      <c r="L30" s="257"/>
      <c r="M30" s="240"/>
      <c r="N30" s="244">
        <v>0</v>
      </c>
      <c r="O30" s="244">
        <v>8847</v>
      </c>
      <c r="P30" s="244">
        <v>8847</v>
      </c>
      <c r="Q30" s="408">
        <f t="shared" si="5"/>
        <v>100</v>
      </c>
    </row>
    <row r="31" spans="2:17" ht="15" x14ac:dyDescent="0.25">
      <c r="B31" s="241">
        <f t="shared" si="6"/>
        <v>8</v>
      </c>
      <c r="C31" s="256" t="s">
        <v>558</v>
      </c>
      <c r="D31" s="257"/>
      <c r="E31" s="257"/>
      <c r="F31" s="257"/>
      <c r="G31" s="257"/>
      <c r="H31" s="257"/>
      <c r="I31" s="257"/>
      <c r="J31" s="257"/>
      <c r="K31" s="257"/>
      <c r="L31" s="257"/>
      <c r="M31" s="240"/>
      <c r="N31" s="244">
        <v>4405215</v>
      </c>
      <c r="O31" s="244">
        <f>4405215+1200000+527890+734411+134188+48500+645750+1389644</f>
        <v>9085598</v>
      </c>
      <c r="P31" s="244">
        <f>4614318+3013576-P33</f>
        <v>7500705</v>
      </c>
      <c r="Q31" s="408">
        <f t="shared" si="5"/>
        <v>82.555985858057994</v>
      </c>
    </row>
    <row r="32" spans="2:17" ht="15" x14ac:dyDescent="0.25">
      <c r="B32" s="241">
        <f t="shared" si="6"/>
        <v>9</v>
      </c>
      <c r="C32" s="256" t="s">
        <v>434</v>
      </c>
      <c r="D32" s="257"/>
      <c r="E32" s="257"/>
      <c r="F32" s="257"/>
      <c r="G32" s="257"/>
      <c r="H32" s="257"/>
      <c r="I32" s="257"/>
      <c r="J32" s="257"/>
      <c r="K32" s="257"/>
      <c r="L32" s="257"/>
      <c r="M32" s="240"/>
      <c r="N32" s="244">
        <v>205200</v>
      </c>
      <c r="O32" s="244">
        <v>205200</v>
      </c>
      <c r="P32" s="244">
        <v>0</v>
      </c>
      <c r="Q32" s="408">
        <f t="shared" si="5"/>
        <v>0</v>
      </c>
    </row>
    <row r="33" spans="2:17" ht="15" x14ac:dyDescent="0.25">
      <c r="B33" s="241">
        <f t="shared" si="6"/>
        <v>10</v>
      </c>
      <c r="C33" s="256" t="s">
        <v>486</v>
      </c>
      <c r="D33" s="257"/>
      <c r="E33" s="257"/>
      <c r="F33" s="257"/>
      <c r="G33" s="257"/>
      <c r="H33" s="257"/>
      <c r="I33" s="257"/>
      <c r="J33" s="257"/>
      <c r="K33" s="257"/>
      <c r="L33" s="257"/>
      <c r="M33" s="240"/>
      <c r="N33" s="244">
        <v>127189</v>
      </c>
      <c r="O33" s="244">
        <v>127189</v>
      </c>
      <c r="P33" s="244">
        <v>127189</v>
      </c>
      <c r="Q33" s="408">
        <f t="shared" si="5"/>
        <v>100</v>
      </c>
    </row>
    <row r="34" spans="2:17" ht="15" x14ac:dyDescent="0.25">
      <c r="B34" s="241">
        <f t="shared" si="6"/>
        <v>11</v>
      </c>
      <c r="C34" s="297" t="s">
        <v>529</v>
      </c>
      <c r="D34" s="591"/>
      <c r="E34" s="295"/>
      <c r="F34" s="295"/>
      <c r="G34" s="295"/>
      <c r="H34" s="295"/>
      <c r="I34" s="295"/>
      <c r="J34" s="295"/>
      <c r="K34" s="295"/>
      <c r="L34" s="295"/>
      <c r="M34" s="296"/>
      <c r="N34" s="244">
        <v>6000000</v>
      </c>
      <c r="O34" s="244">
        <v>6000000</v>
      </c>
      <c r="P34" s="244">
        <f>1015252+502554</f>
        <v>1517806</v>
      </c>
      <c r="Q34" s="517">
        <f t="shared" si="5"/>
        <v>25.296766666666663</v>
      </c>
    </row>
    <row r="35" spans="2:17" ht="15.75" customHeight="1" x14ac:dyDescent="0.25">
      <c r="B35" s="241">
        <f t="shared" si="6"/>
        <v>12</v>
      </c>
      <c r="C35" s="698" t="s">
        <v>527</v>
      </c>
      <c r="D35" s="699"/>
      <c r="E35" s="699"/>
      <c r="F35" s="699"/>
      <c r="G35" s="699"/>
      <c r="H35" s="699"/>
      <c r="I35" s="699"/>
      <c r="J35" s="699"/>
      <c r="K35" s="257"/>
      <c r="L35" s="257"/>
      <c r="M35" s="240"/>
      <c r="N35" s="244">
        <v>2988836</v>
      </c>
      <c r="O35" s="244">
        <f>18800+326000+14000+24000+60000+250000+284000+114496+148000+57600+80000+136000+696000+94608+160000+144000+192000+1200000+24000+3200-1037868</f>
        <v>2988836</v>
      </c>
      <c r="P35" s="244">
        <v>2850000</v>
      </c>
      <c r="Q35" s="408">
        <f t="shared" si="5"/>
        <v>95.354847171273363</v>
      </c>
    </row>
    <row r="36" spans="2:17" ht="15" x14ac:dyDescent="0.25">
      <c r="B36" s="241">
        <f t="shared" si="6"/>
        <v>13</v>
      </c>
      <c r="C36" s="256" t="s">
        <v>435</v>
      </c>
      <c r="D36" s="257"/>
      <c r="E36" s="257"/>
      <c r="F36" s="257"/>
      <c r="G36" s="257"/>
      <c r="H36" s="257"/>
      <c r="I36" s="258"/>
      <c r="J36" s="258"/>
      <c r="K36" s="258"/>
      <c r="L36" s="258"/>
      <c r="M36" s="240"/>
      <c r="N36" s="244">
        <v>3683590</v>
      </c>
      <c r="O36" s="244">
        <f>2194529+1489061-1051959</f>
        <v>2631631</v>
      </c>
      <c r="P36" s="244">
        <f>1116613+1515018</f>
        <v>2631631</v>
      </c>
      <c r="Q36" s="408">
        <f t="shared" si="5"/>
        <v>100</v>
      </c>
    </row>
    <row r="37" spans="2:17" ht="15" x14ac:dyDescent="0.25">
      <c r="B37" s="241">
        <f t="shared" si="6"/>
        <v>14</v>
      </c>
      <c r="C37" s="256" t="s">
        <v>555</v>
      </c>
      <c r="D37" s="257"/>
      <c r="E37" s="259"/>
      <c r="F37" s="259"/>
      <c r="G37" s="259"/>
      <c r="H37" s="259"/>
      <c r="I37" s="332"/>
      <c r="M37" s="240"/>
      <c r="N37" s="244">
        <v>6490000</v>
      </c>
      <c r="O37" s="244">
        <v>6490000</v>
      </c>
      <c r="P37" s="244">
        <v>3124511</v>
      </c>
      <c r="Q37" s="408">
        <f t="shared" si="5"/>
        <v>48.143466872110942</v>
      </c>
    </row>
    <row r="38" spans="2:17" ht="15" x14ac:dyDescent="0.25">
      <c r="B38" s="241">
        <f t="shared" si="6"/>
        <v>15</v>
      </c>
      <c r="C38" s="256" t="s">
        <v>556</v>
      </c>
      <c r="D38" s="257"/>
      <c r="E38" s="259"/>
      <c r="F38" s="259"/>
      <c r="G38" s="259"/>
      <c r="H38" s="259"/>
      <c r="I38" s="332"/>
      <c r="M38" s="240"/>
      <c r="N38" s="244">
        <v>8460000</v>
      </c>
      <c r="O38" s="244">
        <v>8460000</v>
      </c>
      <c r="P38" s="244">
        <v>0</v>
      </c>
      <c r="Q38" s="408">
        <f t="shared" si="5"/>
        <v>0</v>
      </c>
    </row>
    <row r="39" spans="2:17" s="235" customFormat="1" ht="15" x14ac:dyDescent="0.25">
      <c r="B39" s="241">
        <f t="shared" si="6"/>
        <v>16</v>
      </c>
      <c r="C39" s="696" t="s">
        <v>524</v>
      </c>
      <c r="D39" s="697"/>
      <c r="E39" s="697"/>
      <c r="F39" s="697"/>
      <c r="G39" s="697"/>
      <c r="H39" s="697"/>
      <c r="I39" s="697"/>
      <c r="J39" s="697"/>
      <c r="K39" s="367"/>
      <c r="L39" s="367"/>
      <c r="M39" s="269"/>
      <c r="N39" s="269">
        <f t="shared" ref="N39" si="7">SUM(N40:N44)</f>
        <v>2968000</v>
      </c>
      <c r="O39" s="269">
        <f>SUM(O40:O44)</f>
        <v>2875206</v>
      </c>
      <c r="P39" s="269">
        <f>SUM(P40:P44)</f>
        <v>2819835</v>
      </c>
      <c r="Q39" s="516">
        <f t="shared" si="5"/>
        <v>98.07419016237445</v>
      </c>
    </row>
    <row r="40" spans="2:17" ht="15" x14ac:dyDescent="0.25">
      <c r="B40" s="241">
        <f t="shared" si="6"/>
        <v>17</v>
      </c>
      <c r="C40" s="256" t="s">
        <v>500</v>
      </c>
      <c r="D40" s="257"/>
      <c r="E40" s="257"/>
      <c r="F40" s="257"/>
      <c r="G40" s="257"/>
      <c r="H40" s="257"/>
      <c r="I40" s="257"/>
      <c r="J40" s="257"/>
      <c r="K40" s="257"/>
      <c r="L40" s="257"/>
      <c r="M40" s="240"/>
      <c r="N40" s="244">
        <v>15000</v>
      </c>
      <c r="O40" s="268">
        <v>15000</v>
      </c>
      <c r="P40" s="268">
        <v>15000</v>
      </c>
      <c r="Q40" s="517">
        <f t="shared" si="5"/>
        <v>100</v>
      </c>
    </row>
    <row r="41" spans="2:17" ht="15" x14ac:dyDescent="0.25">
      <c r="B41" s="241">
        <f t="shared" si="6"/>
        <v>18</v>
      </c>
      <c r="C41" s="256" t="s">
        <v>684</v>
      </c>
      <c r="D41" s="257"/>
      <c r="E41" s="257"/>
      <c r="F41" s="257"/>
      <c r="G41" s="257"/>
      <c r="H41" s="257"/>
      <c r="I41" s="257"/>
      <c r="J41" s="257"/>
      <c r="K41" s="257"/>
      <c r="L41" s="257"/>
      <c r="M41" s="240"/>
      <c r="N41" s="244">
        <v>0</v>
      </c>
      <c r="O41" s="268">
        <f>207206+58</f>
        <v>207264</v>
      </c>
      <c r="P41" s="268">
        <v>207264</v>
      </c>
      <c r="Q41" s="517">
        <f t="shared" si="5"/>
        <v>100</v>
      </c>
    </row>
    <row r="42" spans="2:17" ht="15" x14ac:dyDescent="0.25">
      <c r="B42" s="241">
        <f t="shared" si="6"/>
        <v>19</v>
      </c>
      <c r="C42" s="698" t="s">
        <v>344</v>
      </c>
      <c r="D42" s="699"/>
      <c r="E42" s="699"/>
      <c r="F42" s="699"/>
      <c r="G42" s="699"/>
      <c r="H42" s="699"/>
      <c r="I42" s="699"/>
      <c r="J42" s="699"/>
      <c r="K42" s="257"/>
      <c r="L42" s="257"/>
      <c r="M42" s="240"/>
      <c r="N42" s="244">
        <v>2808000</v>
      </c>
      <c r="O42" s="268">
        <f>2828000-10000-10000-300000-58</f>
        <v>2507942</v>
      </c>
      <c r="P42" s="268">
        <v>2492293</v>
      </c>
      <c r="Q42" s="517">
        <f t="shared" si="5"/>
        <v>99.376022252508236</v>
      </c>
    </row>
    <row r="43" spans="2:17" ht="15" x14ac:dyDescent="0.25">
      <c r="B43" s="241">
        <f t="shared" ref="B43" si="8">B42+1</f>
        <v>20</v>
      </c>
      <c r="C43" s="698" t="s">
        <v>494</v>
      </c>
      <c r="D43" s="699"/>
      <c r="E43" s="699"/>
      <c r="F43" s="699"/>
      <c r="G43" s="699"/>
      <c r="H43" s="699"/>
      <c r="I43" s="699"/>
      <c r="J43" s="699"/>
      <c r="K43" s="257"/>
      <c r="L43" s="257"/>
      <c r="M43" s="240"/>
      <c r="N43" s="244">
        <v>40000</v>
      </c>
      <c r="O43" s="268">
        <v>40000</v>
      </c>
      <c r="P43" s="268">
        <v>0</v>
      </c>
      <c r="Q43" s="517">
        <f t="shared" si="5"/>
        <v>0</v>
      </c>
    </row>
    <row r="44" spans="2:17" ht="15" x14ac:dyDescent="0.25">
      <c r="B44" s="241">
        <f t="shared" ref="B44:B45" si="9">B43+1</f>
        <v>21</v>
      </c>
      <c r="C44" s="698" t="s">
        <v>345</v>
      </c>
      <c r="D44" s="699"/>
      <c r="E44" s="699"/>
      <c r="F44" s="699"/>
      <c r="G44" s="699"/>
      <c r="H44" s="699"/>
      <c r="I44" s="699"/>
      <c r="J44" s="699"/>
      <c r="K44" s="257"/>
      <c r="L44" s="257"/>
      <c r="M44" s="240"/>
      <c r="N44" s="244">
        <v>105000</v>
      </c>
      <c r="O44" s="268">
        <v>105000</v>
      </c>
      <c r="P44" s="268">
        <v>105278</v>
      </c>
      <c r="Q44" s="517">
        <f t="shared" si="5"/>
        <v>100.2647619047619</v>
      </c>
    </row>
    <row r="45" spans="2:17" s="236" customFormat="1" ht="25.5" customHeight="1" x14ac:dyDescent="0.2">
      <c r="B45" s="241">
        <f t="shared" si="9"/>
        <v>22</v>
      </c>
      <c r="C45" s="711" t="s">
        <v>36</v>
      </c>
      <c r="D45" s="712"/>
      <c r="E45" s="712"/>
      <c r="F45" s="712"/>
      <c r="G45" s="712"/>
      <c r="H45" s="712"/>
      <c r="I45" s="712"/>
      <c r="J45" s="712"/>
      <c r="K45" s="366"/>
      <c r="L45" s="366"/>
      <c r="M45" s="260"/>
      <c r="N45" s="292">
        <f>N21+N24-N39</f>
        <v>0</v>
      </c>
      <c r="O45" s="292">
        <f>O21+O24-O39</f>
        <v>0</v>
      </c>
      <c r="P45" s="292">
        <f>P21+P24-P39</f>
        <v>5143451</v>
      </c>
      <c r="Q45" s="292"/>
    </row>
    <row r="46" spans="2:17" ht="13.5" thickBot="1" x14ac:dyDescent="0.25"/>
    <row r="47" spans="2:17" ht="15" x14ac:dyDescent="0.2">
      <c r="B47" s="351" t="s">
        <v>665</v>
      </c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3"/>
      <c r="P47" s="353" t="s">
        <v>668</v>
      </c>
      <c r="Q47" s="358"/>
    </row>
    <row r="48" spans="2:17" ht="15" x14ac:dyDescent="0.25">
      <c r="B48" s="345">
        <v>1</v>
      </c>
      <c r="C48" s="256" t="s">
        <v>666</v>
      </c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346">
        <v>6623160.9699999997</v>
      </c>
      <c r="P48" s="346">
        <f>O48</f>
        <v>6623160.9699999997</v>
      </c>
      <c r="Q48" s="359"/>
    </row>
    <row r="49" spans="2:17" s="171" customFormat="1" ht="15" x14ac:dyDescent="0.2">
      <c r="B49" s="354">
        <v>2</v>
      </c>
      <c r="C49" s="708" t="s">
        <v>667</v>
      </c>
      <c r="D49" s="709"/>
      <c r="E49" s="709"/>
      <c r="F49" s="709"/>
      <c r="G49" s="709"/>
      <c r="H49" s="709"/>
      <c r="I49" s="709"/>
      <c r="J49" s="709"/>
      <c r="K49" s="709"/>
      <c r="L49" s="709"/>
      <c r="M49" s="710"/>
      <c r="N49" s="592"/>
      <c r="O49" s="355">
        <v>4587261</v>
      </c>
      <c r="P49" s="355">
        <f>O49</f>
        <v>4587261</v>
      </c>
      <c r="Q49" s="358"/>
    </row>
    <row r="50" spans="2:17" ht="15" x14ac:dyDescent="0.25">
      <c r="B50" s="345">
        <v>3</v>
      </c>
      <c r="C50" s="256" t="s">
        <v>783</v>
      </c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346">
        <f>O31+O32+O33</f>
        <v>9417987</v>
      </c>
      <c r="P50" s="346">
        <f>P31+P33</f>
        <v>7627894</v>
      </c>
      <c r="Q50" s="371"/>
    </row>
    <row r="51" spans="2:17" ht="15.75" thickBot="1" x14ac:dyDescent="0.3">
      <c r="B51" s="347">
        <v>4</v>
      </c>
      <c r="C51" s="348" t="s">
        <v>784</v>
      </c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50">
        <f>O48+O49-O50</f>
        <v>1792434.9699999988</v>
      </c>
      <c r="P51" s="350">
        <f>P48+P49-P50</f>
        <v>3582527.9699999988</v>
      </c>
      <c r="Q51" s="359"/>
    </row>
    <row r="53" spans="2:17" ht="34.5" customHeight="1" x14ac:dyDescent="0.2">
      <c r="B53" s="695"/>
      <c r="C53" s="695"/>
      <c r="D53" s="695"/>
      <c r="E53" s="695"/>
      <c r="F53" s="695"/>
      <c r="G53" s="695"/>
      <c r="H53" s="695"/>
      <c r="I53" s="695"/>
      <c r="J53" s="695"/>
      <c r="K53" s="695"/>
      <c r="L53" s="695"/>
      <c r="M53" s="695"/>
      <c r="N53" s="695"/>
      <c r="O53" s="695"/>
      <c r="P53" s="695"/>
      <c r="Q53" s="695"/>
    </row>
    <row r="1642" s="261" customFormat="1" x14ac:dyDescent="0.2"/>
  </sheetData>
  <mergeCells count="13">
    <mergeCell ref="B53:Q53"/>
    <mergeCell ref="C24:J24"/>
    <mergeCell ref="C25:J25"/>
    <mergeCell ref="B2:C3"/>
    <mergeCell ref="B23:Q23"/>
    <mergeCell ref="D2:Q2"/>
    <mergeCell ref="C49:M49"/>
    <mergeCell ref="C45:J45"/>
    <mergeCell ref="C39:J39"/>
    <mergeCell ref="C42:J42"/>
    <mergeCell ref="C35:J35"/>
    <mergeCell ref="C44:J44"/>
    <mergeCell ref="C43:J43"/>
  </mergeCells>
  <phoneticPr fontId="2" type="noConversion"/>
  <pageMargins left="0.36" right="0" top="0.11811023622047245" bottom="0.15748031496062992" header="0.17" footer="0.17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Príjmy 2025</vt:lpstr>
      <vt:lpstr>Výdavky 2025</vt:lpstr>
      <vt:lpstr>Sumarizácia 2025</vt:lpstr>
      <vt:lpstr>'Príjmy 2025'!Oblasť_tlače</vt:lpstr>
      <vt:lpstr>'Sumarizácia 2025'!Oblasť_tlače</vt:lpstr>
      <vt:lpstr>'Výdavky 2025'!Oblasť_tlače</vt:lpstr>
    </vt:vector>
  </TitlesOfParts>
  <Company>corageo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masarik.daniel</dc:creator>
  <cp:lastModifiedBy>Žilková Andrea, Ing.</cp:lastModifiedBy>
  <cp:lastPrinted>2026-06-08T13:54:30Z</cp:lastPrinted>
  <dcterms:created xsi:type="dcterms:W3CDTF">2014-05-27T11:25:41Z</dcterms:created>
  <dcterms:modified xsi:type="dcterms:W3CDTF">2026-06-16T06:01:45Z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a12d6f7b-00db-4da8-9c22-2c68387c5c4e_Version">
    <vt:lpwstr>1</vt:lpwstr>
  </property>
  <property fmtid="{D5CDD505-2E9C-101B-9397-08002B2CF9AE}" pid="3" name="STCat_a12d6f7b-00db-4da8-9c22-2c68387c5c4e_Id">
    <vt:lpwstr>a12d6f7b-00db-4da8-9c22-2c68387c5c4e</vt:lpwstr>
  </property>
  <property fmtid="{D5CDD505-2E9C-101B-9397-08002B2CF9AE}" pid="4" name="STCat_a12d6f7b-00db-4da8-9c22-2c68387c5c4e_Name">
    <vt:lpwstr>Web IS DISS</vt:lpwstr>
  </property>
</Properties>
</file>