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Monitorovacia správa 2025\"/>
    </mc:Choice>
  </mc:AlternateContent>
  <xr:revisionPtr revIDLastSave="0" documentId="13_ncr:1_{F1B7DB64-5544-432A-9CAC-47BD94FC6B1A}" xr6:coauthVersionLast="47" xr6:coauthVersionMax="47" xr10:uidLastSave="{00000000-0000-0000-0000-000000000000}"/>
  <bookViews>
    <workbookView xWindow="-120" yWindow="-120" windowWidth="29040" windowHeight="15720" tabRatio="952" xr2:uid="{0468E873-DFAB-4663-9284-069D4DE40F5C}"/>
  </bookViews>
  <sheets>
    <sheet name="Príjmy 2025" sheetId="13" r:id="rId1"/>
    <sheet name="Výdavky 2025" sheetId="14" r:id="rId2"/>
    <sheet name="Sumarizácia 2025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'Príjmy 2025'!$B$1:$G$367</definedName>
    <definedName name="_xlnm.Print_Area" localSheetId="2">'Sumarizácia 2025'!$C$3:$L$44</definedName>
    <definedName name="_xlnm.Print_Area" localSheetId="1">'Výdavky 2025'!$B$1:$Q$1874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55" i="14" l="1"/>
  <c r="B1856" i="14" s="1"/>
  <c r="B1857" i="14" s="1"/>
  <c r="B1858" i="14" s="1"/>
  <c r="B1859" i="14" s="1"/>
  <c r="B1860" i="14" s="1"/>
  <c r="B1861" i="14" s="1"/>
  <c r="B1862" i="14" s="1"/>
  <c r="B1863" i="14" s="1"/>
  <c r="B1864" i="14" s="1"/>
  <c r="B1865" i="14" s="1"/>
  <c r="B1866" i="14" s="1"/>
  <c r="B1867" i="14" s="1"/>
  <c r="B1868" i="14" s="1"/>
  <c r="B1869" i="14" s="1"/>
  <c r="B1870" i="14" s="1"/>
  <c r="B1871" i="14" s="1"/>
  <c r="B1872" i="14" s="1"/>
  <c r="B1873" i="14" s="1"/>
  <c r="B1874" i="14" s="1"/>
  <c r="J1857" i="14"/>
  <c r="P1857" i="14" s="1"/>
  <c r="K1858" i="14"/>
  <c r="O1858" i="14"/>
  <c r="P1858" i="14"/>
  <c r="Q1858" i="14" s="1"/>
  <c r="I1859" i="14"/>
  <c r="I1857" i="14" s="1"/>
  <c r="P1859" i="14"/>
  <c r="I1860" i="14"/>
  <c r="O1860" i="14" s="1"/>
  <c r="J1860" i="14"/>
  <c r="P1860" i="14" s="1"/>
  <c r="K1860" i="14"/>
  <c r="K1861" i="14"/>
  <c r="O1861" i="14"/>
  <c r="P1861" i="14"/>
  <c r="Q1861" i="14"/>
  <c r="L1863" i="14"/>
  <c r="L1862" i="14" s="1"/>
  <c r="M1863" i="14"/>
  <c r="M1862" i="14" s="1"/>
  <c r="O1863" i="14"/>
  <c r="N1864" i="14"/>
  <c r="O1864" i="14"/>
  <c r="P1864" i="14"/>
  <c r="O1865" i="14"/>
  <c r="P1865" i="14"/>
  <c r="K1867" i="14"/>
  <c r="O1867" i="14"/>
  <c r="P1867" i="14"/>
  <c r="Q1867" i="14" s="1"/>
  <c r="K1868" i="14"/>
  <c r="O1868" i="14"/>
  <c r="P1868" i="14"/>
  <c r="I1869" i="14"/>
  <c r="I1866" i="14" s="1"/>
  <c r="O1866" i="14" s="1"/>
  <c r="J1869" i="14"/>
  <c r="J1866" i="14" s="1"/>
  <c r="P1866" i="14" s="1"/>
  <c r="K1870" i="14"/>
  <c r="O1870" i="14"/>
  <c r="P1870" i="14"/>
  <c r="K1871" i="14"/>
  <c r="O1871" i="14"/>
  <c r="P1871" i="14"/>
  <c r="K1872" i="14"/>
  <c r="O1872" i="14"/>
  <c r="P1872" i="14"/>
  <c r="K1873" i="14"/>
  <c r="O1873" i="14"/>
  <c r="P1873" i="14"/>
  <c r="Q1873" i="14" s="1"/>
  <c r="K1874" i="14"/>
  <c r="O1874" i="14"/>
  <c r="P1874" i="14"/>
  <c r="Q1874" i="14"/>
  <c r="B1666" i="14"/>
  <c r="B1667" i="14" s="1"/>
  <c r="B1668" i="14" s="1"/>
  <c r="B1669" i="14" s="1"/>
  <c r="B1670" i="14" s="1"/>
  <c r="B1671" i="14" s="1"/>
  <c r="B1672" i="14" s="1"/>
  <c r="B1673" i="14" s="1"/>
  <c r="B1674" i="14" s="1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K1669" i="14"/>
  <c r="O1669" i="14"/>
  <c r="P1669" i="14"/>
  <c r="Q1669" i="14"/>
  <c r="K1670" i="14"/>
  <c r="O1670" i="14"/>
  <c r="P1670" i="14"/>
  <c r="Q1670" i="14" s="1"/>
  <c r="J1671" i="14"/>
  <c r="J1668" i="14" s="1"/>
  <c r="K1672" i="14"/>
  <c r="O1672" i="14"/>
  <c r="P1672" i="14"/>
  <c r="I1673" i="14"/>
  <c r="K1673" i="14"/>
  <c r="O1673" i="14"/>
  <c r="P1673" i="14"/>
  <c r="I1674" i="14"/>
  <c r="O1674" i="14" s="1"/>
  <c r="P1674" i="14"/>
  <c r="I1675" i="14"/>
  <c r="K1675" i="14" s="1"/>
  <c r="O1675" i="14"/>
  <c r="P1675" i="14"/>
  <c r="K1676" i="14"/>
  <c r="O1676" i="14"/>
  <c r="P1676" i="14"/>
  <c r="L1678" i="14"/>
  <c r="M1678" i="14"/>
  <c r="O1678" i="14"/>
  <c r="N1679" i="14"/>
  <c r="O1679" i="14"/>
  <c r="P1679" i="14"/>
  <c r="Q1679" i="14" s="1"/>
  <c r="L1680" i="14"/>
  <c r="O1680" i="14" s="1"/>
  <c r="M1680" i="14"/>
  <c r="N1680" i="14" s="1"/>
  <c r="N1681" i="14"/>
  <c r="O1681" i="14"/>
  <c r="P1681" i="14"/>
  <c r="Q1681" i="14" s="1"/>
  <c r="M1682" i="14"/>
  <c r="P1682" i="14" s="1"/>
  <c r="L1683" i="14"/>
  <c r="L1682" i="14" s="1"/>
  <c r="O1682" i="14" s="1"/>
  <c r="N1683" i="14"/>
  <c r="O1683" i="14"/>
  <c r="P1683" i="14"/>
  <c r="O1684" i="14"/>
  <c r="P1684" i="14"/>
  <c r="I1686" i="14"/>
  <c r="I1685" i="14" s="1"/>
  <c r="O1685" i="14" s="1"/>
  <c r="J1686" i="14"/>
  <c r="P1686" i="14" s="1"/>
  <c r="K1687" i="14"/>
  <c r="O1687" i="14"/>
  <c r="P1687" i="14"/>
  <c r="K1688" i="14"/>
  <c r="O1688" i="14"/>
  <c r="Q1688" i="14" s="1"/>
  <c r="P1688" i="14"/>
  <c r="J1690" i="14"/>
  <c r="K1691" i="14"/>
  <c r="O1691" i="14"/>
  <c r="P1691" i="14"/>
  <c r="Q1691" i="14" s="1"/>
  <c r="K1692" i="14"/>
  <c r="O1692" i="14"/>
  <c r="P1692" i="14"/>
  <c r="Q1692" i="14" s="1"/>
  <c r="I1693" i="14"/>
  <c r="K1693" i="14" s="1"/>
  <c r="P1693" i="14"/>
  <c r="K1694" i="14"/>
  <c r="O1694" i="14"/>
  <c r="P1694" i="14"/>
  <c r="K1695" i="14"/>
  <c r="O1695" i="14"/>
  <c r="P1695" i="14"/>
  <c r="K1696" i="14"/>
  <c r="O1696" i="14"/>
  <c r="P1696" i="14"/>
  <c r="K1697" i="14"/>
  <c r="O1697" i="14"/>
  <c r="Q1697" i="14" s="1"/>
  <c r="P1697" i="14"/>
  <c r="I1698" i="14"/>
  <c r="J1698" i="14"/>
  <c r="L1698" i="14"/>
  <c r="M1698" i="14"/>
  <c r="M1689" i="14" s="1"/>
  <c r="N1699" i="14"/>
  <c r="O1699" i="14"/>
  <c r="P1699" i="14"/>
  <c r="K1701" i="14"/>
  <c r="O1701" i="14"/>
  <c r="P1701" i="14"/>
  <c r="I1702" i="14"/>
  <c r="O1702" i="14" s="1"/>
  <c r="J1702" i="14"/>
  <c r="K1703" i="14"/>
  <c r="O1703" i="14"/>
  <c r="P1703" i="14"/>
  <c r="Q1703" i="14" s="1"/>
  <c r="I1704" i="14"/>
  <c r="O1704" i="14" s="1"/>
  <c r="P1704" i="14"/>
  <c r="J1707" i="14"/>
  <c r="I1708" i="14"/>
  <c r="K1708" i="14" s="1"/>
  <c r="P1708" i="14"/>
  <c r="K1709" i="14"/>
  <c r="O1709" i="14"/>
  <c r="P1709" i="14"/>
  <c r="K1713" i="14"/>
  <c r="O1713" i="14"/>
  <c r="Q1713" i="14" s="1"/>
  <c r="P1713" i="14"/>
  <c r="K1714" i="14"/>
  <c r="O1714" i="14"/>
  <c r="P1714" i="14"/>
  <c r="J1715" i="14"/>
  <c r="P1715" i="14" s="1"/>
  <c r="K1716" i="14"/>
  <c r="O1716" i="14"/>
  <c r="P1716" i="14"/>
  <c r="Q1716" i="14"/>
  <c r="I1717" i="14"/>
  <c r="K1717" i="14"/>
  <c r="O1717" i="14"/>
  <c r="P1717" i="14"/>
  <c r="K1718" i="14"/>
  <c r="O1718" i="14"/>
  <c r="P1718" i="14"/>
  <c r="Q1718" i="14"/>
  <c r="K1719" i="14"/>
  <c r="O1719" i="14"/>
  <c r="P1719" i="14"/>
  <c r="I1720" i="14"/>
  <c r="P1720" i="14"/>
  <c r="K1721" i="14"/>
  <c r="O1721" i="14"/>
  <c r="P1721" i="14"/>
  <c r="Q1721" i="14" s="1"/>
  <c r="L1723" i="14"/>
  <c r="O1723" i="14" s="1"/>
  <c r="M1723" i="14"/>
  <c r="M1722" i="14" s="1"/>
  <c r="P1722" i="14" s="1"/>
  <c r="N1724" i="14"/>
  <c r="O1724" i="14"/>
  <c r="P1724" i="14"/>
  <c r="K1727" i="14"/>
  <c r="O1727" i="14"/>
  <c r="P1727" i="14"/>
  <c r="Q1727" i="14" s="1"/>
  <c r="K1728" i="14"/>
  <c r="O1728" i="14"/>
  <c r="P1728" i="14"/>
  <c r="J1729" i="14"/>
  <c r="J1726" i="14" s="1"/>
  <c r="P1729" i="14"/>
  <c r="I1730" i="14"/>
  <c r="O1730" i="14" s="1"/>
  <c r="Q1730" i="14" s="1"/>
  <c r="P1730" i="14"/>
  <c r="I1731" i="14"/>
  <c r="I1729" i="14" s="1"/>
  <c r="O1731" i="14"/>
  <c r="P1731" i="14"/>
  <c r="Q1731" i="14" s="1"/>
  <c r="K1732" i="14"/>
  <c r="O1732" i="14"/>
  <c r="P1732" i="14"/>
  <c r="Q1732" i="14" s="1"/>
  <c r="K1733" i="14"/>
  <c r="O1733" i="14"/>
  <c r="P1733" i="14"/>
  <c r="Q1733" i="14" s="1"/>
  <c r="K1734" i="14"/>
  <c r="O1734" i="14"/>
  <c r="P1734" i="14"/>
  <c r="K1735" i="14"/>
  <c r="O1735" i="14"/>
  <c r="P1735" i="14"/>
  <c r="L1737" i="14"/>
  <c r="L1736" i="14" s="1"/>
  <c r="M1737" i="14"/>
  <c r="M1736" i="14" s="1"/>
  <c r="N1738" i="14"/>
  <c r="O1738" i="14"/>
  <c r="P1738" i="14"/>
  <c r="K1741" i="14"/>
  <c r="O1741" i="14"/>
  <c r="P1741" i="14"/>
  <c r="Q1741" i="14"/>
  <c r="I1742" i="14"/>
  <c r="J1742" i="14"/>
  <c r="K1742" i="14" s="1"/>
  <c r="K1743" i="14"/>
  <c r="O1743" i="14"/>
  <c r="P1743" i="14"/>
  <c r="J1746" i="14"/>
  <c r="K1747" i="14"/>
  <c r="O1747" i="14"/>
  <c r="P1747" i="14"/>
  <c r="I1748" i="14"/>
  <c r="P1748" i="14"/>
  <c r="I1749" i="14"/>
  <c r="K1749" i="14" s="1"/>
  <c r="P1749" i="14"/>
  <c r="I1750" i="14"/>
  <c r="J1750" i="14"/>
  <c r="K1750" i="14" s="1"/>
  <c r="O1750" i="14"/>
  <c r="P1750" i="14"/>
  <c r="K1751" i="14"/>
  <c r="O1751" i="14"/>
  <c r="P1751" i="14"/>
  <c r="Q1751" i="14" s="1"/>
  <c r="K1752" i="14"/>
  <c r="O1752" i="14"/>
  <c r="P1752" i="14"/>
  <c r="Q1752" i="14" s="1"/>
  <c r="K1755" i="14"/>
  <c r="O1755" i="14"/>
  <c r="P1755" i="14"/>
  <c r="K1756" i="14"/>
  <c r="O1756" i="14"/>
  <c r="P1756" i="14"/>
  <c r="I1757" i="14"/>
  <c r="O1757" i="14" s="1"/>
  <c r="J1757" i="14"/>
  <c r="K1758" i="14"/>
  <c r="O1758" i="14"/>
  <c r="P1758" i="14"/>
  <c r="Q1758" i="14"/>
  <c r="K1759" i="14"/>
  <c r="O1759" i="14"/>
  <c r="P1759" i="14"/>
  <c r="Q1759" i="14" s="1"/>
  <c r="K1760" i="14"/>
  <c r="O1760" i="14"/>
  <c r="P1760" i="14"/>
  <c r="K1761" i="14"/>
  <c r="O1761" i="14"/>
  <c r="P1761" i="14"/>
  <c r="K1762" i="14"/>
  <c r="O1762" i="14"/>
  <c r="P1762" i="14"/>
  <c r="Q1762" i="14" s="1"/>
  <c r="K1763" i="14"/>
  <c r="O1763" i="14"/>
  <c r="P1763" i="14"/>
  <c r="Q1763" i="14" s="1"/>
  <c r="K1764" i="14"/>
  <c r="O1764" i="14"/>
  <c r="P1764" i="14"/>
  <c r="K1765" i="14"/>
  <c r="O1765" i="14"/>
  <c r="P1765" i="14"/>
  <c r="L1767" i="14"/>
  <c r="L1766" i="14" s="1"/>
  <c r="M1767" i="14"/>
  <c r="M1766" i="14" s="1"/>
  <c r="O1767" i="14"/>
  <c r="P1767" i="14"/>
  <c r="Q1767" i="14" s="1"/>
  <c r="N1768" i="14"/>
  <c r="O1768" i="14"/>
  <c r="P1768" i="14"/>
  <c r="I1770" i="14"/>
  <c r="I1769" i="14" s="1"/>
  <c r="O1769" i="14" s="1"/>
  <c r="J1770" i="14"/>
  <c r="J1769" i="14" s="1"/>
  <c r="K1771" i="14"/>
  <c r="O1771" i="14"/>
  <c r="P1771" i="14"/>
  <c r="K1772" i="14"/>
  <c r="O1772" i="14"/>
  <c r="P1772" i="14"/>
  <c r="Q1772" i="14" s="1"/>
  <c r="K1773" i="14"/>
  <c r="O1773" i="14"/>
  <c r="P1773" i="14"/>
  <c r="K1774" i="14"/>
  <c r="O1774" i="14"/>
  <c r="P1774" i="14"/>
  <c r="Q1774" i="14" s="1"/>
  <c r="I1776" i="14"/>
  <c r="O1776" i="14" s="1"/>
  <c r="J1776" i="14"/>
  <c r="P1776" i="14" s="1"/>
  <c r="Q1776" i="14" s="1"/>
  <c r="K1777" i="14"/>
  <c r="O1777" i="14"/>
  <c r="P1777" i="14"/>
  <c r="K1779" i="14"/>
  <c r="O1779" i="14"/>
  <c r="P1779" i="14"/>
  <c r="Q1779" i="14" s="1"/>
  <c r="K1780" i="14"/>
  <c r="O1780" i="14"/>
  <c r="P1780" i="14"/>
  <c r="J1781" i="14"/>
  <c r="J1778" i="14" s="1"/>
  <c r="K1782" i="14"/>
  <c r="O1782" i="14"/>
  <c r="P1782" i="14"/>
  <c r="Q1782" i="14"/>
  <c r="K1783" i="14"/>
  <c r="O1783" i="14"/>
  <c r="P1783" i="14"/>
  <c r="Q1783" i="14"/>
  <c r="I1784" i="14"/>
  <c r="K1784" i="14" s="1"/>
  <c r="P1784" i="14"/>
  <c r="K1785" i="14"/>
  <c r="O1785" i="14"/>
  <c r="P1785" i="14"/>
  <c r="Q1785" i="14" s="1"/>
  <c r="I1786" i="14"/>
  <c r="K1786" i="14" s="1"/>
  <c r="P1786" i="14"/>
  <c r="K1787" i="14"/>
  <c r="O1787" i="14"/>
  <c r="P1787" i="14"/>
  <c r="K1788" i="14"/>
  <c r="O1788" i="14"/>
  <c r="P1788" i="14"/>
  <c r="K1789" i="14"/>
  <c r="O1789" i="14"/>
  <c r="P1789" i="14"/>
  <c r="Q1789" i="14" s="1"/>
  <c r="L1791" i="14"/>
  <c r="O1791" i="14" s="1"/>
  <c r="M1791" i="14"/>
  <c r="P1791" i="14" s="1"/>
  <c r="N1792" i="14"/>
  <c r="O1792" i="14"/>
  <c r="P1792" i="14"/>
  <c r="Q1792" i="14" s="1"/>
  <c r="N1793" i="14"/>
  <c r="O1793" i="14"/>
  <c r="P1793" i="14"/>
  <c r="Q1793" i="14" s="1"/>
  <c r="L1794" i="14"/>
  <c r="O1794" i="14" s="1"/>
  <c r="M1794" i="14"/>
  <c r="N1795" i="14"/>
  <c r="O1795" i="14"/>
  <c r="P1795" i="14"/>
  <c r="M1796" i="14"/>
  <c r="P1796" i="14" s="1"/>
  <c r="N1797" i="14"/>
  <c r="O1797" i="14"/>
  <c r="P1797" i="14"/>
  <c r="Q1797" i="14" s="1"/>
  <c r="N1798" i="14"/>
  <c r="O1798" i="14"/>
  <c r="P1798" i="14"/>
  <c r="L1799" i="14"/>
  <c r="L1796" i="14" s="1"/>
  <c r="O1796" i="14" s="1"/>
  <c r="P1799" i="14"/>
  <c r="J1801" i="14"/>
  <c r="P1801" i="14" s="1"/>
  <c r="I1802" i="14"/>
  <c r="I1801" i="14" s="1"/>
  <c r="O1801" i="14" s="1"/>
  <c r="K1802" i="14"/>
  <c r="P1802" i="14"/>
  <c r="I1804" i="14"/>
  <c r="K1804" i="14" s="1"/>
  <c r="P1804" i="14"/>
  <c r="I1805" i="14"/>
  <c r="P1805" i="14"/>
  <c r="J1806" i="14"/>
  <c r="P1806" i="14" s="1"/>
  <c r="K1807" i="14"/>
  <c r="O1807" i="14"/>
  <c r="P1807" i="14"/>
  <c r="Q1807" i="14" s="1"/>
  <c r="K1808" i="14"/>
  <c r="O1808" i="14"/>
  <c r="P1808" i="14"/>
  <c r="K1809" i="14"/>
  <c r="O1809" i="14"/>
  <c r="P1809" i="14"/>
  <c r="Q1809" i="14"/>
  <c r="K1810" i="14"/>
  <c r="O1810" i="14"/>
  <c r="P1810" i="14"/>
  <c r="K1811" i="14"/>
  <c r="O1811" i="14"/>
  <c r="P1811" i="14"/>
  <c r="I1812" i="14"/>
  <c r="K1812" i="14" s="1"/>
  <c r="P1812" i="14"/>
  <c r="K1813" i="14"/>
  <c r="O1813" i="14"/>
  <c r="P1813" i="14"/>
  <c r="Q1813" i="14" s="1"/>
  <c r="I1815" i="14"/>
  <c r="O1815" i="14" s="1"/>
  <c r="J1815" i="14"/>
  <c r="K1816" i="14"/>
  <c r="O1816" i="14"/>
  <c r="P1816" i="14"/>
  <c r="Q1816" i="14" s="1"/>
  <c r="I1818" i="14"/>
  <c r="J1818" i="14"/>
  <c r="P1818" i="14" s="1"/>
  <c r="K1819" i="14"/>
  <c r="O1819" i="14"/>
  <c r="P1819" i="14"/>
  <c r="I1820" i="14"/>
  <c r="O1820" i="14" s="1"/>
  <c r="J1820" i="14"/>
  <c r="P1820" i="14" s="1"/>
  <c r="K1821" i="14"/>
  <c r="O1821" i="14"/>
  <c r="P1821" i="14"/>
  <c r="K1824" i="14"/>
  <c r="O1824" i="14"/>
  <c r="P1824" i="14"/>
  <c r="Q1824" i="14" s="1"/>
  <c r="K1825" i="14"/>
  <c r="O1825" i="14"/>
  <c r="P1825" i="14"/>
  <c r="I1826" i="14"/>
  <c r="I1823" i="14" s="1"/>
  <c r="J1826" i="14"/>
  <c r="K1827" i="14"/>
  <c r="O1827" i="14"/>
  <c r="P1827" i="14"/>
  <c r="Q1827" i="14" s="1"/>
  <c r="K1828" i="14"/>
  <c r="O1828" i="14"/>
  <c r="P1828" i="14"/>
  <c r="K1829" i="14"/>
  <c r="O1829" i="14"/>
  <c r="P1829" i="14"/>
  <c r="K1830" i="14"/>
  <c r="O1830" i="14"/>
  <c r="P1830" i="14"/>
  <c r="Q1830" i="14" s="1"/>
  <c r="K1831" i="14"/>
  <c r="O1831" i="14"/>
  <c r="P1831" i="14"/>
  <c r="Q1831" i="14" s="1"/>
  <c r="K1834" i="14"/>
  <c r="O1834" i="14"/>
  <c r="P1834" i="14"/>
  <c r="Q1834" i="14" s="1"/>
  <c r="K1835" i="14"/>
  <c r="O1835" i="14"/>
  <c r="P1835" i="14"/>
  <c r="I1836" i="14"/>
  <c r="I1833" i="14" s="1"/>
  <c r="O1833" i="14" s="1"/>
  <c r="J1836" i="14"/>
  <c r="K1836" i="14" s="1"/>
  <c r="O1836" i="14"/>
  <c r="K1837" i="14"/>
  <c r="O1837" i="14"/>
  <c r="P1837" i="14"/>
  <c r="K1838" i="14"/>
  <c r="O1838" i="14"/>
  <c r="P1838" i="14"/>
  <c r="K1839" i="14"/>
  <c r="O1839" i="14"/>
  <c r="P1839" i="14"/>
  <c r="Q1839" i="14" s="1"/>
  <c r="K1840" i="14"/>
  <c r="O1840" i="14"/>
  <c r="P1840" i="14"/>
  <c r="K1841" i="14"/>
  <c r="O1841" i="14"/>
  <c r="P1841" i="14"/>
  <c r="K1842" i="14"/>
  <c r="O1842" i="14"/>
  <c r="P1842" i="14"/>
  <c r="K1843" i="14"/>
  <c r="O1843" i="14"/>
  <c r="P1843" i="14"/>
  <c r="O1844" i="14"/>
  <c r="P1844" i="14"/>
  <c r="B1566" i="14"/>
  <c r="B1567" i="14" s="1"/>
  <c r="B1568" i="14" s="1"/>
  <c r="B1569" i="14" s="1"/>
  <c r="B1570" i="14" s="1"/>
  <c r="B1571" i="14" s="1"/>
  <c r="B1572" i="14" s="1"/>
  <c r="B1573" i="14" s="1"/>
  <c r="B1574" i="14" s="1"/>
  <c r="B1575" i="14" s="1"/>
  <c r="B1576" i="14" s="1"/>
  <c r="B1577" i="14" s="1"/>
  <c r="B1578" i="14" s="1"/>
  <c r="B1579" i="14" s="1"/>
  <c r="B1580" i="14" s="1"/>
  <c r="B1581" i="14" s="1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B1620" i="14" s="1"/>
  <c r="B1621" i="14" s="1"/>
  <c r="B1622" i="14" s="1"/>
  <c r="B1623" i="14" s="1"/>
  <c r="B1624" i="14" s="1"/>
  <c r="B1625" i="14" s="1"/>
  <c r="B1626" i="14" s="1"/>
  <c r="B1627" i="14" s="1"/>
  <c r="B1628" i="14" s="1"/>
  <c r="B1631" i="14" s="1"/>
  <c r="B1632" i="14" s="1"/>
  <c r="B1633" i="14" s="1"/>
  <c r="B1634" i="14" s="1"/>
  <c r="B1635" i="14" s="1"/>
  <c r="B1636" i="14" s="1"/>
  <c r="B1637" i="14" s="1"/>
  <c r="B1638" i="14" s="1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I1567" i="14"/>
  <c r="O1567" i="14" s="1"/>
  <c r="J1567" i="14"/>
  <c r="K1567" i="14" s="1"/>
  <c r="K1568" i="14"/>
  <c r="O1568" i="14"/>
  <c r="P1568" i="14"/>
  <c r="Q1568" i="14" s="1"/>
  <c r="L1570" i="14"/>
  <c r="O1570" i="14" s="1"/>
  <c r="M1570" i="14"/>
  <c r="N1570" i="14" s="1"/>
  <c r="N1571" i="14"/>
  <c r="O1571" i="14"/>
  <c r="P1571" i="14"/>
  <c r="Q1571" i="14" s="1"/>
  <c r="M1572" i="14"/>
  <c r="N1573" i="14"/>
  <c r="O1573" i="14"/>
  <c r="P1573" i="14"/>
  <c r="L1574" i="14"/>
  <c r="L1572" i="14" s="1"/>
  <c r="O1572" i="14" s="1"/>
  <c r="P1574" i="14"/>
  <c r="N1575" i="14"/>
  <c r="O1575" i="14"/>
  <c r="P1575" i="14"/>
  <c r="J1578" i="14"/>
  <c r="K1578" i="14" s="1"/>
  <c r="O1578" i="14"/>
  <c r="J1579" i="14"/>
  <c r="P1579" i="14" s="1"/>
  <c r="K1579" i="14"/>
  <c r="O1579" i="14"/>
  <c r="J1581" i="14"/>
  <c r="K1581" i="14" s="1"/>
  <c r="O1581" i="14"/>
  <c r="P1581" i="14"/>
  <c r="Q1581" i="14" s="1"/>
  <c r="I1582" i="14"/>
  <c r="J1582" i="14"/>
  <c r="K1582" i="14" s="1"/>
  <c r="O1582" i="14"/>
  <c r="J1583" i="14"/>
  <c r="K1583" i="14" s="1"/>
  <c r="O1583" i="14"/>
  <c r="I1584" i="14"/>
  <c r="J1584" i="14"/>
  <c r="P1584" i="14" s="1"/>
  <c r="J1585" i="14"/>
  <c r="K1585" i="14"/>
  <c r="O1585" i="14"/>
  <c r="P1585" i="14"/>
  <c r="Q1585" i="14" s="1"/>
  <c r="I1586" i="14"/>
  <c r="O1586" i="14" s="1"/>
  <c r="J1586" i="14"/>
  <c r="P1586" i="14" s="1"/>
  <c r="Q1586" i="14" s="1"/>
  <c r="J1587" i="14"/>
  <c r="K1587" i="14"/>
  <c r="O1587" i="14"/>
  <c r="P1587" i="14"/>
  <c r="Q1587" i="14" s="1"/>
  <c r="L1589" i="14"/>
  <c r="O1589" i="14" s="1"/>
  <c r="M1589" i="14"/>
  <c r="M1588" i="14" s="1"/>
  <c r="P1589" i="14"/>
  <c r="N1590" i="14"/>
  <c r="O1590" i="14"/>
  <c r="P1590" i="14"/>
  <c r="K1592" i="14"/>
  <c r="O1592" i="14"/>
  <c r="P1592" i="14"/>
  <c r="K1593" i="14"/>
  <c r="O1593" i="14"/>
  <c r="P1593" i="14"/>
  <c r="J1594" i="14"/>
  <c r="P1594" i="14" s="1"/>
  <c r="I1595" i="14"/>
  <c r="K1595" i="14" s="1"/>
  <c r="O1595" i="14"/>
  <c r="P1595" i="14"/>
  <c r="K1596" i="14"/>
  <c r="O1596" i="14"/>
  <c r="P1596" i="14"/>
  <c r="Q1596" i="14" s="1"/>
  <c r="I1597" i="14"/>
  <c r="K1597" i="14" s="1"/>
  <c r="O1597" i="14"/>
  <c r="P1597" i="14"/>
  <c r="Q1597" i="14" s="1"/>
  <c r="K1598" i="14"/>
  <c r="O1598" i="14"/>
  <c r="P1598" i="14"/>
  <c r="K1599" i="14"/>
  <c r="O1599" i="14"/>
  <c r="P1599" i="14"/>
  <c r="K1600" i="14"/>
  <c r="O1600" i="14"/>
  <c r="P1600" i="14"/>
  <c r="Q1600" i="14" s="1"/>
  <c r="K1604" i="14"/>
  <c r="O1604" i="14"/>
  <c r="P1604" i="14"/>
  <c r="Q1604" i="14" s="1"/>
  <c r="I1605" i="14"/>
  <c r="O1605" i="14" s="1"/>
  <c r="J1605" i="14"/>
  <c r="P1605" i="14" s="1"/>
  <c r="J1606" i="14"/>
  <c r="K1606" i="14" s="1"/>
  <c r="O1606" i="14"/>
  <c r="P1606" i="14"/>
  <c r="Q1606" i="14" s="1"/>
  <c r="K1607" i="14"/>
  <c r="O1607" i="14"/>
  <c r="P1607" i="14"/>
  <c r="Q1607" i="14" s="1"/>
  <c r="L1609" i="14"/>
  <c r="M1609" i="14"/>
  <c r="N1610" i="14"/>
  <c r="O1610" i="14"/>
  <c r="P1610" i="14"/>
  <c r="M1611" i="14"/>
  <c r="P1611" i="14" s="1"/>
  <c r="L1612" i="14"/>
  <c r="N1612" i="14" s="1"/>
  <c r="O1612" i="14"/>
  <c r="P1612" i="14"/>
  <c r="N1613" i="14"/>
  <c r="O1613" i="14"/>
  <c r="P1613" i="14"/>
  <c r="J1615" i="14"/>
  <c r="J1614" i="14" s="1"/>
  <c r="I1616" i="14"/>
  <c r="P1616" i="14"/>
  <c r="J1618" i="14"/>
  <c r="P1618" i="14" s="1"/>
  <c r="K1619" i="14"/>
  <c r="O1619" i="14"/>
  <c r="P1619" i="14"/>
  <c r="Q1619" i="14" s="1"/>
  <c r="K1620" i="14"/>
  <c r="O1620" i="14"/>
  <c r="Q1620" i="14" s="1"/>
  <c r="P1620" i="14"/>
  <c r="I1621" i="14"/>
  <c r="K1621" i="14" s="1"/>
  <c r="O1621" i="14"/>
  <c r="P1621" i="14"/>
  <c r="I1622" i="14"/>
  <c r="J1622" i="14"/>
  <c r="P1622" i="14" s="1"/>
  <c r="K1623" i="14"/>
  <c r="O1623" i="14"/>
  <c r="P1623" i="14"/>
  <c r="Q1623" i="14" s="1"/>
  <c r="L1625" i="14"/>
  <c r="L1624" i="14" s="1"/>
  <c r="M1625" i="14"/>
  <c r="P1625" i="14"/>
  <c r="N1626" i="14"/>
  <c r="O1626" i="14"/>
  <c r="P1626" i="14"/>
  <c r="Q1626" i="14" s="1"/>
  <c r="L1627" i="14"/>
  <c r="M1627" i="14"/>
  <c r="N1627" i="14" s="1"/>
  <c r="O1627" i="14"/>
  <c r="N1628" i="14"/>
  <c r="O1628" i="14"/>
  <c r="P1628" i="14"/>
  <c r="L1629" i="14"/>
  <c r="M1629" i="14"/>
  <c r="N1629" i="14" s="1"/>
  <c r="O1629" i="14"/>
  <c r="P1629" i="14"/>
  <c r="Q1629" i="14"/>
  <c r="N1630" i="14"/>
  <c r="O1630" i="14"/>
  <c r="P1630" i="14"/>
  <c r="I1632" i="14"/>
  <c r="O1632" i="14" s="1"/>
  <c r="J1632" i="14"/>
  <c r="P1632" i="14" s="1"/>
  <c r="Q1632" i="14" s="1"/>
  <c r="K1633" i="14"/>
  <c r="O1633" i="14"/>
  <c r="P1633" i="14"/>
  <c r="I1635" i="14"/>
  <c r="I1634" i="14" s="1"/>
  <c r="J1635" i="14"/>
  <c r="P1635" i="14" s="1"/>
  <c r="K1636" i="14"/>
  <c r="O1636" i="14"/>
  <c r="P1636" i="14"/>
  <c r="I1639" i="14"/>
  <c r="O1639" i="14" s="1"/>
  <c r="J1639" i="14"/>
  <c r="P1639" i="14" s="1"/>
  <c r="K1640" i="14"/>
  <c r="O1640" i="14"/>
  <c r="P1640" i="14"/>
  <c r="Q1640" i="14" s="1"/>
  <c r="K1641" i="14"/>
  <c r="O1641" i="14"/>
  <c r="P1641" i="14"/>
  <c r="K1642" i="14"/>
  <c r="O1642" i="14"/>
  <c r="P1642" i="14"/>
  <c r="Q1642" i="14" s="1"/>
  <c r="K1643" i="14"/>
  <c r="O1643" i="14"/>
  <c r="P1643" i="14"/>
  <c r="K1646" i="14"/>
  <c r="O1646" i="14"/>
  <c r="P1646" i="14"/>
  <c r="K1647" i="14"/>
  <c r="O1647" i="14"/>
  <c r="P1647" i="14"/>
  <c r="Q1647" i="14" s="1"/>
  <c r="J1648" i="14"/>
  <c r="J1645" i="14" s="1"/>
  <c r="K1649" i="14"/>
  <c r="O1649" i="14"/>
  <c r="P1649" i="14"/>
  <c r="K1650" i="14"/>
  <c r="O1650" i="14"/>
  <c r="P1650" i="14"/>
  <c r="Q1650" i="14" s="1"/>
  <c r="K1651" i="14"/>
  <c r="O1651" i="14"/>
  <c r="P1651" i="14"/>
  <c r="Q1651" i="14" s="1"/>
  <c r="K1652" i="14"/>
  <c r="O1652" i="14"/>
  <c r="P1652" i="14"/>
  <c r="I1653" i="14"/>
  <c r="O1653" i="14"/>
  <c r="P1653" i="14"/>
  <c r="I1654" i="14"/>
  <c r="K1654" i="14" s="1"/>
  <c r="P1654" i="14"/>
  <c r="K1655" i="14"/>
  <c r="O1655" i="14"/>
  <c r="P1655" i="14"/>
  <c r="Q1655" i="14" s="1"/>
  <c r="B1496" i="14"/>
  <c r="B1497" i="14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507" i="14" s="1"/>
  <c r="B1508" i="14" s="1"/>
  <c r="B1509" i="14" s="1"/>
  <c r="B1510" i="14" s="1"/>
  <c r="B1511" i="14" s="1"/>
  <c r="B1512" i="14" s="1"/>
  <c r="B1513" i="14" s="1"/>
  <c r="B1514" i="14" s="1"/>
  <c r="B1515" i="14" s="1"/>
  <c r="B1516" i="14" s="1"/>
  <c r="B1517" i="14" s="1"/>
  <c r="B1518" i="14" s="1"/>
  <c r="B1519" i="14" s="1"/>
  <c r="B1520" i="14" s="1"/>
  <c r="B1521" i="14" s="1"/>
  <c r="B1522" i="14" s="1"/>
  <c r="B1523" i="14" s="1"/>
  <c r="B1524" i="14" s="1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B1539" i="14" s="1"/>
  <c r="B1540" i="14" s="1"/>
  <c r="B1541" i="14" s="1"/>
  <c r="B1542" i="14" s="1"/>
  <c r="B1543" i="14" s="1"/>
  <c r="B1544" i="14" s="1"/>
  <c r="B1545" i="14" s="1"/>
  <c r="B1546" i="14" s="1"/>
  <c r="B1547" i="14" s="1"/>
  <c r="B1548" i="14" s="1"/>
  <c r="B1549" i="14" s="1"/>
  <c r="B1550" i="14" s="1"/>
  <c r="B1551" i="14" s="1"/>
  <c r="B1552" i="14" s="1"/>
  <c r="B1553" i="14" s="1"/>
  <c r="B1554" i="14" s="1"/>
  <c r="B1555" i="14" s="1"/>
  <c r="B1556" i="14" s="1"/>
  <c r="J1497" i="14"/>
  <c r="P1497" i="14" s="1"/>
  <c r="I1498" i="14"/>
  <c r="K1498" i="14" s="1"/>
  <c r="P1498" i="14"/>
  <c r="K1499" i="14"/>
  <c r="O1499" i="14"/>
  <c r="P1499" i="14"/>
  <c r="Q1499" i="14" s="1"/>
  <c r="K1500" i="14"/>
  <c r="O1500" i="14"/>
  <c r="P1500" i="14"/>
  <c r="K1501" i="14"/>
  <c r="O1501" i="14"/>
  <c r="Q1501" i="14" s="1"/>
  <c r="P1501" i="14"/>
  <c r="K1502" i="14"/>
  <c r="O1502" i="14"/>
  <c r="P1502" i="14"/>
  <c r="K1503" i="14"/>
  <c r="O1503" i="14"/>
  <c r="P1503" i="14"/>
  <c r="Q1503" i="14" s="1"/>
  <c r="K1504" i="14"/>
  <c r="O1504" i="14"/>
  <c r="Q1504" i="14" s="1"/>
  <c r="P1504" i="14"/>
  <c r="I1505" i="14"/>
  <c r="O1505" i="14" s="1"/>
  <c r="K1505" i="14"/>
  <c r="P1505" i="14"/>
  <c r="K1506" i="14"/>
  <c r="O1506" i="14"/>
  <c r="P1506" i="14"/>
  <c r="Q1506" i="14" s="1"/>
  <c r="K1507" i="14"/>
  <c r="O1507" i="14"/>
  <c r="P1507" i="14"/>
  <c r="K1508" i="14"/>
  <c r="O1508" i="14"/>
  <c r="P1508" i="14"/>
  <c r="Q1508" i="14"/>
  <c r="K1509" i="14"/>
  <c r="O1509" i="14"/>
  <c r="P1509" i="14"/>
  <c r="Q1509" i="14" s="1"/>
  <c r="I1510" i="14"/>
  <c r="K1510" i="14" s="1"/>
  <c r="P1510" i="14"/>
  <c r="I1511" i="14"/>
  <c r="K1511" i="14" s="1"/>
  <c r="P1511" i="14"/>
  <c r="K1514" i="14"/>
  <c r="O1514" i="14"/>
  <c r="P1514" i="14"/>
  <c r="Q1514" i="14" s="1"/>
  <c r="J1515" i="14"/>
  <c r="P1515" i="14" s="1"/>
  <c r="O1515" i="14"/>
  <c r="I1516" i="14"/>
  <c r="K1516" i="14" s="1"/>
  <c r="P1516" i="14"/>
  <c r="K1518" i="14"/>
  <c r="O1518" i="14"/>
  <c r="P1518" i="14"/>
  <c r="K1519" i="14"/>
  <c r="O1519" i="14"/>
  <c r="P1519" i="14"/>
  <c r="J1520" i="14"/>
  <c r="J1517" i="14" s="1"/>
  <c r="I1521" i="14"/>
  <c r="I1520" i="14" s="1"/>
  <c r="I1517" i="14" s="1"/>
  <c r="K1521" i="14"/>
  <c r="O1521" i="14"/>
  <c r="P1521" i="14"/>
  <c r="K1522" i="14"/>
  <c r="O1522" i="14"/>
  <c r="P1522" i="14"/>
  <c r="K1523" i="14"/>
  <c r="O1523" i="14"/>
  <c r="P1523" i="14"/>
  <c r="Q1523" i="14" s="1"/>
  <c r="K1524" i="14"/>
  <c r="O1524" i="14"/>
  <c r="P1524" i="14"/>
  <c r="L1526" i="14"/>
  <c r="M1526" i="14"/>
  <c r="P1526" i="14"/>
  <c r="N1527" i="14"/>
  <c r="O1527" i="14"/>
  <c r="P1527" i="14"/>
  <c r="N1528" i="14"/>
  <c r="O1528" i="14"/>
  <c r="P1528" i="14"/>
  <c r="Q1528" i="14"/>
  <c r="N1529" i="14"/>
  <c r="O1529" i="14"/>
  <c r="Q1529" i="14" s="1"/>
  <c r="P1529" i="14"/>
  <c r="M1530" i="14"/>
  <c r="N1531" i="14"/>
  <c r="O1531" i="14"/>
  <c r="P1531" i="14"/>
  <c r="N1532" i="14"/>
  <c r="O1532" i="14"/>
  <c r="P1532" i="14"/>
  <c r="L1533" i="14"/>
  <c r="N1533" i="14" s="1"/>
  <c r="P1533" i="14"/>
  <c r="K1535" i="14"/>
  <c r="O1535" i="14"/>
  <c r="P1535" i="14"/>
  <c r="Q1535" i="14" s="1"/>
  <c r="K1536" i="14"/>
  <c r="O1536" i="14"/>
  <c r="P1536" i="14"/>
  <c r="Q1536" i="14" s="1"/>
  <c r="I1537" i="14"/>
  <c r="I1534" i="14" s="1"/>
  <c r="J1537" i="14"/>
  <c r="K1538" i="14"/>
  <c r="O1538" i="14"/>
  <c r="P1538" i="14"/>
  <c r="Q1538" i="14" s="1"/>
  <c r="K1539" i="14"/>
  <c r="O1539" i="14"/>
  <c r="P1539" i="14"/>
  <c r="Q1539" i="14" s="1"/>
  <c r="K1540" i="14"/>
  <c r="O1540" i="14"/>
  <c r="P1540" i="14"/>
  <c r="Q1540" i="14" s="1"/>
  <c r="K1541" i="14"/>
  <c r="O1541" i="14"/>
  <c r="P1541" i="14"/>
  <c r="K1542" i="14"/>
  <c r="O1542" i="14"/>
  <c r="P1542" i="14"/>
  <c r="Q1542" i="14" s="1"/>
  <c r="K1543" i="14"/>
  <c r="O1543" i="14"/>
  <c r="P1543" i="14"/>
  <c r="Q1543" i="14"/>
  <c r="L1545" i="14"/>
  <c r="L1544" i="14" s="1"/>
  <c r="M1545" i="14"/>
  <c r="M1544" i="14" s="1"/>
  <c r="N1546" i="14"/>
  <c r="O1546" i="14"/>
  <c r="P1546" i="14"/>
  <c r="Q1546" i="14" s="1"/>
  <c r="J1548" i="14"/>
  <c r="I1549" i="14"/>
  <c r="P1549" i="14"/>
  <c r="I1550" i="14"/>
  <c r="O1550" i="14" s="1"/>
  <c r="J1550" i="14"/>
  <c r="K1551" i="14"/>
  <c r="O1551" i="14"/>
  <c r="P1551" i="14"/>
  <c r="Q1551" i="14" s="1"/>
  <c r="K1552" i="14"/>
  <c r="O1552" i="14"/>
  <c r="P1552" i="14"/>
  <c r="K1553" i="14"/>
  <c r="O1553" i="14"/>
  <c r="P1553" i="14"/>
  <c r="K1554" i="14"/>
  <c r="O1554" i="14"/>
  <c r="P1554" i="14"/>
  <c r="Q1554" i="14" s="1"/>
  <c r="L1555" i="14"/>
  <c r="L1547" i="14" s="1"/>
  <c r="M1555" i="14"/>
  <c r="M1547" i="14" s="1"/>
  <c r="N1547" i="14" s="1"/>
  <c r="N1556" i="14"/>
  <c r="O1556" i="14"/>
  <c r="P1556" i="14"/>
  <c r="Q1556" i="14" s="1"/>
  <c r="B1362" i="14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B1384" i="14" s="1"/>
  <c r="B1385" i="14" s="1"/>
  <c r="B1386" i="14" s="1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B1396" i="14" s="1"/>
  <c r="B1397" i="14" s="1"/>
  <c r="B1398" i="14" s="1"/>
  <c r="B1399" i="14" s="1"/>
  <c r="B1400" i="14" s="1"/>
  <c r="B1401" i="14" s="1"/>
  <c r="B1402" i="14" s="1"/>
  <c r="B1403" i="14" s="1"/>
  <c r="B1404" i="14" s="1"/>
  <c r="B1405" i="14" s="1"/>
  <c r="B1406" i="14" s="1"/>
  <c r="B1407" i="14" s="1"/>
  <c r="B1408" i="14" s="1"/>
  <c r="B1409" i="14" s="1"/>
  <c r="B1410" i="14" s="1"/>
  <c r="B1411" i="14" s="1"/>
  <c r="B1412" i="14" s="1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B1440" i="14" s="1"/>
  <c r="B1441" i="14" s="1"/>
  <c r="B1442" i="14" s="1"/>
  <c r="B1443" i="14" s="1"/>
  <c r="B1444" i="14" s="1"/>
  <c r="B1445" i="14" s="1"/>
  <c r="B1446" i="14" s="1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I1363" i="14"/>
  <c r="O1363" i="14" s="1"/>
  <c r="J1363" i="14"/>
  <c r="P1363" i="14" s="1"/>
  <c r="K1364" i="14"/>
  <c r="O1364" i="14"/>
  <c r="P1364" i="14"/>
  <c r="Q1364" i="14" s="1"/>
  <c r="L1365" i="14"/>
  <c r="I1367" i="14"/>
  <c r="O1367" i="14" s="1"/>
  <c r="J1367" i="14"/>
  <c r="P1367" i="14"/>
  <c r="J1368" i="14"/>
  <c r="J1366" i="14" s="1"/>
  <c r="O1368" i="14"/>
  <c r="K1369" i="14"/>
  <c r="O1369" i="14"/>
  <c r="P1369" i="14"/>
  <c r="Q1369" i="14" s="1"/>
  <c r="K1370" i="14"/>
  <c r="O1370" i="14"/>
  <c r="P1370" i="14"/>
  <c r="K1371" i="14"/>
  <c r="O1371" i="14"/>
  <c r="P1371" i="14"/>
  <c r="K1372" i="14"/>
  <c r="O1372" i="14"/>
  <c r="P1372" i="14"/>
  <c r="Q1372" i="14" s="1"/>
  <c r="K1373" i="14"/>
  <c r="O1373" i="14"/>
  <c r="P1373" i="14"/>
  <c r="Q1373" i="14" s="1"/>
  <c r="K1374" i="14"/>
  <c r="O1374" i="14"/>
  <c r="P1374" i="14"/>
  <c r="Q1374" i="14" s="1"/>
  <c r="K1375" i="14"/>
  <c r="O1375" i="14"/>
  <c r="P1375" i="14"/>
  <c r="Q1375" i="14" s="1"/>
  <c r="K1376" i="14"/>
  <c r="O1376" i="14"/>
  <c r="P1376" i="14"/>
  <c r="K1377" i="14"/>
  <c r="O1377" i="14"/>
  <c r="P1377" i="14"/>
  <c r="K1378" i="14"/>
  <c r="O1378" i="14"/>
  <c r="P1378" i="14"/>
  <c r="Q1378" i="14" s="1"/>
  <c r="L1379" i="14"/>
  <c r="M1379" i="14"/>
  <c r="N1379" i="14" s="1"/>
  <c r="O1379" i="14"/>
  <c r="N1380" i="14"/>
  <c r="O1380" i="14"/>
  <c r="P1380" i="14"/>
  <c r="Q1380" i="14" s="1"/>
  <c r="I1383" i="14"/>
  <c r="I1382" i="14" s="1"/>
  <c r="J1383" i="14"/>
  <c r="K1384" i="14"/>
  <c r="O1384" i="14"/>
  <c r="P1384" i="14"/>
  <c r="K1385" i="14"/>
  <c r="M1387" i="14"/>
  <c r="M1386" i="14" s="1"/>
  <c r="N1388" i="14"/>
  <c r="O1388" i="14"/>
  <c r="P1388" i="14"/>
  <c r="L1389" i="14"/>
  <c r="L1387" i="14" s="1"/>
  <c r="P1389" i="14"/>
  <c r="I1391" i="14"/>
  <c r="I1390" i="14" s="1"/>
  <c r="J1391" i="14"/>
  <c r="P1391" i="14" s="1"/>
  <c r="K1392" i="14"/>
  <c r="O1392" i="14"/>
  <c r="P1392" i="14"/>
  <c r="Q1392" i="14"/>
  <c r="K1393" i="14"/>
  <c r="O1393" i="14"/>
  <c r="P1393" i="14"/>
  <c r="Q1393" i="14" s="1"/>
  <c r="K1394" i="14"/>
  <c r="O1394" i="14"/>
  <c r="P1394" i="14"/>
  <c r="Q1394" i="14" s="1"/>
  <c r="L1396" i="14"/>
  <c r="O1396" i="14" s="1"/>
  <c r="M1396" i="14"/>
  <c r="P1396" i="14" s="1"/>
  <c r="N1397" i="14"/>
  <c r="O1397" i="14"/>
  <c r="P1397" i="14"/>
  <c r="N1398" i="14"/>
  <c r="O1398" i="14"/>
  <c r="P1398" i="14"/>
  <c r="Q1398" i="14" s="1"/>
  <c r="I1400" i="14"/>
  <c r="J1400" i="14"/>
  <c r="K1401" i="14"/>
  <c r="O1401" i="14"/>
  <c r="P1401" i="14"/>
  <c r="Q1401" i="14" s="1"/>
  <c r="M1403" i="14"/>
  <c r="P1403" i="14" s="1"/>
  <c r="L1404" i="14"/>
  <c r="N1404" i="14" s="1"/>
  <c r="P1404" i="14"/>
  <c r="N1405" i="14"/>
  <c r="O1405" i="14"/>
  <c r="P1405" i="14"/>
  <c r="M1406" i="14"/>
  <c r="N1407" i="14"/>
  <c r="O1407" i="14"/>
  <c r="P1407" i="14"/>
  <c r="Q1407" i="14" s="1"/>
  <c r="L1408" i="14"/>
  <c r="P1408" i="14"/>
  <c r="I1409" i="14"/>
  <c r="O1409" i="14" s="1"/>
  <c r="K1410" i="14"/>
  <c r="O1410" i="14"/>
  <c r="P1410" i="14"/>
  <c r="Q1410" i="14" s="1"/>
  <c r="K1411" i="14"/>
  <c r="O1411" i="14"/>
  <c r="P1411" i="14"/>
  <c r="Q1411" i="14" s="1"/>
  <c r="I1412" i="14"/>
  <c r="O1412" i="14" s="1"/>
  <c r="J1412" i="14"/>
  <c r="K1413" i="14"/>
  <c r="O1413" i="14"/>
  <c r="P1413" i="14"/>
  <c r="Q1413" i="14" s="1"/>
  <c r="K1414" i="14"/>
  <c r="O1414" i="14"/>
  <c r="P1414" i="14"/>
  <c r="K1415" i="14"/>
  <c r="O1415" i="14"/>
  <c r="P1415" i="14"/>
  <c r="K1416" i="14"/>
  <c r="O1416" i="14"/>
  <c r="P1416" i="14"/>
  <c r="Q1416" i="14"/>
  <c r="K1417" i="14"/>
  <c r="O1417" i="14"/>
  <c r="P1417" i="14"/>
  <c r="K1418" i="14"/>
  <c r="O1418" i="14"/>
  <c r="P1418" i="14"/>
  <c r="Q1418" i="14" s="1"/>
  <c r="I1420" i="14"/>
  <c r="I1419" i="14" s="1"/>
  <c r="O1419" i="14" s="1"/>
  <c r="J1420" i="14"/>
  <c r="J1419" i="14" s="1"/>
  <c r="K1421" i="14"/>
  <c r="O1421" i="14"/>
  <c r="P1421" i="14"/>
  <c r="Q1421" i="14" s="1"/>
  <c r="M1424" i="14"/>
  <c r="P1424" i="14" s="1"/>
  <c r="L1425" i="14"/>
  <c r="N1425" i="14" s="1"/>
  <c r="O1425" i="14"/>
  <c r="P1425" i="14"/>
  <c r="L1426" i="14"/>
  <c r="O1426" i="14" s="1"/>
  <c r="M1426" i="14"/>
  <c r="M1423" i="14" s="1"/>
  <c r="N1426" i="14"/>
  <c r="N1427" i="14"/>
  <c r="O1427" i="14"/>
  <c r="P1427" i="14"/>
  <c r="J1429" i="14"/>
  <c r="K1429" i="14" s="1"/>
  <c r="O1429" i="14"/>
  <c r="K1430" i="14"/>
  <c r="O1430" i="14"/>
  <c r="P1430" i="14"/>
  <c r="Q1430" i="14"/>
  <c r="I1432" i="14"/>
  <c r="I1431" i="14" s="1"/>
  <c r="I1428" i="14" s="1"/>
  <c r="J1432" i="14"/>
  <c r="K1432" i="14"/>
  <c r="O1432" i="14"/>
  <c r="P1432" i="14"/>
  <c r="Q1432" i="14" s="1"/>
  <c r="J1433" i="14"/>
  <c r="P1433" i="14" s="1"/>
  <c r="K1433" i="14"/>
  <c r="O1433" i="14"/>
  <c r="J1434" i="14"/>
  <c r="P1434" i="14" s="1"/>
  <c r="K1434" i="14"/>
  <c r="O1434" i="14"/>
  <c r="J1435" i="14"/>
  <c r="K1435" i="14"/>
  <c r="O1435" i="14"/>
  <c r="P1435" i="14"/>
  <c r="Q1435" i="14" s="1"/>
  <c r="K1436" i="14"/>
  <c r="O1436" i="14"/>
  <c r="P1436" i="14"/>
  <c r="O1437" i="14"/>
  <c r="P1437" i="14"/>
  <c r="L1440" i="14"/>
  <c r="O1440" i="14" s="1"/>
  <c r="M1440" i="14"/>
  <c r="N1441" i="14"/>
  <c r="O1441" i="14"/>
  <c r="P1441" i="14"/>
  <c r="Q1441" i="14" s="1"/>
  <c r="N1442" i="14"/>
  <c r="O1442" i="14"/>
  <c r="P1442" i="14"/>
  <c r="N1443" i="14"/>
  <c r="O1443" i="14"/>
  <c r="P1443" i="14"/>
  <c r="N1444" i="14"/>
  <c r="O1444" i="14"/>
  <c r="P1444" i="14"/>
  <c r="Q1444" i="14" s="1"/>
  <c r="N1445" i="14"/>
  <c r="O1445" i="14"/>
  <c r="P1445" i="14"/>
  <c r="Q1445" i="14" s="1"/>
  <c r="N1446" i="14"/>
  <c r="O1446" i="14"/>
  <c r="P1446" i="14"/>
  <c r="N1447" i="14"/>
  <c r="O1447" i="14"/>
  <c r="P1447" i="14"/>
  <c r="N1448" i="14"/>
  <c r="O1448" i="14"/>
  <c r="P1448" i="14"/>
  <c r="Q1448" i="14" s="1"/>
  <c r="N1449" i="14"/>
  <c r="O1449" i="14"/>
  <c r="P1449" i="14"/>
  <c r="Q1449" i="14" s="1"/>
  <c r="N1450" i="14"/>
  <c r="O1450" i="14"/>
  <c r="P1450" i="14"/>
  <c r="Q1450" i="14" s="1"/>
  <c r="N1451" i="14"/>
  <c r="O1451" i="14"/>
  <c r="P1451" i="14"/>
  <c r="M1452" i="14"/>
  <c r="P1452" i="14" s="1"/>
  <c r="N1453" i="14"/>
  <c r="O1453" i="14"/>
  <c r="P1453" i="14"/>
  <c r="N1454" i="14"/>
  <c r="O1454" i="14"/>
  <c r="P1454" i="14"/>
  <c r="Q1454" i="14" s="1"/>
  <c r="N1455" i="14"/>
  <c r="O1455" i="14"/>
  <c r="P1455" i="14"/>
  <c r="N1456" i="14"/>
  <c r="O1456" i="14"/>
  <c r="P1456" i="14"/>
  <c r="Q1456" i="14"/>
  <c r="L1457" i="14"/>
  <c r="P1457" i="14"/>
  <c r="L1458" i="14"/>
  <c r="O1458" i="14" s="1"/>
  <c r="P1458" i="14"/>
  <c r="N1459" i="14"/>
  <c r="O1459" i="14"/>
  <c r="P1459" i="14"/>
  <c r="L1460" i="14"/>
  <c r="N1460" i="14" s="1"/>
  <c r="P1460" i="14"/>
  <c r="L1461" i="14"/>
  <c r="N1461" i="14" s="1"/>
  <c r="P1461" i="14"/>
  <c r="N1462" i="14"/>
  <c r="O1462" i="14"/>
  <c r="P1462" i="14"/>
  <c r="Q1462" i="14" s="1"/>
  <c r="N1463" i="14"/>
  <c r="O1463" i="14"/>
  <c r="P1463" i="14"/>
  <c r="L1464" i="14"/>
  <c r="P1464" i="14"/>
  <c r="N1465" i="14"/>
  <c r="O1465" i="14"/>
  <c r="P1465" i="14"/>
  <c r="Q1465" i="14" s="1"/>
  <c r="L1466" i="14"/>
  <c r="O1466" i="14" s="1"/>
  <c r="P1466" i="14"/>
  <c r="N1467" i="14"/>
  <c r="O1467" i="14"/>
  <c r="P1467" i="14"/>
  <c r="Q1467" i="14" s="1"/>
  <c r="L1468" i="14"/>
  <c r="P1468" i="14"/>
  <c r="N1469" i="14"/>
  <c r="O1469" i="14"/>
  <c r="P1469" i="14"/>
  <c r="N1470" i="14"/>
  <c r="O1470" i="14"/>
  <c r="P1470" i="14"/>
  <c r="Q1470" i="14" s="1"/>
  <c r="L1471" i="14"/>
  <c r="N1471" i="14" s="1"/>
  <c r="P1471" i="14"/>
  <c r="I1473" i="14"/>
  <c r="K1473" i="14"/>
  <c r="O1473" i="14"/>
  <c r="P1473" i="14"/>
  <c r="K1474" i="14"/>
  <c r="O1474" i="14"/>
  <c r="P1474" i="14"/>
  <c r="Q1474" i="14" s="1"/>
  <c r="J1475" i="14"/>
  <c r="J1472" i="14" s="1"/>
  <c r="K1476" i="14"/>
  <c r="O1476" i="14"/>
  <c r="P1476" i="14"/>
  <c r="I1477" i="14"/>
  <c r="K1477" i="14" s="1"/>
  <c r="P1477" i="14"/>
  <c r="K1478" i="14"/>
  <c r="O1478" i="14"/>
  <c r="P1478" i="14"/>
  <c r="I1479" i="14"/>
  <c r="K1479" i="14" s="1"/>
  <c r="P1479" i="14"/>
  <c r="K1480" i="14"/>
  <c r="O1480" i="14"/>
  <c r="P1480" i="14"/>
  <c r="K1481" i="14"/>
  <c r="O1481" i="14"/>
  <c r="P1481" i="14"/>
  <c r="Q1481" i="14" s="1"/>
  <c r="I1482" i="14"/>
  <c r="P1482" i="14"/>
  <c r="B492" i="14"/>
  <c r="B493" i="14" s="1"/>
  <c r="B494" i="14" s="1"/>
  <c r="B495" i="14" s="1"/>
  <c r="B496" i="14" s="1"/>
  <c r="B497" i="14" s="1"/>
  <c r="B498" i="14" s="1"/>
  <c r="B499" i="14" s="1"/>
  <c r="B500" i="14" s="1"/>
  <c r="B501" i="14" s="1"/>
  <c r="B502" i="14" s="1"/>
  <c r="B503" i="14" s="1"/>
  <c r="B504" i="14" s="1"/>
  <c r="B505" i="14" s="1"/>
  <c r="B506" i="14" s="1"/>
  <c r="B507" i="14" s="1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B1332" i="14" s="1"/>
  <c r="B1333" i="14" s="1"/>
  <c r="B1334" i="14" s="1"/>
  <c r="B1335" i="14" s="1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I494" i="14"/>
  <c r="K494" i="14"/>
  <c r="P494" i="14"/>
  <c r="I495" i="14"/>
  <c r="K495" i="14" s="1"/>
  <c r="P495" i="14"/>
  <c r="J496" i="14"/>
  <c r="J493" i="14" s="1"/>
  <c r="I497" i="14"/>
  <c r="K497" i="14"/>
  <c r="O497" i="14"/>
  <c r="P497" i="14"/>
  <c r="I498" i="14"/>
  <c r="O498" i="14" s="1"/>
  <c r="K498" i="14"/>
  <c r="P498" i="14"/>
  <c r="I499" i="14"/>
  <c r="K499" i="14" s="1"/>
  <c r="P499" i="14"/>
  <c r="I500" i="14"/>
  <c r="K500" i="14" s="1"/>
  <c r="P500" i="14"/>
  <c r="I501" i="14"/>
  <c r="P501" i="14"/>
  <c r="I502" i="14"/>
  <c r="P502" i="14"/>
  <c r="K503" i="14"/>
  <c r="O503" i="14"/>
  <c r="Q503" i="14" s="1"/>
  <c r="P503" i="14"/>
  <c r="I504" i="14"/>
  <c r="P504" i="14"/>
  <c r="M506" i="14"/>
  <c r="P506" i="14" s="1"/>
  <c r="L507" i="14"/>
  <c r="N507" i="14"/>
  <c r="P507" i="14"/>
  <c r="J509" i="14"/>
  <c r="P509" i="14" s="1"/>
  <c r="I510" i="14"/>
  <c r="P510" i="14"/>
  <c r="K511" i="14"/>
  <c r="O511" i="14"/>
  <c r="P511" i="14"/>
  <c r="Q511" i="14" s="1"/>
  <c r="K512" i="14"/>
  <c r="O512" i="14"/>
  <c r="P512" i="14"/>
  <c r="K513" i="14"/>
  <c r="O513" i="14"/>
  <c r="P513" i="14"/>
  <c r="I515" i="14"/>
  <c r="K515" i="14" s="1"/>
  <c r="P515" i="14"/>
  <c r="I516" i="14"/>
  <c r="K516" i="14" s="1"/>
  <c r="P516" i="14"/>
  <c r="J517" i="14"/>
  <c r="I518" i="14"/>
  <c r="P518" i="14"/>
  <c r="I519" i="14"/>
  <c r="O519" i="14" s="1"/>
  <c r="K519" i="14"/>
  <c r="P519" i="14"/>
  <c r="I520" i="14"/>
  <c r="K520" i="14" s="1"/>
  <c r="P520" i="14"/>
  <c r="I521" i="14"/>
  <c r="K521" i="14" s="1"/>
  <c r="P521" i="14"/>
  <c r="K522" i="14"/>
  <c r="O522" i="14"/>
  <c r="P522" i="14"/>
  <c r="I523" i="14"/>
  <c r="O523" i="14" s="1"/>
  <c r="P523" i="14"/>
  <c r="I524" i="14"/>
  <c r="O524" i="14" s="1"/>
  <c r="P524" i="14"/>
  <c r="L526" i="14"/>
  <c r="O526" i="14" s="1"/>
  <c r="M526" i="14"/>
  <c r="M525" i="14" s="1"/>
  <c r="P526" i="14"/>
  <c r="N527" i="14"/>
  <c r="O527" i="14"/>
  <c r="P527" i="14"/>
  <c r="Q527" i="14" s="1"/>
  <c r="I529" i="14"/>
  <c r="O529" i="14" s="1"/>
  <c r="P529" i="14"/>
  <c r="I530" i="14"/>
  <c r="P530" i="14"/>
  <c r="J531" i="14"/>
  <c r="I532" i="14"/>
  <c r="K532" i="14"/>
  <c r="O532" i="14"/>
  <c r="P532" i="14"/>
  <c r="I533" i="14"/>
  <c r="P533" i="14"/>
  <c r="I534" i="14"/>
  <c r="O534" i="14" s="1"/>
  <c r="K534" i="14"/>
  <c r="P534" i="14"/>
  <c r="I535" i="14"/>
  <c r="O535" i="14" s="1"/>
  <c r="K535" i="14"/>
  <c r="P535" i="14"/>
  <c r="K536" i="14"/>
  <c r="O536" i="14"/>
  <c r="P536" i="14"/>
  <c r="Q536" i="14" s="1"/>
  <c r="I537" i="14"/>
  <c r="K537" i="14" s="1"/>
  <c r="P537" i="14"/>
  <c r="I538" i="14"/>
  <c r="P538" i="14"/>
  <c r="L540" i="14"/>
  <c r="L539" i="14" s="1"/>
  <c r="L528" i="14" s="1"/>
  <c r="M540" i="14"/>
  <c r="M539" i="14" s="1"/>
  <c r="M528" i="14" s="1"/>
  <c r="P540" i="14"/>
  <c r="N541" i="14"/>
  <c r="O541" i="14"/>
  <c r="P541" i="14"/>
  <c r="I543" i="14"/>
  <c r="K543" i="14" s="1"/>
  <c r="P543" i="14"/>
  <c r="I544" i="14"/>
  <c r="K544" i="14"/>
  <c r="P544" i="14"/>
  <c r="J545" i="14"/>
  <c r="P545" i="14" s="1"/>
  <c r="I546" i="14"/>
  <c r="O546" i="14" s="1"/>
  <c r="K546" i="14"/>
  <c r="P546" i="14"/>
  <c r="I547" i="14"/>
  <c r="O547" i="14" s="1"/>
  <c r="K547" i="14"/>
  <c r="P547" i="14"/>
  <c r="I548" i="14"/>
  <c r="K548" i="14" s="1"/>
  <c r="P548" i="14"/>
  <c r="I549" i="14"/>
  <c r="P549" i="14"/>
  <c r="K550" i="14"/>
  <c r="O550" i="14"/>
  <c r="P550" i="14"/>
  <c r="Q550" i="14" s="1"/>
  <c r="I551" i="14"/>
  <c r="K551" i="14"/>
  <c r="O551" i="14"/>
  <c r="P551" i="14"/>
  <c r="I552" i="14"/>
  <c r="O552" i="14" s="1"/>
  <c r="K552" i="14"/>
  <c r="P552" i="14"/>
  <c r="M554" i="14"/>
  <c r="N555" i="14"/>
  <c r="O555" i="14"/>
  <c r="P555" i="14"/>
  <c r="Q555" i="14" s="1"/>
  <c r="L556" i="14"/>
  <c r="L554" i="14" s="1"/>
  <c r="P556" i="14"/>
  <c r="I558" i="14"/>
  <c r="K558" i="14" s="1"/>
  <c r="P558" i="14"/>
  <c r="I559" i="14"/>
  <c r="O559" i="14" s="1"/>
  <c r="K559" i="14"/>
  <c r="P559" i="14"/>
  <c r="J560" i="14"/>
  <c r="I561" i="14"/>
  <c r="K561" i="14" s="1"/>
  <c r="P561" i="14"/>
  <c r="I562" i="14"/>
  <c r="O562" i="14" s="1"/>
  <c r="K562" i="14"/>
  <c r="P562" i="14"/>
  <c r="I563" i="14"/>
  <c r="K563" i="14" s="1"/>
  <c r="P563" i="14"/>
  <c r="I564" i="14"/>
  <c r="K564" i="14" s="1"/>
  <c r="P564" i="14"/>
  <c r="K565" i="14"/>
  <c r="O565" i="14"/>
  <c r="P565" i="14"/>
  <c r="Q565" i="14" s="1"/>
  <c r="I566" i="14"/>
  <c r="O566" i="14" s="1"/>
  <c r="K566" i="14"/>
  <c r="P566" i="14"/>
  <c r="I567" i="14"/>
  <c r="K567" i="14" s="1"/>
  <c r="P567" i="14"/>
  <c r="L569" i="14"/>
  <c r="M569" i="14"/>
  <c r="N569" i="14" s="1"/>
  <c r="N570" i="14"/>
  <c r="O570" i="14"/>
  <c r="P570" i="14"/>
  <c r="J571" i="14"/>
  <c r="P571" i="14" s="1"/>
  <c r="I572" i="14"/>
  <c r="P572" i="14"/>
  <c r="I573" i="14"/>
  <c r="O573" i="14" s="1"/>
  <c r="K573" i="14"/>
  <c r="P573" i="14"/>
  <c r="J574" i="14"/>
  <c r="P574" i="14" s="1"/>
  <c r="I575" i="14"/>
  <c r="K575" i="14" s="1"/>
  <c r="O575" i="14"/>
  <c r="Q575" i="14" s="1"/>
  <c r="P575" i="14"/>
  <c r="I576" i="14"/>
  <c r="K576" i="14"/>
  <c r="O576" i="14"/>
  <c r="P576" i="14"/>
  <c r="I577" i="14"/>
  <c r="K577" i="14" s="1"/>
  <c r="P577" i="14"/>
  <c r="I578" i="14"/>
  <c r="P578" i="14"/>
  <c r="K579" i="14"/>
  <c r="O579" i="14"/>
  <c r="P579" i="14"/>
  <c r="I580" i="14"/>
  <c r="P580" i="14"/>
  <c r="I581" i="14"/>
  <c r="K581" i="14" s="1"/>
  <c r="P581" i="14"/>
  <c r="I583" i="14"/>
  <c r="O583" i="14" s="1"/>
  <c r="P583" i="14"/>
  <c r="Q583" i="14" s="1"/>
  <c r="I584" i="14"/>
  <c r="P584" i="14"/>
  <c r="J585" i="14"/>
  <c r="J582" i="14" s="1"/>
  <c r="I586" i="14"/>
  <c r="K586" i="14" s="1"/>
  <c r="P586" i="14"/>
  <c r="I587" i="14"/>
  <c r="K587" i="14" s="1"/>
  <c r="P587" i="14"/>
  <c r="I588" i="14"/>
  <c r="K588" i="14" s="1"/>
  <c r="P588" i="14"/>
  <c r="I589" i="14"/>
  <c r="O589" i="14" s="1"/>
  <c r="P589" i="14"/>
  <c r="K590" i="14"/>
  <c r="O590" i="14"/>
  <c r="P590" i="14"/>
  <c r="I591" i="14"/>
  <c r="K591" i="14" s="1"/>
  <c r="P591" i="14"/>
  <c r="I592" i="14"/>
  <c r="K592" i="14"/>
  <c r="O592" i="14"/>
  <c r="P592" i="14"/>
  <c r="Q592" i="14" s="1"/>
  <c r="L594" i="14"/>
  <c r="O594" i="14" s="1"/>
  <c r="M594" i="14"/>
  <c r="P594" i="14"/>
  <c r="N595" i="14"/>
  <c r="O595" i="14"/>
  <c r="P595" i="14"/>
  <c r="I597" i="14"/>
  <c r="K597" i="14" s="1"/>
  <c r="P597" i="14"/>
  <c r="I598" i="14"/>
  <c r="P598" i="14"/>
  <c r="J599" i="14"/>
  <c r="J596" i="14" s="1"/>
  <c r="I600" i="14"/>
  <c r="K600" i="14" s="1"/>
  <c r="P600" i="14"/>
  <c r="I601" i="14"/>
  <c r="K601" i="14" s="1"/>
  <c r="P601" i="14"/>
  <c r="I602" i="14"/>
  <c r="K602" i="14" s="1"/>
  <c r="P602" i="14"/>
  <c r="I603" i="14"/>
  <c r="O603" i="14" s="1"/>
  <c r="P603" i="14"/>
  <c r="K604" i="14"/>
  <c r="O604" i="14"/>
  <c r="P604" i="14"/>
  <c r="I605" i="14"/>
  <c r="O605" i="14" s="1"/>
  <c r="K605" i="14"/>
  <c r="P605" i="14"/>
  <c r="I606" i="14"/>
  <c r="K606" i="14" s="1"/>
  <c r="P606" i="14"/>
  <c r="L608" i="14"/>
  <c r="M608" i="14"/>
  <c r="M607" i="14" s="1"/>
  <c r="N609" i="14"/>
  <c r="O609" i="14"/>
  <c r="P609" i="14"/>
  <c r="N610" i="14"/>
  <c r="O610" i="14"/>
  <c r="P610" i="14"/>
  <c r="Q610" i="14"/>
  <c r="I612" i="14"/>
  <c r="K612" i="14" s="1"/>
  <c r="P612" i="14"/>
  <c r="I613" i="14"/>
  <c r="K613" i="14" s="1"/>
  <c r="P613" i="14"/>
  <c r="J614" i="14"/>
  <c r="J611" i="14" s="1"/>
  <c r="I615" i="14"/>
  <c r="P615" i="14"/>
  <c r="I616" i="14"/>
  <c r="K616" i="14" s="1"/>
  <c r="P616" i="14"/>
  <c r="I617" i="14"/>
  <c r="K617" i="14"/>
  <c r="O617" i="14"/>
  <c r="P617" i="14"/>
  <c r="I618" i="14"/>
  <c r="P618" i="14"/>
  <c r="K619" i="14"/>
  <c r="O619" i="14"/>
  <c r="P619" i="14"/>
  <c r="Q619" i="14" s="1"/>
  <c r="I620" i="14"/>
  <c r="P620" i="14"/>
  <c r="I621" i="14"/>
  <c r="K621" i="14" s="1"/>
  <c r="P621" i="14"/>
  <c r="M623" i="14"/>
  <c r="P623" i="14" s="1"/>
  <c r="L624" i="14"/>
  <c r="P624" i="14"/>
  <c r="I626" i="14"/>
  <c r="O626" i="14" s="1"/>
  <c r="P626" i="14"/>
  <c r="I627" i="14"/>
  <c r="P627" i="14"/>
  <c r="J628" i="14"/>
  <c r="P628" i="14" s="1"/>
  <c r="I629" i="14"/>
  <c r="O629" i="14" s="1"/>
  <c r="K629" i="14"/>
  <c r="P629" i="14"/>
  <c r="I630" i="14"/>
  <c r="K630" i="14" s="1"/>
  <c r="P630" i="14"/>
  <c r="I631" i="14"/>
  <c r="P631" i="14"/>
  <c r="I632" i="14"/>
  <c r="K632" i="14" s="1"/>
  <c r="P632" i="14"/>
  <c r="K633" i="14"/>
  <c r="O633" i="14"/>
  <c r="P633" i="14"/>
  <c r="I634" i="14"/>
  <c r="O634" i="14" s="1"/>
  <c r="P634" i="14"/>
  <c r="Q634" i="14" s="1"/>
  <c r="I635" i="14"/>
  <c r="P635" i="14"/>
  <c r="M637" i="14"/>
  <c r="M636" i="14" s="1"/>
  <c r="L638" i="14"/>
  <c r="P638" i="14"/>
  <c r="N639" i="14"/>
  <c r="O639" i="14"/>
  <c r="P639" i="14"/>
  <c r="I641" i="14"/>
  <c r="K641" i="14" s="1"/>
  <c r="P641" i="14"/>
  <c r="I642" i="14"/>
  <c r="O642" i="14" s="1"/>
  <c r="P642" i="14"/>
  <c r="J643" i="14"/>
  <c r="I644" i="14"/>
  <c r="P644" i="14"/>
  <c r="I645" i="14"/>
  <c r="O645" i="14" s="1"/>
  <c r="Q645" i="14" s="1"/>
  <c r="P645" i="14"/>
  <c r="I646" i="14"/>
  <c r="K646" i="14"/>
  <c r="O646" i="14"/>
  <c r="P646" i="14"/>
  <c r="Q646" i="14" s="1"/>
  <c r="I647" i="14"/>
  <c r="O647" i="14" s="1"/>
  <c r="K647" i="14"/>
  <c r="P647" i="14"/>
  <c r="K648" i="14"/>
  <c r="O648" i="14"/>
  <c r="P648" i="14"/>
  <c r="Q648" i="14" s="1"/>
  <c r="I649" i="14"/>
  <c r="O649" i="14" s="1"/>
  <c r="P649" i="14"/>
  <c r="I650" i="14"/>
  <c r="K650" i="14" s="1"/>
  <c r="P650" i="14"/>
  <c r="I652" i="14"/>
  <c r="O652" i="14" s="1"/>
  <c r="P652" i="14"/>
  <c r="I653" i="14"/>
  <c r="P653" i="14"/>
  <c r="J654" i="14"/>
  <c r="I655" i="14"/>
  <c r="P655" i="14"/>
  <c r="I656" i="14"/>
  <c r="K656" i="14" s="1"/>
  <c r="P656" i="14"/>
  <c r="I657" i="14"/>
  <c r="O657" i="14" s="1"/>
  <c r="P657" i="14"/>
  <c r="I658" i="14"/>
  <c r="K658" i="14" s="1"/>
  <c r="O658" i="14"/>
  <c r="P658" i="14"/>
  <c r="K659" i="14"/>
  <c r="O659" i="14"/>
  <c r="P659" i="14"/>
  <c r="I660" i="14"/>
  <c r="O660" i="14" s="1"/>
  <c r="P660" i="14"/>
  <c r="I661" i="14"/>
  <c r="P661" i="14"/>
  <c r="I663" i="14"/>
  <c r="P663" i="14"/>
  <c r="I664" i="14"/>
  <c r="K664" i="14" s="1"/>
  <c r="P664" i="14"/>
  <c r="J665" i="14"/>
  <c r="P665" i="14" s="1"/>
  <c r="I666" i="14"/>
  <c r="K666" i="14"/>
  <c r="O666" i="14"/>
  <c r="P666" i="14"/>
  <c r="I667" i="14"/>
  <c r="P667" i="14"/>
  <c r="I668" i="14"/>
  <c r="P668" i="14"/>
  <c r="I669" i="14"/>
  <c r="K669" i="14" s="1"/>
  <c r="P669" i="14"/>
  <c r="K670" i="14"/>
  <c r="O670" i="14"/>
  <c r="P670" i="14"/>
  <c r="I671" i="14"/>
  <c r="K671" i="14" s="1"/>
  <c r="P671" i="14"/>
  <c r="I672" i="14"/>
  <c r="O672" i="14" s="1"/>
  <c r="P672" i="14"/>
  <c r="L674" i="14"/>
  <c r="L673" i="14" s="1"/>
  <c r="M674" i="14"/>
  <c r="P674" i="14" s="1"/>
  <c r="N674" i="14"/>
  <c r="O674" i="14"/>
  <c r="N675" i="14"/>
  <c r="O675" i="14"/>
  <c r="P675" i="14"/>
  <c r="Q675" i="14" s="1"/>
  <c r="I677" i="14"/>
  <c r="P677" i="14"/>
  <c r="I678" i="14"/>
  <c r="P678" i="14"/>
  <c r="J679" i="14"/>
  <c r="I680" i="14"/>
  <c r="P680" i="14"/>
  <c r="I681" i="14"/>
  <c r="K681" i="14" s="1"/>
  <c r="P681" i="14"/>
  <c r="I682" i="14"/>
  <c r="K682" i="14" s="1"/>
  <c r="P682" i="14"/>
  <c r="I683" i="14"/>
  <c r="K683" i="14" s="1"/>
  <c r="P683" i="14"/>
  <c r="K684" i="14"/>
  <c r="O684" i="14"/>
  <c r="P684" i="14"/>
  <c r="I685" i="14"/>
  <c r="O685" i="14" s="1"/>
  <c r="P685" i="14"/>
  <c r="I686" i="14"/>
  <c r="P686" i="14"/>
  <c r="L688" i="14"/>
  <c r="M688" i="14"/>
  <c r="P688" i="14" s="1"/>
  <c r="N689" i="14"/>
  <c r="O689" i="14"/>
  <c r="P689" i="14"/>
  <c r="I691" i="14"/>
  <c r="K691" i="14" s="1"/>
  <c r="P691" i="14"/>
  <c r="I692" i="14"/>
  <c r="P692" i="14"/>
  <c r="J693" i="14"/>
  <c r="J690" i="14" s="1"/>
  <c r="P690" i="14" s="1"/>
  <c r="P693" i="14"/>
  <c r="I694" i="14"/>
  <c r="K694" i="14" s="1"/>
  <c r="P694" i="14"/>
  <c r="I695" i="14"/>
  <c r="P695" i="14"/>
  <c r="I696" i="14"/>
  <c r="K696" i="14" s="1"/>
  <c r="P696" i="14"/>
  <c r="I697" i="14"/>
  <c r="K697" i="14" s="1"/>
  <c r="O697" i="14"/>
  <c r="P697" i="14"/>
  <c r="I698" i="14"/>
  <c r="K698" i="14" s="1"/>
  <c r="P698" i="14"/>
  <c r="I699" i="14"/>
  <c r="P699" i="14"/>
  <c r="I700" i="14"/>
  <c r="K700" i="14" s="1"/>
  <c r="P700" i="14"/>
  <c r="I702" i="14"/>
  <c r="K702" i="14"/>
  <c r="O702" i="14"/>
  <c r="P702" i="14"/>
  <c r="I703" i="14"/>
  <c r="O703" i="14" s="1"/>
  <c r="K703" i="14"/>
  <c r="P703" i="14"/>
  <c r="J704" i="14"/>
  <c r="J701" i="14" s="1"/>
  <c r="I705" i="14"/>
  <c r="K705" i="14" s="1"/>
  <c r="P705" i="14"/>
  <c r="I706" i="14"/>
  <c r="O706" i="14" s="1"/>
  <c r="Q706" i="14" s="1"/>
  <c r="P706" i="14"/>
  <c r="I707" i="14"/>
  <c r="K707" i="14" s="1"/>
  <c r="P707" i="14"/>
  <c r="I708" i="14"/>
  <c r="O708" i="14" s="1"/>
  <c r="P708" i="14"/>
  <c r="I709" i="14"/>
  <c r="K709" i="14" s="1"/>
  <c r="P709" i="14"/>
  <c r="I710" i="14"/>
  <c r="P710" i="14"/>
  <c r="I711" i="14"/>
  <c r="O711" i="14" s="1"/>
  <c r="P711" i="14"/>
  <c r="J713" i="14"/>
  <c r="P713" i="14" s="1"/>
  <c r="I714" i="14"/>
  <c r="I713" i="14" s="1"/>
  <c r="P714" i="14"/>
  <c r="I715" i="14"/>
  <c r="K715" i="14" s="1"/>
  <c r="P715" i="14"/>
  <c r="K716" i="14"/>
  <c r="O716" i="14"/>
  <c r="P716" i="14"/>
  <c r="I718" i="14"/>
  <c r="K718" i="14" s="1"/>
  <c r="P718" i="14"/>
  <c r="I719" i="14"/>
  <c r="K719" i="14" s="1"/>
  <c r="P719" i="14"/>
  <c r="J720" i="14"/>
  <c r="P720" i="14" s="1"/>
  <c r="I721" i="14"/>
  <c r="K721" i="14"/>
  <c r="O721" i="14"/>
  <c r="P721" i="14"/>
  <c r="I722" i="14"/>
  <c r="O722" i="14" s="1"/>
  <c r="P722" i="14"/>
  <c r="I723" i="14"/>
  <c r="K723" i="14" s="1"/>
  <c r="P723" i="14"/>
  <c r="I724" i="14"/>
  <c r="P724" i="14"/>
  <c r="I725" i="14"/>
  <c r="P725" i="14"/>
  <c r="I726" i="14"/>
  <c r="K726" i="14"/>
  <c r="O726" i="14"/>
  <c r="P726" i="14"/>
  <c r="I727" i="14"/>
  <c r="O727" i="14" s="1"/>
  <c r="P727" i="14"/>
  <c r="I728" i="14"/>
  <c r="O728" i="14" s="1"/>
  <c r="P728" i="14"/>
  <c r="I729" i="14"/>
  <c r="K729" i="14" s="1"/>
  <c r="P729" i="14"/>
  <c r="J730" i="14"/>
  <c r="P730" i="14" s="1"/>
  <c r="I731" i="14"/>
  <c r="K731" i="14" s="1"/>
  <c r="P731" i="14"/>
  <c r="I732" i="14"/>
  <c r="K732" i="14" s="1"/>
  <c r="P732" i="14"/>
  <c r="I733" i="14"/>
  <c r="K733" i="14" s="1"/>
  <c r="O733" i="14"/>
  <c r="P733" i="14"/>
  <c r="I734" i="14"/>
  <c r="K734" i="14" s="1"/>
  <c r="P734" i="14"/>
  <c r="I735" i="14"/>
  <c r="P735" i="14"/>
  <c r="I736" i="14"/>
  <c r="P736" i="14"/>
  <c r="I737" i="14"/>
  <c r="O737" i="14" s="1"/>
  <c r="P737" i="14"/>
  <c r="K738" i="14"/>
  <c r="O738" i="14"/>
  <c r="P738" i="14"/>
  <c r="L740" i="14"/>
  <c r="M740" i="14"/>
  <c r="N741" i="14"/>
  <c r="O741" i="14"/>
  <c r="P741" i="14"/>
  <c r="Q741" i="14" s="1"/>
  <c r="I743" i="14"/>
  <c r="O743" i="14" s="1"/>
  <c r="P743" i="14"/>
  <c r="I744" i="14"/>
  <c r="O744" i="14"/>
  <c r="Q744" i="14" s="1"/>
  <c r="P744" i="14"/>
  <c r="I745" i="14"/>
  <c r="O745" i="14" s="1"/>
  <c r="J745" i="14"/>
  <c r="I746" i="14"/>
  <c r="K746" i="14"/>
  <c r="O746" i="14"/>
  <c r="P746" i="14"/>
  <c r="K747" i="14"/>
  <c r="O747" i="14"/>
  <c r="P747" i="14"/>
  <c r="K748" i="14"/>
  <c r="O748" i="14"/>
  <c r="P748" i="14"/>
  <c r="K749" i="14"/>
  <c r="O749" i="14"/>
  <c r="P749" i="14"/>
  <c r="K750" i="14"/>
  <c r="O750" i="14"/>
  <c r="P750" i="14"/>
  <c r="I751" i="14"/>
  <c r="P751" i="14"/>
  <c r="I752" i="14"/>
  <c r="K752" i="14" s="1"/>
  <c r="P752" i="14"/>
  <c r="J753" i="14"/>
  <c r="P753" i="14" s="1"/>
  <c r="K754" i="14"/>
  <c r="O754" i="14"/>
  <c r="P754" i="14"/>
  <c r="Q754" i="14" s="1"/>
  <c r="I755" i="14"/>
  <c r="P755" i="14"/>
  <c r="I756" i="14"/>
  <c r="O756" i="14" s="1"/>
  <c r="P756" i="14"/>
  <c r="Q756" i="14" s="1"/>
  <c r="K757" i="14"/>
  <c r="O757" i="14"/>
  <c r="P757" i="14"/>
  <c r="Q757" i="14" s="1"/>
  <c r="K758" i="14"/>
  <c r="O758" i="14"/>
  <c r="P758" i="14"/>
  <c r="K759" i="14"/>
  <c r="O759" i="14"/>
  <c r="P759" i="14"/>
  <c r="K760" i="14"/>
  <c r="O760" i="14"/>
  <c r="P760" i="14"/>
  <c r="K761" i="14"/>
  <c r="O761" i="14"/>
  <c r="P761" i="14"/>
  <c r="Q761" i="14" s="1"/>
  <c r="M763" i="14"/>
  <c r="P763" i="14" s="1"/>
  <c r="L764" i="14"/>
  <c r="P764" i="14"/>
  <c r="L765" i="14"/>
  <c r="O765" i="14" s="1"/>
  <c r="N765" i="14"/>
  <c r="P765" i="14"/>
  <c r="I767" i="14"/>
  <c r="K767" i="14" s="1"/>
  <c r="P767" i="14"/>
  <c r="I768" i="14"/>
  <c r="K768" i="14" s="1"/>
  <c r="P768" i="14"/>
  <c r="J769" i="14"/>
  <c r="K770" i="14"/>
  <c r="O770" i="14"/>
  <c r="P770" i="14"/>
  <c r="K771" i="14"/>
  <c r="O771" i="14"/>
  <c r="P771" i="14"/>
  <c r="K772" i="14"/>
  <c r="O772" i="14"/>
  <c r="P772" i="14"/>
  <c r="Q772" i="14" s="1"/>
  <c r="I773" i="14"/>
  <c r="P773" i="14"/>
  <c r="K774" i="14"/>
  <c r="O774" i="14"/>
  <c r="P774" i="14"/>
  <c r="Q774" i="14" s="1"/>
  <c r="K775" i="14"/>
  <c r="O775" i="14"/>
  <c r="P775" i="14"/>
  <c r="Q775" i="14" s="1"/>
  <c r="K776" i="14"/>
  <c r="O776" i="14"/>
  <c r="P776" i="14"/>
  <c r="I777" i="14"/>
  <c r="K777" i="14" s="1"/>
  <c r="P777" i="14"/>
  <c r="I778" i="14"/>
  <c r="O778" i="14" s="1"/>
  <c r="K778" i="14"/>
  <c r="P778" i="14"/>
  <c r="J779" i="14"/>
  <c r="P779" i="14"/>
  <c r="K780" i="14"/>
  <c r="O780" i="14"/>
  <c r="P780" i="14"/>
  <c r="Q780" i="14" s="1"/>
  <c r="I781" i="14"/>
  <c r="P781" i="14"/>
  <c r="I782" i="14"/>
  <c r="P782" i="14"/>
  <c r="I783" i="14"/>
  <c r="K783" i="14" s="1"/>
  <c r="P783" i="14"/>
  <c r="K784" i="14"/>
  <c r="O784" i="14"/>
  <c r="P784" i="14"/>
  <c r="I785" i="14"/>
  <c r="K785" i="14" s="1"/>
  <c r="P785" i="14"/>
  <c r="I786" i="14"/>
  <c r="K786" i="14" s="1"/>
  <c r="P786" i="14"/>
  <c r="K787" i="14"/>
  <c r="O787" i="14"/>
  <c r="P787" i="14"/>
  <c r="K788" i="14"/>
  <c r="O788" i="14"/>
  <c r="P788" i="14"/>
  <c r="L790" i="14"/>
  <c r="L789" i="14" s="1"/>
  <c r="M790" i="14"/>
  <c r="M789" i="14" s="1"/>
  <c r="P789" i="14" s="1"/>
  <c r="N791" i="14"/>
  <c r="O791" i="14"/>
  <c r="P791" i="14"/>
  <c r="Q791" i="14" s="1"/>
  <c r="K793" i="14"/>
  <c r="O793" i="14"/>
  <c r="Q793" i="14" s="1"/>
  <c r="P793" i="14"/>
  <c r="K794" i="14"/>
  <c r="O794" i="14"/>
  <c r="P794" i="14"/>
  <c r="I795" i="14"/>
  <c r="J795" i="14"/>
  <c r="P795" i="14" s="1"/>
  <c r="K796" i="14"/>
  <c r="O796" i="14"/>
  <c r="P796" i="14"/>
  <c r="Q796" i="14" s="1"/>
  <c r="K797" i="14"/>
  <c r="O797" i="14"/>
  <c r="P797" i="14"/>
  <c r="Q797" i="14" s="1"/>
  <c r="K798" i="14"/>
  <c r="O798" i="14"/>
  <c r="P798" i="14"/>
  <c r="K799" i="14"/>
  <c r="O799" i="14"/>
  <c r="P799" i="14"/>
  <c r="Q799" i="14" s="1"/>
  <c r="K800" i="14"/>
  <c r="O800" i="14"/>
  <c r="P800" i="14"/>
  <c r="K801" i="14"/>
  <c r="O801" i="14"/>
  <c r="P801" i="14"/>
  <c r="K802" i="14"/>
  <c r="O802" i="14"/>
  <c r="P802" i="14"/>
  <c r="K803" i="14"/>
  <c r="O803" i="14"/>
  <c r="P803" i="14"/>
  <c r="Q803" i="14"/>
  <c r="I804" i="14"/>
  <c r="O804" i="14" s="1"/>
  <c r="K804" i="14"/>
  <c r="P804" i="14"/>
  <c r="I805" i="14"/>
  <c r="O805" i="14" s="1"/>
  <c r="P805" i="14"/>
  <c r="J806" i="14"/>
  <c r="P806" i="14" s="1"/>
  <c r="K807" i="14"/>
  <c r="O807" i="14"/>
  <c r="P807" i="14"/>
  <c r="K808" i="14"/>
  <c r="O808" i="14"/>
  <c r="Q808" i="14" s="1"/>
  <c r="P808" i="14"/>
  <c r="I809" i="14"/>
  <c r="P809" i="14"/>
  <c r="P810" i="14"/>
  <c r="I811" i="14"/>
  <c r="O811" i="14" s="1"/>
  <c r="K811" i="14"/>
  <c r="P811" i="14"/>
  <c r="Q811" i="14" s="1"/>
  <c r="K812" i="14"/>
  <c r="O812" i="14"/>
  <c r="P812" i="14"/>
  <c r="I813" i="14"/>
  <c r="O813" i="14" s="1"/>
  <c r="P813" i="14"/>
  <c r="K814" i="14"/>
  <c r="O814" i="14"/>
  <c r="P814" i="14"/>
  <c r="K815" i="14"/>
  <c r="O815" i="14"/>
  <c r="P815" i="14"/>
  <c r="Q815" i="14" s="1"/>
  <c r="L817" i="14"/>
  <c r="O817" i="14" s="1"/>
  <c r="M817" i="14"/>
  <c r="N818" i="14"/>
  <c r="O818" i="14"/>
  <c r="P818" i="14"/>
  <c r="Q818" i="14" s="1"/>
  <c r="I820" i="14"/>
  <c r="K820" i="14"/>
  <c r="O820" i="14"/>
  <c r="P820" i="14"/>
  <c r="I821" i="14"/>
  <c r="P821" i="14"/>
  <c r="J822" i="14"/>
  <c r="K823" i="14"/>
  <c r="O823" i="14"/>
  <c r="Q823" i="14" s="1"/>
  <c r="P823" i="14"/>
  <c r="I824" i="14"/>
  <c r="P824" i="14"/>
  <c r="K825" i="14"/>
  <c r="O825" i="14"/>
  <c r="P825" i="14"/>
  <c r="Q825" i="14" s="1"/>
  <c r="K826" i="14"/>
  <c r="O826" i="14"/>
  <c r="P826" i="14"/>
  <c r="K827" i="14"/>
  <c r="O827" i="14"/>
  <c r="P827" i="14"/>
  <c r="Q827" i="14" s="1"/>
  <c r="I828" i="14"/>
  <c r="K828" i="14" s="1"/>
  <c r="P828" i="14"/>
  <c r="K829" i="14"/>
  <c r="O829" i="14"/>
  <c r="P829" i="14"/>
  <c r="I830" i="14"/>
  <c r="P830" i="14"/>
  <c r="I831" i="14"/>
  <c r="K831" i="14" s="1"/>
  <c r="P831" i="14"/>
  <c r="J832" i="14"/>
  <c r="K833" i="14"/>
  <c r="O833" i="14"/>
  <c r="P833" i="14"/>
  <c r="I834" i="14"/>
  <c r="O834" i="14" s="1"/>
  <c r="K834" i="14"/>
  <c r="P834" i="14"/>
  <c r="I835" i="14"/>
  <c r="K835" i="14" s="1"/>
  <c r="P835" i="14"/>
  <c r="K836" i="14"/>
  <c r="O836" i="14"/>
  <c r="P836" i="14"/>
  <c r="Q836" i="14" s="1"/>
  <c r="K837" i="14"/>
  <c r="O837" i="14"/>
  <c r="P837" i="14"/>
  <c r="I838" i="14"/>
  <c r="K838" i="14" s="1"/>
  <c r="P838" i="14"/>
  <c r="K839" i="14"/>
  <c r="O839" i="14"/>
  <c r="P839" i="14"/>
  <c r="K840" i="14"/>
  <c r="O840" i="14"/>
  <c r="P840" i="14"/>
  <c r="Q840" i="14" s="1"/>
  <c r="M842" i="14"/>
  <c r="P842" i="14" s="1"/>
  <c r="L843" i="14"/>
  <c r="P843" i="14"/>
  <c r="M844" i="14"/>
  <c r="P844" i="14"/>
  <c r="L845" i="14"/>
  <c r="L844" i="14" s="1"/>
  <c r="P845" i="14"/>
  <c r="I847" i="14"/>
  <c r="P847" i="14"/>
  <c r="I848" i="14"/>
  <c r="O848" i="14" s="1"/>
  <c r="K848" i="14"/>
  <c r="P848" i="14"/>
  <c r="J849" i="14"/>
  <c r="P849" i="14"/>
  <c r="K850" i="14"/>
  <c r="O850" i="14"/>
  <c r="P850" i="14"/>
  <c r="I851" i="14"/>
  <c r="K851" i="14" s="1"/>
  <c r="P851" i="14"/>
  <c r="I852" i="14"/>
  <c r="K852" i="14"/>
  <c r="P852" i="14"/>
  <c r="I853" i="14"/>
  <c r="P853" i="14"/>
  <c r="I854" i="14"/>
  <c r="K854" i="14" s="1"/>
  <c r="P854" i="14"/>
  <c r="I855" i="14"/>
  <c r="K855" i="14" s="1"/>
  <c r="O855" i="14"/>
  <c r="P855" i="14"/>
  <c r="I856" i="14"/>
  <c r="K856" i="14" s="1"/>
  <c r="P856" i="14"/>
  <c r="I857" i="14"/>
  <c r="P857" i="14"/>
  <c r="I858" i="14"/>
  <c r="P858" i="14"/>
  <c r="J859" i="14"/>
  <c r="P859" i="14" s="1"/>
  <c r="I860" i="14"/>
  <c r="P860" i="14"/>
  <c r="I861" i="14"/>
  <c r="O861" i="14" s="1"/>
  <c r="P861" i="14"/>
  <c r="I862" i="14"/>
  <c r="K862" i="14" s="1"/>
  <c r="P862" i="14"/>
  <c r="K863" i="14"/>
  <c r="O863" i="14"/>
  <c r="P863" i="14"/>
  <c r="Q863" i="14" s="1"/>
  <c r="I864" i="14"/>
  <c r="P864" i="14"/>
  <c r="I865" i="14"/>
  <c r="P865" i="14"/>
  <c r="I866" i="14"/>
  <c r="K866" i="14"/>
  <c r="O866" i="14"/>
  <c r="P866" i="14"/>
  <c r="I867" i="14"/>
  <c r="K867" i="14" s="1"/>
  <c r="P867" i="14"/>
  <c r="K868" i="14"/>
  <c r="O868" i="14"/>
  <c r="Q868" i="14" s="1"/>
  <c r="P868" i="14"/>
  <c r="M870" i="14"/>
  <c r="P870" i="14" s="1"/>
  <c r="L871" i="14"/>
  <c r="L870" i="14" s="1"/>
  <c r="O871" i="14"/>
  <c r="P871" i="14"/>
  <c r="I873" i="14"/>
  <c r="P873" i="14"/>
  <c r="I874" i="14"/>
  <c r="P874" i="14"/>
  <c r="J875" i="14"/>
  <c r="P875" i="14" s="1"/>
  <c r="K876" i="14"/>
  <c r="O876" i="14"/>
  <c r="P876" i="14"/>
  <c r="I877" i="14"/>
  <c r="P877" i="14"/>
  <c r="I878" i="14"/>
  <c r="P878" i="14"/>
  <c r="K879" i="14"/>
  <c r="O879" i="14"/>
  <c r="P879" i="14"/>
  <c r="Q879" i="14" s="1"/>
  <c r="K880" i="14"/>
  <c r="O880" i="14"/>
  <c r="P880" i="14"/>
  <c r="Q880" i="14" s="1"/>
  <c r="I881" i="14"/>
  <c r="P881" i="14"/>
  <c r="K882" i="14"/>
  <c r="O882" i="14"/>
  <c r="P882" i="14"/>
  <c r="Q882" i="14" s="1"/>
  <c r="I883" i="14"/>
  <c r="K883" i="14" s="1"/>
  <c r="P883" i="14"/>
  <c r="I884" i="14"/>
  <c r="K884" i="14" s="1"/>
  <c r="P884" i="14"/>
  <c r="J885" i="14"/>
  <c r="P885" i="14" s="1"/>
  <c r="K886" i="14"/>
  <c r="O886" i="14"/>
  <c r="P886" i="14"/>
  <c r="I887" i="14"/>
  <c r="K887" i="14" s="1"/>
  <c r="P887" i="14"/>
  <c r="I888" i="14"/>
  <c r="K888" i="14" s="1"/>
  <c r="O888" i="14"/>
  <c r="P888" i="14"/>
  <c r="K889" i="14"/>
  <c r="O889" i="14"/>
  <c r="P889" i="14"/>
  <c r="Q889" i="14"/>
  <c r="K890" i="14"/>
  <c r="O890" i="14"/>
  <c r="P890" i="14"/>
  <c r="I891" i="14"/>
  <c r="K891" i="14" s="1"/>
  <c r="P891" i="14"/>
  <c r="K892" i="14"/>
  <c r="O892" i="14"/>
  <c r="P892" i="14"/>
  <c r="K893" i="14"/>
  <c r="O893" i="14"/>
  <c r="P893" i="14"/>
  <c r="L895" i="14"/>
  <c r="O895" i="14" s="1"/>
  <c r="M895" i="14"/>
  <c r="P895" i="14" s="1"/>
  <c r="N896" i="14"/>
  <c r="O896" i="14"/>
  <c r="P896" i="14"/>
  <c r="L897" i="14"/>
  <c r="M897" i="14"/>
  <c r="P897" i="14" s="1"/>
  <c r="N898" i="14"/>
  <c r="O898" i="14"/>
  <c r="P898" i="14"/>
  <c r="K900" i="14"/>
  <c r="O900" i="14"/>
  <c r="P900" i="14"/>
  <c r="K901" i="14"/>
  <c r="O901" i="14"/>
  <c r="P901" i="14"/>
  <c r="Q901" i="14" s="1"/>
  <c r="I902" i="14"/>
  <c r="J902" i="14"/>
  <c r="K902" i="14" s="1"/>
  <c r="O902" i="14"/>
  <c r="K903" i="14"/>
  <c r="O903" i="14"/>
  <c r="P903" i="14"/>
  <c r="Q903" i="14" s="1"/>
  <c r="K904" i="14"/>
  <c r="O904" i="14"/>
  <c r="P904" i="14"/>
  <c r="K905" i="14"/>
  <c r="O905" i="14"/>
  <c r="P905" i="14"/>
  <c r="Q905" i="14" s="1"/>
  <c r="K906" i="14"/>
  <c r="O906" i="14"/>
  <c r="P906" i="14"/>
  <c r="Q906" i="14" s="1"/>
  <c r="K907" i="14"/>
  <c r="O907" i="14"/>
  <c r="P907" i="14"/>
  <c r="Q907" i="14" s="1"/>
  <c r="K908" i="14"/>
  <c r="O908" i="14"/>
  <c r="P908" i="14"/>
  <c r="I909" i="14"/>
  <c r="P909" i="14"/>
  <c r="I910" i="14"/>
  <c r="K910" i="14" s="1"/>
  <c r="P910" i="14"/>
  <c r="J911" i="14"/>
  <c r="P911" i="14" s="1"/>
  <c r="K912" i="14"/>
  <c r="O912" i="14"/>
  <c r="P912" i="14"/>
  <c r="I913" i="14"/>
  <c r="I911" i="14" s="1"/>
  <c r="K911" i="14" s="1"/>
  <c r="O913" i="14"/>
  <c r="P913" i="14"/>
  <c r="K914" i="14"/>
  <c r="O914" i="14"/>
  <c r="P914" i="14"/>
  <c r="Q914" i="14" s="1"/>
  <c r="K915" i="14"/>
  <c r="O915" i="14"/>
  <c r="Q915" i="14" s="1"/>
  <c r="P915" i="14"/>
  <c r="K916" i="14"/>
  <c r="O916" i="14"/>
  <c r="P916" i="14"/>
  <c r="Q916" i="14"/>
  <c r="K917" i="14"/>
  <c r="O917" i="14"/>
  <c r="P917" i="14"/>
  <c r="Q917" i="14" s="1"/>
  <c r="L919" i="14"/>
  <c r="M919" i="14"/>
  <c r="N919" i="14"/>
  <c r="N920" i="14"/>
  <c r="O920" i="14"/>
  <c r="P920" i="14"/>
  <c r="Q920" i="14" s="1"/>
  <c r="I922" i="14"/>
  <c r="J922" i="14"/>
  <c r="P922" i="14" s="1"/>
  <c r="K923" i="14"/>
  <c r="O923" i="14"/>
  <c r="P923" i="14"/>
  <c r="K924" i="14"/>
  <c r="O924" i="14"/>
  <c r="P924" i="14"/>
  <c r="K925" i="14"/>
  <c r="O925" i="14"/>
  <c r="P925" i="14"/>
  <c r="Q925" i="14" s="1"/>
  <c r="K926" i="14"/>
  <c r="O926" i="14"/>
  <c r="P926" i="14"/>
  <c r="K927" i="14"/>
  <c r="O927" i="14"/>
  <c r="P927" i="14"/>
  <c r="K928" i="14"/>
  <c r="O928" i="14"/>
  <c r="P928" i="14"/>
  <c r="K929" i="14"/>
  <c r="O929" i="14"/>
  <c r="P929" i="14"/>
  <c r="K930" i="14"/>
  <c r="O930" i="14"/>
  <c r="P930" i="14"/>
  <c r="K931" i="14"/>
  <c r="O931" i="14"/>
  <c r="P931" i="14"/>
  <c r="Q931" i="14" s="1"/>
  <c r="I933" i="14"/>
  <c r="K933" i="14" s="1"/>
  <c r="P933" i="14"/>
  <c r="I934" i="14"/>
  <c r="K934" i="14" s="1"/>
  <c r="P934" i="14"/>
  <c r="J935" i="14"/>
  <c r="J932" i="14" s="1"/>
  <c r="P932" i="14" s="1"/>
  <c r="K936" i="14"/>
  <c r="O936" i="14"/>
  <c r="P936" i="14"/>
  <c r="Q936" i="14" s="1"/>
  <c r="K937" i="14"/>
  <c r="O937" i="14"/>
  <c r="P937" i="14"/>
  <c r="K938" i="14"/>
  <c r="O938" i="14"/>
  <c r="Q938" i="14" s="1"/>
  <c r="P938" i="14"/>
  <c r="K939" i="14"/>
  <c r="O939" i="14"/>
  <c r="P939" i="14"/>
  <c r="K940" i="14"/>
  <c r="O940" i="14"/>
  <c r="P940" i="14"/>
  <c r="I941" i="14"/>
  <c r="K941" i="14" s="1"/>
  <c r="P941" i="14"/>
  <c r="I942" i="14"/>
  <c r="K942" i="14"/>
  <c r="P942" i="14"/>
  <c r="I943" i="14"/>
  <c r="P943" i="14"/>
  <c r="K945" i="14"/>
  <c r="O945" i="14"/>
  <c r="P945" i="14"/>
  <c r="K946" i="14"/>
  <c r="O946" i="14"/>
  <c r="P946" i="14"/>
  <c r="I947" i="14"/>
  <c r="I944" i="14" s="1"/>
  <c r="O944" i="14" s="1"/>
  <c r="J947" i="14"/>
  <c r="K948" i="14"/>
  <c r="O948" i="14"/>
  <c r="P948" i="14"/>
  <c r="Q948" i="14" s="1"/>
  <c r="K949" i="14"/>
  <c r="O949" i="14"/>
  <c r="P949" i="14"/>
  <c r="K950" i="14"/>
  <c r="O950" i="14"/>
  <c r="P950" i="14"/>
  <c r="K951" i="14"/>
  <c r="O951" i="14"/>
  <c r="P951" i="14"/>
  <c r="K952" i="14"/>
  <c r="O952" i="14"/>
  <c r="Q952" i="14" s="1"/>
  <c r="P952" i="14"/>
  <c r="K954" i="14"/>
  <c r="O954" i="14"/>
  <c r="P954" i="14"/>
  <c r="Q954" i="14" s="1"/>
  <c r="K955" i="14"/>
  <c r="O955" i="14"/>
  <c r="P955" i="14"/>
  <c r="I956" i="14"/>
  <c r="I953" i="14" s="1"/>
  <c r="O953" i="14" s="1"/>
  <c r="J956" i="14"/>
  <c r="K956" i="14"/>
  <c r="K957" i="14"/>
  <c r="O957" i="14"/>
  <c r="P957" i="14"/>
  <c r="K958" i="14"/>
  <c r="O958" i="14"/>
  <c r="P958" i="14"/>
  <c r="Q958" i="14" s="1"/>
  <c r="K959" i="14"/>
  <c r="O959" i="14"/>
  <c r="P959" i="14"/>
  <c r="Q959" i="14" s="1"/>
  <c r="K960" i="14"/>
  <c r="O960" i="14"/>
  <c r="P960" i="14"/>
  <c r="K962" i="14"/>
  <c r="O962" i="14"/>
  <c r="P962" i="14"/>
  <c r="Q962" i="14" s="1"/>
  <c r="K963" i="14"/>
  <c r="O963" i="14"/>
  <c r="P963" i="14"/>
  <c r="Q963" i="14"/>
  <c r="I964" i="14"/>
  <c r="O964" i="14" s="1"/>
  <c r="J964" i="14"/>
  <c r="K965" i="14"/>
  <c r="O965" i="14"/>
  <c r="P965" i="14"/>
  <c r="K966" i="14"/>
  <c r="O966" i="14"/>
  <c r="P966" i="14"/>
  <c r="K967" i="14"/>
  <c r="O967" i="14"/>
  <c r="P967" i="14"/>
  <c r="K968" i="14"/>
  <c r="O968" i="14"/>
  <c r="Q968" i="14" s="1"/>
  <c r="P968" i="14"/>
  <c r="K969" i="14"/>
  <c r="O969" i="14"/>
  <c r="P969" i="14"/>
  <c r="I971" i="14"/>
  <c r="O971" i="14" s="1"/>
  <c r="K971" i="14"/>
  <c r="P971" i="14"/>
  <c r="K972" i="14"/>
  <c r="O972" i="14"/>
  <c r="P972" i="14"/>
  <c r="Q972" i="14" s="1"/>
  <c r="I973" i="14"/>
  <c r="J973" i="14"/>
  <c r="K973" i="14" s="1"/>
  <c r="O973" i="14"/>
  <c r="K974" i="14"/>
  <c r="O974" i="14"/>
  <c r="P974" i="14"/>
  <c r="K975" i="14"/>
  <c r="O975" i="14"/>
  <c r="P975" i="14"/>
  <c r="K976" i="14"/>
  <c r="O976" i="14"/>
  <c r="P976" i="14"/>
  <c r="Q976" i="14" s="1"/>
  <c r="K977" i="14"/>
  <c r="O977" i="14"/>
  <c r="P977" i="14"/>
  <c r="Q977" i="14" s="1"/>
  <c r="K978" i="14"/>
  <c r="O978" i="14"/>
  <c r="P978" i="14"/>
  <c r="Q978" i="14" s="1"/>
  <c r="I980" i="14"/>
  <c r="P980" i="14"/>
  <c r="I981" i="14"/>
  <c r="K981" i="14" s="1"/>
  <c r="P981" i="14"/>
  <c r="I982" i="14"/>
  <c r="O982" i="14" s="1"/>
  <c r="J982" i="14"/>
  <c r="K983" i="14"/>
  <c r="O983" i="14"/>
  <c r="P983" i="14"/>
  <c r="K984" i="14"/>
  <c r="O984" i="14"/>
  <c r="P984" i="14"/>
  <c r="Q984" i="14" s="1"/>
  <c r="K985" i="14"/>
  <c r="O985" i="14"/>
  <c r="Q985" i="14" s="1"/>
  <c r="P985" i="14"/>
  <c r="K986" i="14"/>
  <c r="O986" i="14"/>
  <c r="P986" i="14"/>
  <c r="K987" i="14"/>
  <c r="O987" i="14"/>
  <c r="P987" i="14"/>
  <c r="Q987" i="14" s="1"/>
  <c r="K989" i="14"/>
  <c r="O989" i="14"/>
  <c r="P989" i="14"/>
  <c r="Q989" i="14" s="1"/>
  <c r="K990" i="14"/>
  <c r="O990" i="14"/>
  <c r="P990" i="14"/>
  <c r="I991" i="14"/>
  <c r="I988" i="14" s="1"/>
  <c r="O988" i="14" s="1"/>
  <c r="J991" i="14"/>
  <c r="J988" i="14" s="1"/>
  <c r="K992" i="14"/>
  <c r="O992" i="14"/>
  <c r="P992" i="14"/>
  <c r="K993" i="14"/>
  <c r="O993" i="14"/>
  <c r="P993" i="14"/>
  <c r="Q993" i="14" s="1"/>
  <c r="K994" i="14"/>
  <c r="O994" i="14"/>
  <c r="P994" i="14"/>
  <c r="Q994" i="14" s="1"/>
  <c r="K995" i="14"/>
  <c r="O995" i="14"/>
  <c r="P995" i="14"/>
  <c r="K996" i="14"/>
  <c r="O996" i="14"/>
  <c r="P996" i="14"/>
  <c r="Q996" i="14" s="1"/>
  <c r="K998" i="14"/>
  <c r="O998" i="14"/>
  <c r="P998" i="14"/>
  <c r="K999" i="14"/>
  <c r="O999" i="14"/>
  <c r="P999" i="14"/>
  <c r="I1000" i="14"/>
  <c r="I997" i="14" s="1"/>
  <c r="O997" i="14" s="1"/>
  <c r="J1000" i="14"/>
  <c r="K1000" i="14" s="1"/>
  <c r="K1001" i="14"/>
  <c r="O1001" i="14"/>
  <c r="Q1001" i="14" s="1"/>
  <c r="P1001" i="14"/>
  <c r="K1002" i="14"/>
  <c r="O1002" i="14"/>
  <c r="P1002" i="14"/>
  <c r="K1003" i="14"/>
  <c r="O1003" i="14"/>
  <c r="P1003" i="14"/>
  <c r="Q1003" i="14" s="1"/>
  <c r="K1004" i="14"/>
  <c r="O1004" i="14"/>
  <c r="P1004" i="14"/>
  <c r="Q1004" i="14" s="1"/>
  <c r="K1005" i="14"/>
  <c r="O1005" i="14"/>
  <c r="P1005" i="14"/>
  <c r="Q1005" i="14" s="1"/>
  <c r="K1007" i="14"/>
  <c r="O1007" i="14"/>
  <c r="P1007" i="14"/>
  <c r="K1008" i="14"/>
  <c r="O1008" i="14"/>
  <c r="P1008" i="14"/>
  <c r="I1009" i="14"/>
  <c r="O1009" i="14" s="1"/>
  <c r="J1009" i="14"/>
  <c r="K1010" i="14"/>
  <c r="O1010" i="14"/>
  <c r="P1010" i="14"/>
  <c r="K1011" i="14"/>
  <c r="O1011" i="14"/>
  <c r="P1011" i="14"/>
  <c r="K1012" i="14"/>
  <c r="O1012" i="14"/>
  <c r="P1012" i="14"/>
  <c r="K1013" i="14"/>
  <c r="O1013" i="14"/>
  <c r="P1013" i="14"/>
  <c r="Q1013" i="14" s="1"/>
  <c r="K1014" i="14"/>
  <c r="O1014" i="14"/>
  <c r="P1014" i="14"/>
  <c r="I1016" i="14"/>
  <c r="K1016" i="14" s="1"/>
  <c r="P1016" i="14"/>
  <c r="I1017" i="14"/>
  <c r="P1017" i="14"/>
  <c r="I1018" i="14"/>
  <c r="J1018" i="14"/>
  <c r="K1018" i="14" s="1"/>
  <c r="O1018" i="14"/>
  <c r="K1019" i="14"/>
  <c r="O1019" i="14"/>
  <c r="P1019" i="14"/>
  <c r="K1020" i="14"/>
  <c r="O1020" i="14"/>
  <c r="P1020" i="14"/>
  <c r="K1021" i="14"/>
  <c r="O1021" i="14"/>
  <c r="P1021" i="14"/>
  <c r="Q1021" i="14" s="1"/>
  <c r="K1022" i="14"/>
  <c r="O1022" i="14"/>
  <c r="P1022" i="14"/>
  <c r="K1023" i="14"/>
  <c r="O1023" i="14"/>
  <c r="P1023" i="14"/>
  <c r="K1024" i="14"/>
  <c r="O1024" i="14"/>
  <c r="P1024" i="14"/>
  <c r="Q1024" i="14" s="1"/>
  <c r="K1025" i="14"/>
  <c r="O1025" i="14"/>
  <c r="P1025" i="14"/>
  <c r="Q1025" i="14" s="1"/>
  <c r="L1027" i="14"/>
  <c r="L1026" i="14" s="1"/>
  <c r="M1027" i="14"/>
  <c r="M1026" i="14" s="1"/>
  <c r="M1015" i="14" s="1"/>
  <c r="M921" i="14" s="1"/>
  <c r="N1028" i="14"/>
  <c r="O1028" i="14"/>
  <c r="P1028" i="14"/>
  <c r="Q1028" i="14" s="1"/>
  <c r="I1030" i="14"/>
  <c r="J1030" i="14"/>
  <c r="P1030" i="14" s="1"/>
  <c r="K1031" i="14"/>
  <c r="O1031" i="14"/>
  <c r="P1031" i="14"/>
  <c r="Q1031" i="14" s="1"/>
  <c r="J1032" i="14"/>
  <c r="P1032" i="14" s="1"/>
  <c r="I1033" i="14"/>
  <c r="P1033" i="14"/>
  <c r="K1034" i="14"/>
  <c r="O1034" i="14"/>
  <c r="P1034" i="14"/>
  <c r="Q1034" i="14" s="1"/>
  <c r="K1035" i="14"/>
  <c r="O1035" i="14"/>
  <c r="P1035" i="14"/>
  <c r="K1036" i="14"/>
  <c r="O1036" i="14"/>
  <c r="P1036" i="14"/>
  <c r="I1037" i="14"/>
  <c r="O1037" i="14" s="1"/>
  <c r="P1037" i="14"/>
  <c r="K1038" i="14"/>
  <c r="O1038" i="14"/>
  <c r="P1038" i="14"/>
  <c r="Q1038" i="14" s="1"/>
  <c r="K1039" i="14"/>
  <c r="O1039" i="14"/>
  <c r="P1039" i="14"/>
  <c r="K1040" i="14"/>
  <c r="O1040" i="14"/>
  <c r="P1040" i="14"/>
  <c r="K1041" i="14"/>
  <c r="O1041" i="14"/>
  <c r="P1041" i="14"/>
  <c r="Q1041" i="14" s="1"/>
  <c r="K1042" i="14"/>
  <c r="O1042" i="14"/>
  <c r="P1042" i="14"/>
  <c r="Q1042" i="14" s="1"/>
  <c r="K1043" i="14"/>
  <c r="O1043" i="14"/>
  <c r="P1043" i="14"/>
  <c r="K1046" i="14"/>
  <c r="O1046" i="14"/>
  <c r="P1046" i="14"/>
  <c r="Q1046" i="14" s="1"/>
  <c r="K1047" i="14"/>
  <c r="O1047" i="14"/>
  <c r="P1047" i="14"/>
  <c r="I1048" i="14"/>
  <c r="J1048" i="14"/>
  <c r="K1049" i="14"/>
  <c r="O1049" i="14"/>
  <c r="P1049" i="14"/>
  <c r="Q1049" i="14" s="1"/>
  <c r="K1050" i="14"/>
  <c r="O1050" i="14"/>
  <c r="P1050" i="14"/>
  <c r="K1051" i="14"/>
  <c r="O1051" i="14"/>
  <c r="P1051" i="14"/>
  <c r="K1052" i="14"/>
  <c r="O1052" i="14"/>
  <c r="P1052" i="14"/>
  <c r="Q1052" i="14" s="1"/>
  <c r="K1053" i="14"/>
  <c r="O1053" i="14"/>
  <c r="P1053" i="14"/>
  <c r="Q1053" i="14" s="1"/>
  <c r="K1054" i="14"/>
  <c r="O1054" i="14"/>
  <c r="Q1054" i="14" s="1"/>
  <c r="P1054" i="14"/>
  <c r="K1055" i="14"/>
  <c r="O1055" i="14"/>
  <c r="P1055" i="14"/>
  <c r="K1057" i="14"/>
  <c r="O1057" i="14"/>
  <c r="P1057" i="14"/>
  <c r="Q1057" i="14"/>
  <c r="K1058" i="14"/>
  <c r="O1058" i="14"/>
  <c r="P1058" i="14"/>
  <c r="J1059" i="14"/>
  <c r="J1056" i="14" s="1"/>
  <c r="K1060" i="14"/>
  <c r="O1060" i="14"/>
  <c r="P1060" i="14"/>
  <c r="K1061" i="14"/>
  <c r="O1061" i="14"/>
  <c r="P1061" i="14"/>
  <c r="Q1061" i="14" s="1"/>
  <c r="I1062" i="14"/>
  <c r="K1062" i="14" s="1"/>
  <c r="O1062" i="14"/>
  <c r="P1062" i="14"/>
  <c r="I1063" i="14"/>
  <c r="K1063" i="14" s="1"/>
  <c r="P1063" i="14"/>
  <c r="K1064" i="14"/>
  <c r="O1064" i="14"/>
  <c r="P1064" i="14"/>
  <c r="L1066" i="14"/>
  <c r="L1065" i="14" s="1"/>
  <c r="L1056" i="14" s="1"/>
  <c r="M1066" i="14"/>
  <c r="N1066" i="14" s="1"/>
  <c r="P1066" i="14"/>
  <c r="N1067" i="14"/>
  <c r="O1067" i="14"/>
  <c r="P1067" i="14"/>
  <c r="K1069" i="14"/>
  <c r="O1069" i="14"/>
  <c r="P1069" i="14"/>
  <c r="Q1069" i="14" s="1"/>
  <c r="K1070" i="14"/>
  <c r="O1070" i="14"/>
  <c r="P1070" i="14"/>
  <c r="J1071" i="14"/>
  <c r="P1071" i="14" s="1"/>
  <c r="K1072" i="14"/>
  <c r="O1072" i="14"/>
  <c r="P1072" i="14"/>
  <c r="Q1072" i="14" s="1"/>
  <c r="I1073" i="14"/>
  <c r="K1073" i="14" s="1"/>
  <c r="O1073" i="14"/>
  <c r="P1073" i="14"/>
  <c r="Q1073" i="14" s="1"/>
  <c r="I1074" i="14"/>
  <c r="P1074" i="14"/>
  <c r="I1075" i="14"/>
  <c r="P1075" i="14"/>
  <c r="K1076" i="14"/>
  <c r="O1076" i="14"/>
  <c r="P1076" i="14"/>
  <c r="K1078" i="14"/>
  <c r="O1078" i="14"/>
  <c r="P1078" i="14"/>
  <c r="K1079" i="14"/>
  <c r="O1079" i="14"/>
  <c r="P1079" i="14"/>
  <c r="J1080" i="14"/>
  <c r="P1080" i="14" s="1"/>
  <c r="K1081" i="14"/>
  <c r="O1081" i="14"/>
  <c r="P1081" i="14"/>
  <c r="Q1081" i="14" s="1"/>
  <c r="K1082" i="14"/>
  <c r="O1082" i="14"/>
  <c r="P1082" i="14"/>
  <c r="Q1082" i="14"/>
  <c r="I1083" i="14"/>
  <c r="K1083" i="14" s="1"/>
  <c r="P1083" i="14"/>
  <c r="I1084" i="14"/>
  <c r="P1084" i="14"/>
  <c r="K1085" i="14"/>
  <c r="O1085" i="14"/>
  <c r="P1085" i="14"/>
  <c r="Q1085" i="14" s="1"/>
  <c r="K1087" i="14"/>
  <c r="O1087" i="14"/>
  <c r="P1087" i="14"/>
  <c r="Q1087" i="14" s="1"/>
  <c r="I1088" i="14"/>
  <c r="K1088" i="14" s="1"/>
  <c r="P1088" i="14"/>
  <c r="J1089" i="14"/>
  <c r="K1090" i="14"/>
  <c r="O1090" i="14"/>
  <c r="P1090" i="14"/>
  <c r="Q1090" i="14"/>
  <c r="K1091" i="14"/>
  <c r="O1091" i="14"/>
  <c r="P1091" i="14"/>
  <c r="I1092" i="14"/>
  <c r="I1089" i="14" s="1"/>
  <c r="P1092" i="14"/>
  <c r="I1093" i="14"/>
  <c r="P1093" i="14"/>
  <c r="I1094" i="14"/>
  <c r="K1094" i="14"/>
  <c r="O1094" i="14"/>
  <c r="P1094" i="14"/>
  <c r="L1096" i="14"/>
  <c r="M1096" i="14"/>
  <c r="N1097" i="14"/>
  <c r="O1097" i="14"/>
  <c r="P1097" i="14"/>
  <c r="K1099" i="14"/>
  <c r="O1099" i="14"/>
  <c r="P1099" i="14"/>
  <c r="I1100" i="14"/>
  <c r="K1100" i="14"/>
  <c r="O1100" i="14"/>
  <c r="P1100" i="14"/>
  <c r="J1101" i="14"/>
  <c r="K1102" i="14"/>
  <c r="O1102" i="14"/>
  <c r="P1102" i="14"/>
  <c r="K1103" i="14"/>
  <c r="O1103" i="14"/>
  <c r="P1103" i="14"/>
  <c r="Q1103" i="14" s="1"/>
  <c r="K1104" i="14"/>
  <c r="O1104" i="14"/>
  <c r="Q1104" i="14" s="1"/>
  <c r="P1104" i="14"/>
  <c r="I1105" i="14"/>
  <c r="P1105" i="14"/>
  <c r="I1106" i="14"/>
  <c r="K1106" i="14"/>
  <c r="O1106" i="14"/>
  <c r="P1106" i="14"/>
  <c r="K1108" i="14"/>
  <c r="O1108" i="14"/>
  <c r="P1108" i="14"/>
  <c r="K1109" i="14"/>
  <c r="O1109" i="14"/>
  <c r="P1109" i="14"/>
  <c r="J1110" i="14"/>
  <c r="K1111" i="14"/>
  <c r="O1111" i="14"/>
  <c r="P1111" i="14"/>
  <c r="K1112" i="14"/>
  <c r="O1112" i="14"/>
  <c r="P1112" i="14"/>
  <c r="K1113" i="14"/>
  <c r="O1113" i="14"/>
  <c r="P1113" i="14"/>
  <c r="Q1113" i="14" s="1"/>
  <c r="I1114" i="14"/>
  <c r="I1110" i="14" s="1"/>
  <c r="P1114" i="14"/>
  <c r="K1115" i="14"/>
  <c r="O1115" i="14"/>
  <c r="P1115" i="14"/>
  <c r="Q1115" i="14" s="1"/>
  <c r="J1116" i="14"/>
  <c r="P1116" i="14" s="1"/>
  <c r="K1117" i="14"/>
  <c r="O1117" i="14"/>
  <c r="P1117" i="14"/>
  <c r="K1118" i="14"/>
  <c r="O1118" i="14"/>
  <c r="P1118" i="14"/>
  <c r="J1119" i="14"/>
  <c r="P1119" i="14" s="1"/>
  <c r="K1120" i="14"/>
  <c r="O1120" i="14"/>
  <c r="P1120" i="14"/>
  <c r="K1121" i="14"/>
  <c r="O1121" i="14"/>
  <c r="P1121" i="14"/>
  <c r="Q1121" i="14" s="1"/>
  <c r="K1122" i="14"/>
  <c r="O1122" i="14"/>
  <c r="P1122" i="14"/>
  <c r="I1123" i="14"/>
  <c r="I1119" i="14" s="1"/>
  <c r="I1116" i="14" s="1"/>
  <c r="O1116" i="14" s="1"/>
  <c r="K1123" i="14"/>
  <c r="O1123" i="14"/>
  <c r="P1123" i="14"/>
  <c r="K1124" i="14"/>
  <c r="O1124" i="14"/>
  <c r="P1124" i="14"/>
  <c r="I1126" i="14"/>
  <c r="K1126" i="14" s="1"/>
  <c r="P1126" i="14"/>
  <c r="K1127" i="14"/>
  <c r="O1127" i="14"/>
  <c r="P1127" i="14"/>
  <c r="Q1127" i="14" s="1"/>
  <c r="J1128" i="14"/>
  <c r="P1128" i="14" s="1"/>
  <c r="K1129" i="14"/>
  <c r="O1129" i="14"/>
  <c r="P1129" i="14"/>
  <c r="Q1129" i="14" s="1"/>
  <c r="K1130" i="14"/>
  <c r="O1130" i="14"/>
  <c r="P1130" i="14"/>
  <c r="K1131" i="14"/>
  <c r="O1131" i="14"/>
  <c r="P1131" i="14"/>
  <c r="I1132" i="14"/>
  <c r="I1128" i="14" s="1"/>
  <c r="P1132" i="14"/>
  <c r="I1133" i="14"/>
  <c r="K1133" i="14" s="1"/>
  <c r="P1133" i="14"/>
  <c r="K1135" i="14"/>
  <c r="O1135" i="14"/>
  <c r="P1135" i="14"/>
  <c r="K1136" i="14"/>
  <c r="O1136" i="14"/>
  <c r="P1136" i="14"/>
  <c r="J1137" i="14"/>
  <c r="J1134" i="14" s="1"/>
  <c r="P1134" i="14" s="1"/>
  <c r="K1138" i="14"/>
  <c r="O1138" i="14"/>
  <c r="P1138" i="14"/>
  <c r="K1139" i="14"/>
  <c r="O1139" i="14"/>
  <c r="P1139" i="14"/>
  <c r="Q1139" i="14" s="1"/>
  <c r="K1140" i="14"/>
  <c r="O1140" i="14"/>
  <c r="P1140" i="14"/>
  <c r="I1141" i="14"/>
  <c r="K1141" i="14" s="1"/>
  <c r="P1141" i="14"/>
  <c r="K1142" i="14"/>
  <c r="O1142" i="14"/>
  <c r="P1142" i="14"/>
  <c r="Q1142" i="14" s="1"/>
  <c r="K1144" i="14"/>
  <c r="O1144" i="14"/>
  <c r="P1144" i="14"/>
  <c r="K1145" i="14"/>
  <c r="O1145" i="14"/>
  <c r="P1145" i="14"/>
  <c r="J1146" i="14"/>
  <c r="K1147" i="14"/>
  <c r="O1147" i="14"/>
  <c r="P1147" i="14"/>
  <c r="I1148" i="14"/>
  <c r="P1148" i="14"/>
  <c r="I1149" i="14"/>
  <c r="O1149" i="14" s="1"/>
  <c r="P1149" i="14"/>
  <c r="I1150" i="14"/>
  <c r="P1150" i="14"/>
  <c r="K1151" i="14"/>
  <c r="O1151" i="14"/>
  <c r="P1151" i="14"/>
  <c r="M1153" i="14"/>
  <c r="L1154" i="14"/>
  <c r="O1154" i="14" s="1"/>
  <c r="P1154" i="14"/>
  <c r="L1155" i="14"/>
  <c r="P1155" i="14"/>
  <c r="L1156" i="14"/>
  <c r="M1156" i="14"/>
  <c r="P1156" i="14" s="1"/>
  <c r="N1157" i="14"/>
  <c r="O1157" i="14"/>
  <c r="P1157" i="14"/>
  <c r="K1159" i="14"/>
  <c r="O1159" i="14"/>
  <c r="P1159" i="14"/>
  <c r="Q1159" i="14" s="1"/>
  <c r="K1160" i="14"/>
  <c r="O1160" i="14"/>
  <c r="P1160" i="14"/>
  <c r="Q1160" i="14" s="1"/>
  <c r="J1161" i="14"/>
  <c r="K1162" i="14"/>
  <c r="O1162" i="14"/>
  <c r="P1162" i="14"/>
  <c r="Q1162" i="14" s="1"/>
  <c r="K1163" i="14"/>
  <c r="O1163" i="14"/>
  <c r="P1163" i="14"/>
  <c r="K1164" i="14"/>
  <c r="O1164" i="14"/>
  <c r="P1164" i="14"/>
  <c r="Q1164" i="14"/>
  <c r="I1165" i="14"/>
  <c r="I1161" i="14" s="1"/>
  <c r="P1165" i="14"/>
  <c r="K1166" i="14"/>
  <c r="O1166" i="14"/>
  <c r="P1166" i="14"/>
  <c r="L1168" i="14"/>
  <c r="O1168" i="14" s="1"/>
  <c r="M1168" i="14"/>
  <c r="P1168" i="14" s="1"/>
  <c r="N1169" i="14"/>
  <c r="O1169" i="14"/>
  <c r="P1169" i="14"/>
  <c r="Q1169" i="14" s="1"/>
  <c r="K1171" i="14"/>
  <c r="O1171" i="14"/>
  <c r="P1171" i="14"/>
  <c r="Q1171" i="14" s="1"/>
  <c r="K1172" i="14"/>
  <c r="O1172" i="14"/>
  <c r="P1172" i="14"/>
  <c r="J1173" i="14"/>
  <c r="P1173" i="14" s="1"/>
  <c r="K1174" i="14"/>
  <c r="O1174" i="14"/>
  <c r="P1174" i="14"/>
  <c r="Q1174" i="14" s="1"/>
  <c r="K1175" i="14"/>
  <c r="O1175" i="14"/>
  <c r="P1175" i="14"/>
  <c r="Q1175" i="14" s="1"/>
  <c r="K1176" i="14"/>
  <c r="O1176" i="14"/>
  <c r="P1176" i="14"/>
  <c r="I1177" i="14"/>
  <c r="O1177" i="14"/>
  <c r="P1177" i="14"/>
  <c r="Q1177" i="14"/>
  <c r="K1178" i="14"/>
  <c r="O1178" i="14"/>
  <c r="P1178" i="14"/>
  <c r="K1180" i="14"/>
  <c r="O1180" i="14"/>
  <c r="P1180" i="14"/>
  <c r="K1181" i="14"/>
  <c r="O1181" i="14"/>
  <c r="P1181" i="14"/>
  <c r="Q1181" i="14"/>
  <c r="J1182" i="14"/>
  <c r="K1183" i="14"/>
  <c r="O1183" i="14"/>
  <c r="P1183" i="14"/>
  <c r="K1184" i="14"/>
  <c r="O1184" i="14"/>
  <c r="P1184" i="14"/>
  <c r="K1185" i="14"/>
  <c r="O1185" i="14"/>
  <c r="P1185" i="14"/>
  <c r="Q1185" i="14" s="1"/>
  <c r="I1186" i="14"/>
  <c r="P1186" i="14"/>
  <c r="K1187" i="14"/>
  <c r="O1187" i="14"/>
  <c r="P1187" i="14"/>
  <c r="Q1187" i="14" s="1"/>
  <c r="K1189" i="14"/>
  <c r="O1189" i="14"/>
  <c r="P1189" i="14"/>
  <c r="Q1189" i="14" s="1"/>
  <c r="K1190" i="14"/>
  <c r="O1190" i="14"/>
  <c r="P1190" i="14"/>
  <c r="J1191" i="14"/>
  <c r="I1192" i="14"/>
  <c r="K1192" i="14" s="1"/>
  <c r="P1192" i="14"/>
  <c r="K1193" i="14"/>
  <c r="O1193" i="14"/>
  <c r="P1193" i="14"/>
  <c r="K1194" i="14"/>
  <c r="O1194" i="14"/>
  <c r="P1194" i="14"/>
  <c r="I1195" i="14"/>
  <c r="P1195" i="14"/>
  <c r="K1196" i="14"/>
  <c r="O1196" i="14"/>
  <c r="P1196" i="14"/>
  <c r="K1198" i="14"/>
  <c r="O1198" i="14"/>
  <c r="P1198" i="14"/>
  <c r="Q1198" i="14" s="1"/>
  <c r="K1199" i="14"/>
  <c r="O1199" i="14"/>
  <c r="P1199" i="14"/>
  <c r="I1200" i="14"/>
  <c r="J1200" i="14"/>
  <c r="K1200" i="14" s="1"/>
  <c r="K1201" i="14"/>
  <c r="O1201" i="14"/>
  <c r="P1201" i="14"/>
  <c r="Q1201" i="14" s="1"/>
  <c r="K1202" i="14"/>
  <c r="O1202" i="14"/>
  <c r="P1202" i="14"/>
  <c r="K1203" i="14"/>
  <c r="O1203" i="14"/>
  <c r="P1203" i="14"/>
  <c r="K1204" i="14"/>
  <c r="O1204" i="14"/>
  <c r="P1204" i="14"/>
  <c r="Q1204" i="14" s="1"/>
  <c r="K1205" i="14"/>
  <c r="O1205" i="14"/>
  <c r="P1205" i="14"/>
  <c r="K1206" i="14"/>
  <c r="O1206" i="14"/>
  <c r="P1206" i="14"/>
  <c r="Q1206" i="14"/>
  <c r="K1207" i="14"/>
  <c r="O1207" i="14"/>
  <c r="P1207" i="14"/>
  <c r="Q1207" i="14" s="1"/>
  <c r="I1208" i="14"/>
  <c r="J1208" i="14"/>
  <c r="K1208" i="14" s="1"/>
  <c r="O1208" i="14"/>
  <c r="K1209" i="14"/>
  <c r="O1209" i="14"/>
  <c r="P1209" i="14"/>
  <c r="Q1209" i="14" s="1"/>
  <c r="K1210" i="14"/>
  <c r="O1210" i="14"/>
  <c r="P1210" i="14"/>
  <c r="Q1210" i="14" s="1"/>
  <c r="K1211" i="14"/>
  <c r="O1211" i="14"/>
  <c r="P1211" i="14"/>
  <c r="Q1211" i="14" s="1"/>
  <c r="K1212" i="14"/>
  <c r="O1212" i="14"/>
  <c r="P1212" i="14"/>
  <c r="Q1212" i="14"/>
  <c r="K1213" i="14"/>
  <c r="O1213" i="14"/>
  <c r="P1213" i="14"/>
  <c r="L1215" i="14"/>
  <c r="O1215" i="14" s="1"/>
  <c r="M1215" i="14"/>
  <c r="M1214" i="14" s="1"/>
  <c r="P1215" i="14"/>
  <c r="N1216" i="14"/>
  <c r="O1216" i="14"/>
  <c r="P1216" i="14"/>
  <c r="Q1216" i="14" s="1"/>
  <c r="K1218" i="14"/>
  <c r="O1218" i="14"/>
  <c r="P1218" i="14"/>
  <c r="Q1218" i="14" s="1"/>
  <c r="K1219" i="14"/>
  <c r="O1219" i="14"/>
  <c r="P1219" i="14"/>
  <c r="Q1219" i="14" s="1"/>
  <c r="I1220" i="14"/>
  <c r="O1220" i="14" s="1"/>
  <c r="J1220" i="14"/>
  <c r="K1221" i="14"/>
  <c r="O1221" i="14"/>
  <c r="P1221" i="14"/>
  <c r="K1222" i="14"/>
  <c r="O1222" i="14"/>
  <c r="P1222" i="14"/>
  <c r="I1223" i="14"/>
  <c r="K1223" i="14" s="1"/>
  <c r="P1223" i="14"/>
  <c r="K1224" i="14"/>
  <c r="O1224" i="14"/>
  <c r="P1224" i="14"/>
  <c r="Q1224" i="14" s="1"/>
  <c r="K1225" i="14"/>
  <c r="O1225" i="14"/>
  <c r="P1225" i="14"/>
  <c r="J1226" i="14"/>
  <c r="P1226" i="14" s="1"/>
  <c r="K1227" i="14"/>
  <c r="O1227" i="14"/>
  <c r="P1227" i="14"/>
  <c r="I1228" i="14"/>
  <c r="K1228" i="14"/>
  <c r="P1228" i="14"/>
  <c r="K1229" i="14"/>
  <c r="O1229" i="14"/>
  <c r="Q1229" i="14" s="1"/>
  <c r="P1229" i="14"/>
  <c r="K1230" i="14"/>
  <c r="O1230" i="14"/>
  <c r="P1230" i="14"/>
  <c r="K1231" i="14"/>
  <c r="O1231" i="14"/>
  <c r="P1231" i="14"/>
  <c r="Q1231" i="14" s="1"/>
  <c r="L1233" i="14"/>
  <c r="O1233" i="14" s="1"/>
  <c r="M1233" i="14"/>
  <c r="N1233" i="14" s="1"/>
  <c r="N1234" i="14"/>
  <c r="O1234" i="14"/>
  <c r="P1234" i="14"/>
  <c r="Q1234" i="14" s="1"/>
  <c r="N1235" i="14"/>
  <c r="O1235" i="14"/>
  <c r="P1235" i="14"/>
  <c r="O1236" i="14"/>
  <c r="P1236" i="14"/>
  <c r="K1238" i="14"/>
  <c r="O1238" i="14"/>
  <c r="P1238" i="14"/>
  <c r="Q1238" i="14" s="1"/>
  <c r="I1239" i="14"/>
  <c r="O1239" i="14" s="1"/>
  <c r="K1239" i="14"/>
  <c r="P1239" i="14"/>
  <c r="Q1239" i="14" s="1"/>
  <c r="I1240" i="14"/>
  <c r="O1240" i="14" s="1"/>
  <c r="J1240" i="14"/>
  <c r="K1241" i="14"/>
  <c r="O1241" i="14"/>
  <c r="P1241" i="14"/>
  <c r="K1242" i="14"/>
  <c r="O1242" i="14"/>
  <c r="P1242" i="14"/>
  <c r="K1243" i="14"/>
  <c r="O1243" i="14"/>
  <c r="P1243" i="14"/>
  <c r="Q1243" i="14" s="1"/>
  <c r="K1244" i="14"/>
  <c r="O1244" i="14"/>
  <c r="P1244" i="14"/>
  <c r="I1245" i="14"/>
  <c r="P1245" i="14"/>
  <c r="K1246" i="14"/>
  <c r="O1246" i="14"/>
  <c r="P1246" i="14"/>
  <c r="Q1246" i="14" s="1"/>
  <c r="I1247" i="14"/>
  <c r="K1247" i="14" s="1"/>
  <c r="P1247" i="14"/>
  <c r="I1248" i="14"/>
  <c r="O1248" i="14" s="1"/>
  <c r="J1248" i="14"/>
  <c r="K1249" i="14"/>
  <c r="O1249" i="14"/>
  <c r="P1249" i="14"/>
  <c r="Q1249" i="14" s="1"/>
  <c r="K1250" i="14"/>
  <c r="O1250" i="14"/>
  <c r="P1250" i="14"/>
  <c r="Q1250" i="14" s="1"/>
  <c r="K1251" i="14"/>
  <c r="O1251" i="14"/>
  <c r="Q1251" i="14" s="1"/>
  <c r="P1251" i="14"/>
  <c r="K1252" i="14"/>
  <c r="O1252" i="14"/>
  <c r="P1252" i="14"/>
  <c r="Q1252" i="14" s="1"/>
  <c r="I1253" i="14"/>
  <c r="K1253" i="14" s="1"/>
  <c r="P1253" i="14"/>
  <c r="I1255" i="14"/>
  <c r="J1255" i="14"/>
  <c r="K1255" i="14" s="1"/>
  <c r="K1256" i="14"/>
  <c r="O1256" i="14"/>
  <c r="P1256" i="14"/>
  <c r="I1257" i="14"/>
  <c r="O1257" i="14" s="1"/>
  <c r="P1257" i="14"/>
  <c r="I1258" i="14"/>
  <c r="K1258" i="14" s="1"/>
  <c r="P1258" i="14"/>
  <c r="J1259" i="14"/>
  <c r="P1259" i="14" s="1"/>
  <c r="K1260" i="14"/>
  <c r="O1260" i="14"/>
  <c r="P1260" i="14"/>
  <c r="I1261" i="14"/>
  <c r="O1261" i="14" s="1"/>
  <c r="P1261" i="14"/>
  <c r="K1262" i="14"/>
  <c r="O1262" i="14"/>
  <c r="P1262" i="14"/>
  <c r="Q1262" i="14"/>
  <c r="K1263" i="14"/>
  <c r="O1263" i="14"/>
  <c r="P1263" i="14"/>
  <c r="K1264" i="14"/>
  <c r="O1264" i="14"/>
  <c r="P1264" i="14"/>
  <c r="Q1264" i="14" s="1"/>
  <c r="K1265" i="14"/>
  <c r="O1265" i="14"/>
  <c r="P1265" i="14"/>
  <c r="Q1265" i="14"/>
  <c r="I1266" i="14"/>
  <c r="K1266" i="14" s="1"/>
  <c r="P1266" i="14"/>
  <c r="J1267" i="14"/>
  <c r="K1268" i="14"/>
  <c r="O1268" i="14"/>
  <c r="P1268" i="14"/>
  <c r="Q1268" i="14" s="1"/>
  <c r="I1269" i="14"/>
  <c r="O1269" i="14"/>
  <c r="P1269" i="14"/>
  <c r="K1270" i="14"/>
  <c r="O1270" i="14"/>
  <c r="P1270" i="14"/>
  <c r="Q1270" i="14" s="1"/>
  <c r="K1271" i="14"/>
  <c r="O1271" i="14"/>
  <c r="P1271" i="14"/>
  <c r="Q1271" i="14" s="1"/>
  <c r="K1272" i="14"/>
  <c r="O1272" i="14"/>
  <c r="P1272" i="14"/>
  <c r="Q1272" i="14" s="1"/>
  <c r="L1274" i="14"/>
  <c r="M1274" i="14"/>
  <c r="N1275" i="14"/>
  <c r="O1275" i="14"/>
  <c r="P1275" i="14"/>
  <c r="K1277" i="14"/>
  <c r="O1277" i="14"/>
  <c r="P1277" i="14"/>
  <c r="K1278" i="14"/>
  <c r="O1278" i="14"/>
  <c r="P1278" i="14"/>
  <c r="I1279" i="14"/>
  <c r="J1279" i="14"/>
  <c r="K1279" i="14" s="1"/>
  <c r="K1280" i="14"/>
  <c r="O1280" i="14"/>
  <c r="P1280" i="14"/>
  <c r="Q1280" i="14" s="1"/>
  <c r="K1281" i="14"/>
  <c r="O1281" i="14"/>
  <c r="P1281" i="14"/>
  <c r="Q1281" i="14" s="1"/>
  <c r="K1282" i="14"/>
  <c r="O1282" i="14"/>
  <c r="P1282" i="14"/>
  <c r="K1283" i="14"/>
  <c r="O1283" i="14"/>
  <c r="P1283" i="14"/>
  <c r="K1284" i="14"/>
  <c r="O1284" i="14"/>
  <c r="P1284" i="14"/>
  <c r="K1285" i="14"/>
  <c r="O1285" i="14"/>
  <c r="P1285" i="14"/>
  <c r="K1286" i="14"/>
  <c r="O1286" i="14"/>
  <c r="P1286" i="14"/>
  <c r="J1287" i="14"/>
  <c r="P1287" i="14" s="1"/>
  <c r="K1288" i="14"/>
  <c r="O1288" i="14"/>
  <c r="P1288" i="14"/>
  <c r="Q1288" i="14" s="1"/>
  <c r="I1289" i="14"/>
  <c r="P1289" i="14"/>
  <c r="K1290" i="14"/>
  <c r="O1290" i="14"/>
  <c r="P1290" i="14"/>
  <c r="K1291" i="14"/>
  <c r="O1291" i="14"/>
  <c r="P1291" i="14"/>
  <c r="K1292" i="14"/>
  <c r="O1292" i="14"/>
  <c r="P1292" i="14"/>
  <c r="K1294" i="14"/>
  <c r="O1294" i="14"/>
  <c r="P1294" i="14"/>
  <c r="Q1294" i="14"/>
  <c r="K1295" i="14"/>
  <c r="O1295" i="14"/>
  <c r="P1295" i="14"/>
  <c r="I1296" i="14"/>
  <c r="J1296" i="14"/>
  <c r="P1296" i="14" s="1"/>
  <c r="K1297" i="14"/>
  <c r="O1297" i="14"/>
  <c r="P1297" i="14"/>
  <c r="K1298" i="14"/>
  <c r="O1298" i="14"/>
  <c r="P1298" i="14"/>
  <c r="K1299" i="14"/>
  <c r="O1299" i="14"/>
  <c r="P1299" i="14"/>
  <c r="K1300" i="14"/>
  <c r="O1300" i="14"/>
  <c r="P1300" i="14"/>
  <c r="Q1300" i="14"/>
  <c r="K1301" i="14"/>
  <c r="O1301" i="14"/>
  <c r="P1301" i="14"/>
  <c r="K1302" i="14"/>
  <c r="O1302" i="14"/>
  <c r="P1302" i="14"/>
  <c r="Q1302" i="14" s="1"/>
  <c r="K1303" i="14"/>
  <c r="O1303" i="14"/>
  <c r="P1303" i="14"/>
  <c r="I1304" i="14"/>
  <c r="O1304" i="14" s="1"/>
  <c r="K1305" i="14"/>
  <c r="O1305" i="14"/>
  <c r="P1305" i="14"/>
  <c r="Q1305" i="14" s="1"/>
  <c r="K1306" i="14"/>
  <c r="O1306" i="14"/>
  <c r="P1306" i="14"/>
  <c r="J1307" i="14"/>
  <c r="O1307" i="14"/>
  <c r="K1308" i="14"/>
  <c r="O1308" i="14"/>
  <c r="P1308" i="14"/>
  <c r="Q1308" i="14" s="1"/>
  <c r="K1309" i="14"/>
  <c r="O1309" i="14"/>
  <c r="P1309" i="14"/>
  <c r="Q1309" i="14" s="1"/>
  <c r="K1310" i="14"/>
  <c r="O1310" i="14"/>
  <c r="P1310" i="14"/>
  <c r="Q1310" i="14" s="1"/>
  <c r="I1312" i="14"/>
  <c r="J1312" i="14"/>
  <c r="P1312" i="14" s="1"/>
  <c r="K1313" i="14"/>
  <c r="O1313" i="14"/>
  <c r="P1313" i="14"/>
  <c r="Q1313" i="14" s="1"/>
  <c r="K1314" i="14"/>
  <c r="O1314" i="14"/>
  <c r="P1314" i="14"/>
  <c r="Q1314" i="14" s="1"/>
  <c r="K1315" i="14"/>
  <c r="O1315" i="14"/>
  <c r="P1315" i="14"/>
  <c r="J1316" i="14"/>
  <c r="K1318" i="14"/>
  <c r="O1318" i="14"/>
  <c r="P1318" i="14"/>
  <c r="I1319" i="14"/>
  <c r="P1319" i="14"/>
  <c r="K1320" i="14"/>
  <c r="O1320" i="14"/>
  <c r="P1320" i="14"/>
  <c r="Q1320" i="14" s="1"/>
  <c r="K1321" i="14"/>
  <c r="O1321" i="14"/>
  <c r="P1321" i="14"/>
  <c r="Q1321" i="14"/>
  <c r="K1322" i="14"/>
  <c r="O1322" i="14"/>
  <c r="P1322" i="14"/>
  <c r="K1323" i="14"/>
  <c r="O1323" i="14"/>
  <c r="P1323" i="14"/>
  <c r="Q1323" i="14" s="1"/>
  <c r="K1324" i="14"/>
  <c r="O1324" i="14"/>
  <c r="P1324" i="14"/>
  <c r="I1325" i="14"/>
  <c r="O1325" i="14" s="1"/>
  <c r="J1325" i="14"/>
  <c r="K1326" i="14"/>
  <c r="O1326" i="14"/>
  <c r="P1326" i="14"/>
  <c r="K1327" i="14"/>
  <c r="O1327" i="14"/>
  <c r="P1327" i="14"/>
  <c r="K1328" i="14"/>
  <c r="O1328" i="14"/>
  <c r="P1328" i="14"/>
  <c r="Q1328" i="14" s="1"/>
  <c r="K1329" i="14"/>
  <c r="O1329" i="14"/>
  <c r="P1329" i="14"/>
  <c r="Q1329" i="14" s="1"/>
  <c r="K1330" i="14"/>
  <c r="O1330" i="14"/>
  <c r="P1330" i="14"/>
  <c r="Q1330" i="14" s="1"/>
  <c r="L1332" i="14"/>
  <c r="L1331" i="14" s="1"/>
  <c r="L1311" i="14" s="1"/>
  <c r="M1332" i="14"/>
  <c r="N1332" i="14" s="1"/>
  <c r="O1332" i="14"/>
  <c r="N1333" i="14"/>
  <c r="O1333" i="14"/>
  <c r="P1333" i="14"/>
  <c r="I1335" i="14"/>
  <c r="J1336" i="14"/>
  <c r="K1336" i="14" s="1"/>
  <c r="O1336" i="14"/>
  <c r="K1337" i="14"/>
  <c r="O1337" i="14"/>
  <c r="P1337" i="14"/>
  <c r="I1339" i="14"/>
  <c r="O1339" i="14" s="1"/>
  <c r="J1339" i="14"/>
  <c r="I1340" i="14"/>
  <c r="J1340" i="14"/>
  <c r="P1340" i="14" s="1"/>
  <c r="I1341" i="14"/>
  <c r="O1341" i="14" s="1"/>
  <c r="K1342" i="14"/>
  <c r="O1342" i="14"/>
  <c r="P1342" i="14"/>
  <c r="Q1342" i="14" s="1"/>
  <c r="J1343" i="14"/>
  <c r="O1343" i="14"/>
  <c r="J1344" i="14"/>
  <c r="O1344" i="14"/>
  <c r="I1347" i="14"/>
  <c r="O1347" i="14" s="1"/>
  <c r="J1347" i="14"/>
  <c r="I1348" i="14"/>
  <c r="P1348" i="14"/>
  <c r="K1349" i="14"/>
  <c r="J1351" i="14"/>
  <c r="J1350" i="14" s="1"/>
  <c r="P1350" i="14" s="1"/>
  <c r="I1352" i="14"/>
  <c r="P1352" i="14"/>
  <c r="B367" i="14"/>
  <c r="B368" i="14" s="1"/>
  <c r="B369" i="14" s="1"/>
  <c r="B370" i="14" s="1"/>
  <c r="B371" i="14" s="1"/>
  <c r="B372" i="14" s="1"/>
  <c r="B373" i="14" s="1"/>
  <c r="B374" i="14" s="1"/>
  <c r="B375" i="14" s="1"/>
  <c r="B376" i="14" s="1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I368" i="14"/>
  <c r="O368" i="14" s="1"/>
  <c r="J368" i="14"/>
  <c r="P368" i="14" s="1"/>
  <c r="K369" i="14"/>
  <c r="J370" i="14"/>
  <c r="K371" i="14"/>
  <c r="O371" i="14"/>
  <c r="P371" i="14"/>
  <c r="I372" i="14"/>
  <c r="P372" i="14"/>
  <c r="K373" i="14"/>
  <c r="O373" i="14"/>
  <c r="P373" i="14"/>
  <c r="K374" i="14"/>
  <c r="O374" i="14"/>
  <c r="P374" i="14"/>
  <c r="L376" i="14"/>
  <c r="O376" i="14" s="1"/>
  <c r="M376" i="14"/>
  <c r="N377" i="14"/>
  <c r="O377" i="14"/>
  <c r="P377" i="14"/>
  <c r="N378" i="14"/>
  <c r="O378" i="14"/>
  <c r="P378" i="14"/>
  <c r="Q378" i="14" s="1"/>
  <c r="N379" i="14"/>
  <c r="O379" i="14"/>
  <c r="P379" i="14"/>
  <c r="Q379" i="14" s="1"/>
  <c r="M380" i="14"/>
  <c r="P380" i="14" s="1"/>
  <c r="N381" i="14"/>
  <c r="O381" i="14"/>
  <c r="P381" i="14"/>
  <c r="Q381" i="14"/>
  <c r="L382" i="14"/>
  <c r="N382" i="14" s="1"/>
  <c r="P382" i="14"/>
  <c r="N383" i="14"/>
  <c r="O383" i="14"/>
  <c r="P383" i="14"/>
  <c r="I386" i="14"/>
  <c r="O386" i="14" s="1"/>
  <c r="J386" i="14"/>
  <c r="K387" i="14"/>
  <c r="O387" i="14"/>
  <c r="P387" i="14"/>
  <c r="K389" i="14"/>
  <c r="O389" i="14"/>
  <c r="P389" i="14"/>
  <c r="K390" i="14"/>
  <c r="O390" i="14"/>
  <c r="P390" i="14"/>
  <c r="J391" i="14"/>
  <c r="K392" i="14"/>
  <c r="O392" i="14"/>
  <c r="P392" i="14"/>
  <c r="I393" i="14"/>
  <c r="K393" i="14"/>
  <c r="O393" i="14"/>
  <c r="P393" i="14"/>
  <c r="Q393" i="14" s="1"/>
  <c r="K394" i="14"/>
  <c r="O394" i="14"/>
  <c r="P394" i="14"/>
  <c r="I395" i="14"/>
  <c r="O395" i="14" s="1"/>
  <c r="K395" i="14"/>
  <c r="P395" i="14"/>
  <c r="K396" i="14"/>
  <c r="O396" i="14"/>
  <c r="P396" i="14"/>
  <c r="K397" i="14"/>
  <c r="O397" i="14"/>
  <c r="P397" i="14"/>
  <c r="Q397" i="14"/>
  <c r="K398" i="14"/>
  <c r="O398" i="14"/>
  <c r="P398" i="14"/>
  <c r="L400" i="14"/>
  <c r="O400" i="14" s="1"/>
  <c r="M400" i="14"/>
  <c r="N401" i="14"/>
  <c r="O401" i="14"/>
  <c r="P401" i="14"/>
  <c r="Q401" i="14" s="1"/>
  <c r="L402" i="14"/>
  <c r="O402" i="14" s="1"/>
  <c r="M402" i="14"/>
  <c r="N403" i="14"/>
  <c r="O403" i="14"/>
  <c r="P403" i="14"/>
  <c r="J405" i="14"/>
  <c r="J404" i="14" s="1"/>
  <c r="K406" i="14"/>
  <c r="O406" i="14"/>
  <c r="P406" i="14"/>
  <c r="I407" i="14"/>
  <c r="K407" i="14" s="1"/>
  <c r="P407" i="14"/>
  <c r="K408" i="14"/>
  <c r="O408" i="14"/>
  <c r="P408" i="14"/>
  <c r="L410" i="14"/>
  <c r="M410" i="14"/>
  <c r="N411" i="14"/>
  <c r="O411" i="14"/>
  <c r="P411" i="14"/>
  <c r="L414" i="14"/>
  <c r="M414" i="14"/>
  <c r="P414" i="14" s="1"/>
  <c r="N415" i="14"/>
  <c r="O415" i="14"/>
  <c r="P415" i="14"/>
  <c r="N416" i="14"/>
  <c r="O416" i="14"/>
  <c r="P416" i="14"/>
  <c r="Q416" i="14" s="1"/>
  <c r="N417" i="14"/>
  <c r="O417" i="14"/>
  <c r="P417" i="14"/>
  <c r="Q417" i="14" s="1"/>
  <c r="N418" i="14"/>
  <c r="O418" i="14"/>
  <c r="P418" i="14"/>
  <c r="N419" i="14"/>
  <c r="O419" i="14"/>
  <c r="P419" i="14"/>
  <c r="N420" i="14"/>
  <c r="O420" i="14"/>
  <c r="P420" i="14"/>
  <c r="N421" i="14"/>
  <c r="O421" i="14"/>
  <c r="P421" i="14"/>
  <c r="N422" i="14"/>
  <c r="O422" i="14"/>
  <c r="P422" i="14"/>
  <c r="N423" i="14"/>
  <c r="O423" i="14"/>
  <c r="P423" i="14"/>
  <c r="N424" i="14"/>
  <c r="O424" i="14"/>
  <c r="P424" i="14"/>
  <c r="Q424" i="14" s="1"/>
  <c r="N425" i="14"/>
  <c r="O425" i="14"/>
  <c r="P425" i="14"/>
  <c r="N426" i="14"/>
  <c r="O426" i="14"/>
  <c r="P426" i="14"/>
  <c r="N427" i="14"/>
  <c r="O427" i="14"/>
  <c r="P427" i="14"/>
  <c r="N428" i="14"/>
  <c r="O428" i="14"/>
  <c r="P428" i="14"/>
  <c r="N429" i="14"/>
  <c r="O429" i="14"/>
  <c r="P429" i="14"/>
  <c r="N430" i="14"/>
  <c r="O430" i="14"/>
  <c r="P430" i="14"/>
  <c r="N431" i="14"/>
  <c r="O431" i="14"/>
  <c r="P431" i="14"/>
  <c r="N432" i="14"/>
  <c r="O432" i="14"/>
  <c r="P432" i="14"/>
  <c r="Q432" i="14" s="1"/>
  <c r="N433" i="14"/>
  <c r="O433" i="14"/>
  <c r="P433" i="14"/>
  <c r="N434" i="14"/>
  <c r="O434" i="14"/>
  <c r="P434" i="14"/>
  <c r="N435" i="14"/>
  <c r="O435" i="14"/>
  <c r="P435" i="14"/>
  <c r="N436" i="14"/>
  <c r="O436" i="14"/>
  <c r="P436" i="14"/>
  <c r="Q436" i="14" s="1"/>
  <c r="N437" i="14"/>
  <c r="O437" i="14"/>
  <c r="P437" i="14"/>
  <c r="Q437" i="14" s="1"/>
  <c r="N438" i="14"/>
  <c r="O438" i="14"/>
  <c r="P438" i="14"/>
  <c r="N439" i="14"/>
  <c r="O439" i="14"/>
  <c r="P439" i="14"/>
  <c r="N440" i="14"/>
  <c r="O440" i="14"/>
  <c r="P440" i="14"/>
  <c r="Q440" i="14" s="1"/>
  <c r="N441" i="14"/>
  <c r="O441" i="14"/>
  <c r="P441" i="14"/>
  <c r="Q441" i="14" s="1"/>
  <c r="N442" i="14"/>
  <c r="O442" i="14"/>
  <c r="P442" i="14"/>
  <c r="N443" i="14"/>
  <c r="O443" i="14"/>
  <c r="P443" i="14"/>
  <c r="N444" i="14"/>
  <c r="O444" i="14"/>
  <c r="P444" i="14"/>
  <c r="N445" i="14"/>
  <c r="O445" i="14"/>
  <c r="P445" i="14"/>
  <c r="Q445" i="14" s="1"/>
  <c r="N446" i="14"/>
  <c r="O446" i="14"/>
  <c r="P446" i="14"/>
  <c r="N447" i="14"/>
  <c r="O447" i="14"/>
  <c r="P447" i="14"/>
  <c r="M448" i="14"/>
  <c r="P448" i="14" s="1"/>
  <c r="N449" i="14"/>
  <c r="O449" i="14"/>
  <c r="P449" i="14"/>
  <c r="L450" i="14"/>
  <c r="O450" i="14" s="1"/>
  <c r="P450" i="14"/>
  <c r="N451" i="14"/>
  <c r="O451" i="14"/>
  <c r="P451" i="14"/>
  <c r="L452" i="14"/>
  <c r="N452" i="14" s="1"/>
  <c r="P452" i="14"/>
  <c r="L453" i="14"/>
  <c r="O453" i="14" s="1"/>
  <c r="P453" i="14"/>
  <c r="N454" i="14"/>
  <c r="O454" i="14"/>
  <c r="P454" i="14"/>
  <c r="N455" i="14"/>
  <c r="O455" i="14"/>
  <c r="P455" i="14"/>
  <c r="L456" i="14"/>
  <c r="P456" i="14"/>
  <c r="N457" i="14"/>
  <c r="O457" i="14"/>
  <c r="P457" i="14"/>
  <c r="N458" i="14"/>
  <c r="O458" i="14"/>
  <c r="P458" i="14"/>
  <c r="Q458" i="14"/>
  <c r="N459" i="14"/>
  <c r="O459" i="14"/>
  <c r="P459" i="14"/>
  <c r="N460" i="14"/>
  <c r="O460" i="14"/>
  <c r="P460" i="14"/>
  <c r="L461" i="14"/>
  <c r="N461" i="14" s="1"/>
  <c r="P461" i="14"/>
  <c r="N462" i="14"/>
  <c r="O462" i="14"/>
  <c r="P462" i="14"/>
  <c r="N463" i="14"/>
  <c r="O463" i="14"/>
  <c r="P463" i="14"/>
  <c r="N464" i="14"/>
  <c r="O464" i="14"/>
  <c r="P464" i="14"/>
  <c r="N465" i="14"/>
  <c r="O465" i="14"/>
  <c r="P465" i="14"/>
  <c r="Q465" i="14" s="1"/>
  <c r="N466" i="14"/>
  <c r="O466" i="14"/>
  <c r="P466" i="14"/>
  <c r="Q466" i="14" s="1"/>
  <c r="N467" i="14"/>
  <c r="O467" i="14"/>
  <c r="P467" i="14"/>
  <c r="N468" i="14"/>
  <c r="O468" i="14"/>
  <c r="P468" i="14"/>
  <c r="Q468" i="14" s="1"/>
  <c r="N469" i="14"/>
  <c r="O469" i="14"/>
  <c r="P469" i="14"/>
  <c r="N470" i="14"/>
  <c r="O470" i="14"/>
  <c r="P470" i="14"/>
  <c r="N471" i="14"/>
  <c r="O471" i="14"/>
  <c r="P471" i="14"/>
  <c r="Q471" i="14" s="1"/>
  <c r="N472" i="14"/>
  <c r="O472" i="14"/>
  <c r="P472" i="14"/>
  <c r="L473" i="14"/>
  <c r="P473" i="14"/>
  <c r="N474" i="14"/>
  <c r="O474" i="14"/>
  <c r="P474" i="14"/>
  <c r="Q474" i="14" s="1"/>
  <c r="N475" i="14"/>
  <c r="O475" i="14"/>
  <c r="P475" i="14"/>
  <c r="N476" i="14"/>
  <c r="O476" i="14"/>
  <c r="P476" i="14"/>
  <c r="Q476" i="14" s="1"/>
  <c r="N477" i="14"/>
  <c r="O477" i="14"/>
  <c r="P477" i="14"/>
  <c r="Q477" i="14" s="1"/>
  <c r="N478" i="14"/>
  <c r="O478" i="14"/>
  <c r="Q478" i="14" s="1"/>
  <c r="P478" i="14"/>
  <c r="N479" i="14"/>
  <c r="O479" i="14"/>
  <c r="P479" i="14"/>
  <c r="N480" i="14"/>
  <c r="O480" i="14"/>
  <c r="P480" i="14"/>
  <c r="N481" i="14"/>
  <c r="O481" i="14"/>
  <c r="P481" i="14"/>
  <c r="B295" i="14"/>
  <c r="B296" i="14" s="1"/>
  <c r="B297" i="14" s="1"/>
  <c r="B298" i="14" s="1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K296" i="14"/>
  <c r="O296" i="14"/>
  <c r="P296" i="14"/>
  <c r="Q296" i="14" s="1"/>
  <c r="K297" i="14"/>
  <c r="O297" i="14"/>
  <c r="P297" i="14"/>
  <c r="J298" i="14"/>
  <c r="J295" i="14" s="1"/>
  <c r="P298" i="14"/>
  <c r="I299" i="14"/>
  <c r="I298" i="14" s="1"/>
  <c r="P299" i="14"/>
  <c r="K300" i="14"/>
  <c r="O300" i="14"/>
  <c r="P300" i="14"/>
  <c r="Q300" i="14" s="1"/>
  <c r="K301" i="14"/>
  <c r="O301" i="14"/>
  <c r="P301" i="14"/>
  <c r="K302" i="14"/>
  <c r="O302" i="14"/>
  <c r="P302" i="14"/>
  <c r="K303" i="14"/>
  <c r="O303" i="14"/>
  <c r="P303" i="14"/>
  <c r="K304" i="14"/>
  <c r="O304" i="14"/>
  <c r="P304" i="14"/>
  <c r="K305" i="14"/>
  <c r="O305" i="14"/>
  <c r="P305" i="14"/>
  <c r="K306" i="14"/>
  <c r="O306" i="14"/>
  <c r="P306" i="14"/>
  <c r="Q306" i="14" s="1"/>
  <c r="L308" i="14"/>
  <c r="M308" i="14"/>
  <c r="P308" i="14" s="1"/>
  <c r="O308" i="14"/>
  <c r="N309" i="14"/>
  <c r="O309" i="14"/>
  <c r="P309" i="14"/>
  <c r="L310" i="14"/>
  <c r="O310" i="14" s="1"/>
  <c r="M310" i="14"/>
  <c r="P310" i="14" s="1"/>
  <c r="N311" i="14"/>
  <c r="O311" i="14"/>
  <c r="P311" i="14"/>
  <c r="M312" i="14"/>
  <c r="L313" i="14"/>
  <c r="L312" i="14" s="1"/>
  <c r="O312" i="14" s="1"/>
  <c r="P313" i="14"/>
  <c r="L316" i="14"/>
  <c r="M316" i="14"/>
  <c r="P316" i="14" s="1"/>
  <c r="N317" i="14"/>
  <c r="O317" i="14"/>
  <c r="P317" i="14"/>
  <c r="Q317" i="14" s="1"/>
  <c r="L318" i="14"/>
  <c r="M318" i="14"/>
  <c r="P318" i="14" s="1"/>
  <c r="N319" i="14"/>
  <c r="O319" i="14"/>
  <c r="P319" i="14"/>
  <c r="N320" i="14"/>
  <c r="O320" i="14"/>
  <c r="P320" i="14"/>
  <c r="L321" i="14"/>
  <c r="O321" i="14" s="1"/>
  <c r="M321" i="14"/>
  <c r="P321" i="14" s="1"/>
  <c r="N322" i="14"/>
  <c r="O322" i="14"/>
  <c r="P322" i="14"/>
  <c r="N323" i="14"/>
  <c r="O323" i="14"/>
  <c r="P323" i="14"/>
  <c r="Q323" i="14" s="1"/>
  <c r="N324" i="14"/>
  <c r="O324" i="14"/>
  <c r="P324" i="14"/>
  <c r="Q324" i="14" s="1"/>
  <c r="K326" i="14"/>
  <c r="O326" i="14"/>
  <c r="P326" i="14"/>
  <c r="K327" i="14"/>
  <c r="O327" i="14"/>
  <c r="Q327" i="14" s="1"/>
  <c r="P327" i="14"/>
  <c r="I328" i="14"/>
  <c r="J328" i="14"/>
  <c r="J325" i="14" s="1"/>
  <c r="K329" i="14"/>
  <c r="O329" i="14"/>
  <c r="P329" i="14"/>
  <c r="K330" i="14"/>
  <c r="O330" i="14"/>
  <c r="P330" i="14"/>
  <c r="Q330" i="14"/>
  <c r="K331" i="14"/>
  <c r="O331" i="14"/>
  <c r="P331" i="14"/>
  <c r="K332" i="14"/>
  <c r="O332" i="14"/>
  <c r="P332" i="14"/>
  <c r="K333" i="14"/>
  <c r="O333" i="14"/>
  <c r="P333" i="14"/>
  <c r="Q333" i="14" s="1"/>
  <c r="K334" i="14"/>
  <c r="O334" i="14"/>
  <c r="P334" i="14"/>
  <c r="J335" i="14"/>
  <c r="I336" i="14"/>
  <c r="J336" i="14"/>
  <c r="P336" i="14" s="1"/>
  <c r="K337" i="14"/>
  <c r="O337" i="14"/>
  <c r="P337" i="14"/>
  <c r="K338" i="14"/>
  <c r="O338" i="14"/>
  <c r="P338" i="14"/>
  <c r="Q338" i="14" s="1"/>
  <c r="L340" i="14"/>
  <c r="O340" i="14" s="1"/>
  <c r="M340" i="14"/>
  <c r="N341" i="14"/>
  <c r="O341" i="14"/>
  <c r="P341" i="14"/>
  <c r="K343" i="14"/>
  <c r="O343" i="14"/>
  <c r="P343" i="14"/>
  <c r="I344" i="14"/>
  <c r="J344" i="14"/>
  <c r="K345" i="14"/>
  <c r="O345" i="14"/>
  <c r="P345" i="14"/>
  <c r="K346" i="14"/>
  <c r="O346" i="14"/>
  <c r="P346" i="14"/>
  <c r="K347" i="14"/>
  <c r="O347" i="14"/>
  <c r="P347" i="14"/>
  <c r="K349" i="14"/>
  <c r="O349" i="14"/>
  <c r="P349" i="14"/>
  <c r="I350" i="14"/>
  <c r="O350" i="14" s="1"/>
  <c r="J350" i="14"/>
  <c r="P350" i="14" s="1"/>
  <c r="K351" i="14"/>
  <c r="O351" i="14"/>
  <c r="Q351" i="14" s="1"/>
  <c r="P351" i="14"/>
  <c r="K352" i="14"/>
  <c r="O352" i="14"/>
  <c r="P352" i="14"/>
  <c r="K353" i="14"/>
  <c r="O353" i="14"/>
  <c r="P353" i="14"/>
  <c r="I354" i="14"/>
  <c r="O354" i="14" s="1"/>
  <c r="J354" i="14"/>
  <c r="K355" i="14"/>
  <c r="O355" i="14"/>
  <c r="P355" i="14"/>
  <c r="K356" i="14"/>
  <c r="O356" i="14"/>
  <c r="P356" i="14"/>
  <c r="B213" i="14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K214" i="14"/>
  <c r="O214" i="14"/>
  <c r="P214" i="14"/>
  <c r="K215" i="14"/>
  <c r="O215" i="14"/>
  <c r="P215" i="14"/>
  <c r="J216" i="14"/>
  <c r="K217" i="14"/>
  <c r="O217" i="14"/>
  <c r="P217" i="14"/>
  <c r="I218" i="14"/>
  <c r="I216" i="14" s="1"/>
  <c r="K218" i="14"/>
  <c r="P218" i="14"/>
  <c r="I219" i="14"/>
  <c r="K219" i="14"/>
  <c r="O219" i="14"/>
  <c r="P219" i="14"/>
  <c r="K221" i="14"/>
  <c r="O221" i="14"/>
  <c r="P221" i="14"/>
  <c r="K222" i="14"/>
  <c r="O222" i="14"/>
  <c r="Q222" i="14" s="1"/>
  <c r="P222" i="14"/>
  <c r="J223" i="14"/>
  <c r="J220" i="14" s="1"/>
  <c r="P220" i="14" s="1"/>
  <c r="K224" i="14"/>
  <c r="O224" i="14"/>
  <c r="P224" i="14"/>
  <c r="K225" i="14"/>
  <c r="O225" i="14"/>
  <c r="P225" i="14"/>
  <c r="K226" i="14"/>
  <c r="O226" i="14"/>
  <c r="P226" i="14"/>
  <c r="K227" i="14"/>
  <c r="O227" i="14"/>
  <c r="P227" i="14"/>
  <c r="I228" i="14"/>
  <c r="I223" i="14" s="1"/>
  <c r="K228" i="14"/>
  <c r="O228" i="14"/>
  <c r="P228" i="14"/>
  <c r="K229" i="14"/>
  <c r="O229" i="14"/>
  <c r="P229" i="14"/>
  <c r="Q229" i="14" s="1"/>
  <c r="K231" i="14"/>
  <c r="O231" i="14"/>
  <c r="P231" i="14"/>
  <c r="K232" i="14"/>
  <c r="O232" i="14"/>
  <c r="P232" i="14"/>
  <c r="Q232" i="14" s="1"/>
  <c r="I233" i="14"/>
  <c r="I230" i="14" s="1"/>
  <c r="O230" i="14" s="1"/>
  <c r="J233" i="14"/>
  <c r="J230" i="14" s="1"/>
  <c r="O233" i="14"/>
  <c r="K234" i="14"/>
  <c r="O234" i="14"/>
  <c r="P234" i="14"/>
  <c r="Q234" i="14"/>
  <c r="K235" i="14"/>
  <c r="O235" i="14"/>
  <c r="P235" i="14"/>
  <c r="K236" i="14"/>
  <c r="O236" i="14"/>
  <c r="P236" i="14"/>
  <c r="K237" i="14"/>
  <c r="O237" i="14"/>
  <c r="P237" i="14"/>
  <c r="K238" i="14"/>
  <c r="O238" i="14"/>
  <c r="P238" i="14"/>
  <c r="K241" i="14"/>
  <c r="O241" i="14"/>
  <c r="P241" i="14"/>
  <c r="Q241" i="14" s="1"/>
  <c r="K242" i="14"/>
  <c r="O242" i="14"/>
  <c r="P242" i="14"/>
  <c r="I243" i="14"/>
  <c r="J243" i="14"/>
  <c r="J240" i="14" s="1"/>
  <c r="K244" i="14"/>
  <c r="O244" i="14"/>
  <c r="P244" i="14"/>
  <c r="K245" i="14"/>
  <c r="O245" i="14"/>
  <c r="P245" i="14"/>
  <c r="Q245" i="14" s="1"/>
  <c r="K246" i="14"/>
  <c r="O246" i="14"/>
  <c r="P246" i="14"/>
  <c r="K247" i="14"/>
  <c r="O247" i="14"/>
  <c r="P247" i="14"/>
  <c r="K248" i="14"/>
  <c r="O248" i="14"/>
  <c r="P248" i="14"/>
  <c r="M250" i="14"/>
  <c r="M249" i="14" s="1"/>
  <c r="N251" i="14"/>
  <c r="O251" i="14"/>
  <c r="P251" i="14"/>
  <c r="L252" i="14"/>
  <c r="L250" i="14" s="1"/>
  <c r="P252" i="14"/>
  <c r="K255" i="14"/>
  <c r="O255" i="14"/>
  <c r="Q255" i="14" s="1"/>
  <c r="P255" i="14"/>
  <c r="K256" i="14"/>
  <c r="O256" i="14"/>
  <c r="P256" i="14"/>
  <c r="I257" i="14"/>
  <c r="I254" i="14" s="1"/>
  <c r="J257" i="14"/>
  <c r="K258" i="14"/>
  <c r="O258" i="14"/>
  <c r="P258" i="14"/>
  <c r="Q258" i="14" s="1"/>
  <c r="K259" i="14"/>
  <c r="O259" i="14"/>
  <c r="P259" i="14"/>
  <c r="K260" i="14"/>
  <c r="O260" i="14"/>
  <c r="P260" i="14"/>
  <c r="K261" i="14"/>
  <c r="O261" i="14"/>
  <c r="P261" i="14"/>
  <c r="Q261" i="14" s="1"/>
  <c r="K262" i="14"/>
  <c r="O262" i="14"/>
  <c r="P262" i="14"/>
  <c r="K263" i="14"/>
  <c r="O263" i="14"/>
  <c r="P263" i="14"/>
  <c r="Q263" i="14" s="1"/>
  <c r="I265" i="14"/>
  <c r="I264" i="14" s="1"/>
  <c r="J265" i="14"/>
  <c r="P265" i="14"/>
  <c r="K266" i="14"/>
  <c r="O266" i="14"/>
  <c r="P266" i="14"/>
  <c r="Q266" i="14" s="1"/>
  <c r="K267" i="14"/>
  <c r="O267" i="14"/>
  <c r="P267" i="14"/>
  <c r="K268" i="14"/>
  <c r="O268" i="14"/>
  <c r="P268" i="14"/>
  <c r="K269" i="14"/>
  <c r="O269" i="14"/>
  <c r="P269" i="14"/>
  <c r="M271" i="14"/>
  <c r="N272" i="14"/>
  <c r="O272" i="14"/>
  <c r="P272" i="14"/>
  <c r="L273" i="14"/>
  <c r="N273" i="14"/>
  <c r="P273" i="14"/>
  <c r="L274" i="14"/>
  <c r="O274" i="14" s="1"/>
  <c r="M274" i="14"/>
  <c r="P274" i="14" s="1"/>
  <c r="N275" i="14"/>
  <c r="O275" i="14"/>
  <c r="P275" i="14"/>
  <c r="N276" i="14"/>
  <c r="O276" i="14"/>
  <c r="P276" i="14"/>
  <c r="N277" i="14"/>
  <c r="O277" i="14"/>
  <c r="P277" i="14"/>
  <c r="I280" i="14"/>
  <c r="O280" i="14" s="1"/>
  <c r="J280" i="14"/>
  <c r="J279" i="14" s="1"/>
  <c r="K281" i="14"/>
  <c r="O281" i="14"/>
  <c r="P281" i="14"/>
  <c r="K282" i="14"/>
  <c r="O282" i="14"/>
  <c r="P282" i="14"/>
  <c r="Q282" i="14" s="1"/>
  <c r="K283" i="14"/>
  <c r="O283" i="14"/>
  <c r="P283" i="14"/>
  <c r="K284" i="14"/>
  <c r="O284" i="14"/>
  <c r="P284" i="14"/>
  <c r="B110" i="14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I111" i="14"/>
  <c r="O111" i="14" s="1"/>
  <c r="J111" i="14"/>
  <c r="P111" i="14" s="1"/>
  <c r="K112" i="14"/>
  <c r="O112" i="14"/>
  <c r="P112" i="14"/>
  <c r="Q112" i="14"/>
  <c r="I115" i="14"/>
  <c r="O115" i="14" s="1"/>
  <c r="J115" i="14"/>
  <c r="K116" i="14"/>
  <c r="O116" i="14"/>
  <c r="P116" i="14"/>
  <c r="Q116" i="14" s="1"/>
  <c r="J118" i="14"/>
  <c r="K119" i="14"/>
  <c r="O119" i="14"/>
  <c r="P119" i="14"/>
  <c r="I120" i="14"/>
  <c r="K120" i="14" s="1"/>
  <c r="P120" i="14"/>
  <c r="L122" i="14"/>
  <c r="L121" i="14" s="1"/>
  <c r="M122" i="14"/>
  <c r="N122" i="14" s="1"/>
  <c r="O122" i="14"/>
  <c r="N123" i="14"/>
  <c r="O123" i="14"/>
  <c r="P123" i="14"/>
  <c r="J125" i="14"/>
  <c r="J124" i="14" s="1"/>
  <c r="P125" i="14"/>
  <c r="K126" i="14"/>
  <c r="O126" i="14"/>
  <c r="P126" i="14"/>
  <c r="I127" i="14"/>
  <c r="K127" i="14" s="1"/>
  <c r="P127" i="14"/>
  <c r="M129" i="14"/>
  <c r="M128" i="14" s="1"/>
  <c r="L130" i="14"/>
  <c r="L129" i="14" s="1"/>
  <c r="N130" i="14"/>
  <c r="O130" i="14"/>
  <c r="P130" i="14"/>
  <c r="N131" i="14"/>
  <c r="O131" i="14"/>
  <c r="P131" i="14"/>
  <c r="I133" i="14"/>
  <c r="O133" i="14" s="1"/>
  <c r="J133" i="14"/>
  <c r="J132" i="14" s="1"/>
  <c r="K134" i="14"/>
  <c r="O134" i="14"/>
  <c r="P134" i="14"/>
  <c r="Q134" i="14" s="1"/>
  <c r="K135" i="14"/>
  <c r="O135" i="14"/>
  <c r="P135" i="14"/>
  <c r="I137" i="14"/>
  <c r="I136" i="14" s="1"/>
  <c r="K138" i="14"/>
  <c r="O138" i="14"/>
  <c r="P138" i="14"/>
  <c r="Q138" i="14" s="1"/>
  <c r="K139" i="14"/>
  <c r="O139" i="14"/>
  <c r="P139" i="14"/>
  <c r="J140" i="14"/>
  <c r="K140" i="14" s="1"/>
  <c r="O140" i="14"/>
  <c r="K141" i="14"/>
  <c r="O141" i="14"/>
  <c r="P141" i="14"/>
  <c r="Q141" i="14" s="1"/>
  <c r="L143" i="14"/>
  <c r="O143" i="14" s="1"/>
  <c r="M143" i="14"/>
  <c r="N144" i="14"/>
  <c r="O144" i="14"/>
  <c r="P144" i="14"/>
  <c r="Q144" i="14" s="1"/>
  <c r="L145" i="14"/>
  <c r="M145" i="14"/>
  <c r="P145" i="14" s="1"/>
  <c r="N146" i="14"/>
  <c r="O146" i="14"/>
  <c r="P146" i="14"/>
  <c r="N147" i="14"/>
  <c r="O147" i="14"/>
  <c r="P147" i="14"/>
  <c r="N148" i="14"/>
  <c r="O148" i="14"/>
  <c r="P148" i="14"/>
  <c r="Q148" i="14" s="1"/>
  <c r="M149" i="14"/>
  <c r="P149" i="14" s="1"/>
  <c r="N150" i="14"/>
  <c r="O150" i="14"/>
  <c r="P150" i="14"/>
  <c r="L151" i="14"/>
  <c r="N151" i="14" s="1"/>
  <c r="P151" i="14"/>
  <c r="L152" i="14"/>
  <c r="N152" i="14" s="1"/>
  <c r="P152" i="14"/>
  <c r="N153" i="14"/>
  <c r="O153" i="14"/>
  <c r="P153" i="14"/>
  <c r="L154" i="14"/>
  <c r="N154" i="14" s="1"/>
  <c r="P154" i="14"/>
  <c r="N155" i="14"/>
  <c r="O155" i="14"/>
  <c r="P155" i="14"/>
  <c r="N156" i="14"/>
  <c r="O156" i="14"/>
  <c r="P156" i="14"/>
  <c r="Q156" i="14" s="1"/>
  <c r="L157" i="14"/>
  <c r="N157" i="14" s="1"/>
  <c r="P157" i="14"/>
  <c r="N158" i="14"/>
  <c r="O158" i="14"/>
  <c r="P158" i="14"/>
  <c r="L159" i="14"/>
  <c r="O159" i="14" s="1"/>
  <c r="P159" i="14"/>
  <c r="N160" i="14"/>
  <c r="O160" i="14"/>
  <c r="P160" i="14"/>
  <c r="L161" i="14"/>
  <c r="O161" i="14" s="1"/>
  <c r="M161" i="14"/>
  <c r="N162" i="14"/>
  <c r="O162" i="14"/>
  <c r="P162" i="14"/>
  <c r="Q162" i="14" s="1"/>
  <c r="K164" i="14"/>
  <c r="O164" i="14"/>
  <c r="P164" i="14"/>
  <c r="I165" i="14"/>
  <c r="K165" i="14" s="1"/>
  <c r="O165" i="14"/>
  <c r="P165" i="14"/>
  <c r="J166" i="14"/>
  <c r="P166" i="14" s="1"/>
  <c r="I167" i="14"/>
  <c r="K167" i="14" s="1"/>
  <c r="P167" i="14"/>
  <c r="K168" i="14"/>
  <c r="O168" i="14"/>
  <c r="P168" i="14"/>
  <c r="K169" i="14"/>
  <c r="O169" i="14"/>
  <c r="P169" i="14"/>
  <c r="I170" i="14"/>
  <c r="K170" i="14" s="1"/>
  <c r="P170" i="14"/>
  <c r="I171" i="14"/>
  <c r="O171" i="14" s="1"/>
  <c r="J171" i="14"/>
  <c r="P171" i="14"/>
  <c r="Q171" i="14" s="1"/>
  <c r="K172" i="14"/>
  <c r="O172" i="14"/>
  <c r="P172" i="14"/>
  <c r="I173" i="14"/>
  <c r="K173" i="14" s="1"/>
  <c r="P173" i="14"/>
  <c r="I174" i="14"/>
  <c r="K174" i="14" s="1"/>
  <c r="P174" i="14"/>
  <c r="L176" i="14"/>
  <c r="M176" i="14"/>
  <c r="N177" i="14"/>
  <c r="O177" i="14"/>
  <c r="P177" i="14"/>
  <c r="L178" i="14"/>
  <c r="O178" i="14" s="1"/>
  <c r="M178" i="14"/>
  <c r="N178" i="14" s="1"/>
  <c r="N179" i="14"/>
  <c r="O179" i="14"/>
  <c r="P179" i="14"/>
  <c r="Q179" i="14" s="1"/>
  <c r="N180" i="14"/>
  <c r="O180" i="14"/>
  <c r="P180" i="14"/>
  <c r="Q180" i="14" s="1"/>
  <c r="I182" i="14"/>
  <c r="J182" i="14"/>
  <c r="P182" i="14" s="1"/>
  <c r="K183" i="14"/>
  <c r="O183" i="14"/>
  <c r="P183" i="14"/>
  <c r="I184" i="14"/>
  <c r="J184" i="14"/>
  <c r="P184" i="14" s="1"/>
  <c r="K185" i="14"/>
  <c r="O185" i="14"/>
  <c r="P185" i="14"/>
  <c r="I187" i="14"/>
  <c r="I186" i="14" s="1"/>
  <c r="J187" i="14"/>
  <c r="K188" i="14"/>
  <c r="O188" i="14"/>
  <c r="P188" i="14"/>
  <c r="K189" i="14"/>
  <c r="O189" i="14"/>
  <c r="P189" i="14"/>
  <c r="Q189" i="14" s="1"/>
  <c r="K190" i="14"/>
  <c r="O190" i="14"/>
  <c r="P190" i="14"/>
  <c r="K191" i="14"/>
  <c r="O191" i="14"/>
  <c r="P191" i="14"/>
  <c r="K192" i="14"/>
  <c r="O192" i="14"/>
  <c r="P192" i="14"/>
  <c r="L194" i="14"/>
  <c r="O194" i="14" s="1"/>
  <c r="M194" i="14"/>
  <c r="P194" i="14" s="1"/>
  <c r="N195" i="14"/>
  <c r="O195" i="14"/>
  <c r="P195" i="14"/>
  <c r="L196" i="14"/>
  <c r="O196" i="14" s="1"/>
  <c r="M196" i="14"/>
  <c r="P196" i="14" s="1"/>
  <c r="N197" i="14"/>
  <c r="O197" i="14"/>
  <c r="P197" i="14"/>
  <c r="Q197" i="14" s="1"/>
  <c r="I199" i="14"/>
  <c r="I198" i="14" s="1"/>
  <c r="O198" i="14" s="1"/>
  <c r="J199" i="14"/>
  <c r="P199" i="14" s="1"/>
  <c r="K200" i="14"/>
  <c r="O200" i="14"/>
  <c r="P200" i="14"/>
  <c r="K201" i="14"/>
  <c r="O201" i="14"/>
  <c r="P201" i="14"/>
  <c r="K202" i="14"/>
  <c r="O202" i="14"/>
  <c r="P202" i="14"/>
  <c r="B87" i="14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I88" i="14"/>
  <c r="O88" i="14" s="1"/>
  <c r="J88" i="14"/>
  <c r="K89" i="14"/>
  <c r="O89" i="14"/>
  <c r="P89" i="14"/>
  <c r="Q89" i="14" s="1"/>
  <c r="I90" i="14"/>
  <c r="O90" i="14" s="1"/>
  <c r="J90" i="14"/>
  <c r="K91" i="14"/>
  <c r="O91" i="14"/>
  <c r="P91" i="14"/>
  <c r="K92" i="14"/>
  <c r="O92" i="14"/>
  <c r="P92" i="14"/>
  <c r="K93" i="14"/>
  <c r="O93" i="14"/>
  <c r="P93" i="14"/>
  <c r="Q93" i="14" s="1"/>
  <c r="I94" i="14"/>
  <c r="O94" i="14" s="1"/>
  <c r="J94" i="14"/>
  <c r="P94" i="14" s="1"/>
  <c r="K95" i="14"/>
  <c r="O95" i="14"/>
  <c r="P95" i="14"/>
  <c r="I97" i="14"/>
  <c r="O97" i="14" s="1"/>
  <c r="J97" i="14"/>
  <c r="P97" i="14" s="1"/>
  <c r="K98" i="14"/>
  <c r="O98" i="14"/>
  <c r="P98" i="14"/>
  <c r="Q98" i="14" s="1"/>
  <c r="I99" i="14"/>
  <c r="J99" i="14"/>
  <c r="P99" i="14" s="1"/>
  <c r="K100" i="14"/>
  <c r="O100" i="14"/>
  <c r="P100" i="14"/>
  <c r="B302" i="13"/>
  <c r="B303" i="13"/>
  <c r="B304" i="13" s="1"/>
  <c r="B305" i="13" s="1"/>
  <c r="B306" i="13" s="1"/>
  <c r="B307" i="13" s="1"/>
  <c r="B308" i="13" s="1"/>
  <c r="B309" i="13" s="1"/>
  <c r="B310" i="13" s="1"/>
  <c r="B311" i="13" s="1"/>
  <c r="B312" i="13" s="1"/>
  <c r="Q719" i="14" l="1"/>
  <c r="Q626" i="14"/>
  <c r="P233" i="14"/>
  <c r="Q233" i="14" s="1"/>
  <c r="Q469" i="14"/>
  <c r="Q463" i="14"/>
  <c r="Q368" i="14"/>
  <c r="Q1306" i="14"/>
  <c r="Q1222" i="14"/>
  <c r="Q1184" i="14"/>
  <c r="K1149" i="14"/>
  <c r="Q1002" i="14"/>
  <c r="Q957" i="14"/>
  <c r="N871" i="14"/>
  <c r="Q737" i="14"/>
  <c r="K672" i="14"/>
  <c r="O561" i="14"/>
  <c r="Q561" i="14" s="1"/>
  <c r="J542" i="14"/>
  <c r="Q1478" i="14"/>
  <c r="Q1434" i="14"/>
  <c r="Q1377" i="14"/>
  <c r="Q1371" i="14"/>
  <c r="Q1621" i="14"/>
  <c r="Q1599" i="14"/>
  <c r="Q1592" i="14"/>
  <c r="Q1573" i="14"/>
  <c r="Q1842" i="14"/>
  <c r="K1731" i="14"/>
  <c r="Q1701" i="14"/>
  <c r="Q1676" i="14"/>
  <c r="P1869" i="14"/>
  <c r="O173" i="14"/>
  <c r="Q173" i="14" s="1"/>
  <c r="Q1176" i="14"/>
  <c r="O1016" i="14"/>
  <c r="Q1016" i="14" s="1"/>
  <c r="Q971" i="14"/>
  <c r="O933" i="14"/>
  <c r="O910" i="14"/>
  <c r="O887" i="14"/>
  <c r="Q887" i="14" s="1"/>
  <c r="K861" i="14"/>
  <c r="I832" i="14"/>
  <c r="O832" i="14" s="1"/>
  <c r="O719" i="14"/>
  <c r="O691" i="14"/>
  <c r="Q691" i="14" s="1"/>
  <c r="Q594" i="14"/>
  <c r="O586" i="14"/>
  <c r="Q586" i="14" s="1"/>
  <c r="O577" i="14"/>
  <c r="O515" i="14"/>
  <c r="O1654" i="14"/>
  <c r="O1749" i="14"/>
  <c r="Q933" i="14"/>
  <c r="J1362" i="14"/>
  <c r="P1362" i="14" s="1"/>
  <c r="Q225" i="14"/>
  <c r="Q320" i="14"/>
  <c r="Q1275" i="14"/>
  <c r="Q1260" i="14"/>
  <c r="Q1183" i="14"/>
  <c r="I1146" i="14"/>
  <c r="K1146" i="14" s="1"/>
  <c r="Q1097" i="14"/>
  <c r="O956" i="14"/>
  <c r="Q794" i="14"/>
  <c r="O752" i="14"/>
  <c r="K708" i="14"/>
  <c r="O681" i="14"/>
  <c r="Q681" i="14" s="1"/>
  <c r="Q523" i="14"/>
  <c r="Q1455" i="14"/>
  <c r="Q1433" i="14"/>
  <c r="Q1414" i="14"/>
  <c r="Q1396" i="14"/>
  <c r="Q1376" i="14"/>
  <c r="Q1370" i="14"/>
  <c r="K1550" i="14"/>
  <c r="K1730" i="14"/>
  <c r="Q1868" i="14"/>
  <c r="P1351" i="14"/>
  <c r="Q839" i="14"/>
  <c r="Q770" i="14"/>
  <c r="O650" i="14"/>
  <c r="Q650" i="14" s="1"/>
  <c r="Q642" i="14"/>
  <c r="O632" i="14"/>
  <c r="Q632" i="14" s="1"/>
  <c r="K603" i="14"/>
  <c r="P585" i="14"/>
  <c r="O540" i="14"/>
  <c r="Q1384" i="14"/>
  <c r="I1497" i="14"/>
  <c r="O1497" i="14" s="1"/>
  <c r="Q1810" i="14"/>
  <c r="Q1837" i="14"/>
  <c r="Q480" i="14"/>
  <c r="Q411" i="14"/>
  <c r="Q1282" i="14"/>
  <c r="Q1227" i="14"/>
  <c r="Q1199" i="14"/>
  <c r="Q1190" i="14"/>
  <c r="Q1007" i="14"/>
  <c r="P1000" i="14"/>
  <c r="Q892" i="14"/>
  <c r="O718" i="14"/>
  <c r="O707" i="14"/>
  <c r="Q707" i="14" s="1"/>
  <c r="Q659" i="14"/>
  <c r="K642" i="14"/>
  <c r="Q532" i="14"/>
  <c r="O1461" i="14"/>
  <c r="Q1405" i="14"/>
  <c r="Q1589" i="14"/>
  <c r="I1580" i="14"/>
  <c r="I1746" i="14"/>
  <c r="O1859" i="14"/>
  <c r="Q1859" i="14" s="1"/>
  <c r="Q169" i="14"/>
  <c r="Q540" i="14"/>
  <c r="J766" i="14"/>
  <c r="Q1446" i="14"/>
  <c r="O1383" i="14"/>
  <c r="Q1531" i="14"/>
  <c r="J1634" i="14"/>
  <c r="P1634" i="14" s="1"/>
  <c r="Q1747" i="14"/>
  <c r="O1698" i="14"/>
  <c r="K1859" i="14"/>
  <c r="K1312" i="14"/>
  <c r="Q1258" i="14"/>
  <c r="Q1112" i="14"/>
  <c r="I1006" i="14"/>
  <c r="O1006" i="14" s="1"/>
  <c r="Q866" i="14"/>
  <c r="O831" i="14"/>
  <c r="Q814" i="14"/>
  <c r="P1475" i="14"/>
  <c r="O1770" i="14"/>
  <c r="I1856" i="14"/>
  <c r="O1258" i="14"/>
  <c r="O884" i="14"/>
  <c r="Q884" i="14" s="1"/>
  <c r="J846" i="14"/>
  <c r="O838" i="14"/>
  <c r="Q838" i="14" s="1"/>
  <c r="J792" i="14"/>
  <c r="O641" i="14"/>
  <c r="K171" i="14"/>
  <c r="N453" i="14"/>
  <c r="Q1020" i="14"/>
  <c r="O991" i="14"/>
  <c r="Q923" i="14"/>
  <c r="Q547" i="14"/>
  <c r="Q1522" i="14"/>
  <c r="I1618" i="14"/>
  <c r="O1618" i="14" s="1"/>
  <c r="Q1172" i="14"/>
  <c r="Q1060" i="14"/>
  <c r="Q837" i="14"/>
  <c r="K813" i="14"/>
  <c r="K805" i="14"/>
  <c r="O732" i="14"/>
  <c r="Q590" i="14"/>
  <c r="N1466" i="14"/>
  <c r="Q1743" i="14"/>
  <c r="P1680" i="14"/>
  <c r="Q1680" i="14" s="1"/>
  <c r="I1671" i="14"/>
  <c r="I1668" i="14" s="1"/>
  <c r="I1667" i="14" s="1"/>
  <c r="I1666" i="14" s="1"/>
  <c r="Q1872" i="14"/>
  <c r="Q1870" i="14"/>
  <c r="O137" i="14"/>
  <c r="Q1135" i="14"/>
  <c r="Q1102" i="14"/>
  <c r="P1027" i="14"/>
  <c r="Q983" i="14"/>
  <c r="Q798" i="14"/>
  <c r="Q951" i="14"/>
  <c r="Q195" i="14"/>
  <c r="Q269" i="14"/>
  <c r="K298" i="14"/>
  <c r="O452" i="14"/>
  <c r="P1332" i="14"/>
  <c r="Q1332" i="14" s="1"/>
  <c r="Q1318" i="14"/>
  <c r="K1257" i="14"/>
  <c r="P1059" i="14"/>
  <c r="Q974" i="14"/>
  <c r="Q967" i="14"/>
  <c r="Q829" i="14"/>
  <c r="K657" i="14"/>
  <c r="Q647" i="14"/>
  <c r="P599" i="14"/>
  <c r="K529" i="14"/>
  <c r="Q1473" i="14"/>
  <c r="P1379" i="14"/>
  <c r="Q1379" i="14" s="1"/>
  <c r="K1367" i="14"/>
  <c r="I1631" i="14"/>
  <c r="O1631" i="14" s="1"/>
  <c r="Q1595" i="14"/>
  <c r="Q1829" i="14"/>
  <c r="O1802" i="14"/>
  <c r="Q1760" i="14"/>
  <c r="K1704" i="14"/>
  <c r="O789" i="14"/>
  <c r="L766" i="14"/>
  <c r="L662" i="14"/>
  <c r="O673" i="14"/>
  <c r="I1726" i="14"/>
  <c r="I1725" i="14" s="1"/>
  <c r="K1729" i="14"/>
  <c r="P1472" i="14"/>
  <c r="J1438" i="14"/>
  <c r="Q965" i="14"/>
  <c r="Q1315" i="14"/>
  <c r="Q876" i="14"/>
  <c r="Q1674" i="14"/>
  <c r="Q535" i="14"/>
  <c r="Q998" i="14"/>
  <c r="L1424" i="14"/>
  <c r="O1424" i="14" s="1"/>
  <c r="Q1424" i="14" s="1"/>
  <c r="Q1138" i="14"/>
  <c r="Q831" i="14"/>
  <c r="I654" i="14"/>
  <c r="O654" i="14" s="1"/>
  <c r="I1617" i="14"/>
  <c r="J997" i="14"/>
  <c r="P997" i="14" s="1"/>
  <c r="Q1459" i="14"/>
  <c r="O187" i="14"/>
  <c r="O265" i="14"/>
  <c r="Q265" i="14" s="1"/>
  <c r="Q450" i="14"/>
  <c r="Q423" i="14"/>
  <c r="Q406" i="14"/>
  <c r="Q1333" i="14"/>
  <c r="Q1283" i="14"/>
  <c r="Q1062" i="14"/>
  <c r="O947" i="14"/>
  <c r="Q871" i="14"/>
  <c r="Q731" i="14"/>
  <c r="K634" i="14"/>
  <c r="K583" i="14"/>
  <c r="P1429" i="14"/>
  <c r="Q1429" i="14" s="1"/>
  <c r="P1420" i="14"/>
  <c r="O1389" i="14"/>
  <c r="Q1500" i="14"/>
  <c r="Q1653" i="14"/>
  <c r="I1594" i="14"/>
  <c r="O1594" i="14" s="1"/>
  <c r="K1586" i="14"/>
  <c r="P1578" i="14"/>
  <c r="Q1578" i="14" s="1"/>
  <c r="Q1749" i="14"/>
  <c r="P1698" i="14"/>
  <c r="Q1717" i="14"/>
  <c r="I1707" i="14"/>
  <c r="I1706" i="14" s="1"/>
  <c r="O1706" i="14" s="1"/>
  <c r="Q515" i="14"/>
  <c r="Q147" i="14"/>
  <c r="Q1298" i="14"/>
  <c r="Q1436" i="14"/>
  <c r="K187" i="14"/>
  <c r="Q170" i="14"/>
  <c r="Q1290" i="14"/>
  <c r="O1247" i="14"/>
  <c r="Q1247" i="14" s="1"/>
  <c r="O862" i="14"/>
  <c r="O731" i="14"/>
  <c r="O671" i="14"/>
  <c r="Q671" i="14" s="1"/>
  <c r="Q652" i="14"/>
  <c r="O495" i="14"/>
  <c r="O1471" i="14"/>
  <c r="Q1471" i="14" s="1"/>
  <c r="O1420" i="14"/>
  <c r="N1389" i="14"/>
  <c r="I1366" i="14"/>
  <c r="I1365" i="14" s="1"/>
  <c r="Q1553" i="14"/>
  <c r="I1648" i="14"/>
  <c r="O1648" i="14" s="1"/>
  <c r="L1611" i="14"/>
  <c r="O1611" i="14" s="1"/>
  <c r="Q1611" i="14" s="1"/>
  <c r="O1812" i="14"/>
  <c r="Q1812" i="14" s="1"/>
  <c r="I1806" i="14"/>
  <c r="O1806" i="14" s="1"/>
  <c r="Q1806" i="14" s="1"/>
  <c r="O1737" i="14"/>
  <c r="Q1687" i="14"/>
  <c r="O170" i="14"/>
  <c r="Q231" i="14"/>
  <c r="Q302" i="14"/>
  <c r="P405" i="14"/>
  <c r="Q396" i="14"/>
  <c r="Q389" i="14"/>
  <c r="Q1326" i="14"/>
  <c r="Q1303" i="14"/>
  <c r="Q1297" i="14"/>
  <c r="O1253" i="14"/>
  <c r="Q1253" i="14" s="1"/>
  <c r="Q1230" i="14"/>
  <c r="Q1151" i="14"/>
  <c r="Q1144" i="14"/>
  <c r="K1009" i="14"/>
  <c r="Q995" i="14"/>
  <c r="P902" i="14"/>
  <c r="Q902" i="14" s="1"/>
  <c r="L894" i="14"/>
  <c r="L872" i="14" s="1"/>
  <c r="Q807" i="14"/>
  <c r="Q738" i="14"/>
  <c r="K652" i="14"/>
  <c r="O606" i="14"/>
  <c r="Q606" i="14" s="1"/>
  <c r="P539" i="14"/>
  <c r="K1420" i="14"/>
  <c r="N1396" i="14"/>
  <c r="M1365" i="14"/>
  <c r="Q1652" i="14"/>
  <c r="P1627" i="14"/>
  <c r="Q1627" i="14" s="1"/>
  <c r="Q1610" i="14"/>
  <c r="O1119" i="14"/>
  <c r="J625" i="14"/>
  <c r="P625" i="14" s="1"/>
  <c r="N528" i="14"/>
  <c r="Q749" i="14"/>
  <c r="M505" i="14"/>
  <c r="P505" i="14" s="1"/>
  <c r="Q802" i="14"/>
  <c r="Q1451" i="14"/>
  <c r="J137" i="14"/>
  <c r="K137" i="14" s="1"/>
  <c r="Q224" i="14"/>
  <c r="Q455" i="14"/>
  <c r="K1119" i="14"/>
  <c r="Q1047" i="14"/>
  <c r="Q946" i="14"/>
  <c r="Q771" i="14"/>
  <c r="O714" i="14"/>
  <c r="Q714" i="14" s="1"/>
  <c r="M1395" i="14"/>
  <c r="P1395" i="14" s="1"/>
  <c r="Q1552" i="14"/>
  <c r="Q1521" i="14"/>
  <c r="Q1505" i="14"/>
  <c r="Q1633" i="14"/>
  <c r="P1770" i="14"/>
  <c r="Q1756" i="14"/>
  <c r="Q1630" i="14"/>
  <c r="Q1675" i="14"/>
  <c r="K1220" i="14"/>
  <c r="Q912" i="14"/>
  <c r="Q1649" i="14"/>
  <c r="Q418" i="14"/>
  <c r="Q1064" i="14"/>
  <c r="O911" i="14"/>
  <c r="Q911" i="14" s="1"/>
  <c r="M673" i="14"/>
  <c r="M662" i="14" s="1"/>
  <c r="N662" i="14" s="1"/>
  <c r="Q1415" i="14"/>
  <c r="L816" i="14"/>
  <c r="O816" i="14" s="1"/>
  <c r="Q1291" i="14"/>
  <c r="Q955" i="14"/>
  <c r="Q1594" i="14"/>
  <c r="Q192" i="14"/>
  <c r="P280" i="14"/>
  <c r="Q280" i="14" s="1"/>
  <c r="Q462" i="14"/>
  <c r="J1077" i="14"/>
  <c r="P1077" i="14" s="1"/>
  <c r="O835" i="14"/>
  <c r="Q813" i="14"/>
  <c r="O785" i="14"/>
  <c r="Q785" i="14" s="1"/>
  <c r="K714" i="14"/>
  <c r="P704" i="14"/>
  <c r="L1395" i="14"/>
  <c r="O1395" i="14" s="1"/>
  <c r="O1804" i="14"/>
  <c r="Q1804" i="14" s="1"/>
  <c r="N1678" i="14"/>
  <c r="J1856" i="14"/>
  <c r="K1856" i="14" s="1"/>
  <c r="Q260" i="14"/>
  <c r="Q992" i="14"/>
  <c r="Q726" i="14"/>
  <c r="Q657" i="14"/>
  <c r="Q1425" i="14"/>
  <c r="Q1502" i="14"/>
  <c r="Q1130" i="14"/>
  <c r="N1156" i="14"/>
  <c r="Q743" i="14"/>
  <c r="Q541" i="14"/>
  <c r="J1638" i="14"/>
  <c r="J1637" i="14" s="1"/>
  <c r="P1637" i="14" s="1"/>
  <c r="Q1637" i="14" s="1"/>
  <c r="Q1765" i="14"/>
  <c r="Q1269" i="14"/>
  <c r="Q524" i="14"/>
  <c r="I1603" i="14"/>
  <c r="I1602" i="14" s="1"/>
  <c r="Q1579" i="14"/>
  <c r="L1214" i="14"/>
  <c r="L1197" i="14" s="1"/>
  <c r="Q937" i="14"/>
  <c r="Q760" i="14"/>
  <c r="Q1819" i="14"/>
  <c r="I1715" i="14"/>
  <c r="I1712" i="14" s="1"/>
  <c r="I1711" i="14" s="1"/>
  <c r="Q1694" i="14"/>
  <c r="Q711" i="14"/>
  <c r="Q439" i="14"/>
  <c r="Q1447" i="14"/>
  <c r="J198" i="14"/>
  <c r="K198" i="14" s="1"/>
  <c r="L593" i="14"/>
  <c r="Q438" i="14"/>
  <c r="Q374" i="14"/>
  <c r="Q1122" i="14"/>
  <c r="J1431" i="14"/>
  <c r="K1431" i="14" s="1"/>
  <c r="Q1654" i="14"/>
  <c r="Q969" i="14"/>
  <c r="Q788" i="14"/>
  <c r="Q139" i="14"/>
  <c r="Q1040" i="14"/>
  <c r="Q990" i="14"/>
  <c r="Q1389" i="14"/>
  <c r="L175" i="14"/>
  <c r="L163" i="14" s="1"/>
  <c r="Q1295" i="14"/>
  <c r="Q1221" i="14"/>
  <c r="Q1149" i="14"/>
  <c r="J1068" i="14"/>
  <c r="P1068" i="14" s="1"/>
  <c r="O851" i="14"/>
  <c r="Q851" i="14" s="1"/>
  <c r="O828" i="14"/>
  <c r="Q828" i="14" s="1"/>
  <c r="Q784" i="14"/>
  <c r="M622" i="14"/>
  <c r="M611" i="14" s="1"/>
  <c r="O613" i="14"/>
  <c r="Q613" i="14" s="1"/>
  <c r="Q1476" i="14"/>
  <c r="Q1442" i="14"/>
  <c r="P1426" i="14"/>
  <c r="Q1426" i="14" s="1"/>
  <c r="J1803" i="14"/>
  <c r="Q1777" i="14"/>
  <c r="Q1734" i="14"/>
  <c r="Q570" i="14"/>
  <c r="Q1051" i="14"/>
  <c r="L1588" i="14"/>
  <c r="O1588" i="14" s="1"/>
  <c r="Q1673" i="14"/>
  <c r="Q91" i="14"/>
  <c r="N159" i="14"/>
  <c r="Q244" i="14"/>
  <c r="Q235" i="14"/>
  <c r="Q214" i="14"/>
  <c r="Q420" i="14"/>
  <c r="K368" i="14"/>
  <c r="M1331" i="14"/>
  <c r="N1331" i="14" s="1"/>
  <c r="Q1324" i="14"/>
  <c r="Q1301" i="14"/>
  <c r="Q1117" i="14"/>
  <c r="Q1109" i="14"/>
  <c r="Q1067" i="14"/>
  <c r="K1037" i="14"/>
  <c r="I970" i="14"/>
  <c r="O970" i="14" s="1"/>
  <c r="Q834" i="14"/>
  <c r="Q776" i="14"/>
  <c r="Q752" i="14"/>
  <c r="K728" i="14"/>
  <c r="Q519" i="14"/>
  <c r="L1403" i="14"/>
  <c r="O1403" i="14" s="1"/>
  <c r="Q1403" i="14" s="1"/>
  <c r="P1520" i="14"/>
  <c r="Q1520" i="14" s="1"/>
  <c r="Q1641" i="14"/>
  <c r="K1618" i="14"/>
  <c r="Q1590" i="14"/>
  <c r="K1584" i="14"/>
  <c r="N1574" i="14"/>
  <c r="Q1802" i="14"/>
  <c r="Q1761" i="14"/>
  <c r="J1745" i="14"/>
  <c r="Q1683" i="14"/>
  <c r="Q1337" i="14"/>
  <c r="I1316" i="14"/>
  <c r="K1319" i="14"/>
  <c r="O1319" i="14"/>
  <c r="Q1319" i="14" s="1"/>
  <c r="Q1257" i="14"/>
  <c r="L1015" i="14"/>
  <c r="O1026" i="14"/>
  <c r="Q1012" i="14"/>
  <c r="O1000" i="14"/>
  <c r="K980" i="14"/>
  <c r="O980" i="14"/>
  <c r="Q980" i="14" s="1"/>
  <c r="Q966" i="14"/>
  <c r="Q930" i="14"/>
  <c r="K873" i="14"/>
  <c r="O873" i="14"/>
  <c r="Q873" i="14" s="1"/>
  <c r="Q747" i="14"/>
  <c r="L739" i="14"/>
  <c r="O740" i="14"/>
  <c r="O504" i="14"/>
  <c r="Q504" i="14" s="1"/>
  <c r="K504" i="14"/>
  <c r="Q1453" i="14"/>
  <c r="M1439" i="14"/>
  <c r="P1440" i="14"/>
  <c r="Q1440" i="14" s="1"/>
  <c r="J1382" i="14"/>
  <c r="K1382" i="14" s="1"/>
  <c r="K1383" i="14"/>
  <c r="P1383" i="14"/>
  <c r="Q1383" i="14" s="1"/>
  <c r="Q1519" i="14"/>
  <c r="K1110" i="14"/>
  <c r="P1110" i="14"/>
  <c r="J1107" i="14"/>
  <c r="P1107" i="14" s="1"/>
  <c r="N594" i="14"/>
  <c r="M593" i="14"/>
  <c r="Q334" i="14"/>
  <c r="Q475" i="14"/>
  <c r="P1336" i="14"/>
  <c r="Q1336" i="14" s="1"/>
  <c r="Q1193" i="14"/>
  <c r="Q1131" i="14"/>
  <c r="Q1123" i="14"/>
  <c r="Q1076" i="14"/>
  <c r="Q945" i="14"/>
  <c r="Q929" i="14"/>
  <c r="O854" i="14"/>
  <c r="Q854" i="14" s="1"/>
  <c r="N817" i="14"/>
  <c r="P817" i="14"/>
  <c r="Q817" i="14" s="1"/>
  <c r="M816" i="14"/>
  <c r="Q789" i="14"/>
  <c r="O783" i="14"/>
  <c r="Q783" i="14" s="1"/>
  <c r="Q579" i="14"/>
  <c r="L1406" i="14"/>
  <c r="N1406" i="14" s="1"/>
  <c r="N1408" i="14"/>
  <c r="O1408" i="14"/>
  <c r="O1526" i="14"/>
  <c r="I1615" i="14"/>
  <c r="K1616" i="14"/>
  <c r="O1616" i="14"/>
  <c r="Q1616" i="14" s="1"/>
  <c r="J1143" i="14"/>
  <c r="P1146" i="14"/>
  <c r="Q1408" i="14"/>
  <c r="N252" i="14"/>
  <c r="Q343" i="14"/>
  <c r="Q481" i="14"/>
  <c r="L1153" i="14"/>
  <c r="O1153" i="14" s="1"/>
  <c r="N1154" i="14"/>
  <c r="Q1145" i="14"/>
  <c r="J1015" i="14"/>
  <c r="P1018" i="14"/>
  <c r="Q1018" i="14" s="1"/>
  <c r="K722" i="14"/>
  <c r="K706" i="14"/>
  <c r="K572" i="14"/>
  <c r="O572" i="14"/>
  <c r="Q572" i="14" s="1"/>
  <c r="M553" i="14"/>
  <c r="P553" i="14" s="1"/>
  <c r="N554" i="14"/>
  <c r="P531" i="14"/>
  <c r="J528" i="14"/>
  <c r="P528" i="14" s="1"/>
  <c r="K1549" i="14"/>
  <c r="O1549" i="14"/>
  <c r="Q1549" i="14" s="1"/>
  <c r="I1548" i="14"/>
  <c r="Q1524" i="14"/>
  <c r="Q1605" i="14"/>
  <c r="I1577" i="14"/>
  <c r="O1580" i="14"/>
  <c r="K372" i="14"/>
  <c r="I370" i="14"/>
  <c r="K370" i="14" s="1"/>
  <c r="K1289" i="14"/>
  <c r="O1289" i="14"/>
  <c r="Q1289" i="14" s="1"/>
  <c r="K1084" i="14"/>
  <c r="O1084" i="14"/>
  <c r="Q1084" i="14" s="1"/>
  <c r="K680" i="14"/>
  <c r="O680" i="14"/>
  <c r="Q680" i="14" s="1"/>
  <c r="I1822" i="14"/>
  <c r="O1822" i="14" s="1"/>
  <c r="O1823" i="14"/>
  <c r="K94" i="14"/>
  <c r="K88" i="14"/>
  <c r="O167" i="14"/>
  <c r="Q167" i="14" s="1"/>
  <c r="Q308" i="14"/>
  <c r="Q301" i="14"/>
  <c r="Q428" i="14"/>
  <c r="Q371" i="14"/>
  <c r="J1335" i="14"/>
  <c r="P1335" i="14" s="1"/>
  <c r="K1261" i="14"/>
  <c r="Q1100" i="14"/>
  <c r="Q913" i="14"/>
  <c r="K782" i="14"/>
  <c r="O782" i="14"/>
  <c r="Q782" i="14" s="1"/>
  <c r="Q609" i="14"/>
  <c r="Q501" i="14"/>
  <c r="O1477" i="14"/>
  <c r="Q1477" i="14" s="1"/>
  <c r="I1475" i="14"/>
  <c r="N1458" i="14"/>
  <c r="J1365" i="14"/>
  <c r="P1366" i="14"/>
  <c r="Q183" i="14"/>
  <c r="P1316" i="14"/>
  <c r="K653" i="14"/>
  <c r="O653" i="14"/>
  <c r="Q653" i="14" s="1"/>
  <c r="I599" i="14"/>
  <c r="O599" i="14" s="1"/>
  <c r="Q599" i="14" s="1"/>
  <c r="N196" i="14"/>
  <c r="Q158" i="14"/>
  <c r="Q242" i="14"/>
  <c r="N308" i="14"/>
  <c r="Q421" i="14"/>
  <c r="Q403" i="14"/>
  <c r="Q1322" i="14"/>
  <c r="J1197" i="14"/>
  <c r="P1200" i="14"/>
  <c r="Q1200" i="14" s="1"/>
  <c r="O1192" i="14"/>
  <c r="Q1192" i="14" s="1"/>
  <c r="Q1108" i="14"/>
  <c r="K943" i="14"/>
  <c r="O943" i="14"/>
  <c r="Q943" i="14" s="1"/>
  <c r="Q758" i="14"/>
  <c r="K645" i="14"/>
  <c r="Q529" i="14"/>
  <c r="O501" i="14"/>
  <c r="K501" i="14"/>
  <c r="Q1367" i="14"/>
  <c r="Q460" i="14"/>
  <c r="Q1205" i="14"/>
  <c r="K1150" i="14"/>
  <c r="O1150" i="14"/>
  <c r="Q1150" i="14" s="1"/>
  <c r="Q997" i="14"/>
  <c r="Q975" i="14"/>
  <c r="M918" i="14"/>
  <c r="M899" i="14" s="1"/>
  <c r="P919" i="14"/>
  <c r="K860" i="14"/>
  <c r="O860" i="14"/>
  <c r="Q860" i="14" s="1"/>
  <c r="K626" i="14"/>
  <c r="J557" i="14"/>
  <c r="P560" i="14"/>
  <c r="K1482" i="14"/>
  <c r="O1482" i="14"/>
  <c r="Q1482" i="14" s="1"/>
  <c r="K695" i="14"/>
  <c r="O695" i="14"/>
  <c r="Q695" i="14" s="1"/>
  <c r="O584" i="14"/>
  <c r="Q584" i="14" s="1"/>
  <c r="K584" i="14"/>
  <c r="J1409" i="14"/>
  <c r="K1412" i="14"/>
  <c r="P1412" i="14"/>
  <c r="Q1412" i="14" s="1"/>
  <c r="I1197" i="14"/>
  <c r="O1197" i="14" s="1"/>
  <c r="O1200" i="14"/>
  <c r="L1167" i="14"/>
  <c r="O878" i="14"/>
  <c r="Q878" i="14" s="1"/>
  <c r="K878" i="14"/>
  <c r="N414" i="14"/>
  <c r="O414" i="14"/>
  <c r="Q414" i="14" s="1"/>
  <c r="K1114" i="14"/>
  <c r="O1114" i="14"/>
  <c r="Q1114" i="14" s="1"/>
  <c r="I114" i="14"/>
  <c r="O114" i="14" s="1"/>
  <c r="P822" i="14"/>
  <c r="J819" i="14"/>
  <c r="J1534" i="14"/>
  <c r="P1537" i="14"/>
  <c r="K1340" i="14"/>
  <c r="Q497" i="14"/>
  <c r="I1745" i="14"/>
  <c r="O1746" i="14"/>
  <c r="Q1136" i="14"/>
  <c r="I643" i="14"/>
  <c r="Q126" i="14"/>
  <c r="Q248" i="14"/>
  <c r="L271" i="14"/>
  <c r="N271" i="14" s="1"/>
  <c r="O273" i="14"/>
  <c r="Q273" i="14" s="1"/>
  <c r="J264" i="14"/>
  <c r="K264" i="14" s="1"/>
  <c r="K265" i="14"/>
  <c r="Q733" i="14"/>
  <c r="Q164" i="14"/>
  <c r="P140" i="14"/>
  <c r="Q140" i="14" s="1"/>
  <c r="M399" i="14"/>
  <c r="M388" i="14" s="1"/>
  <c r="N400" i="14"/>
  <c r="P400" i="14"/>
  <c r="Q400" i="14" s="1"/>
  <c r="O1331" i="14"/>
  <c r="O1312" i="14"/>
  <c r="Q1312" i="14" s="1"/>
  <c r="Q1215" i="14"/>
  <c r="Q1203" i="14"/>
  <c r="Q1180" i="14"/>
  <c r="Q1119" i="14"/>
  <c r="Q1079" i="14"/>
  <c r="Q820" i="14"/>
  <c r="Q718" i="14"/>
  <c r="L506" i="14"/>
  <c r="O507" i="14"/>
  <c r="Q507" i="14" s="1"/>
  <c r="Q1480" i="14"/>
  <c r="N1468" i="14"/>
  <c r="O1468" i="14"/>
  <c r="Q1468" i="14" s="1"/>
  <c r="Q1461" i="14"/>
  <c r="K1075" i="14"/>
  <c r="O1075" i="14"/>
  <c r="Q1075" i="14" s="1"/>
  <c r="I1191" i="14"/>
  <c r="I1188" i="14" s="1"/>
  <c r="O1188" i="14" s="1"/>
  <c r="K686" i="14"/>
  <c r="O686" i="14"/>
  <c r="L607" i="14"/>
  <c r="O608" i="14"/>
  <c r="L1386" i="14"/>
  <c r="O1386" i="14" s="1"/>
  <c r="O1387" i="14"/>
  <c r="Q226" i="14"/>
  <c r="Q472" i="14"/>
  <c r="O1065" i="14"/>
  <c r="Q238" i="14"/>
  <c r="Q185" i="14"/>
  <c r="K133" i="14"/>
  <c r="K1325" i="14"/>
  <c r="P1325" i="14"/>
  <c r="Q1325" i="14" s="1"/>
  <c r="O1156" i="14"/>
  <c r="Q1156" i="14" s="1"/>
  <c r="K1148" i="14"/>
  <c r="O1148" i="14"/>
  <c r="Q1148" i="14" s="1"/>
  <c r="I1137" i="14"/>
  <c r="O1141" i="14"/>
  <c r="Q1141" i="14" s="1"/>
  <c r="Q856" i="14"/>
  <c r="K755" i="14"/>
  <c r="O755" i="14"/>
  <c r="Q755" i="14" s="1"/>
  <c r="I753" i="14"/>
  <c r="M1422" i="14"/>
  <c r="N1464" i="14"/>
  <c r="O1464" i="14"/>
  <c r="Q1464" i="14" s="1"/>
  <c r="J1341" i="14"/>
  <c r="P1341" i="14" s="1"/>
  <c r="Q1341" i="14" s="1"/>
  <c r="K1343" i="14"/>
  <c r="P1343" i="14"/>
  <c r="Q1343" i="14" s="1"/>
  <c r="K997" i="14"/>
  <c r="P956" i="14"/>
  <c r="J953" i="14"/>
  <c r="Q281" i="14"/>
  <c r="Q694" i="14"/>
  <c r="K598" i="14"/>
  <c r="O598" i="14"/>
  <c r="Q598" i="14" s="1"/>
  <c r="Q419" i="14"/>
  <c r="I1259" i="14"/>
  <c r="K1259" i="14" s="1"/>
  <c r="M1065" i="14"/>
  <c r="Q191" i="14"/>
  <c r="K111" i="14"/>
  <c r="I279" i="14"/>
  <c r="O279" i="14" s="1"/>
  <c r="Q217" i="14"/>
  <c r="Q329" i="14"/>
  <c r="Q311" i="14"/>
  <c r="Q470" i="14"/>
  <c r="Q1147" i="14"/>
  <c r="O1133" i="14"/>
  <c r="Q1133" i="14" s="1"/>
  <c r="Q1094" i="14"/>
  <c r="Q1050" i="14"/>
  <c r="O1027" i="14"/>
  <c r="Q812" i="14"/>
  <c r="K692" i="14"/>
  <c r="O692" i="14"/>
  <c r="Q692" i="14" s="1"/>
  <c r="O621" i="14"/>
  <c r="Q621" i="14" s="1"/>
  <c r="L1452" i="14"/>
  <c r="O1452" i="14" s="1"/>
  <c r="Q1452" i="14" s="1"/>
  <c r="N1457" i="14"/>
  <c r="O1457" i="14"/>
  <c r="Q1457" i="14" s="1"/>
  <c r="Q467" i="14"/>
  <c r="I1287" i="14"/>
  <c r="I1276" i="14" s="1"/>
  <c r="O1276" i="14" s="1"/>
  <c r="N161" i="14"/>
  <c r="O154" i="14"/>
  <c r="Q154" i="14" s="1"/>
  <c r="Q111" i="14"/>
  <c r="P230" i="14"/>
  <c r="Q230" i="14" s="1"/>
  <c r="K230" i="14"/>
  <c r="Q464" i="14"/>
  <c r="P1208" i="14"/>
  <c r="Q1208" i="14" s="1"/>
  <c r="O1195" i="14"/>
  <c r="Q1195" i="14" s="1"/>
  <c r="K1195" i="14"/>
  <c r="Q1178" i="14"/>
  <c r="Q1163" i="14"/>
  <c r="J1125" i="14"/>
  <c r="P1125" i="14" s="1"/>
  <c r="Q1118" i="14"/>
  <c r="Q1019" i="14"/>
  <c r="Q924" i="14"/>
  <c r="I859" i="14"/>
  <c r="O859" i="14" s="1"/>
  <c r="K864" i="14"/>
  <c r="O864" i="14"/>
  <c r="Q855" i="14"/>
  <c r="O777" i="14"/>
  <c r="Q777" i="14" s="1"/>
  <c r="P740" i="14"/>
  <c r="M739" i="14"/>
  <c r="N740" i="14"/>
  <c r="Q716" i="14"/>
  <c r="K631" i="14"/>
  <c r="O631" i="14"/>
  <c r="Q631" i="14" s="1"/>
  <c r="O581" i="14"/>
  <c r="Q581" i="14" s="1"/>
  <c r="N556" i="14"/>
  <c r="O556" i="14"/>
  <c r="Q556" i="14" s="1"/>
  <c r="N1440" i="14"/>
  <c r="Q1261" i="14"/>
  <c r="Q1256" i="14"/>
  <c r="Q1244" i="14"/>
  <c r="O1223" i="14"/>
  <c r="Q1223" i="14" s="1"/>
  <c r="Q1194" i="14"/>
  <c r="Q1166" i="14"/>
  <c r="O1063" i="14"/>
  <c r="Q1063" i="14" s="1"/>
  <c r="I961" i="14"/>
  <c r="O961" i="14" s="1"/>
  <c r="Q950" i="14"/>
  <c r="K913" i="14"/>
  <c r="O786" i="14"/>
  <c r="Q786" i="14" s="1"/>
  <c r="O729" i="14"/>
  <c r="Q729" i="14" s="1"/>
  <c r="O723" i="14"/>
  <c r="Q723" i="14" s="1"/>
  <c r="Q705" i="14"/>
  <c r="O698" i="14"/>
  <c r="Q698" i="14" s="1"/>
  <c r="K685" i="14"/>
  <c r="P637" i="14"/>
  <c r="O630" i="14"/>
  <c r="Q630" i="14" s="1"/>
  <c r="P608" i="14"/>
  <c r="Q608" i="14" s="1"/>
  <c r="Q595" i="14"/>
  <c r="Q566" i="14"/>
  <c r="K523" i="14"/>
  <c r="O516" i="14"/>
  <c r="O1404" i="14"/>
  <c r="Q1404" i="14" s="1"/>
  <c r="P1368" i="14"/>
  <c r="Q1368" i="14" s="1"/>
  <c r="K1363" i="14"/>
  <c r="P1548" i="14"/>
  <c r="P1530" i="14"/>
  <c r="O1520" i="14"/>
  <c r="O1498" i="14"/>
  <c r="Q1498" i="14" s="1"/>
  <c r="K1653" i="14"/>
  <c r="Q1628" i="14"/>
  <c r="O1622" i="14"/>
  <c r="Q1622" i="14" s="1"/>
  <c r="K1594" i="14"/>
  <c r="Q1811" i="14"/>
  <c r="N1794" i="14"/>
  <c r="N1723" i="14"/>
  <c r="P1690" i="14"/>
  <c r="K1674" i="14"/>
  <c r="I391" i="14"/>
  <c r="I388" i="14" s="1"/>
  <c r="I385" i="14" s="1"/>
  <c r="Q1037" i="14"/>
  <c r="Q960" i="14"/>
  <c r="J899" i="14"/>
  <c r="P899" i="14" s="1"/>
  <c r="J872" i="14"/>
  <c r="O867" i="14"/>
  <c r="Q867" i="14" s="1"/>
  <c r="Q848" i="14"/>
  <c r="Q804" i="14"/>
  <c r="Q759" i="14"/>
  <c r="K711" i="14"/>
  <c r="O705" i="14"/>
  <c r="Q685" i="14"/>
  <c r="O656" i="14"/>
  <c r="Q649" i="14"/>
  <c r="O644" i="14"/>
  <c r="Q644" i="14" s="1"/>
  <c r="P614" i="14"/>
  <c r="O601" i="14"/>
  <c r="Q601" i="14" s="1"/>
  <c r="Q589" i="14"/>
  <c r="I585" i="14"/>
  <c r="I560" i="14"/>
  <c r="P496" i="14"/>
  <c r="N1452" i="14"/>
  <c r="Q1363" i="14"/>
  <c r="M1525" i="14"/>
  <c r="P1525" i="14" s="1"/>
  <c r="K1632" i="14"/>
  <c r="K1622" i="14"/>
  <c r="K1605" i="14"/>
  <c r="Q1598" i="14"/>
  <c r="O1584" i="14"/>
  <c r="Q1584" i="14" s="1"/>
  <c r="O1574" i="14"/>
  <c r="Q1574" i="14" s="1"/>
  <c r="P1567" i="14"/>
  <c r="Q1567" i="14" s="1"/>
  <c r="M1712" i="14"/>
  <c r="J1685" i="14"/>
  <c r="Q949" i="14"/>
  <c r="Q893" i="14"/>
  <c r="Q728" i="14"/>
  <c r="Q722" i="14"/>
  <c r="Q684" i="14"/>
  <c r="Q670" i="14"/>
  <c r="J662" i="14"/>
  <c r="K649" i="14"/>
  <c r="K644" i="14"/>
  <c r="N608" i="14"/>
  <c r="K589" i="14"/>
  <c r="Q1466" i="14"/>
  <c r="Q1417" i="14"/>
  <c r="K1368" i="14"/>
  <c r="K1639" i="14"/>
  <c r="O1826" i="14"/>
  <c r="O1805" i="14"/>
  <c r="Q1805" i="14" s="1"/>
  <c r="O1799" i="14"/>
  <c r="Q1799" i="14" s="1"/>
  <c r="O1786" i="14"/>
  <c r="Q1786" i="14" s="1"/>
  <c r="I1781" i="14"/>
  <c r="I1778" i="14" s="1"/>
  <c r="I1775" i="14" s="1"/>
  <c r="Q1773" i="14"/>
  <c r="Q1695" i="14"/>
  <c r="K1869" i="14"/>
  <c r="Q629" i="14"/>
  <c r="Q577" i="14"/>
  <c r="Q495" i="14"/>
  <c r="J1547" i="14"/>
  <c r="P1547" i="14" s="1"/>
  <c r="Q1541" i="14"/>
  <c r="I1513" i="14"/>
  <c r="Q1507" i="14"/>
  <c r="Q1639" i="14"/>
  <c r="Q1593" i="14"/>
  <c r="K1826" i="14"/>
  <c r="K1818" i="14"/>
  <c r="K1805" i="14"/>
  <c r="N1799" i="14"/>
  <c r="Q1780" i="14"/>
  <c r="Q1709" i="14"/>
  <c r="Q1866" i="14"/>
  <c r="N1395" i="14"/>
  <c r="L1530" i="14"/>
  <c r="O1530" i="14" s="1"/>
  <c r="Q1497" i="14"/>
  <c r="Q1646" i="14"/>
  <c r="J1580" i="14"/>
  <c r="I1690" i="14"/>
  <c r="O1690" i="14" s="1"/>
  <c r="Q1838" i="14"/>
  <c r="Q1825" i="14"/>
  <c r="Q1798" i="14"/>
  <c r="N1767" i="14"/>
  <c r="Q1755" i="14"/>
  <c r="O1729" i="14"/>
  <c r="Q1729" i="14" s="1"/>
  <c r="L1722" i="14"/>
  <c r="L1689" i="14"/>
  <c r="N1689" i="14" s="1"/>
  <c r="Q221" i="14"/>
  <c r="Q309" i="14"/>
  <c r="Q459" i="14"/>
  <c r="Q453" i="14"/>
  <c r="Q446" i="14"/>
  <c r="Q427" i="14"/>
  <c r="Q373" i="14"/>
  <c r="Q1327" i="14"/>
  <c r="Q1292" i="14"/>
  <c r="Q1286" i="14"/>
  <c r="Q1242" i="14"/>
  <c r="Q1140" i="14"/>
  <c r="Q1078" i="14"/>
  <c r="O1066" i="14"/>
  <c r="Q1066" i="14" s="1"/>
  <c r="I1059" i="14"/>
  <c r="K1059" i="14" s="1"/>
  <c r="Q1055" i="14"/>
  <c r="Q1036" i="14"/>
  <c r="Q1011" i="14"/>
  <c r="I935" i="14"/>
  <c r="O935" i="14" s="1"/>
  <c r="Q886" i="14"/>
  <c r="Q833" i="14"/>
  <c r="Q721" i="14"/>
  <c r="Q703" i="14"/>
  <c r="Q660" i="14"/>
  <c r="I628" i="14"/>
  <c r="I625" i="14" s="1"/>
  <c r="K625" i="14" s="1"/>
  <c r="O588" i="14"/>
  <c r="Q588" i="14" s="1"/>
  <c r="O564" i="14"/>
  <c r="Q564" i="14" s="1"/>
  <c r="Q559" i="14"/>
  <c r="Q534" i="14"/>
  <c r="O521" i="14"/>
  <c r="O500" i="14"/>
  <c r="Q500" i="14" s="1"/>
  <c r="I1638" i="14"/>
  <c r="I1637" i="14" s="1"/>
  <c r="O1637" i="14" s="1"/>
  <c r="P1583" i="14"/>
  <c r="Q1583" i="14" s="1"/>
  <c r="Q227" i="14"/>
  <c r="Q341" i="14"/>
  <c r="Q326" i="14"/>
  <c r="Q1111" i="14"/>
  <c r="Q1022" i="14"/>
  <c r="Q900" i="14"/>
  <c r="Q778" i="14"/>
  <c r="Q765" i="14"/>
  <c r="Q732" i="14"/>
  <c r="K727" i="14"/>
  <c r="O669" i="14"/>
  <c r="Q669" i="14" s="1"/>
  <c r="Q576" i="14"/>
  <c r="N540" i="14"/>
  <c r="Q513" i="14"/>
  <c r="Q1388" i="14"/>
  <c r="Q1518" i="14"/>
  <c r="O1511" i="14"/>
  <c r="Q1511" i="14" s="1"/>
  <c r="Q1636" i="14"/>
  <c r="P1615" i="14"/>
  <c r="Q1427" i="14"/>
  <c r="Q1643" i="14"/>
  <c r="J1631" i="14"/>
  <c r="M1608" i="14"/>
  <c r="P1608" i="14" s="1"/>
  <c r="N1572" i="14"/>
  <c r="I1754" i="14"/>
  <c r="I1753" i="14" s="1"/>
  <c r="O1748" i="14"/>
  <c r="Q1748" i="14" s="1"/>
  <c r="O1708" i="14"/>
  <c r="Q1708" i="14" s="1"/>
  <c r="Q155" i="14"/>
  <c r="Q272" i="14"/>
  <c r="Q356" i="14"/>
  <c r="I348" i="14"/>
  <c r="O348" i="14" s="1"/>
  <c r="M413" i="14"/>
  <c r="M412" i="14" s="1"/>
  <c r="P412" i="14" s="1"/>
  <c r="Q1285" i="14"/>
  <c r="Q1241" i="14"/>
  <c r="Q1035" i="14"/>
  <c r="K947" i="14"/>
  <c r="O941" i="14"/>
  <c r="Q941" i="14" s="1"/>
  <c r="Q864" i="14"/>
  <c r="O845" i="14"/>
  <c r="Q845" i="14" s="1"/>
  <c r="O715" i="14"/>
  <c r="Q715" i="14" s="1"/>
  <c r="Q708" i="14"/>
  <c r="Q674" i="14"/>
  <c r="Q633" i="14"/>
  <c r="O612" i="14"/>
  <c r="Q612" i="14" s="1"/>
  <c r="Q499" i="14"/>
  <c r="O1479" i="14"/>
  <c r="Q1479" i="14" s="1"/>
  <c r="O1460" i="14"/>
  <c r="Q1460" i="14" s="1"/>
  <c r="P1406" i="14"/>
  <c r="P1555" i="14"/>
  <c r="Q1843" i="14"/>
  <c r="Q1791" i="14"/>
  <c r="Q1771" i="14"/>
  <c r="K1748" i="14"/>
  <c r="Q999" i="14"/>
  <c r="Q928" i="14"/>
  <c r="Q904" i="14"/>
  <c r="Q898" i="14"/>
  <c r="N845" i="14"/>
  <c r="Q702" i="14"/>
  <c r="Q605" i="14"/>
  <c r="O587" i="14"/>
  <c r="Q587" i="14" s="1"/>
  <c r="O563" i="14"/>
  <c r="Q563" i="14" s="1"/>
  <c r="Q558" i="14"/>
  <c r="Q551" i="14"/>
  <c r="O520" i="14"/>
  <c r="O499" i="14"/>
  <c r="O1555" i="14"/>
  <c r="P1545" i="14"/>
  <c r="O1533" i="14"/>
  <c r="Q1533" i="14" s="1"/>
  <c r="J1591" i="14"/>
  <c r="P1591" i="14" s="1"/>
  <c r="Q1808" i="14"/>
  <c r="O1784" i="14"/>
  <c r="Q1784" i="14" s="1"/>
  <c r="N1698" i="14"/>
  <c r="O1693" i="14"/>
  <c r="Q1693" i="14" s="1"/>
  <c r="N1682" i="14"/>
  <c r="P1671" i="14"/>
  <c r="Q890" i="14"/>
  <c r="Q604" i="14"/>
  <c r="O558" i="14"/>
  <c r="Q512" i="14"/>
  <c r="M493" i="14"/>
  <c r="P493" i="14" s="1"/>
  <c r="Q1469" i="14"/>
  <c r="I1399" i="14"/>
  <c r="P1387" i="14"/>
  <c r="N1555" i="14"/>
  <c r="P1550" i="14"/>
  <c r="Q1550" i="14" s="1"/>
  <c r="O1545" i="14"/>
  <c r="K1635" i="14"/>
  <c r="I1591" i="14"/>
  <c r="O1591" i="14" s="1"/>
  <c r="P1582" i="14"/>
  <c r="Q1582" i="14" s="1"/>
  <c r="J1740" i="14"/>
  <c r="O1720" i="14"/>
  <c r="Q1720" i="14" s="1"/>
  <c r="Q1682" i="14"/>
  <c r="K1866" i="14"/>
  <c r="M1402" i="14"/>
  <c r="P1402" i="14" s="1"/>
  <c r="K1366" i="14"/>
  <c r="N1545" i="14"/>
  <c r="O1516" i="14"/>
  <c r="Q1516" i="14" s="1"/>
  <c r="O1510" i="14"/>
  <c r="Q1510" i="14" s="1"/>
  <c r="J1603" i="14"/>
  <c r="P1836" i="14"/>
  <c r="Q1836" i="14" s="1"/>
  <c r="N1796" i="14"/>
  <c r="Q1764" i="14"/>
  <c r="Q1738" i="14"/>
  <c r="K1720" i="14"/>
  <c r="Q457" i="14"/>
  <c r="Q387" i="14"/>
  <c r="Q1278" i="14"/>
  <c r="Q1263" i="14"/>
  <c r="Q1225" i="14"/>
  <c r="Q1213" i="14"/>
  <c r="Q1202" i="14"/>
  <c r="Q1070" i="14"/>
  <c r="I1015" i="14"/>
  <c r="Q940" i="14"/>
  <c r="Q927" i="14"/>
  <c r="Q750" i="14"/>
  <c r="Q666" i="14"/>
  <c r="Q617" i="14"/>
  <c r="Q562" i="14"/>
  <c r="Q1443" i="14"/>
  <c r="N1387" i="14"/>
  <c r="N1365" i="14"/>
  <c r="Q1532" i="14"/>
  <c r="Q1527" i="14"/>
  <c r="N1625" i="14"/>
  <c r="Q1613" i="14"/>
  <c r="P1570" i="14"/>
  <c r="Q1570" i="14" s="1"/>
  <c r="Q1821" i="14"/>
  <c r="Q1796" i="14"/>
  <c r="Q1704" i="14"/>
  <c r="Q1698" i="14"/>
  <c r="K1776" i="14"/>
  <c r="K1770" i="14"/>
  <c r="Q1719" i="14"/>
  <c r="Q1714" i="14"/>
  <c r="Q1871" i="14"/>
  <c r="Q1864" i="14"/>
  <c r="Q95" i="14"/>
  <c r="Q153" i="14"/>
  <c r="Q146" i="14"/>
  <c r="Q262" i="14"/>
  <c r="O218" i="14"/>
  <c r="Q218" i="14" s="1"/>
  <c r="K354" i="14"/>
  <c r="Q337" i="14"/>
  <c r="Q443" i="14"/>
  <c r="P1137" i="14"/>
  <c r="O1132" i="14"/>
  <c r="Q1132" i="14" s="1"/>
  <c r="O1126" i="14"/>
  <c r="Q1126" i="14" s="1"/>
  <c r="Q1120" i="14"/>
  <c r="Q1039" i="14"/>
  <c r="O883" i="14"/>
  <c r="Q883" i="14" s="1"/>
  <c r="O856" i="14"/>
  <c r="O694" i="14"/>
  <c r="O597" i="14"/>
  <c r="Q597" i="14" s="1"/>
  <c r="O567" i="14"/>
  <c r="Q567" i="14" s="1"/>
  <c r="O543" i="14"/>
  <c r="Q543" i="14" s="1"/>
  <c r="O537" i="14"/>
  <c r="Q537" i="14" s="1"/>
  <c r="Q498" i="14"/>
  <c r="K1132" i="14"/>
  <c r="Q1058" i="14"/>
  <c r="I1032" i="14"/>
  <c r="O1032" i="14" s="1"/>
  <c r="Q1032" i="14" s="1"/>
  <c r="Q1014" i="14"/>
  <c r="Q1008" i="14"/>
  <c r="Q986" i="14"/>
  <c r="Q939" i="14"/>
  <c r="Q926" i="14"/>
  <c r="Q908" i="14"/>
  <c r="Q896" i="14"/>
  <c r="Q850" i="14"/>
  <c r="Q800" i="14"/>
  <c r="Q787" i="14"/>
  <c r="K737" i="14"/>
  <c r="Q672" i="14"/>
  <c r="Q603" i="14"/>
  <c r="Q1463" i="14"/>
  <c r="Q1458" i="14"/>
  <c r="Q1397" i="14"/>
  <c r="Q1526" i="14"/>
  <c r="K1515" i="14"/>
  <c r="Q1612" i="14"/>
  <c r="Q1575" i="14"/>
  <c r="Q1841" i="14"/>
  <c r="Q1835" i="14"/>
  <c r="K1820" i="14"/>
  <c r="Q1788" i="14"/>
  <c r="Q1750" i="14"/>
  <c r="K1746" i="14"/>
  <c r="N1737" i="14"/>
  <c r="Q1724" i="14"/>
  <c r="K1686" i="14"/>
  <c r="Q268" i="14"/>
  <c r="Q353" i="14"/>
  <c r="Q322" i="14"/>
  <c r="Q479" i="14"/>
  <c r="Q449" i="14"/>
  <c r="K1296" i="14"/>
  <c r="Q1168" i="14"/>
  <c r="Q862" i="14"/>
  <c r="M841" i="14"/>
  <c r="P841" i="14" s="1"/>
  <c r="Q835" i="14"/>
  <c r="Q1515" i="14"/>
  <c r="O1391" i="14"/>
  <c r="Q1391" i="14" s="1"/>
  <c r="O1537" i="14"/>
  <c r="N1526" i="14"/>
  <c r="Q1618" i="14"/>
  <c r="Q1820" i="14"/>
  <c r="K1806" i="14"/>
  <c r="P1794" i="14"/>
  <c r="Q1794" i="14" s="1"/>
  <c r="Q1787" i="14"/>
  <c r="N1589" i="14"/>
  <c r="Q1840" i="14"/>
  <c r="Q1768" i="14"/>
  <c r="K1757" i="14"/>
  <c r="Q1735" i="14"/>
  <c r="P1723" i="14"/>
  <c r="Q1723" i="14" s="1"/>
  <c r="Q1696" i="14"/>
  <c r="N1863" i="14"/>
  <c r="J1833" i="14"/>
  <c r="K1833" i="14" s="1"/>
  <c r="J1823" i="14"/>
  <c r="P1823" i="14" s="1"/>
  <c r="P1826" i="14"/>
  <c r="P1781" i="14"/>
  <c r="Q1795" i="14"/>
  <c r="M1790" i="14"/>
  <c r="M1778" i="14" s="1"/>
  <c r="Q1699" i="14"/>
  <c r="P1678" i="14"/>
  <c r="Q1678" i="14" s="1"/>
  <c r="M1624" i="14"/>
  <c r="N1624" i="14" s="1"/>
  <c r="P1572" i="14"/>
  <c r="Q1572" i="14" s="1"/>
  <c r="M1569" i="14"/>
  <c r="P1569" i="14" s="1"/>
  <c r="M1197" i="14"/>
  <c r="N1197" i="14" s="1"/>
  <c r="P1214" i="14"/>
  <c r="N1215" i="14"/>
  <c r="N1168" i="14"/>
  <c r="Q1157" i="14"/>
  <c r="Q1154" i="14"/>
  <c r="N1027" i="14"/>
  <c r="Q895" i="14"/>
  <c r="P790" i="14"/>
  <c r="M762" i="14"/>
  <c r="P762" i="14" s="1"/>
  <c r="P636" i="14"/>
  <c r="M625" i="14"/>
  <c r="P554" i="14"/>
  <c r="Q1860" i="14"/>
  <c r="I1855" i="14"/>
  <c r="I1854" i="14" s="1"/>
  <c r="N1862" i="14"/>
  <c r="M1856" i="14"/>
  <c r="P1862" i="14"/>
  <c r="M1855" i="14"/>
  <c r="L1856" i="14"/>
  <c r="O1856" i="14" s="1"/>
  <c r="O1862" i="14"/>
  <c r="L1855" i="14"/>
  <c r="K1857" i="14"/>
  <c r="O1857" i="14"/>
  <c r="Q1857" i="14" s="1"/>
  <c r="P1863" i="14"/>
  <c r="Q1863" i="14" s="1"/>
  <c r="O1869" i="14"/>
  <c r="B1700" i="14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B1730" i="14" s="1"/>
  <c r="B1731" i="14" s="1"/>
  <c r="B1732" i="14" s="1"/>
  <c r="B1733" i="14" s="1"/>
  <c r="B1734" i="14" s="1"/>
  <c r="B1735" i="14" s="1"/>
  <c r="B1736" i="14" s="1"/>
  <c r="B1737" i="14" s="1"/>
  <c r="B1738" i="14" s="1"/>
  <c r="B1739" i="14" s="1"/>
  <c r="B1740" i="14" s="1"/>
  <c r="B1741" i="14" s="1"/>
  <c r="B1742" i="14" s="1"/>
  <c r="B1743" i="14" s="1"/>
  <c r="B1744" i="14" s="1"/>
  <c r="B1745" i="14" s="1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B1780" i="14" s="1"/>
  <c r="B1781" i="14" s="1"/>
  <c r="B1782" i="14" s="1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B1832" i="14" s="1"/>
  <c r="B1833" i="14" s="1"/>
  <c r="B1834" i="14" s="1"/>
  <c r="B1835" i="14" s="1"/>
  <c r="B1836" i="14" s="1"/>
  <c r="B1837" i="14" s="1"/>
  <c r="B1838" i="14" s="1"/>
  <c r="B1839" i="14" s="1"/>
  <c r="B1840" i="14" s="1"/>
  <c r="B1841" i="14" s="1"/>
  <c r="B1842" i="14" s="1"/>
  <c r="B1843" i="14" s="1"/>
  <c r="B1844" i="14" s="1"/>
  <c r="B1698" i="14"/>
  <c r="B1699" i="14" s="1"/>
  <c r="P1815" i="14"/>
  <c r="Q1815" i="14" s="1"/>
  <c r="J1814" i="14"/>
  <c r="K1815" i="14"/>
  <c r="K1801" i="14"/>
  <c r="N1791" i="14"/>
  <c r="J1775" i="14"/>
  <c r="P1769" i="14"/>
  <c r="Q1769" i="14" s="1"/>
  <c r="K1769" i="14"/>
  <c r="Q1728" i="14"/>
  <c r="K1726" i="14"/>
  <c r="J1725" i="14"/>
  <c r="K1725" i="14" s="1"/>
  <c r="K1702" i="14"/>
  <c r="P1702" i="14"/>
  <c r="Q1702" i="14" s="1"/>
  <c r="P1745" i="14"/>
  <c r="Q1801" i="14"/>
  <c r="L1726" i="14"/>
  <c r="O1736" i="14"/>
  <c r="Q1828" i="14"/>
  <c r="M1677" i="14"/>
  <c r="Q1672" i="14"/>
  <c r="I1817" i="14"/>
  <c r="O1817" i="14" s="1"/>
  <c r="O1818" i="14"/>
  <c r="Q1818" i="14" s="1"/>
  <c r="O1742" i="14"/>
  <c r="I1740" i="14"/>
  <c r="J1800" i="14"/>
  <c r="L1790" i="14"/>
  <c r="J1712" i="14"/>
  <c r="P1712" i="14" s="1"/>
  <c r="M1754" i="14"/>
  <c r="P1766" i="14"/>
  <c r="N1766" i="14"/>
  <c r="I1814" i="14"/>
  <c r="O1814" i="14" s="1"/>
  <c r="L1677" i="14"/>
  <c r="O1766" i="14"/>
  <c r="L1754" i="14"/>
  <c r="J1667" i="14"/>
  <c r="N1736" i="14"/>
  <c r="P1736" i="14"/>
  <c r="M1726" i="14"/>
  <c r="J1706" i="14"/>
  <c r="J1689" i="14" s="1"/>
  <c r="P1689" i="14" s="1"/>
  <c r="P1707" i="14"/>
  <c r="I1832" i="14"/>
  <c r="J1817" i="14"/>
  <c r="J1754" i="14"/>
  <c r="P1803" i="14"/>
  <c r="P1746" i="14"/>
  <c r="P1737" i="14"/>
  <c r="P1757" i="14"/>
  <c r="Q1757" i="14" s="1"/>
  <c r="P1742" i="14"/>
  <c r="O1686" i="14"/>
  <c r="Q1686" i="14" s="1"/>
  <c r="J1644" i="14"/>
  <c r="P1645" i="14"/>
  <c r="M1577" i="14"/>
  <c r="P1588" i="14"/>
  <c r="O1624" i="14"/>
  <c r="L1617" i="14"/>
  <c r="O1634" i="14"/>
  <c r="P1614" i="14"/>
  <c r="P1638" i="14"/>
  <c r="O1635" i="14"/>
  <c r="Q1635" i="14" s="1"/>
  <c r="O1625" i="14"/>
  <c r="Q1625" i="14" s="1"/>
  <c r="P1609" i="14"/>
  <c r="O1609" i="14"/>
  <c r="L1569" i="14"/>
  <c r="P1648" i="14"/>
  <c r="N1609" i="14"/>
  <c r="L1577" i="14"/>
  <c r="L1576" i="14" s="1"/>
  <c r="L1566" i="14" s="1"/>
  <c r="M1534" i="14"/>
  <c r="P1544" i="14"/>
  <c r="N1544" i="14"/>
  <c r="L1534" i="14"/>
  <c r="O1534" i="14" s="1"/>
  <c r="O1544" i="14"/>
  <c r="K1517" i="14"/>
  <c r="K1537" i="14"/>
  <c r="K1520" i="14"/>
  <c r="J1496" i="14"/>
  <c r="J1513" i="14"/>
  <c r="I1496" i="14"/>
  <c r="K1419" i="14"/>
  <c r="P1419" i="14"/>
  <c r="Q1419" i="14" s="1"/>
  <c r="I1422" i="14"/>
  <c r="O1428" i="14"/>
  <c r="N1386" i="14"/>
  <c r="P1386" i="14"/>
  <c r="M1385" i="14"/>
  <c r="N1424" i="14"/>
  <c r="K1391" i="14"/>
  <c r="P1400" i="14"/>
  <c r="O1400" i="14"/>
  <c r="P1423" i="14"/>
  <c r="K1400" i="14"/>
  <c r="J1390" i="14"/>
  <c r="O1431" i="14"/>
  <c r="I1362" i="14"/>
  <c r="N376" i="14"/>
  <c r="M375" i="14"/>
  <c r="P375" i="14" s="1"/>
  <c r="K1105" i="14"/>
  <c r="O1105" i="14"/>
  <c r="Q1105" i="14" s="1"/>
  <c r="I1101" i="14"/>
  <c r="K1165" i="14"/>
  <c r="O1165" i="14"/>
  <c r="Q1165" i="14" s="1"/>
  <c r="O1092" i="14"/>
  <c r="Q1092" i="14" s="1"/>
  <c r="P988" i="14"/>
  <c r="Q988" i="14" s="1"/>
  <c r="K988" i="14"/>
  <c r="L918" i="14"/>
  <c r="O919" i="14"/>
  <c r="I545" i="14"/>
  <c r="I542" i="14" s="1"/>
  <c r="O548" i="14"/>
  <c r="Q548" i="14" s="1"/>
  <c r="Q383" i="14"/>
  <c r="K350" i="14"/>
  <c r="Q392" i="14"/>
  <c r="K1092" i="14"/>
  <c r="K1030" i="14"/>
  <c r="O1030" i="14"/>
  <c r="Q1030" i="14" s="1"/>
  <c r="Q522" i="14"/>
  <c r="O1089" i="14"/>
  <c r="K1089" i="14"/>
  <c r="K1352" i="14"/>
  <c r="O1352" i="14"/>
  <c r="Q1352" i="14" s="1"/>
  <c r="I1351" i="14"/>
  <c r="M894" i="14"/>
  <c r="N895" i="14"/>
  <c r="P88" i="14"/>
  <c r="Q88" i="14" s="1"/>
  <c r="Q349" i="14"/>
  <c r="J388" i="14"/>
  <c r="J385" i="14" s="1"/>
  <c r="J384" i="14" s="1"/>
  <c r="P391" i="14"/>
  <c r="N1274" i="14"/>
  <c r="P1274" i="14"/>
  <c r="M1273" i="14"/>
  <c r="K1269" i="14"/>
  <c r="I1267" i="14"/>
  <c r="O1267" i="14" s="1"/>
  <c r="M1232" i="14"/>
  <c r="P1233" i="14"/>
  <c r="Q1233" i="14" s="1"/>
  <c r="Q1091" i="14"/>
  <c r="N844" i="14"/>
  <c r="O844" i="14"/>
  <c r="Q844" i="14" s="1"/>
  <c r="K1344" i="14"/>
  <c r="P1344" i="14"/>
  <c r="Q1344" i="14" s="1"/>
  <c r="J1217" i="14"/>
  <c r="P1220" i="14"/>
  <c r="Q1220" i="14" s="1"/>
  <c r="N1096" i="14"/>
  <c r="P1096" i="14"/>
  <c r="M1095" i="14"/>
  <c r="O1274" i="14"/>
  <c r="L1273" i="14"/>
  <c r="Q431" i="14"/>
  <c r="I1338" i="14"/>
  <c r="O1338" i="14" s="1"/>
  <c r="O1340" i="14"/>
  <c r="Q1340" i="14" s="1"/>
  <c r="P1279" i="14"/>
  <c r="J1276" i="14"/>
  <c r="O735" i="14"/>
  <c r="Q735" i="14" s="1"/>
  <c r="K735" i="14"/>
  <c r="O533" i="14"/>
  <c r="Q533" i="14" s="1"/>
  <c r="K533" i="14"/>
  <c r="I531" i="14"/>
  <c r="K1348" i="14"/>
  <c r="O1348" i="14"/>
  <c r="Q1348" i="14" s="1"/>
  <c r="O1279" i="14"/>
  <c r="P973" i="14"/>
  <c r="Q973" i="14" s="1"/>
  <c r="J970" i="14"/>
  <c r="K881" i="14"/>
  <c r="O881" i="14"/>
  <c r="Q881" i="14" s="1"/>
  <c r="K538" i="14"/>
  <c r="O538" i="14"/>
  <c r="Q538" i="14" s="1"/>
  <c r="P1161" i="14"/>
  <c r="J1158" i="14"/>
  <c r="O678" i="14"/>
  <c r="Q678" i="14" s="1"/>
  <c r="K678" i="14"/>
  <c r="O934" i="14"/>
  <c r="Q934" i="14" s="1"/>
  <c r="Q196" i="14"/>
  <c r="K615" i="14"/>
  <c r="O615" i="14"/>
  <c r="Q615" i="14" s="1"/>
  <c r="I614" i="14"/>
  <c r="O1096" i="14"/>
  <c r="L1095" i="14"/>
  <c r="K654" i="14"/>
  <c r="J136" i="14"/>
  <c r="K136" i="14" s="1"/>
  <c r="N450" i="14"/>
  <c r="K1339" i="14"/>
  <c r="P1339" i="14"/>
  <c r="Q1339" i="14" s="1"/>
  <c r="I769" i="14"/>
  <c r="O769" i="14" s="1"/>
  <c r="O773" i="14"/>
  <c r="Q773" i="14" s="1"/>
  <c r="K773" i="14"/>
  <c r="P1307" i="14"/>
  <c r="Q1307" i="14" s="1"/>
  <c r="J1304" i="14"/>
  <c r="K1307" i="14"/>
  <c r="Q304" i="14"/>
  <c r="P1248" i="14"/>
  <c r="Q1248" i="14" s="1"/>
  <c r="K1248" i="14"/>
  <c r="K1335" i="14"/>
  <c r="O1335" i="14"/>
  <c r="Q1335" i="14" s="1"/>
  <c r="O768" i="14"/>
  <c r="Q768" i="14" s="1"/>
  <c r="I1237" i="14"/>
  <c r="O1237" i="14" s="1"/>
  <c r="Q284" i="14"/>
  <c r="I125" i="14"/>
  <c r="I124" i="14" s="1"/>
  <c r="K124" i="14" s="1"/>
  <c r="O127" i="14"/>
  <c r="Q127" i="14" s="1"/>
  <c r="O299" i="14"/>
  <c r="Q299" i="14" s="1"/>
  <c r="J1346" i="14"/>
  <c r="K1347" i="14"/>
  <c r="P1347" i="14"/>
  <c r="Q1347" i="14" s="1"/>
  <c r="P1101" i="14"/>
  <c r="J1098" i="14"/>
  <c r="O891" i="14"/>
  <c r="Q891" i="14" s="1"/>
  <c r="O1161" i="14"/>
  <c r="I1158" i="14"/>
  <c r="J961" i="14"/>
  <c r="P964" i="14"/>
  <c r="Q964" i="14" s="1"/>
  <c r="K964" i="14"/>
  <c r="N638" i="14"/>
  <c r="O638" i="14"/>
  <c r="Q638" i="14" s="1"/>
  <c r="L637" i="14"/>
  <c r="N318" i="14"/>
  <c r="O318" i="14"/>
  <c r="Q318" i="14" s="1"/>
  <c r="O1245" i="14"/>
  <c r="Q1245" i="14" s="1"/>
  <c r="K1245" i="14"/>
  <c r="Q135" i="14"/>
  <c r="K299" i="14"/>
  <c r="N473" i="14"/>
  <c r="O473" i="14"/>
  <c r="Q473" i="14" s="1"/>
  <c r="K1161" i="14"/>
  <c r="K667" i="14"/>
  <c r="O667" i="14"/>
  <c r="Q667" i="14" s="1"/>
  <c r="I665" i="14"/>
  <c r="I662" i="14" s="1"/>
  <c r="J278" i="14"/>
  <c r="P278" i="14" s="1"/>
  <c r="I342" i="14"/>
  <c r="O342" i="14" s="1"/>
  <c r="O344" i="14"/>
  <c r="Q321" i="14"/>
  <c r="Q451" i="14"/>
  <c r="Q377" i="14"/>
  <c r="J367" i="14"/>
  <c r="P370" i="14"/>
  <c r="Q1299" i="14"/>
  <c r="K1240" i="14"/>
  <c r="P1240" i="14"/>
  <c r="Q1240" i="14" s="1"/>
  <c r="P1191" i="14"/>
  <c r="J1188" i="14"/>
  <c r="O1186" i="14"/>
  <c r="Q1186" i="14" s="1"/>
  <c r="I1182" i="14"/>
  <c r="Q516" i="14"/>
  <c r="K510" i="14"/>
  <c r="O510" i="14"/>
  <c r="Q510" i="14" s="1"/>
  <c r="I509" i="14"/>
  <c r="K745" i="14"/>
  <c r="J742" i="14"/>
  <c r="P745" i="14"/>
  <c r="Q745" i="14" s="1"/>
  <c r="K724" i="14"/>
  <c r="O724" i="14"/>
  <c r="Q724" i="14" s="1"/>
  <c r="I720" i="14"/>
  <c r="K720" i="14" s="1"/>
  <c r="Q94" i="14"/>
  <c r="Q190" i="14"/>
  <c r="I118" i="14"/>
  <c r="Q237" i="14"/>
  <c r="Q444" i="14"/>
  <c r="Q425" i="14"/>
  <c r="K909" i="14"/>
  <c r="O909" i="14"/>
  <c r="Q909" i="14" s="1"/>
  <c r="O643" i="14"/>
  <c r="O602" i="14"/>
  <c r="Q602" i="14" s="1"/>
  <c r="Q552" i="14"/>
  <c r="K874" i="14"/>
  <c r="O874" i="14"/>
  <c r="Q874" i="14" s="1"/>
  <c r="M687" i="14"/>
  <c r="N688" i="14"/>
  <c r="J640" i="14"/>
  <c r="P643" i="14"/>
  <c r="Q100" i="14"/>
  <c r="Q168" i="14"/>
  <c r="Q160" i="14"/>
  <c r="Q275" i="14"/>
  <c r="Q236" i="14"/>
  <c r="Q355" i="14"/>
  <c r="J1170" i="14"/>
  <c r="P832" i="14"/>
  <c r="Q832" i="14" s="1"/>
  <c r="K832" i="14"/>
  <c r="L687" i="14"/>
  <c r="O688" i="14"/>
  <c r="Q688" i="14" s="1"/>
  <c r="J979" i="14"/>
  <c r="P982" i="14"/>
  <c r="Q982" i="14" s="1"/>
  <c r="K982" i="14"/>
  <c r="K991" i="14"/>
  <c r="P991" i="14"/>
  <c r="I899" i="14"/>
  <c r="K744" i="14"/>
  <c r="K618" i="14"/>
  <c r="O618" i="14"/>
  <c r="Q618" i="14" s="1"/>
  <c r="Q267" i="14"/>
  <c r="Q347" i="14"/>
  <c r="J1254" i="14"/>
  <c r="P1255" i="14"/>
  <c r="O1033" i="14"/>
  <c r="Q1033" i="14" s="1"/>
  <c r="O981" i="14"/>
  <c r="Q981" i="14" s="1"/>
  <c r="M514" i="14"/>
  <c r="P525" i="14"/>
  <c r="L842" i="14"/>
  <c r="N843" i="14"/>
  <c r="O843" i="14"/>
  <c r="Q843" i="14" s="1"/>
  <c r="O682" i="14"/>
  <c r="Q682" i="14" s="1"/>
  <c r="I679" i="14"/>
  <c r="O679" i="14" s="1"/>
  <c r="J114" i="14"/>
  <c r="K115" i="14"/>
  <c r="O252" i="14"/>
  <c r="Q252" i="14" s="1"/>
  <c r="Q454" i="14"/>
  <c r="L409" i="14"/>
  <c r="O410" i="14"/>
  <c r="N410" i="14"/>
  <c r="I1254" i="14"/>
  <c r="O1255" i="14"/>
  <c r="L1232" i="14"/>
  <c r="K1033" i="14"/>
  <c r="Q1023" i="14"/>
  <c r="O942" i="14"/>
  <c r="Q942" i="14" s="1"/>
  <c r="Q801" i="14"/>
  <c r="K713" i="14"/>
  <c r="L525" i="14"/>
  <c r="K1128" i="14"/>
  <c r="O1128" i="14"/>
  <c r="Q1128" i="14" s="1"/>
  <c r="O764" i="14"/>
  <c r="Q764" i="14" s="1"/>
  <c r="L763" i="14"/>
  <c r="N764" i="14"/>
  <c r="O494" i="14"/>
  <c r="Q494" i="14" s="1"/>
  <c r="J1179" i="14"/>
  <c r="P1182" i="14"/>
  <c r="Q1116" i="14"/>
  <c r="I875" i="14"/>
  <c r="K877" i="14"/>
  <c r="O877" i="14"/>
  <c r="Q877" i="14" s="1"/>
  <c r="O661" i="14"/>
  <c r="Q661" i="14" s="1"/>
  <c r="K661" i="14"/>
  <c r="K599" i="14"/>
  <c r="K518" i="14"/>
  <c r="O518" i="14"/>
  <c r="Q518" i="14" s="1"/>
  <c r="I517" i="14"/>
  <c r="K517" i="14" s="1"/>
  <c r="K922" i="14"/>
  <c r="O922" i="14"/>
  <c r="Q922" i="14" s="1"/>
  <c r="O663" i="14"/>
  <c r="Q663" i="14" s="1"/>
  <c r="K663" i="14"/>
  <c r="K530" i="14"/>
  <c r="O530" i="14"/>
  <c r="Q530" i="14" s="1"/>
  <c r="M193" i="14"/>
  <c r="K1074" i="14"/>
  <c r="O1074" i="14"/>
  <c r="Q1074" i="14" s="1"/>
  <c r="I1071" i="14"/>
  <c r="K1071" i="14" s="1"/>
  <c r="K857" i="14"/>
  <c r="O857" i="14"/>
  <c r="Q857" i="14" s="1"/>
  <c r="L193" i="14"/>
  <c r="L186" i="14" s="1"/>
  <c r="O186" i="14" s="1"/>
  <c r="K336" i="14"/>
  <c r="O336" i="14"/>
  <c r="Q336" i="14" s="1"/>
  <c r="M1152" i="14"/>
  <c r="P1153" i="14"/>
  <c r="I1125" i="14"/>
  <c r="O830" i="14"/>
  <c r="Q830" i="14" s="1"/>
  <c r="K830" i="14"/>
  <c r="N790" i="14"/>
  <c r="O790" i="14"/>
  <c r="K736" i="14"/>
  <c r="O736" i="14"/>
  <c r="Q736" i="14" s="1"/>
  <c r="O713" i="14"/>
  <c r="Q713" i="14" s="1"/>
  <c r="N274" i="14"/>
  <c r="I1346" i="14"/>
  <c r="K847" i="14"/>
  <c r="O847" i="14"/>
  <c r="Q847" i="14" s="1"/>
  <c r="P1089" i="14"/>
  <c r="J1086" i="14"/>
  <c r="J1006" i="14"/>
  <c r="P1009" i="14"/>
  <c r="Q1009" i="14" s="1"/>
  <c r="J1237" i="14"/>
  <c r="O544" i="14"/>
  <c r="Q544" i="14" s="1"/>
  <c r="L270" i="14"/>
  <c r="O270" i="14" s="1"/>
  <c r="O120" i="14"/>
  <c r="Q120" i="14" s="1"/>
  <c r="P279" i="14"/>
  <c r="P386" i="14"/>
  <c r="Q386" i="14" s="1"/>
  <c r="O1266" i="14"/>
  <c r="Q1266" i="14" s="1"/>
  <c r="K1116" i="14"/>
  <c r="P769" i="14"/>
  <c r="O700" i="14"/>
  <c r="Q700" i="14" s="1"/>
  <c r="P569" i="14"/>
  <c r="M568" i="14"/>
  <c r="P517" i="14"/>
  <c r="J514" i="14"/>
  <c r="K1032" i="14"/>
  <c r="O852" i="14"/>
  <c r="Q852" i="14" s="1"/>
  <c r="I849" i="14"/>
  <c r="I1173" i="14"/>
  <c r="K1177" i="14"/>
  <c r="Q194" i="14"/>
  <c r="K280" i="14"/>
  <c r="Q97" i="14"/>
  <c r="P129" i="14"/>
  <c r="J342" i="14"/>
  <c r="P342" i="14" s="1"/>
  <c r="K344" i="14"/>
  <c r="P344" i="14"/>
  <c r="I335" i="14"/>
  <c r="K335" i="14" s="1"/>
  <c r="K328" i="14"/>
  <c r="N321" i="14"/>
  <c r="Q433" i="14"/>
  <c r="Q415" i="14"/>
  <c r="L399" i="14"/>
  <c r="Q1284" i="14"/>
  <c r="Q1235" i="14"/>
  <c r="Q1196" i="14"/>
  <c r="K1186" i="14"/>
  <c r="M1167" i="14"/>
  <c r="I1086" i="14"/>
  <c r="O1088" i="14"/>
  <c r="Q1088" i="14" s="1"/>
  <c r="O1083" i="14"/>
  <c r="Q1083" i="14" s="1"/>
  <c r="I1080" i="14"/>
  <c r="N1026" i="14"/>
  <c r="P1026" i="14"/>
  <c r="O1017" i="14"/>
  <c r="Q1017" i="14" s="1"/>
  <c r="K1017" i="14"/>
  <c r="I979" i="14"/>
  <c r="O979" i="14" s="1"/>
  <c r="K824" i="14"/>
  <c r="O824" i="14"/>
  <c r="Q824" i="14" s="1"/>
  <c r="I822" i="14"/>
  <c r="J717" i="14"/>
  <c r="K710" i="14"/>
  <c r="O710" i="14"/>
  <c r="Q710" i="14" s="1"/>
  <c r="I704" i="14"/>
  <c r="K660" i="14"/>
  <c r="Q639" i="14"/>
  <c r="K580" i="14"/>
  <c r="O580" i="14"/>
  <c r="Q580" i="14" s="1"/>
  <c r="L568" i="14"/>
  <c r="O569" i="14"/>
  <c r="Q119" i="14"/>
  <c r="Q259" i="14"/>
  <c r="Q251" i="14"/>
  <c r="Q297" i="14"/>
  <c r="Q426" i="14"/>
  <c r="Q398" i="14"/>
  <c r="Q1277" i="14"/>
  <c r="O1228" i="14"/>
  <c r="Q1228" i="14" s="1"/>
  <c r="I1226" i="14"/>
  <c r="Q1099" i="14"/>
  <c r="K865" i="14"/>
  <c r="O865" i="14"/>
  <c r="Q865" i="14" s="1"/>
  <c r="Q686" i="14"/>
  <c r="K627" i="14"/>
  <c r="O627" i="14"/>
  <c r="Q627" i="14" s="1"/>
  <c r="P622" i="14"/>
  <c r="J254" i="14"/>
  <c r="J253" i="14" s="1"/>
  <c r="K257" i="14"/>
  <c r="Q430" i="14"/>
  <c r="Q390" i="14"/>
  <c r="J1311" i="14"/>
  <c r="L1158" i="14"/>
  <c r="O1167" i="14"/>
  <c r="K1137" i="14"/>
  <c r="K1093" i="14"/>
  <c r="O1093" i="14"/>
  <c r="Q1093" i="14" s="1"/>
  <c r="K1048" i="14"/>
  <c r="J1045" i="14"/>
  <c r="P1048" i="14"/>
  <c r="P935" i="14"/>
  <c r="P701" i="14"/>
  <c r="J676" i="14"/>
  <c r="P679" i="14"/>
  <c r="K620" i="14"/>
  <c r="O620" i="14"/>
  <c r="Q620" i="14" s="1"/>
  <c r="Q526" i="14"/>
  <c r="Q188" i="14"/>
  <c r="I1056" i="14"/>
  <c r="K781" i="14"/>
  <c r="O781" i="14"/>
  <c r="Q781" i="14" s="1"/>
  <c r="I779" i="14"/>
  <c r="Q201" i="14"/>
  <c r="Q172" i="14"/>
  <c r="Q123" i="14"/>
  <c r="K233" i="14"/>
  <c r="Q219" i="14"/>
  <c r="Q442" i="14"/>
  <c r="Q429" i="14"/>
  <c r="N402" i="14"/>
  <c r="P1267" i="14"/>
  <c r="Q1106" i="14"/>
  <c r="Q1043" i="14"/>
  <c r="Q859" i="14"/>
  <c r="K795" i="14"/>
  <c r="O795" i="14"/>
  <c r="Q795" i="14" s="1"/>
  <c r="M766" i="14"/>
  <c r="N766" i="14" s="1"/>
  <c r="N789" i="14"/>
  <c r="Q748" i="14"/>
  <c r="K668" i="14"/>
  <c r="O668" i="14"/>
  <c r="Q668" i="14" s="1"/>
  <c r="N526" i="14"/>
  <c r="Q520" i="14"/>
  <c r="Q521" i="14"/>
  <c r="Q805" i="14"/>
  <c r="O725" i="14"/>
  <c r="Q725" i="14" s="1"/>
  <c r="K725" i="14"/>
  <c r="Q656" i="14"/>
  <c r="I574" i="14"/>
  <c r="I571" i="14" s="1"/>
  <c r="Q546" i="14"/>
  <c r="I1107" i="14"/>
  <c r="O1110" i="14"/>
  <c r="I1045" i="14"/>
  <c r="O1045" i="14" s="1"/>
  <c r="O1048" i="14"/>
  <c r="Q1010" i="14"/>
  <c r="Q888" i="14"/>
  <c r="K756" i="14"/>
  <c r="K677" i="14"/>
  <c r="O677" i="14"/>
  <c r="Q677" i="14" s="1"/>
  <c r="M596" i="14"/>
  <c r="N607" i="14"/>
  <c r="K524" i="14"/>
  <c r="L623" i="14"/>
  <c r="O624" i="14"/>
  <c r="Q624" i="14" s="1"/>
  <c r="N624" i="14"/>
  <c r="I166" i="14"/>
  <c r="O166" i="14" s="1"/>
  <c r="Q166" i="14" s="1"/>
  <c r="Q452" i="14"/>
  <c r="Q435" i="14"/>
  <c r="K853" i="14"/>
  <c r="O853" i="14"/>
  <c r="Q853" i="14" s="1"/>
  <c r="K809" i="14"/>
  <c r="O809" i="14"/>
  <c r="Q809" i="14" s="1"/>
  <c r="I806" i="14"/>
  <c r="O806" i="14" s="1"/>
  <c r="Q806" i="14" s="1"/>
  <c r="K655" i="14"/>
  <c r="O655" i="14"/>
  <c r="Q655" i="14" s="1"/>
  <c r="O199" i="14"/>
  <c r="Q199" i="14" s="1"/>
  <c r="P178" i="14"/>
  <c r="O152" i="14"/>
  <c r="Q152" i="14" s="1"/>
  <c r="Q228" i="14"/>
  <c r="Q408" i="14"/>
  <c r="I1293" i="14"/>
  <c r="O1293" i="14" s="1"/>
  <c r="O1296" i="14"/>
  <c r="Q1296" i="14" s="1"/>
  <c r="J944" i="14"/>
  <c r="P947" i="14"/>
  <c r="N897" i="14"/>
  <c r="O897" i="14"/>
  <c r="Q897" i="14" s="1"/>
  <c r="I885" i="14"/>
  <c r="L869" i="14"/>
  <c r="O870" i="14"/>
  <c r="Q870" i="14" s="1"/>
  <c r="L553" i="14"/>
  <c r="O554" i="14"/>
  <c r="M270" i="14"/>
  <c r="M264" i="14" s="1"/>
  <c r="I132" i="14"/>
  <c r="O132" i="14" s="1"/>
  <c r="L448" i="14"/>
  <c r="Q447" i="14"/>
  <c r="Q422" i="14"/>
  <c r="Q395" i="14"/>
  <c r="N1155" i="14"/>
  <c r="O1155" i="14"/>
  <c r="Q1155" i="14" s="1"/>
  <c r="K821" i="14"/>
  <c r="O821" i="14"/>
  <c r="Q821" i="14" s="1"/>
  <c r="P607" i="14"/>
  <c r="O699" i="14"/>
  <c r="Q699" i="14" s="1"/>
  <c r="K699" i="14"/>
  <c r="Q346" i="14"/>
  <c r="Q178" i="14"/>
  <c r="Q165" i="14"/>
  <c r="Q331" i="14"/>
  <c r="Q434" i="14"/>
  <c r="Q394" i="14"/>
  <c r="Q1124" i="14"/>
  <c r="K751" i="14"/>
  <c r="O751" i="14"/>
  <c r="Q751" i="14" s="1"/>
  <c r="I730" i="14"/>
  <c r="Q727" i="14"/>
  <c r="Q658" i="14"/>
  <c r="P654" i="14"/>
  <c r="J651" i="14"/>
  <c r="Q641" i="14"/>
  <c r="Q573" i="14"/>
  <c r="K858" i="14"/>
  <c r="O858" i="14"/>
  <c r="Q858" i="14" s="1"/>
  <c r="M869" i="14"/>
  <c r="N870" i="14"/>
  <c r="N539" i="14"/>
  <c r="O539" i="14"/>
  <c r="Q861" i="14"/>
  <c r="Q697" i="14"/>
  <c r="Q689" i="14"/>
  <c r="K578" i="14"/>
  <c r="O578" i="14"/>
  <c r="Q578" i="14" s="1"/>
  <c r="Q826" i="14"/>
  <c r="K635" i="14"/>
  <c r="O635" i="14"/>
  <c r="Q635" i="14" s="1"/>
  <c r="K502" i="14"/>
  <c r="O502" i="14"/>
  <c r="Q502" i="14" s="1"/>
  <c r="Q740" i="14"/>
  <c r="K743" i="14"/>
  <c r="K549" i="14"/>
  <c r="O549" i="14"/>
  <c r="Q549" i="14" s="1"/>
  <c r="Q910" i="14"/>
  <c r="Q746" i="14"/>
  <c r="I693" i="14"/>
  <c r="I690" i="14" s="1"/>
  <c r="I496" i="14"/>
  <c r="O767" i="14"/>
  <c r="Q767" i="14" s="1"/>
  <c r="O734" i="14"/>
  <c r="Q734" i="14" s="1"/>
  <c r="O709" i="14"/>
  <c r="Q709" i="14" s="1"/>
  <c r="O696" i="14"/>
  <c r="Q696" i="14" s="1"/>
  <c r="O683" i="14"/>
  <c r="Q683" i="14" s="1"/>
  <c r="O664" i="14"/>
  <c r="Q664" i="14" s="1"/>
  <c r="O616" i="14"/>
  <c r="Q616" i="14" s="1"/>
  <c r="O600" i="14"/>
  <c r="Q600" i="14" s="1"/>
  <c r="O591" i="14"/>
  <c r="Q591" i="14" s="1"/>
  <c r="P143" i="14"/>
  <c r="Q143" i="14" s="1"/>
  <c r="N143" i="14"/>
  <c r="P128" i="14"/>
  <c r="M124" i="14"/>
  <c r="P124" i="14" s="1"/>
  <c r="M367" i="14"/>
  <c r="O193" i="14"/>
  <c r="P122" i="14"/>
  <c r="Q122" i="14" s="1"/>
  <c r="M121" i="14"/>
  <c r="L117" i="14"/>
  <c r="O121" i="14"/>
  <c r="P410" i="14"/>
  <c r="M409" i="14"/>
  <c r="I240" i="14"/>
  <c r="K240" i="14" s="1"/>
  <c r="K243" i="14"/>
  <c r="O243" i="14"/>
  <c r="O328" i="14"/>
  <c r="I325" i="14"/>
  <c r="I314" i="14" s="1"/>
  <c r="P176" i="14"/>
  <c r="M175" i="14"/>
  <c r="Q283" i="14"/>
  <c r="Q345" i="14"/>
  <c r="Q200" i="14"/>
  <c r="O407" i="14"/>
  <c r="I405" i="14"/>
  <c r="L149" i="14"/>
  <c r="O149" i="14" s="1"/>
  <c r="Q149" i="14" s="1"/>
  <c r="Q303" i="14"/>
  <c r="O182" i="14"/>
  <c r="Q182" i="14" s="1"/>
  <c r="K182" i="14"/>
  <c r="O382" i="14"/>
  <c r="Q382" i="14" s="1"/>
  <c r="L380" i="14"/>
  <c r="L128" i="14"/>
  <c r="N129" i="14"/>
  <c r="O129" i="14"/>
  <c r="J186" i="14"/>
  <c r="K186" i="14" s="1"/>
  <c r="P187" i="14"/>
  <c r="N456" i="14"/>
  <c r="O456" i="14"/>
  <c r="Q456" i="14" s="1"/>
  <c r="L249" i="14"/>
  <c r="O249" i="14" s="1"/>
  <c r="N250" i="14"/>
  <c r="O250" i="14"/>
  <c r="P249" i="14"/>
  <c r="O176" i="14"/>
  <c r="O157" i="14"/>
  <c r="Q157" i="14" s="1"/>
  <c r="K90" i="14"/>
  <c r="P90" i="14"/>
  <c r="Q90" i="14" s="1"/>
  <c r="N176" i="14"/>
  <c r="Q131" i="14"/>
  <c r="Q407" i="14"/>
  <c r="Q350" i="14"/>
  <c r="K199" i="14"/>
  <c r="O313" i="14"/>
  <c r="Q313" i="14" s="1"/>
  <c r="O151" i="14"/>
  <c r="Q151" i="14" s="1"/>
  <c r="Q276" i="14"/>
  <c r="Q246" i="14"/>
  <c r="P223" i="14"/>
  <c r="N313" i="14"/>
  <c r="K386" i="14"/>
  <c r="Q332" i="14"/>
  <c r="Q277" i="14"/>
  <c r="P198" i="14"/>
  <c r="Q198" i="14" s="1"/>
  <c r="Q319" i="14"/>
  <c r="P376" i="14"/>
  <c r="Q376" i="14" s="1"/>
  <c r="K97" i="14"/>
  <c r="N194" i="14"/>
  <c r="O174" i="14"/>
  <c r="Q174" i="14" s="1"/>
  <c r="Q159" i="14"/>
  <c r="Q150" i="14"/>
  <c r="P133" i="14"/>
  <c r="Q133" i="14" s="1"/>
  <c r="P250" i="14"/>
  <c r="O461" i="14"/>
  <c r="Q461" i="14" s="1"/>
  <c r="N316" i="14"/>
  <c r="K223" i="14"/>
  <c r="N312" i="14"/>
  <c r="I87" i="14"/>
  <c r="J163" i="14"/>
  <c r="P402" i="14"/>
  <c r="Q402" i="14" s="1"/>
  <c r="J96" i="14"/>
  <c r="P96" i="14" s="1"/>
  <c r="K184" i="14"/>
  <c r="M142" i="14"/>
  <c r="M136" i="14" s="1"/>
  <c r="K216" i="14"/>
  <c r="Q305" i="14"/>
  <c r="Q130" i="14"/>
  <c r="Q92" i="14"/>
  <c r="I96" i="14"/>
  <c r="O96" i="14" s="1"/>
  <c r="I213" i="14"/>
  <c r="O213" i="14" s="1"/>
  <c r="Q202" i="14"/>
  <c r="Q177" i="14"/>
  <c r="Q215" i="14"/>
  <c r="N310" i="14"/>
  <c r="O372" i="14"/>
  <c r="Q372" i="14" s="1"/>
  <c r="K99" i="14"/>
  <c r="Q247" i="14"/>
  <c r="Q274" i="14"/>
  <c r="Q256" i="14"/>
  <c r="Q352" i="14"/>
  <c r="N340" i="14"/>
  <c r="Q310" i="14"/>
  <c r="J87" i="14"/>
  <c r="P87" i="14" s="1"/>
  <c r="J117" i="14"/>
  <c r="J314" i="14"/>
  <c r="P325" i="14"/>
  <c r="I295" i="14"/>
  <c r="M307" i="14"/>
  <c r="L307" i="14"/>
  <c r="M315" i="14"/>
  <c r="P312" i="14"/>
  <c r="Q312" i="14" s="1"/>
  <c r="O298" i="14"/>
  <c r="Q298" i="14" s="1"/>
  <c r="M339" i="14"/>
  <c r="L315" i="14"/>
  <c r="L339" i="14"/>
  <c r="P328" i="14"/>
  <c r="J348" i="14"/>
  <c r="P354" i="14"/>
  <c r="Q354" i="14" s="1"/>
  <c r="P340" i="14"/>
  <c r="Q340" i="14" s="1"/>
  <c r="O316" i="14"/>
  <c r="Q316" i="14" s="1"/>
  <c r="I253" i="14"/>
  <c r="O253" i="14" s="1"/>
  <c r="O254" i="14"/>
  <c r="J239" i="14"/>
  <c r="P271" i="14"/>
  <c r="O223" i="14"/>
  <c r="I220" i="14"/>
  <c r="P216" i="14"/>
  <c r="J213" i="14"/>
  <c r="O271" i="14"/>
  <c r="P257" i="14"/>
  <c r="O216" i="14"/>
  <c r="O257" i="14"/>
  <c r="P243" i="14"/>
  <c r="M240" i="14"/>
  <c r="P240" i="14" s="1"/>
  <c r="J110" i="14"/>
  <c r="O184" i="14"/>
  <c r="Q184" i="14" s="1"/>
  <c r="P161" i="14"/>
  <c r="Q161" i="14" s="1"/>
  <c r="P118" i="14"/>
  <c r="J181" i="14"/>
  <c r="I181" i="14"/>
  <c r="O181" i="14" s="1"/>
  <c r="P115" i="14"/>
  <c r="Q115" i="14" s="1"/>
  <c r="I110" i="14"/>
  <c r="P132" i="14"/>
  <c r="N145" i="14"/>
  <c r="O145" i="14"/>
  <c r="Q145" i="14" s="1"/>
  <c r="O99" i="14"/>
  <c r="Q99" i="14" s="1"/>
  <c r="Q947" i="14" l="1"/>
  <c r="P137" i="14"/>
  <c r="Q137" i="14" s="1"/>
  <c r="L1152" i="14"/>
  <c r="O1152" i="14" s="1"/>
  <c r="N1214" i="14"/>
  <c r="K1015" i="14"/>
  <c r="Q1000" i="14"/>
  <c r="L1608" i="14"/>
  <c r="Q1027" i="14"/>
  <c r="Q956" i="14"/>
  <c r="M1399" i="14"/>
  <c r="O1603" i="14"/>
  <c r="P918" i="14"/>
  <c r="O1671" i="14"/>
  <c r="K1671" i="14"/>
  <c r="K1690" i="14"/>
  <c r="O1214" i="14"/>
  <c r="Q1214" i="14" s="1"/>
  <c r="P399" i="14"/>
  <c r="L792" i="14"/>
  <c r="K1634" i="14"/>
  <c r="K166" i="14"/>
  <c r="O1366" i="14"/>
  <c r="Q1146" i="14"/>
  <c r="I163" i="14"/>
  <c r="K163" i="14" s="1"/>
  <c r="Q1279" i="14"/>
  <c r="Q1634" i="14"/>
  <c r="Q1537" i="14"/>
  <c r="O1146" i="14"/>
  <c r="Q1770" i="14"/>
  <c r="P1534" i="14"/>
  <c r="Q1534" i="14" s="1"/>
  <c r="I1645" i="14"/>
  <c r="I1644" i="14" s="1"/>
  <c r="O1644" i="14" s="1"/>
  <c r="I1143" i="14"/>
  <c r="K1143" i="14" s="1"/>
  <c r="Q1823" i="14"/>
  <c r="Q790" i="14"/>
  <c r="Q1110" i="14"/>
  <c r="O894" i="14"/>
  <c r="K1497" i="14"/>
  <c r="N1611" i="14"/>
  <c r="K1267" i="14"/>
  <c r="I596" i="14"/>
  <c r="K596" i="14" s="1"/>
  <c r="Q991" i="14"/>
  <c r="O1707" i="14"/>
  <c r="Q1869" i="14"/>
  <c r="Q679" i="14"/>
  <c r="Q1161" i="14"/>
  <c r="K114" i="14"/>
  <c r="J366" i="14"/>
  <c r="Q1588" i="14"/>
  <c r="Q1048" i="14"/>
  <c r="J1338" i="14"/>
  <c r="K1668" i="14"/>
  <c r="L1423" i="14"/>
  <c r="N1423" i="14" s="1"/>
  <c r="O175" i="14"/>
  <c r="I651" i="14"/>
  <c r="O651" i="14" s="1"/>
  <c r="Q1737" i="14"/>
  <c r="N193" i="14"/>
  <c r="P413" i="14"/>
  <c r="M1602" i="14"/>
  <c r="Q1746" i="14"/>
  <c r="P1015" i="14"/>
  <c r="K1197" i="14"/>
  <c r="N1153" i="14"/>
  <c r="Q342" i="14"/>
  <c r="J1855" i="14"/>
  <c r="J1854" i="14" s="1"/>
  <c r="K1648" i="14"/>
  <c r="M1311" i="14"/>
  <c r="N1311" i="14" s="1"/>
  <c r="P1331" i="14"/>
  <c r="Q1331" i="14" s="1"/>
  <c r="O1158" i="14"/>
  <c r="Q187" i="14"/>
  <c r="Q654" i="14"/>
  <c r="Q250" i="14"/>
  <c r="K806" i="14"/>
  <c r="I367" i="14"/>
  <c r="K367" i="14" s="1"/>
  <c r="Q1530" i="14"/>
  <c r="K628" i="14"/>
  <c r="O370" i="14"/>
  <c r="Q370" i="14" s="1"/>
  <c r="J1428" i="14"/>
  <c r="J1422" i="14" s="1"/>
  <c r="K1638" i="14"/>
  <c r="N1588" i="14"/>
  <c r="K1707" i="14"/>
  <c r="N1530" i="14"/>
  <c r="O1715" i="14"/>
  <c r="Q1715" i="14" s="1"/>
  <c r="Q223" i="14"/>
  <c r="O628" i="14"/>
  <c r="Q628" i="14" s="1"/>
  <c r="Q1648" i="14"/>
  <c r="K1715" i="14"/>
  <c r="L1390" i="14"/>
  <c r="O1390" i="14" s="1"/>
  <c r="I1803" i="14"/>
  <c r="O391" i="14"/>
  <c r="P662" i="14"/>
  <c r="M1390" i="14"/>
  <c r="N1403" i="14"/>
  <c r="Q1420" i="14"/>
  <c r="M819" i="14"/>
  <c r="P819" i="14" s="1"/>
  <c r="K342" i="14"/>
  <c r="K391" i="14"/>
  <c r="K1645" i="14"/>
  <c r="N673" i="14"/>
  <c r="P1365" i="14"/>
  <c r="L1525" i="14"/>
  <c r="K679" i="14"/>
  <c r="K1191" i="14"/>
  <c r="O1638" i="14"/>
  <c r="Q1638" i="14" s="1"/>
  <c r="P673" i="14"/>
  <c r="Q673" i="14" s="1"/>
  <c r="Q539" i="14"/>
  <c r="Q1267" i="14"/>
  <c r="P1431" i="14"/>
  <c r="Q1431" i="14" s="1"/>
  <c r="Q1826" i="14"/>
  <c r="L582" i="14"/>
  <c r="O593" i="14"/>
  <c r="O571" i="14"/>
  <c r="Q571" i="14" s="1"/>
  <c r="K571" i="14"/>
  <c r="Q1671" i="14"/>
  <c r="I1547" i="14"/>
  <c r="O1547" i="14" s="1"/>
  <c r="Q1547" i="14" s="1"/>
  <c r="O1548" i="14"/>
  <c r="Q1548" i="14" s="1"/>
  <c r="Q1026" i="14"/>
  <c r="N1608" i="14"/>
  <c r="K1637" i="14"/>
  <c r="K1409" i="14"/>
  <c r="P1409" i="14"/>
  <c r="Q1409" i="14" s="1"/>
  <c r="O560" i="14"/>
  <c r="Q560" i="14" s="1"/>
  <c r="I557" i="14"/>
  <c r="K560" i="14"/>
  <c r="I932" i="14"/>
  <c r="O932" i="14" s="1"/>
  <c r="Q932" i="14" s="1"/>
  <c r="O585" i="14"/>
  <c r="Q585" i="14" s="1"/>
  <c r="K585" i="14"/>
  <c r="Q1690" i="14"/>
  <c r="K1475" i="14"/>
  <c r="O1475" i="14"/>
  <c r="Q1475" i="14" s="1"/>
  <c r="M1438" i="14"/>
  <c r="P1438" i="14" s="1"/>
  <c r="P1439" i="14"/>
  <c r="I278" i="14"/>
  <c r="K1631" i="14"/>
  <c r="P1631" i="14"/>
  <c r="Q1631" i="14" s="1"/>
  <c r="I1472" i="14"/>
  <c r="L921" i="14"/>
  <c r="N921" i="14" s="1"/>
  <c r="N1015" i="14"/>
  <c r="J1739" i="14"/>
  <c r="P1739" i="14" s="1"/>
  <c r="P1740" i="14"/>
  <c r="K1775" i="14"/>
  <c r="I1614" i="14"/>
  <c r="K1615" i="14"/>
  <c r="O1615" i="14"/>
  <c r="Q1615" i="14" s="1"/>
  <c r="P1685" i="14"/>
  <c r="Q1685" i="14" s="1"/>
  <c r="K1685" i="14"/>
  <c r="M1056" i="14"/>
  <c r="N1065" i="14"/>
  <c r="P1065" i="14"/>
  <c r="Q1065" i="14" s="1"/>
  <c r="K935" i="14"/>
  <c r="K1778" i="14"/>
  <c r="Q1591" i="14"/>
  <c r="L1402" i="14"/>
  <c r="O1406" i="14"/>
  <c r="Q1406" i="14" s="1"/>
  <c r="M582" i="14"/>
  <c r="N593" i="14"/>
  <c r="P593" i="14"/>
  <c r="I1512" i="14"/>
  <c r="O1512" i="14" s="1"/>
  <c r="O1513" i="14"/>
  <c r="K753" i="14"/>
  <c r="O753" i="14"/>
  <c r="Q753" i="14" s="1"/>
  <c r="I742" i="14"/>
  <c r="K742" i="14" s="1"/>
  <c r="Q1089" i="14"/>
  <c r="L264" i="14"/>
  <c r="N264" i="14" s="1"/>
  <c r="Q410" i="14"/>
  <c r="K1341" i="14"/>
  <c r="O1577" i="14"/>
  <c r="J1577" i="14"/>
  <c r="K1580" i="14"/>
  <c r="P1580" i="14"/>
  <c r="Q1580" i="14" s="1"/>
  <c r="O739" i="14"/>
  <c r="L717" i="14"/>
  <c r="P739" i="14"/>
  <c r="Q739" i="14" s="1"/>
  <c r="N739" i="14"/>
  <c r="K953" i="14"/>
  <c r="P953" i="14"/>
  <c r="Q953" i="14" s="1"/>
  <c r="I640" i="14"/>
  <c r="O640" i="14" s="1"/>
  <c r="K643" i="14"/>
  <c r="I582" i="14"/>
  <c r="Q569" i="14"/>
  <c r="K279" i="14"/>
  <c r="Q1096" i="14"/>
  <c r="Q1395" i="14"/>
  <c r="J1602" i="14"/>
  <c r="P1602" i="14" s="1"/>
  <c r="K1603" i="14"/>
  <c r="P1603" i="14"/>
  <c r="Q1603" i="14" s="1"/>
  <c r="Q1555" i="14"/>
  <c r="O1137" i="14"/>
  <c r="Q1137" i="14" s="1"/>
  <c r="I1134" i="14"/>
  <c r="O1722" i="14"/>
  <c r="Q1722" i="14" s="1"/>
  <c r="L1712" i="14"/>
  <c r="Q935" i="14"/>
  <c r="K1781" i="14"/>
  <c r="J1044" i="14"/>
  <c r="L505" i="14"/>
  <c r="N506" i="14"/>
  <c r="O506" i="14"/>
  <c r="Q506" i="14" s="1"/>
  <c r="Q1609" i="14"/>
  <c r="N399" i="14"/>
  <c r="Q1387" i="14"/>
  <c r="K1548" i="14"/>
  <c r="M542" i="14"/>
  <c r="P542" i="14" s="1"/>
  <c r="Q1274" i="14"/>
  <c r="Q1366" i="14"/>
  <c r="Q1545" i="14"/>
  <c r="K859" i="14"/>
  <c r="Q391" i="14"/>
  <c r="Q919" i="14"/>
  <c r="L1385" i="14"/>
  <c r="L1382" i="14" s="1"/>
  <c r="K1591" i="14"/>
  <c r="J1399" i="14"/>
  <c r="K1399" i="14" s="1"/>
  <c r="O607" i="14"/>
  <c r="Q607" i="14" s="1"/>
  <c r="L596" i="14"/>
  <c r="O596" i="14" s="1"/>
  <c r="P1790" i="14"/>
  <c r="O1781" i="14"/>
  <c r="Q1781" i="14" s="1"/>
  <c r="I1311" i="14"/>
  <c r="O1311" i="14" s="1"/>
  <c r="O1316" i="14"/>
  <c r="Q1316" i="14" s="1"/>
  <c r="J508" i="14"/>
  <c r="L1439" i="14"/>
  <c r="N1439" i="14" s="1"/>
  <c r="I1576" i="14"/>
  <c r="N1722" i="14"/>
  <c r="O1059" i="14"/>
  <c r="Q1059" i="14" s="1"/>
  <c r="O1259" i="14"/>
  <c r="Q1259" i="14" s="1"/>
  <c r="O1191" i="14"/>
  <c r="Q1191" i="14" s="1"/>
  <c r="K388" i="14"/>
  <c r="K1534" i="14"/>
  <c r="J1617" i="14"/>
  <c r="K1617" i="14" s="1"/>
  <c r="I1689" i="14"/>
  <c r="O1689" i="14" s="1"/>
  <c r="Q1689" i="14" s="1"/>
  <c r="M1517" i="14"/>
  <c r="P1517" i="14" s="1"/>
  <c r="N1525" i="14"/>
  <c r="O1287" i="14"/>
  <c r="Q1287" i="14" s="1"/>
  <c r="K1287" i="14"/>
  <c r="O1745" i="14"/>
  <c r="Q1745" i="14" s="1"/>
  <c r="I1744" i="14"/>
  <c r="M792" i="14"/>
  <c r="P792" i="14" s="1"/>
  <c r="N816" i="14"/>
  <c r="P816" i="14"/>
  <c r="Q816" i="14" s="1"/>
  <c r="N553" i="14"/>
  <c r="M717" i="14"/>
  <c r="M1711" i="14"/>
  <c r="K1745" i="14"/>
  <c r="O1015" i="14"/>
  <c r="K1316" i="14"/>
  <c r="P1833" i="14"/>
  <c r="Q1833" i="14" s="1"/>
  <c r="J1832" i="14"/>
  <c r="P1832" i="14" s="1"/>
  <c r="J1822" i="14"/>
  <c r="K1823" i="14"/>
  <c r="M1617" i="14"/>
  <c r="N1617" i="14" s="1"/>
  <c r="P1624" i="14"/>
  <c r="Q1624" i="14" s="1"/>
  <c r="P1197" i="14"/>
  <c r="Q1197" i="14" s="1"/>
  <c r="P766" i="14"/>
  <c r="M742" i="14"/>
  <c r="P742" i="14" s="1"/>
  <c r="Q554" i="14"/>
  <c r="L1854" i="14"/>
  <c r="O1854" i="14" s="1"/>
  <c r="O1855" i="14"/>
  <c r="N1856" i="14"/>
  <c r="P1856" i="14"/>
  <c r="Q1856" i="14" s="1"/>
  <c r="M1854" i="14"/>
  <c r="N1855" i="14"/>
  <c r="Q1862" i="14"/>
  <c r="P1800" i="14"/>
  <c r="L1778" i="14"/>
  <c r="O1790" i="14"/>
  <c r="K1754" i="14"/>
  <c r="J1753" i="14"/>
  <c r="O1740" i="14"/>
  <c r="K1740" i="14"/>
  <c r="I1739" i="14"/>
  <c r="O1677" i="14"/>
  <c r="L1668" i="14"/>
  <c r="K1814" i="14"/>
  <c r="P1814" i="14"/>
  <c r="Q1814" i="14" s="1"/>
  <c r="K1817" i="14"/>
  <c r="P1817" i="14"/>
  <c r="Q1817" i="14" s="1"/>
  <c r="K1667" i="14"/>
  <c r="J1666" i="14"/>
  <c r="O1754" i="14"/>
  <c r="L1753" i="14"/>
  <c r="N1677" i="14"/>
  <c r="P1677" i="14"/>
  <c r="M1668" i="14"/>
  <c r="O1832" i="14"/>
  <c r="Q1707" i="14"/>
  <c r="O1726" i="14"/>
  <c r="L1725" i="14"/>
  <c r="O1725" i="14" s="1"/>
  <c r="Q1742" i="14"/>
  <c r="P1726" i="14"/>
  <c r="Q1726" i="14" s="1"/>
  <c r="N1726" i="14"/>
  <c r="M1725" i="14"/>
  <c r="Q1766" i="14"/>
  <c r="P1706" i="14"/>
  <c r="Q1706" i="14" s="1"/>
  <c r="K1706" i="14"/>
  <c r="Q1736" i="14"/>
  <c r="N1754" i="14"/>
  <c r="P1754" i="14"/>
  <c r="M1753" i="14"/>
  <c r="J1711" i="14"/>
  <c r="K1712" i="14"/>
  <c r="N1790" i="14"/>
  <c r="P1778" i="14"/>
  <c r="M1775" i="14"/>
  <c r="N1778" i="14"/>
  <c r="O1576" i="14"/>
  <c r="I1566" i="14"/>
  <c r="N1577" i="14"/>
  <c r="M1576" i="14"/>
  <c r="O1617" i="14"/>
  <c r="N1569" i="14"/>
  <c r="O1569" i="14"/>
  <c r="Q1569" i="14" s="1"/>
  <c r="P1644" i="14"/>
  <c r="K1513" i="14"/>
  <c r="J1512" i="14"/>
  <c r="J1495" i="14" s="1"/>
  <c r="P1513" i="14"/>
  <c r="O1496" i="14"/>
  <c r="Q1544" i="14"/>
  <c r="K1496" i="14"/>
  <c r="P1496" i="14"/>
  <c r="N1534" i="14"/>
  <c r="K1365" i="14"/>
  <c r="O1365" i="14"/>
  <c r="P1390" i="14"/>
  <c r="K1390" i="14"/>
  <c r="Q1400" i="14"/>
  <c r="Q1362" i="14"/>
  <c r="I1381" i="14"/>
  <c r="M1382" i="14"/>
  <c r="P1385" i="14"/>
  <c r="O1362" i="14"/>
  <c r="K1362" i="14"/>
  <c r="Q1386" i="14"/>
  <c r="K542" i="14"/>
  <c r="O662" i="14"/>
  <c r="Q662" i="14" s="1"/>
  <c r="K662" i="14"/>
  <c r="J492" i="14"/>
  <c r="L676" i="14"/>
  <c r="O687" i="14"/>
  <c r="K531" i="14"/>
  <c r="O531" i="14"/>
  <c r="Q531" i="14" s="1"/>
  <c r="M1254" i="14"/>
  <c r="P1254" i="14" s="1"/>
  <c r="N1273" i="14"/>
  <c r="P1273" i="14"/>
  <c r="K1254" i="14"/>
  <c r="K325" i="14"/>
  <c r="K509" i="14"/>
  <c r="O509" i="14"/>
  <c r="Q509" i="14" s="1"/>
  <c r="N637" i="14"/>
  <c r="O637" i="14"/>
  <c r="Q637" i="14" s="1"/>
  <c r="L636" i="14"/>
  <c r="N1095" i="14"/>
  <c r="M1086" i="14"/>
  <c r="P1095" i="14"/>
  <c r="K690" i="14"/>
  <c r="O690" i="14"/>
  <c r="Q690" i="14" s="1"/>
  <c r="O918" i="14"/>
  <c r="Q918" i="14" s="1"/>
  <c r="L899" i="14"/>
  <c r="N899" i="14" s="1"/>
  <c r="I528" i="14"/>
  <c r="K849" i="14"/>
  <c r="O849" i="14"/>
  <c r="Q849" i="14" s="1"/>
  <c r="O525" i="14"/>
  <c r="L514" i="14"/>
  <c r="N514" i="14" s="1"/>
  <c r="O125" i="14"/>
  <c r="Q125" i="14" s="1"/>
  <c r="O545" i="14"/>
  <c r="Q545" i="14" s="1"/>
  <c r="K545" i="14"/>
  <c r="P114" i="14"/>
  <c r="Q114" i="14" s="1"/>
  <c r="P1170" i="14"/>
  <c r="O399" i="14"/>
  <c r="P961" i="14"/>
  <c r="Q961" i="14" s="1"/>
  <c r="K961" i="14"/>
  <c r="K1158" i="14"/>
  <c r="K875" i="14"/>
  <c r="O875" i="14"/>
  <c r="Q875" i="14" s="1"/>
  <c r="P142" i="14"/>
  <c r="K87" i="14"/>
  <c r="M186" i="14"/>
  <c r="P186" i="14" s="1"/>
  <c r="Q186" i="14" s="1"/>
  <c r="L841" i="14"/>
  <c r="N842" i="14"/>
  <c r="O842" i="14"/>
  <c r="Q842" i="14" s="1"/>
  <c r="P193" i="14"/>
  <c r="Q193" i="14" s="1"/>
  <c r="Q769" i="14"/>
  <c r="K1080" i="14"/>
  <c r="O1080" i="14"/>
  <c r="Q1080" i="14" s="1"/>
  <c r="I1077" i="14"/>
  <c r="K1125" i="14"/>
  <c r="O1125" i="14"/>
  <c r="Q1125" i="14" s="1"/>
  <c r="O1232" i="14"/>
  <c r="L1217" i="14"/>
  <c r="Q643" i="14"/>
  <c r="N149" i="14"/>
  <c r="L413" i="14"/>
  <c r="O448" i="14"/>
  <c r="Q448" i="14" s="1"/>
  <c r="N448" i="14"/>
  <c r="P1338" i="14"/>
  <c r="Q1338" i="14" s="1"/>
  <c r="K1338" i="14"/>
  <c r="P514" i="14"/>
  <c r="I239" i="14"/>
  <c r="Q96" i="14"/>
  <c r="P651" i="14"/>
  <c r="P894" i="14"/>
  <c r="M872" i="14"/>
  <c r="N894" i="14"/>
  <c r="Q344" i="14"/>
  <c r="I1179" i="14"/>
  <c r="O1179" i="14" s="1"/>
  <c r="K1182" i="14"/>
  <c r="O1182" i="14"/>
  <c r="Q1182" i="14" s="1"/>
  <c r="I1350" i="14"/>
  <c r="K1351" i="14"/>
  <c r="O1351" i="14"/>
  <c r="Q1351" i="14" s="1"/>
  <c r="I86" i="14"/>
  <c r="O86" i="14" s="1"/>
  <c r="O730" i="14"/>
  <c r="Q730" i="14" s="1"/>
  <c r="K730" i="14"/>
  <c r="K769" i="14"/>
  <c r="K1179" i="14"/>
  <c r="P1179" i="14"/>
  <c r="K1188" i="14"/>
  <c r="P1188" i="14"/>
  <c r="Q1188" i="14" s="1"/>
  <c r="K385" i="14"/>
  <c r="K693" i="14"/>
  <c r="O693" i="14"/>
  <c r="Q693" i="14" s="1"/>
  <c r="Q1153" i="14"/>
  <c r="P640" i="14"/>
  <c r="P1152" i="14"/>
  <c r="M1143" i="14"/>
  <c r="O720" i="14"/>
  <c r="Q720" i="14" s="1"/>
  <c r="I717" i="14"/>
  <c r="K717" i="14" s="1"/>
  <c r="K1304" i="14"/>
  <c r="P1304" i="14"/>
  <c r="Q1304" i="14" s="1"/>
  <c r="J1293" i="14"/>
  <c r="K970" i="14"/>
  <c r="P970" i="14"/>
  <c r="Q970" i="14" s="1"/>
  <c r="Q129" i="14"/>
  <c r="K1107" i="14"/>
  <c r="O1107" i="14"/>
  <c r="Q1107" i="14" s="1"/>
  <c r="N687" i="14"/>
  <c r="M676" i="14"/>
  <c r="P676" i="14" s="1"/>
  <c r="P687" i="14"/>
  <c r="O1056" i="14"/>
  <c r="N763" i="14"/>
  <c r="O763" i="14"/>
  <c r="Q763" i="14" s="1"/>
  <c r="L762" i="14"/>
  <c r="I611" i="14"/>
  <c r="K614" i="14"/>
  <c r="O614" i="14"/>
  <c r="Q614" i="14" s="1"/>
  <c r="O1226" i="14"/>
  <c r="Q1226" i="14" s="1"/>
  <c r="K1226" i="14"/>
  <c r="I1217" i="14"/>
  <c r="N623" i="14"/>
  <c r="O623" i="14"/>
  <c r="Q623" i="14" s="1"/>
  <c r="L622" i="14"/>
  <c r="K125" i="14"/>
  <c r="P596" i="14"/>
  <c r="J712" i="14"/>
  <c r="I766" i="14"/>
  <c r="O885" i="14"/>
  <c r="Q885" i="14" s="1"/>
  <c r="K885" i="14"/>
  <c r="I872" i="14"/>
  <c r="J921" i="14"/>
  <c r="K1276" i="14"/>
  <c r="P1276" i="14"/>
  <c r="Q1276" i="14" s="1"/>
  <c r="P270" i="14"/>
  <c r="Q270" i="14" s="1"/>
  <c r="K1006" i="14"/>
  <c r="P1006" i="14"/>
  <c r="Q1006" i="14" s="1"/>
  <c r="N270" i="14"/>
  <c r="I676" i="14"/>
  <c r="K676" i="14" s="1"/>
  <c r="N918" i="14"/>
  <c r="K1045" i="14"/>
  <c r="P1045" i="14"/>
  <c r="Q1045" i="14" s="1"/>
  <c r="K1086" i="14"/>
  <c r="K899" i="14"/>
  <c r="Q525" i="14"/>
  <c r="O1101" i="14"/>
  <c r="Q1101" i="14" s="1"/>
  <c r="I1098" i="14"/>
  <c r="O1098" i="14" s="1"/>
  <c r="K1101" i="14"/>
  <c r="P611" i="14"/>
  <c r="P1098" i="14"/>
  <c r="N249" i="14"/>
  <c r="K254" i="14"/>
  <c r="Q249" i="14"/>
  <c r="K1056" i="14"/>
  <c r="O704" i="14"/>
  <c r="Q704" i="14" s="1"/>
  <c r="I701" i="14"/>
  <c r="K704" i="14"/>
  <c r="M1158" i="14"/>
  <c r="P1158" i="14" s="1"/>
  <c r="N1167" i="14"/>
  <c r="P1167" i="14"/>
  <c r="Q1167" i="14" s="1"/>
  <c r="K1173" i="14"/>
  <c r="O1173" i="14"/>
  <c r="Q1173" i="14" s="1"/>
  <c r="I1170" i="14"/>
  <c r="O1170" i="14" s="1"/>
  <c r="Q279" i="14"/>
  <c r="I1345" i="14"/>
  <c r="O1346" i="14"/>
  <c r="I514" i="14"/>
  <c r="O517" i="14"/>
  <c r="Q517" i="14" s="1"/>
  <c r="O409" i="14"/>
  <c r="L404" i="14"/>
  <c r="K979" i="14"/>
  <c r="P979" i="14"/>
  <c r="Q979" i="14" s="1"/>
  <c r="K1346" i="14"/>
  <c r="P1346" i="14"/>
  <c r="J1345" i="14"/>
  <c r="J1334" i="14" s="1"/>
  <c r="N1232" i="14"/>
  <c r="M1217" i="14"/>
  <c r="P1232" i="14"/>
  <c r="O1071" i="14"/>
  <c r="Q1071" i="14" s="1"/>
  <c r="I1068" i="14"/>
  <c r="L542" i="14"/>
  <c r="O542" i="14" s="1"/>
  <c r="O553" i="14"/>
  <c r="Q553" i="14" s="1"/>
  <c r="I819" i="14"/>
  <c r="K822" i="14"/>
  <c r="O822" i="14"/>
  <c r="Q822" i="14" s="1"/>
  <c r="K1237" i="14"/>
  <c r="P1237" i="14"/>
  <c r="Q1237" i="14" s="1"/>
  <c r="L846" i="14"/>
  <c r="O869" i="14"/>
  <c r="L388" i="14"/>
  <c r="N388" i="14" s="1"/>
  <c r="P568" i="14"/>
  <c r="Q568" i="14" s="1"/>
  <c r="N568" i="14"/>
  <c r="M557" i="14"/>
  <c r="O665" i="14"/>
  <c r="Q665" i="14" s="1"/>
  <c r="K665" i="14"/>
  <c r="O118" i="14"/>
  <c r="Q118" i="14" s="1"/>
  <c r="I117" i="14"/>
  <c r="I113" i="14" s="1"/>
  <c r="I109" i="14" s="1"/>
  <c r="O779" i="14"/>
  <c r="Q779" i="14" s="1"/>
  <c r="K779" i="14"/>
  <c r="J86" i="14"/>
  <c r="K118" i="14"/>
  <c r="K496" i="14"/>
  <c r="O496" i="14"/>
  <c r="Q496" i="14" s="1"/>
  <c r="K944" i="14"/>
  <c r="P944" i="14"/>
  <c r="Q944" i="14" s="1"/>
  <c r="L557" i="14"/>
  <c r="O568" i="14"/>
  <c r="N525" i="14"/>
  <c r="L1254" i="14"/>
  <c r="O1254" i="14" s="1"/>
  <c r="O1273" i="14"/>
  <c r="I792" i="14"/>
  <c r="I846" i="14"/>
  <c r="I493" i="14"/>
  <c r="L1086" i="14"/>
  <c r="O1086" i="14" s="1"/>
  <c r="O1095" i="14"/>
  <c r="Q132" i="14"/>
  <c r="K132" i="14"/>
  <c r="P254" i="14"/>
  <c r="Q254" i="14" s="1"/>
  <c r="M846" i="14"/>
  <c r="N869" i="14"/>
  <c r="P869" i="14"/>
  <c r="K574" i="14"/>
  <c r="O574" i="14"/>
  <c r="Q574" i="14" s="1"/>
  <c r="P1311" i="14"/>
  <c r="Q1255" i="14"/>
  <c r="Q328" i="14"/>
  <c r="M404" i="14"/>
  <c r="P409" i="14"/>
  <c r="Q409" i="14" s="1"/>
  <c r="N409" i="14"/>
  <c r="M117" i="14"/>
  <c r="N121" i="14"/>
  <c r="O128" i="14"/>
  <c r="Q128" i="14" s="1"/>
  <c r="L124" i="14"/>
  <c r="L113" i="14" s="1"/>
  <c r="P367" i="14"/>
  <c r="K405" i="14"/>
  <c r="O405" i="14"/>
  <c r="Q405" i="14" s="1"/>
  <c r="I404" i="14"/>
  <c r="I384" i="14" s="1"/>
  <c r="L240" i="14"/>
  <c r="L239" i="14" s="1"/>
  <c r="K96" i="14"/>
  <c r="L142" i="14"/>
  <c r="J113" i="14"/>
  <c r="K113" i="14" s="1"/>
  <c r="M385" i="14"/>
  <c r="P388" i="14"/>
  <c r="M163" i="14"/>
  <c r="P175" i="14"/>
  <c r="N175" i="14"/>
  <c r="Q176" i="14"/>
  <c r="L385" i="14"/>
  <c r="O325" i="14"/>
  <c r="Q325" i="14" s="1"/>
  <c r="N380" i="14"/>
  <c r="O380" i="14"/>
  <c r="Q380" i="14" s="1"/>
  <c r="L375" i="14"/>
  <c r="P121" i="14"/>
  <c r="Q121" i="14" s="1"/>
  <c r="N128" i="14"/>
  <c r="O87" i="14"/>
  <c r="Q87" i="14" s="1"/>
  <c r="Q243" i="14"/>
  <c r="L335" i="14"/>
  <c r="O335" i="14" s="1"/>
  <c r="O339" i="14"/>
  <c r="L314" i="14"/>
  <c r="O314" i="14" s="1"/>
  <c r="O315" i="14"/>
  <c r="N339" i="14"/>
  <c r="P339" i="14"/>
  <c r="Q339" i="14" s="1"/>
  <c r="M335" i="14"/>
  <c r="M314" i="14"/>
  <c r="P314" i="14" s="1"/>
  <c r="N315" i="14"/>
  <c r="P315" i="14"/>
  <c r="O307" i="14"/>
  <c r="L295" i="14"/>
  <c r="O295" i="14" s="1"/>
  <c r="N307" i="14"/>
  <c r="P307" i="14"/>
  <c r="M295" i="14"/>
  <c r="I294" i="14"/>
  <c r="K314" i="14"/>
  <c r="K295" i="14"/>
  <c r="J294" i="14"/>
  <c r="K348" i="14"/>
  <c r="P348" i="14"/>
  <c r="Q348" i="14" s="1"/>
  <c r="Q257" i="14"/>
  <c r="P253" i="14"/>
  <c r="Q253" i="14" s="1"/>
  <c r="K253" i="14"/>
  <c r="P213" i="14"/>
  <c r="Q213" i="14" s="1"/>
  <c r="K213" i="14"/>
  <c r="Q216" i="14"/>
  <c r="K220" i="14"/>
  <c r="O220" i="14"/>
  <c r="Q220" i="14" s="1"/>
  <c r="Q271" i="14"/>
  <c r="O264" i="14"/>
  <c r="M239" i="14"/>
  <c r="P264" i="14"/>
  <c r="J212" i="14"/>
  <c r="O110" i="14"/>
  <c r="K181" i="14"/>
  <c r="P181" i="14"/>
  <c r="Q181" i="14" s="1"/>
  <c r="K110" i="14"/>
  <c r="P110" i="14"/>
  <c r="P136" i="14"/>
  <c r="K1832" i="14" l="1"/>
  <c r="Q1832" i="14"/>
  <c r="N1152" i="14"/>
  <c r="Q399" i="14"/>
  <c r="O1645" i="14"/>
  <c r="Q1645" i="14" s="1"/>
  <c r="O163" i="14"/>
  <c r="N596" i="14"/>
  <c r="L1602" i="14"/>
  <c r="O1608" i="14"/>
  <c r="Q1608" i="14" s="1"/>
  <c r="Q894" i="14"/>
  <c r="O1423" i="14"/>
  <c r="Q1423" i="14" s="1"/>
  <c r="K651" i="14"/>
  <c r="P1399" i="14"/>
  <c r="L1422" i="14"/>
  <c r="N1422" i="14" s="1"/>
  <c r="O388" i="14"/>
  <c r="Q651" i="14"/>
  <c r="J1381" i="14"/>
  <c r="J1361" i="14" s="1"/>
  <c r="K1644" i="14"/>
  <c r="Q1754" i="14"/>
  <c r="O582" i="14"/>
  <c r="K86" i="14"/>
  <c r="N1385" i="14"/>
  <c r="P1428" i="14"/>
  <c r="Q1428" i="14" s="1"/>
  <c r="Q1644" i="14"/>
  <c r="I212" i="14"/>
  <c r="L1143" i="14"/>
  <c r="O1143" i="14" s="1"/>
  <c r="K1428" i="14"/>
  <c r="M1601" i="14"/>
  <c r="Q593" i="14"/>
  <c r="Q1179" i="14"/>
  <c r="Q1790" i="14"/>
  <c r="K1311" i="14"/>
  <c r="Q1513" i="14"/>
  <c r="K582" i="14"/>
  <c r="O1525" i="14"/>
  <c r="Q1525" i="14" s="1"/>
  <c r="L1517" i="14"/>
  <c r="P1617" i="14"/>
  <c r="Q1617" i="14" s="1"/>
  <c r="P1855" i="14"/>
  <c r="Q1855" i="14" s="1"/>
  <c r="Q1015" i="14"/>
  <c r="Q1390" i="14"/>
  <c r="N1390" i="14"/>
  <c r="K1855" i="14"/>
  <c r="N717" i="14"/>
  <c r="K1547" i="14"/>
  <c r="K1689" i="14"/>
  <c r="M508" i="14"/>
  <c r="M492" i="14" s="1"/>
  <c r="J109" i="14"/>
  <c r="K109" i="14" s="1"/>
  <c r="Q1158" i="14"/>
  <c r="O1385" i="14"/>
  <c r="Q1385" i="14" s="1"/>
  <c r="O113" i="14"/>
  <c r="N186" i="14"/>
  <c r="Q1365" i="14"/>
  <c r="K640" i="14"/>
  <c r="M1495" i="14"/>
  <c r="P1495" i="14" s="1"/>
  <c r="Q314" i="14"/>
  <c r="Q640" i="14"/>
  <c r="Q1496" i="14"/>
  <c r="Q175" i="14"/>
  <c r="I1800" i="14"/>
  <c r="O1803" i="14"/>
  <c r="Q1803" i="14" s="1"/>
  <c r="K1803" i="14"/>
  <c r="O1712" i="14"/>
  <c r="Q1712" i="14" s="1"/>
  <c r="L1711" i="14"/>
  <c r="O117" i="14"/>
  <c r="P717" i="14"/>
  <c r="P1056" i="14"/>
  <c r="Q1056" i="14" s="1"/>
  <c r="N1056" i="14"/>
  <c r="O278" i="14"/>
  <c r="Q278" i="14" s="1"/>
  <c r="K278" i="14"/>
  <c r="O1402" i="14"/>
  <c r="Q1402" i="14" s="1"/>
  <c r="N1402" i="14"/>
  <c r="L1399" i="14"/>
  <c r="Q1740" i="14"/>
  <c r="I1044" i="14"/>
  <c r="I1029" i="14" s="1"/>
  <c r="K1577" i="14"/>
  <c r="J1576" i="14"/>
  <c r="P1577" i="14"/>
  <c r="Q1577" i="14" s="1"/>
  <c r="I1438" i="14"/>
  <c r="K1438" i="14" s="1"/>
  <c r="O1472" i="14"/>
  <c r="Q1472" i="14" s="1"/>
  <c r="K1472" i="14"/>
  <c r="P86" i="14"/>
  <c r="Q86" i="14" s="1"/>
  <c r="Q1254" i="14"/>
  <c r="L1438" i="14"/>
  <c r="N792" i="14"/>
  <c r="Q1273" i="14"/>
  <c r="K1098" i="14"/>
  <c r="Q1232" i="14"/>
  <c r="K932" i="14"/>
  <c r="O1217" i="14"/>
  <c r="P1711" i="14"/>
  <c r="O1439" i="14"/>
  <c r="Q1439" i="14" s="1"/>
  <c r="O1614" i="14"/>
  <c r="Q1614" i="14" s="1"/>
  <c r="K1614" i="14"/>
  <c r="I1601" i="14"/>
  <c r="I921" i="14"/>
  <c r="O921" i="14" s="1"/>
  <c r="N1254" i="14"/>
  <c r="I1495" i="14"/>
  <c r="N505" i="14"/>
  <c r="O505" i="14"/>
  <c r="Q505" i="14" s="1"/>
  <c r="L493" i="14"/>
  <c r="N493" i="14" s="1"/>
  <c r="Q110" i="14"/>
  <c r="Q1311" i="14"/>
  <c r="O557" i="14"/>
  <c r="O514" i="14"/>
  <c r="Q514" i="14" s="1"/>
  <c r="K1134" i="14"/>
  <c r="O1134" i="14"/>
  <c r="Q1134" i="14" s="1"/>
  <c r="N1217" i="14"/>
  <c r="P582" i="14"/>
  <c r="Q582" i="14" s="1"/>
  <c r="N582" i="14"/>
  <c r="J1601" i="14"/>
  <c r="P1601" i="14" s="1"/>
  <c r="K1602" i="14"/>
  <c r="P1217" i="14"/>
  <c r="Q1217" i="14" s="1"/>
  <c r="N1712" i="14"/>
  <c r="P1822" i="14"/>
  <c r="Q1822" i="14" s="1"/>
  <c r="K1822" i="14"/>
  <c r="M712" i="14"/>
  <c r="P712" i="14" s="1"/>
  <c r="P1854" i="14"/>
  <c r="Q1854" i="14" s="1"/>
  <c r="N1854" i="14"/>
  <c r="K1854" i="14"/>
  <c r="P1725" i="14"/>
  <c r="Q1725" i="14" s="1"/>
  <c r="N1725" i="14"/>
  <c r="Q1677" i="14"/>
  <c r="P1775" i="14"/>
  <c r="L1667" i="14"/>
  <c r="O1668" i="14"/>
  <c r="O1739" i="14"/>
  <c r="Q1739" i="14" s="1"/>
  <c r="K1739" i="14"/>
  <c r="I1710" i="14"/>
  <c r="N1753" i="14"/>
  <c r="M1744" i="14"/>
  <c r="P1753" i="14"/>
  <c r="M1667" i="14"/>
  <c r="P1668" i="14"/>
  <c r="N1668" i="14"/>
  <c r="L1775" i="14"/>
  <c r="O1775" i="14" s="1"/>
  <c r="O1778" i="14"/>
  <c r="Q1778" i="14" s="1"/>
  <c r="K1666" i="14"/>
  <c r="K1711" i="14"/>
  <c r="J1710" i="14"/>
  <c r="J1665" i="14" s="1"/>
  <c r="K1753" i="14"/>
  <c r="J1744" i="14"/>
  <c r="K1744" i="14" s="1"/>
  <c r="L1744" i="14"/>
  <c r="O1744" i="14" s="1"/>
  <c r="O1753" i="14"/>
  <c r="M1710" i="14"/>
  <c r="O1566" i="14"/>
  <c r="M1566" i="14"/>
  <c r="N1576" i="14"/>
  <c r="K1512" i="14"/>
  <c r="P1512" i="14"/>
  <c r="Q1512" i="14" s="1"/>
  <c r="K1422" i="14"/>
  <c r="P1422" i="14"/>
  <c r="O1382" i="14"/>
  <c r="M1381" i="14"/>
  <c r="N1382" i="14"/>
  <c r="P1382" i="14"/>
  <c r="N1438" i="14"/>
  <c r="O1345" i="14"/>
  <c r="I1334" i="14"/>
  <c r="O1334" i="14" s="1"/>
  <c r="P921" i="14"/>
  <c r="K514" i="14"/>
  <c r="O1077" i="14"/>
  <c r="Q1077" i="14" s="1"/>
  <c r="K1077" i="14"/>
  <c r="O872" i="14"/>
  <c r="K872" i="14"/>
  <c r="Q1170" i="14"/>
  <c r="Q676" i="14"/>
  <c r="O1350" i="14"/>
  <c r="Q1350" i="14" s="1"/>
  <c r="K1350" i="14"/>
  <c r="Q542" i="14"/>
  <c r="L819" i="14"/>
  <c r="N819" i="14" s="1"/>
  <c r="O841" i="14"/>
  <c r="Q841" i="14" s="1"/>
  <c r="N841" i="14"/>
  <c r="N636" i="14"/>
  <c r="O636" i="14"/>
  <c r="Q636" i="14" s="1"/>
  <c r="L625" i="14"/>
  <c r="Q687" i="14"/>
  <c r="I508" i="14"/>
  <c r="O239" i="14"/>
  <c r="O676" i="14"/>
  <c r="N872" i="14"/>
  <c r="P872" i="14"/>
  <c r="L611" i="14"/>
  <c r="N611" i="14" s="1"/>
  <c r="O622" i="14"/>
  <c r="Q622" i="14" s="1"/>
  <c r="N622" i="14"/>
  <c r="O528" i="14"/>
  <c r="Q528" i="14" s="1"/>
  <c r="K528" i="14"/>
  <c r="N846" i="14"/>
  <c r="P846" i="14"/>
  <c r="K819" i="14"/>
  <c r="K1293" i="14"/>
  <c r="P1293" i="14"/>
  <c r="Q1293" i="14" s="1"/>
  <c r="K1217" i="14"/>
  <c r="K1170" i="14"/>
  <c r="O717" i="14"/>
  <c r="I712" i="14"/>
  <c r="K712" i="14" s="1"/>
  <c r="O493" i="14"/>
  <c r="Q493" i="14" s="1"/>
  <c r="K493" i="14"/>
  <c r="O762" i="14"/>
  <c r="Q762" i="14" s="1"/>
  <c r="L742" i="14"/>
  <c r="N762" i="14"/>
  <c r="Q1095" i="14"/>
  <c r="K846" i="14"/>
  <c r="O846" i="14"/>
  <c r="N1143" i="14"/>
  <c r="P1143" i="14"/>
  <c r="Q1143" i="14" s="1"/>
  <c r="N1086" i="14"/>
  <c r="K792" i="14"/>
  <c r="O792" i="14"/>
  <c r="Q792" i="14" s="1"/>
  <c r="P1345" i="14"/>
  <c r="K1345" i="14"/>
  <c r="Q1346" i="14"/>
  <c r="P1086" i="14"/>
  <c r="Q1086" i="14" s="1"/>
  <c r="N676" i="14"/>
  <c r="J1029" i="14"/>
  <c r="J491" i="14" s="1"/>
  <c r="Q307" i="14"/>
  <c r="Q869" i="14"/>
  <c r="K117" i="14"/>
  <c r="O1068" i="14"/>
  <c r="Q1068" i="14" s="1"/>
  <c r="K1068" i="14"/>
  <c r="K611" i="14"/>
  <c r="O766" i="14"/>
  <c r="Q766" i="14" s="1"/>
  <c r="K766" i="14"/>
  <c r="K239" i="14"/>
  <c r="N1158" i="14"/>
  <c r="M1044" i="14"/>
  <c r="Q1152" i="14"/>
  <c r="N557" i="14"/>
  <c r="P557" i="14"/>
  <c r="O899" i="14"/>
  <c r="Q899" i="14" s="1"/>
  <c r="P1334" i="14"/>
  <c r="P508" i="14"/>
  <c r="O701" i="14"/>
  <c r="Q701" i="14" s="1"/>
  <c r="K701" i="14"/>
  <c r="Q596" i="14"/>
  <c r="L412" i="14"/>
  <c r="N413" i="14"/>
  <c r="O413" i="14"/>
  <c r="Q413" i="14" s="1"/>
  <c r="N542" i="14"/>
  <c r="Q1098" i="14"/>
  <c r="I366" i="14"/>
  <c r="K366" i="14" s="1"/>
  <c r="K384" i="14"/>
  <c r="N124" i="14"/>
  <c r="O124" i="14"/>
  <c r="Q124" i="14" s="1"/>
  <c r="O240" i="14"/>
  <c r="Q240" i="14" s="1"/>
  <c r="O385" i="14"/>
  <c r="L384" i="14"/>
  <c r="N163" i="14"/>
  <c r="P163" i="14"/>
  <c r="Q163" i="14" s="1"/>
  <c r="Q388" i="14"/>
  <c r="L212" i="14"/>
  <c r="O212" i="14" s="1"/>
  <c r="L294" i="14"/>
  <c r="O294" i="14" s="1"/>
  <c r="Q315" i="14"/>
  <c r="K404" i="14"/>
  <c r="O404" i="14"/>
  <c r="N240" i="14"/>
  <c r="N239" i="14"/>
  <c r="N117" i="14"/>
  <c r="M113" i="14"/>
  <c r="P117" i="14"/>
  <c r="N404" i="14"/>
  <c r="P404" i="14"/>
  <c r="M384" i="14"/>
  <c r="N385" i="14"/>
  <c r="P385" i="14"/>
  <c r="O375" i="14"/>
  <c r="Q375" i="14" s="1"/>
  <c r="L367" i="14"/>
  <c r="N375" i="14"/>
  <c r="N142" i="14"/>
  <c r="L136" i="14"/>
  <c r="O142" i="14"/>
  <c r="Q142" i="14" s="1"/>
  <c r="M294" i="14"/>
  <c r="N295" i="14"/>
  <c r="P295" i="14"/>
  <c r="Q295" i="14" s="1"/>
  <c r="N314" i="14"/>
  <c r="N335" i="14"/>
  <c r="P335" i="14"/>
  <c r="Q335" i="14" s="1"/>
  <c r="K294" i="14"/>
  <c r="M212" i="14"/>
  <c r="P212" i="14" s="1"/>
  <c r="K212" i="14"/>
  <c r="Q264" i="14"/>
  <c r="P239" i="14"/>
  <c r="L1601" i="14" l="1"/>
  <c r="L1565" i="14" s="1"/>
  <c r="O1602" i="14"/>
  <c r="Q1602" i="14" s="1"/>
  <c r="K1381" i="14"/>
  <c r="O1422" i="14"/>
  <c r="L1381" i="14"/>
  <c r="N1381" i="14" s="1"/>
  <c r="K1044" i="14"/>
  <c r="L1044" i="14"/>
  <c r="L1029" i="14" s="1"/>
  <c r="O1029" i="14" s="1"/>
  <c r="O1601" i="14"/>
  <c r="Q1601" i="14" s="1"/>
  <c r="Q717" i="14"/>
  <c r="Q1382" i="14"/>
  <c r="N1602" i="14"/>
  <c r="Q1422" i="14"/>
  <c r="O1800" i="14"/>
  <c r="Q1800" i="14" s="1"/>
  <c r="K1800" i="14"/>
  <c r="Q1668" i="14"/>
  <c r="Q557" i="14"/>
  <c r="L1495" i="14"/>
  <c r="N1495" i="14" s="1"/>
  <c r="N1517" i="14"/>
  <c r="O1517" i="14"/>
  <c r="Q1517" i="14" s="1"/>
  <c r="Q117" i="14"/>
  <c r="Q1753" i="14"/>
  <c r="I1665" i="14"/>
  <c r="K1665" i="14" s="1"/>
  <c r="I1361" i="14"/>
  <c r="K1361" i="14" s="1"/>
  <c r="K1601" i="14"/>
  <c r="P1576" i="14"/>
  <c r="Q1576" i="14" s="1"/>
  <c r="J1566" i="14"/>
  <c r="K1576" i="14"/>
  <c r="Q1345" i="14"/>
  <c r="P1566" i="14"/>
  <c r="Q1566" i="14" s="1"/>
  <c r="I1565" i="14"/>
  <c r="O1565" i="14" s="1"/>
  <c r="L508" i="14"/>
  <c r="L492" i="14" s="1"/>
  <c r="K1495" i="14"/>
  <c r="K1334" i="14"/>
  <c r="O1399" i="14"/>
  <c r="Q1399" i="14" s="1"/>
  <c r="N1399" i="14"/>
  <c r="Q1334" i="14"/>
  <c r="O1438" i="14"/>
  <c r="Q1438" i="14" s="1"/>
  <c r="Q921" i="14"/>
  <c r="L1710" i="14"/>
  <c r="N1710" i="14" s="1"/>
  <c r="O1711" i="14"/>
  <c r="Q1711" i="14" s="1"/>
  <c r="N1711" i="14"/>
  <c r="K921" i="14"/>
  <c r="Q872" i="14"/>
  <c r="P1667" i="14"/>
  <c r="N1667" i="14"/>
  <c r="M1666" i="14"/>
  <c r="O1667" i="14"/>
  <c r="L1666" i="14"/>
  <c r="Q1775" i="14"/>
  <c r="N1775" i="14"/>
  <c r="N1744" i="14"/>
  <c r="P1744" i="14"/>
  <c r="Q1744" i="14" s="1"/>
  <c r="P1710" i="14"/>
  <c r="K1710" i="14"/>
  <c r="M1565" i="14"/>
  <c r="N1566" i="14"/>
  <c r="M1361" i="14"/>
  <c r="P1361" i="14" s="1"/>
  <c r="P1381" i="14"/>
  <c r="K508" i="14"/>
  <c r="L712" i="14"/>
  <c r="N712" i="14" s="1"/>
  <c r="O742" i="14"/>
  <c r="Q742" i="14" s="1"/>
  <c r="N742" i="14"/>
  <c r="O712" i="14"/>
  <c r="Q712" i="14" s="1"/>
  <c r="Q385" i="14"/>
  <c r="I492" i="14"/>
  <c r="O611" i="14"/>
  <c r="Q611" i="14" s="1"/>
  <c r="N412" i="14"/>
  <c r="O412" i="14"/>
  <c r="Q412" i="14" s="1"/>
  <c r="O819" i="14"/>
  <c r="Q819" i="14" s="1"/>
  <c r="O1044" i="14"/>
  <c r="K1029" i="14"/>
  <c r="Q239" i="14"/>
  <c r="M1029" i="14"/>
  <c r="N1044" i="14"/>
  <c r="P1044" i="14"/>
  <c r="P492" i="14"/>
  <c r="O625" i="14"/>
  <c r="Q625" i="14" s="1"/>
  <c r="N625" i="14"/>
  <c r="Q846" i="14"/>
  <c r="N384" i="14"/>
  <c r="P384" i="14"/>
  <c r="M366" i="14"/>
  <c r="Q404" i="14"/>
  <c r="Q212" i="14"/>
  <c r="O136" i="14"/>
  <c r="Q136" i="14" s="1"/>
  <c r="L109" i="14"/>
  <c r="O109" i="14" s="1"/>
  <c r="N136" i="14"/>
  <c r="O367" i="14"/>
  <c r="Q367" i="14" s="1"/>
  <c r="N367" i="14"/>
  <c r="O384" i="14"/>
  <c r="L366" i="14"/>
  <c r="O366" i="14" s="1"/>
  <c r="N113" i="14"/>
  <c r="P113" i="14"/>
  <c r="Q113" i="14" s="1"/>
  <c r="M109" i="14"/>
  <c r="N294" i="14"/>
  <c r="P294" i="14"/>
  <c r="Q294" i="14" s="1"/>
  <c r="N212" i="14"/>
  <c r="F216" i="13"/>
  <c r="E216" i="13"/>
  <c r="L1361" i="14" l="1"/>
  <c r="O1381" i="14"/>
  <c r="N1601" i="14"/>
  <c r="O1495" i="14"/>
  <c r="Q1495" i="14" s="1"/>
  <c r="L491" i="14"/>
  <c r="N492" i="14"/>
  <c r="O1710" i="14"/>
  <c r="O508" i="14"/>
  <c r="Q508" i="14" s="1"/>
  <c r="J1565" i="14"/>
  <c r="K1565" i="14" s="1"/>
  <c r="K1566" i="14"/>
  <c r="Q1381" i="14"/>
  <c r="Q1710" i="14"/>
  <c r="N508" i="14"/>
  <c r="O1361" i="14"/>
  <c r="Q1361" i="14" s="1"/>
  <c r="M1665" i="14"/>
  <c r="N1666" i="14"/>
  <c r="P1666" i="14"/>
  <c r="L1665" i="14"/>
  <c r="O1665" i="14" s="1"/>
  <c r="O1666" i="14"/>
  <c r="Q1667" i="14"/>
  <c r="N1565" i="14"/>
  <c r="N1361" i="14"/>
  <c r="I491" i="14"/>
  <c r="O492" i="14"/>
  <c r="Q492" i="14" s="1"/>
  <c r="K492" i="14"/>
  <c r="M491" i="14"/>
  <c r="N1029" i="14"/>
  <c r="P1029" i="14"/>
  <c r="Q1029" i="14" s="1"/>
  <c r="Q1044" i="14"/>
  <c r="Q384" i="14"/>
  <c r="N109" i="14"/>
  <c r="P109" i="14"/>
  <c r="Q109" i="14" s="1"/>
  <c r="N366" i="14"/>
  <c r="P366" i="14"/>
  <c r="Q366" i="14" s="1"/>
  <c r="P1565" i="14" l="1"/>
  <c r="Q1565" i="14" s="1"/>
  <c r="Q1666" i="14"/>
  <c r="N1665" i="14"/>
  <c r="P1665" i="14"/>
  <c r="Q1665" i="14" s="1"/>
  <c r="N491" i="14"/>
  <c r="P491" i="14"/>
  <c r="O491" i="14"/>
  <c r="K491" i="14"/>
  <c r="Q491" i="14" l="1"/>
  <c r="F83" i="13" l="1"/>
  <c r="F56" i="13"/>
  <c r="F69" i="13"/>
  <c r="F62" i="13"/>
  <c r="F35" i="13"/>
  <c r="F25" i="13"/>
  <c r="G188" i="13"/>
  <c r="G186" i="13"/>
  <c r="G185" i="13"/>
  <c r="P71" i="14" l="1"/>
  <c r="O71" i="14"/>
  <c r="J67" i="14"/>
  <c r="M54" i="14"/>
  <c r="J47" i="14"/>
  <c r="F284" i="13"/>
  <c r="F289" i="13"/>
  <c r="F285" i="13"/>
  <c r="F273" i="13"/>
  <c r="F270" i="13" s="1"/>
  <c r="F321" i="13"/>
  <c r="F283" i="13" l="1"/>
  <c r="F32" i="13"/>
  <c r="F34" i="13"/>
  <c r="F33" i="13" l="1"/>
  <c r="F29" i="13" s="1"/>
  <c r="F27" i="13"/>
  <c r="N38" i="14" l="1"/>
  <c r="N40" i="14"/>
  <c r="N41" i="14"/>
  <c r="N53" i="14"/>
  <c r="N57" i="14"/>
  <c r="N61" i="14"/>
  <c r="K12" i="14"/>
  <c r="K13" i="14"/>
  <c r="K14" i="14"/>
  <c r="K15" i="14"/>
  <c r="K18" i="14"/>
  <c r="K21" i="14"/>
  <c r="K23" i="14"/>
  <c r="K25" i="14"/>
  <c r="K26" i="14"/>
  <c r="K27" i="14"/>
  <c r="K28" i="14"/>
  <c r="K30" i="14"/>
  <c r="K32" i="14"/>
  <c r="K33" i="14"/>
  <c r="K34" i="14"/>
  <c r="K35" i="14"/>
  <c r="K45" i="14"/>
  <c r="K48" i="14"/>
  <c r="K49" i="14"/>
  <c r="K50" i="14"/>
  <c r="K66" i="14"/>
  <c r="K68" i="14"/>
  <c r="K69" i="14"/>
  <c r="K70" i="14"/>
  <c r="K73" i="14"/>
  <c r="K76" i="14"/>
  <c r="P11" i="14"/>
  <c r="P12" i="14"/>
  <c r="P13" i="14"/>
  <c r="P14" i="14"/>
  <c r="P15" i="14"/>
  <c r="P18" i="14"/>
  <c r="P21" i="14"/>
  <c r="P23" i="14"/>
  <c r="P25" i="14"/>
  <c r="P26" i="14"/>
  <c r="P27" i="14"/>
  <c r="P28" i="14"/>
  <c r="P30" i="14"/>
  <c r="P32" i="14"/>
  <c r="P33" i="14"/>
  <c r="P34" i="14"/>
  <c r="P35" i="14"/>
  <c r="P38" i="14"/>
  <c r="P40" i="14"/>
  <c r="P41" i="14"/>
  <c r="P43" i="14"/>
  <c r="P45" i="14"/>
  <c r="P47" i="14"/>
  <c r="P48" i="14"/>
  <c r="P49" i="14"/>
  <c r="P50" i="14"/>
  <c r="P53" i="14"/>
  <c r="P54" i="14"/>
  <c r="P55" i="14"/>
  <c r="P56" i="14"/>
  <c r="P57" i="14"/>
  <c r="P59" i="14"/>
  <c r="P60" i="14"/>
  <c r="P61" i="14"/>
  <c r="P62" i="14"/>
  <c r="P63" i="14"/>
  <c r="P64" i="14"/>
  <c r="P66" i="14"/>
  <c r="P68" i="14"/>
  <c r="P69" i="14"/>
  <c r="P70" i="14"/>
  <c r="P73" i="14"/>
  <c r="P76" i="14"/>
  <c r="P77" i="14"/>
  <c r="M37" i="14"/>
  <c r="P37" i="14" s="1"/>
  <c r="M39" i="14"/>
  <c r="P39" i="14" s="1"/>
  <c r="M42" i="14"/>
  <c r="P42" i="14" s="1"/>
  <c r="M52" i="14"/>
  <c r="P52" i="14" s="1"/>
  <c r="M58" i="14"/>
  <c r="P58" i="14" s="1"/>
  <c r="J10" i="14"/>
  <c r="J9" i="14" s="1"/>
  <c r="P9" i="14" s="1"/>
  <c r="J17" i="14"/>
  <c r="J16" i="14" s="1"/>
  <c r="J20" i="14"/>
  <c r="J19" i="14" s="1"/>
  <c r="P19" i="14" s="1"/>
  <c r="J24" i="14"/>
  <c r="J22" i="14" s="1"/>
  <c r="J31" i="14"/>
  <c r="J29" i="14" s="1"/>
  <c r="J46" i="14"/>
  <c r="J44" i="14" s="1"/>
  <c r="J72" i="14"/>
  <c r="J65" i="14" s="1"/>
  <c r="J75" i="14"/>
  <c r="J74" i="14" s="1"/>
  <c r="P74" i="14" s="1"/>
  <c r="L36" i="15"/>
  <c r="L37" i="15"/>
  <c r="L39" i="15"/>
  <c r="L40" i="15"/>
  <c r="L42" i="15"/>
  <c r="L43" i="15"/>
  <c r="L33" i="15"/>
  <c r="L32" i="15"/>
  <c r="L31" i="15"/>
  <c r="L29" i="15"/>
  <c r="L28" i="15"/>
  <c r="L27" i="15"/>
  <c r="L26" i="15"/>
  <c r="L25" i="15"/>
  <c r="K23" i="15"/>
  <c r="K38" i="15"/>
  <c r="H7" i="15"/>
  <c r="G12" i="13"/>
  <c r="G13" i="13"/>
  <c r="G14" i="13"/>
  <c r="G16" i="13"/>
  <c r="G17" i="13"/>
  <c r="G18" i="13"/>
  <c r="G19" i="13"/>
  <c r="G20" i="13"/>
  <c r="G24" i="13"/>
  <c r="G25" i="13"/>
  <c r="G26" i="13"/>
  <c r="G27" i="13"/>
  <c r="G28" i="13"/>
  <c r="G30" i="13"/>
  <c r="G31" i="13"/>
  <c r="G32" i="13"/>
  <c r="G33" i="13"/>
  <c r="G34" i="13"/>
  <c r="G35" i="13"/>
  <c r="G37" i="13"/>
  <c r="G39" i="13"/>
  <c r="G41" i="13"/>
  <c r="G42" i="13"/>
  <c r="G43" i="13"/>
  <c r="G46" i="13"/>
  <c r="G49" i="13"/>
  <c r="G51" i="13"/>
  <c r="G52" i="13"/>
  <c r="G54" i="13"/>
  <c r="G57" i="13"/>
  <c r="G58" i="13"/>
  <c r="G59" i="13"/>
  <c r="G61" i="13"/>
  <c r="G62" i="13"/>
  <c r="G64" i="13"/>
  <c r="G65" i="13"/>
  <c r="G66" i="13"/>
  <c r="G68" i="13"/>
  <c r="G69" i="13"/>
  <c r="G71" i="13"/>
  <c r="G72" i="13"/>
  <c r="G74" i="13"/>
  <c r="G76" i="13"/>
  <c r="G78" i="13"/>
  <c r="G79" i="13"/>
  <c r="G81" i="13"/>
  <c r="G82" i="13"/>
  <c r="G85" i="13"/>
  <c r="G91" i="13"/>
  <c r="G94" i="13"/>
  <c r="G96" i="13"/>
  <c r="G98" i="13"/>
  <c r="G100" i="13"/>
  <c r="G102" i="13"/>
  <c r="G104" i="13"/>
  <c r="G106" i="13"/>
  <c r="G108" i="13"/>
  <c r="G110" i="13"/>
  <c r="G112" i="13"/>
  <c r="G114" i="13"/>
  <c r="G116" i="13"/>
  <c r="G118" i="13"/>
  <c r="G120" i="13"/>
  <c r="G122" i="13"/>
  <c r="G124" i="13"/>
  <c r="G126" i="13"/>
  <c r="G128" i="13"/>
  <c r="G130" i="13"/>
  <c r="G132" i="13"/>
  <c r="G134" i="13"/>
  <c r="G136" i="13"/>
  <c r="G138" i="13"/>
  <c r="G140" i="13"/>
  <c r="G142" i="13"/>
  <c r="G144" i="13"/>
  <c r="G150" i="13"/>
  <c r="G153" i="13"/>
  <c r="G154" i="13"/>
  <c r="G158" i="13"/>
  <c r="G160" i="13"/>
  <c r="G162" i="13"/>
  <c r="G163" i="13"/>
  <c r="G164" i="13"/>
  <c r="G165" i="13"/>
  <c r="G166" i="13"/>
  <c r="G168" i="13"/>
  <c r="G170" i="13"/>
  <c r="G171" i="13"/>
  <c r="G173" i="13"/>
  <c r="G174" i="13"/>
  <c r="G175" i="13"/>
  <c r="G176" i="13"/>
  <c r="G177" i="13"/>
  <c r="G179" i="13"/>
  <c r="G180" i="13"/>
  <c r="G181" i="13"/>
  <c r="G182" i="13"/>
  <c r="G183" i="13"/>
  <c r="G187" i="13"/>
  <c r="G189" i="13"/>
  <c r="G191" i="13"/>
  <c r="G192" i="13"/>
  <c r="G194" i="13"/>
  <c r="G197" i="13"/>
  <c r="G199" i="13"/>
  <c r="G200" i="13"/>
  <c r="G201" i="13"/>
  <c r="G203" i="13"/>
  <c r="G206" i="13"/>
  <c r="G208" i="13"/>
  <c r="G209" i="13"/>
  <c r="G210" i="13"/>
  <c r="G213" i="13"/>
  <c r="G215" i="13"/>
  <c r="G220" i="13"/>
  <c r="G222" i="13"/>
  <c r="G223" i="13"/>
  <c r="G224" i="13"/>
  <c r="G226" i="13"/>
  <c r="G227" i="13"/>
  <c r="G230" i="13"/>
  <c r="G232" i="13"/>
  <c r="G233" i="13"/>
  <c r="G234" i="13"/>
  <c r="G236" i="13"/>
  <c r="G239" i="13"/>
  <c r="G241" i="13"/>
  <c r="G242" i="13"/>
  <c r="G243" i="13"/>
  <c r="G246" i="13"/>
  <c r="G248" i="13"/>
  <c r="G249" i="13"/>
  <c r="G250" i="13"/>
  <c r="G253" i="13"/>
  <c r="G255" i="13"/>
  <c r="G256" i="13"/>
  <c r="G257" i="13"/>
  <c r="G260" i="13"/>
  <c r="G262" i="13"/>
  <c r="G269" i="13"/>
  <c r="G272" i="13"/>
  <c r="G273" i="13"/>
  <c r="G274" i="13"/>
  <c r="G275" i="13"/>
  <c r="G276" i="13"/>
  <c r="G277" i="13"/>
  <c r="G280" i="13"/>
  <c r="G282" i="13"/>
  <c r="G286" i="13"/>
  <c r="G287" i="13"/>
  <c r="G289" i="13"/>
  <c r="G290" i="13"/>
  <c r="G291" i="13"/>
  <c r="G294" i="13"/>
  <c r="G297" i="13"/>
  <c r="G302" i="13"/>
  <c r="G305" i="13"/>
  <c r="G308" i="13"/>
  <c r="G311" i="13"/>
  <c r="G326" i="13"/>
  <c r="G331" i="13"/>
  <c r="G334" i="13"/>
  <c r="G335" i="13"/>
  <c r="G337" i="13"/>
  <c r="G338" i="13"/>
  <c r="G339" i="13"/>
  <c r="G341" i="13"/>
  <c r="G342" i="13"/>
  <c r="G343" i="13"/>
  <c r="G344" i="13"/>
  <c r="G345" i="13"/>
  <c r="G348" i="13"/>
  <c r="G349" i="13"/>
  <c r="G350" i="13"/>
  <c r="G351" i="13"/>
  <c r="G358" i="13"/>
  <c r="G322" i="13"/>
  <c r="G321" i="13"/>
  <c r="F320" i="13"/>
  <c r="F319" i="13" s="1"/>
  <c r="F325" i="13"/>
  <c r="F324" i="13" s="1"/>
  <c r="F330" i="13"/>
  <c r="F332" i="13"/>
  <c r="F357" i="13"/>
  <c r="F356" i="13" s="1"/>
  <c r="F355" i="13" s="1"/>
  <c r="F8" i="13"/>
  <c r="F11" i="13"/>
  <c r="F10" i="13" s="1"/>
  <c r="F15" i="13"/>
  <c r="F23" i="13"/>
  <c r="F38" i="13"/>
  <c r="F40" i="13"/>
  <c r="F45" i="13"/>
  <c r="F44" i="13" s="1"/>
  <c r="F48" i="13"/>
  <c r="F50" i="13"/>
  <c r="F53" i="13"/>
  <c r="F55" i="13"/>
  <c r="F60" i="13"/>
  <c r="F63" i="13"/>
  <c r="F67" i="13"/>
  <c r="F70" i="13"/>
  <c r="F73" i="13"/>
  <c r="F75" i="13"/>
  <c r="F77" i="13"/>
  <c r="F80" i="13"/>
  <c r="F84" i="13"/>
  <c r="F88" i="13"/>
  <c r="F90" i="13"/>
  <c r="F93" i="13"/>
  <c r="F97" i="13"/>
  <c r="F101" i="13"/>
  <c r="F105" i="13"/>
  <c r="F109" i="13"/>
  <c r="F113" i="13"/>
  <c r="F117" i="13"/>
  <c r="F121" i="13"/>
  <c r="F125" i="13"/>
  <c r="F129" i="13"/>
  <c r="F133" i="13"/>
  <c r="F137" i="13"/>
  <c r="F141" i="13"/>
  <c r="F145" i="13"/>
  <c r="F147" i="13"/>
  <c r="F149" i="13"/>
  <c r="F152" i="13"/>
  <c r="F157" i="13"/>
  <c r="F161" i="13"/>
  <c r="F167" i="13"/>
  <c r="F169" i="13"/>
  <c r="F172" i="13"/>
  <c r="F178" i="13"/>
  <c r="F184" i="13"/>
  <c r="F190" i="13"/>
  <c r="F193" i="13"/>
  <c r="F196" i="13"/>
  <c r="F198" i="13"/>
  <c r="F202" i="13"/>
  <c r="F205" i="13"/>
  <c r="F207" i="13"/>
  <c r="F212" i="13"/>
  <c r="F214" i="13"/>
  <c r="F219" i="13"/>
  <c r="F221" i="13"/>
  <c r="F225" i="13"/>
  <c r="F229" i="13"/>
  <c r="F231" i="13"/>
  <c r="F235" i="13"/>
  <c r="F238" i="13"/>
  <c r="F240" i="13"/>
  <c r="F245" i="13"/>
  <c r="F247" i="13"/>
  <c r="F252" i="13"/>
  <c r="F254" i="13"/>
  <c r="F259" i="13"/>
  <c r="F261" i="13"/>
  <c r="F266" i="13"/>
  <c r="F281" i="13"/>
  <c r="F293" i="13"/>
  <c r="F292" i="13" s="1"/>
  <c r="F296" i="13"/>
  <c r="F298" i="13"/>
  <c r="F301" i="13"/>
  <c r="F303" i="13"/>
  <c r="F307" i="13"/>
  <c r="F306" i="13" s="1"/>
  <c r="F310" i="13"/>
  <c r="F309" i="13" s="1"/>
  <c r="L59" i="14"/>
  <c r="N59" i="14" s="1"/>
  <c r="P75" i="14" l="1"/>
  <c r="F211" i="13"/>
  <c r="F156" i="13"/>
  <c r="H17" i="15"/>
  <c r="P72" i="14"/>
  <c r="P46" i="14"/>
  <c r="P20" i="14"/>
  <c r="P65" i="14"/>
  <c r="P67" i="14"/>
  <c r="P31" i="14"/>
  <c r="P24" i="14"/>
  <c r="P22" i="14"/>
  <c r="P17" i="14"/>
  <c r="P16" i="14"/>
  <c r="P10" i="14"/>
  <c r="F228" i="13"/>
  <c r="F295" i="13"/>
  <c r="M51" i="14"/>
  <c r="M36" i="14"/>
  <c r="J8" i="14"/>
  <c r="F258" i="13"/>
  <c r="F22" i="13"/>
  <c r="F47" i="13"/>
  <c r="F87" i="13"/>
  <c r="F195" i="13"/>
  <c r="F204" i="13"/>
  <c r="F218" i="13"/>
  <c r="F237" i="13"/>
  <c r="F244" i="13"/>
  <c r="F251" i="13"/>
  <c r="F300" i="13"/>
  <c r="F329" i="13"/>
  <c r="F318" i="13"/>
  <c r="F7" i="13"/>
  <c r="F92" i="13"/>
  <c r="F265" i="13"/>
  <c r="L39" i="14"/>
  <c r="N39" i="14" s="1"/>
  <c r="O41" i="14"/>
  <c r="Q41" i="14" s="1"/>
  <c r="I47" i="14"/>
  <c r="K47" i="14" s="1"/>
  <c r="E14" i="15" l="1"/>
  <c r="E13" i="15"/>
  <c r="E9" i="15"/>
  <c r="P8" i="14"/>
  <c r="J7" i="14"/>
  <c r="M44" i="14"/>
  <c r="P51" i="14"/>
  <c r="M29" i="14"/>
  <c r="P36" i="14"/>
  <c r="F264" i="13"/>
  <c r="F263" i="13" s="1"/>
  <c r="F328" i="13"/>
  <c r="E15" i="15"/>
  <c r="H9" i="15"/>
  <c r="F6" i="13"/>
  <c r="F21" i="13"/>
  <c r="J30" i="15"/>
  <c r="L30" i="15" s="1"/>
  <c r="O53" i="14"/>
  <c r="Q53" i="14" s="1"/>
  <c r="L52" i="14"/>
  <c r="E347" i="13"/>
  <c r="G347" i="13" s="1"/>
  <c r="E352" i="13"/>
  <c r="G352" i="13" s="1"/>
  <c r="E346" i="13"/>
  <c r="G346" i="13" s="1"/>
  <c r="O50" i="14"/>
  <c r="Q50" i="14" s="1"/>
  <c r="M7" i="14" l="1"/>
  <c r="E16" i="15"/>
  <c r="E17" i="15"/>
  <c r="K17" i="15" s="1"/>
  <c r="E10" i="15"/>
  <c r="E8" i="15"/>
  <c r="E7" i="15"/>
  <c r="K7" i="15" s="1"/>
  <c r="O52" i="14"/>
  <c r="Q52" i="14" s="1"/>
  <c r="N52" i="14"/>
  <c r="P44" i="14"/>
  <c r="H6" i="15"/>
  <c r="P7" i="14"/>
  <c r="P29" i="14"/>
  <c r="F327" i="13"/>
  <c r="H14" i="15"/>
  <c r="K14" i="15" s="1"/>
  <c r="E11" i="15"/>
  <c r="K9" i="15"/>
  <c r="H8" i="15"/>
  <c r="E6" i="15"/>
  <c r="F312" i="13"/>
  <c r="J50" i="15"/>
  <c r="E330" i="13"/>
  <c r="G330" i="13" s="1"/>
  <c r="E285" i="13"/>
  <c r="G285" i="13" s="1"/>
  <c r="E267" i="13"/>
  <c r="E235" i="13"/>
  <c r="G235" i="13" s="1"/>
  <c r="E225" i="13"/>
  <c r="G225" i="13" s="1"/>
  <c r="L43" i="14"/>
  <c r="N43" i="14" s="1"/>
  <c r="H10" i="15" l="1"/>
  <c r="H16" i="15"/>
  <c r="H15" i="15"/>
  <c r="H13" i="15"/>
  <c r="H12" i="15"/>
  <c r="K10" i="15"/>
  <c r="E266" i="13"/>
  <c r="G266" i="13" s="1"/>
  <c r="G267" i="13"/>
  <c r="F359" i="13"/>
  <c r="F365" i="13"/>
  <c r="E4" i="15"/>
  <c r="K8" i="15"/>
  <c r="K6" i="15"/>
  <c r="K16" i="15" l="1"/>
  <c r="K15" i="15"/>
  <c r="K13" i="15"/>
  <c r="E12" i="15"/>
  <c r="K12" i="15" s="1"/>
  <c r="F366" i="13"/>
  <c r="F367" i="13" s="1"/>
  <c r="H4" i="15"/>
  <c r="K4" i="15" s="1"/>
  <c r="E5" i="15" l="1"/>
  <c r="E18" i="15" s="1"/>
  <c r="H11" i="15"/>
  <c r="K11" i="15" l="1"/>
  <c r="H5" i="15"/>
  <c r="I46" i="14"/>
  <c r="K46" i="14" s="1"/>
  <c r="E293" i="13"/>
  <c r="E292" i="13" l="1"/>
  <c r="G292" i="13" s="1"/>
  <c r="G293" i="13"/>
  <c r="H19" i="15"/>
  <c r="K5" i="15"/>
  <c r="K20" i="15" s="1"/>
  <c r="K44" i="15" s="1"/>
  <c r="L55" i="14"/>
  <c r="N55" i="14" s="1"/>
  <c r="O48" i="14" l="1"/>
  <c r="Q48" i="14" s="1"/>
  <c r="O49" i="14"/>
  <c r="Q49" i="14" s="1"/>
  <c r="L60" i="14"/>
  <c r="N60" i="14" s="1"/>
  <c r="J52" i="15"/>
  <c r="E354" i="13"/>
  <c r="G354" i="13" s="1"/>
  <c r="J41" i="15"/>
  <c r="J35" i="15"/>
  <c r="L35" i="15" s="1"/>
  <c r="J24" i="15"/>
  <c r="L24" i="15" s="1"/>
  <c r="L56" i="14"/>
  <c r="N56" i="14" s="1"/>
  <c r="E353" i="13"/>
  <c r="G353" i="13" s="1"/>
  <c r="E336" i="13"/>
  <c r="G336" i="13" s="1"/>
  <c r="E333" i="13"/>
  <c r="G333" i="13" s="1"/>
  <c r="E325" i="13"/>
  <c r="E310" i="13"/>
  <c r="E304" i="13"/>
  <c r="G304" i="13" s="1"/>
  <c r="E299" i="13"/>
  <c r="G299" i="13" s="1"/>
  <c r="E271" i="13"/>
  <c r="E159" i="13"/>
  <c r="G159" i="13" s="1"/>
  <c r="E155" i="13"/>
  <c r="G155" i="13" s="1"/>
  <c r="E90" i="13"/>
  <c r="G90" i="13" s="1"/>
  <c r="E9" i="13"/>
  <c r="G9" i="13" s="1"/>
  <c r="O45" i="14"/>
  <c r="Q45" i="14" s="1"/>
  <c r="J38" i="15" l="1"/>
  <c r="L38" i="15" s="1"/>
  <c r="L41" i="15"/>
  <c r="E309" i="13"/>
  <c r="G309" i="13" s="1"/>
  <c r="G310" i="13"/>
  <c r="E270" i="13"/>
  <c r="G270" i="13" s="1"/>
  <c r="G271" i="13"/>
  <c r="E324" i="13"/>
  <c r="G324" i="13" s="1"/>
  <c r="G325" i="13"/>
  <c r="E296" i="13" l="1"/>
  <c r="G296" i="13" s="1"/>
  <c r="E284" i="13"/>
  <c r="G284" i="13" s="1"/>
  <c r="I11" i="14" l="1"/>
  <c r="K11" i="14" s="1"/>
  <c r="E86" i="13" l="1"/>
  <c r="G86" i="13" s="1"/>
  <c r="E83" i="13"/>
  <c r="G83" i="13" s="1"/>
  <c r="E75" i="13"/>
  <c r="G75" i="13" s="1"/>
  <c r="E56" i="13" l="1"/>
  <c r="G56" i="13" s="1"/>
  <c r="E240" i="13" l="1"/>
  <c r="G240" i="13" s="1"/>
  <c r="E238" i="13"/>
  <c r="G238" i="13" s="1"/>
  <c r="E237" i="13" l="1"/>
  <c r="G7" i="15"/>
  <c r="G237" i="13" l="1"/>
  <c r="D7" i="15" l="1"/>
  <c r="F7" i="15" s="1"/>
  <c r="D10" i="15" l="1"/>
  <c r="F10" i="15" s="1"/>
  <c r="G14" i="15"/>
  <c r="I14" i="15" s="1"/>
  <c r="D16" i="15"/>
  <c r="F16" i="15" s="1"/>
  <c r="D9" i="15"/>
  <c r="F9" i="15" s="1"/>
  <c r="G9" i="15"/>
  <c r="I9" i="15" s="1"/>
  <c r="D17" i="15" l="1"/>
  <c r="F17" i="15" s="1"/>
  <c r="G8" i="15"/>
  <c r="I8" i="15" s="1"/>
  <c r="D8" i="15"/>
  <c r="F8" i="15" s="1"/>
  <c r="G15" i="15"/>
  <c r="I15" i="15" s="1"/>
  <c r="G17" i="15"/>
  <c r="I17" i="15" s="1"/>
  <c r="D14" i="15"/>
  <c r="F14" i="15" s="1"/>
  <c r="G10" i="15"/>
  <c r="I10" i="15" s="1"/>
  <c r="G12" i="15" l="1"/>
  <c r="I12" i="15" s="1"/>
  <c r="D13" i="15"/>
  <c r="F13" i="15" s="1"/>
  <c r="D11" i="15"/>
  <c r="F11" i="15" s="1"/>
  <c r="D15" i="15"/>
  <c r="F15" i="15" s="1"/>
  <c r="G13" i="15"/>
  <c r="I13" i="15" s="1"/>
  <c r="G16" i="15" l="1"/>
  <c r="I16" i="15" s="1"/>
  <c r="G11" i="15"/>
  <c r="I11" i="15" s="1"/>
  <c r="O56" i="14"/>
  <c r="Q56" i="14" s="1"/>
  <c r="O57" i="14"/>
  <c r="Q57" i="14" s="1"/>
  <c r="L54" i="14"/>
  <c r="N54" i="14" s="1"/>
  <c r="E323" i="13" l="1"/>
  <c r="G323" i="13" s="1"/>
  <c r="E340" i="13"/>
  <c r="O61" i="14"/>
  <c r="Q61" i="14" s="1"/>
  <c r="E332" i="13" l="1"/>
  <c r="G340" i="13"/>
  <c r="L58" i="14"/>
  <c r="L51" i="14" l="1"/>
  <c r="N51" i="14" s="1"/>
  <c r="N58" i="14"/>
  <c r="E329" i="13"/>
  <c r="G329" i="13" s="1"/>
  <c r="G332" i="13"/>
  <c r="O39" i="14"/>
  <c r="Q39" i="14" s="1"/>
  <c r="O40" i="14"/>
  <c r="Q40" i="14" s="1"/>
  <c r="L37" i="14"/>
  <c r="N37" i="14" s="1"/>
  <c r="O60" i="14" l="1"/>
  <c r="Q60" i="14" s="1"/>
  <c r="E288" i="13" l="1"/>
  <c r="E283" i="13" l="1"/>
  <c r="G283" i="13" s="1"/>
  <c r="G288" i="13"/>
  <c r="J34" i="15"/>
  <c r="L42" i="14"/>
  <c r="J23" i="15" l="1"/>
  <c r="L23" i="15" s="1"/>
  <c r="L34" i="15"/>
  <c r="L36" i="14"/>
  <c r="N36" i="14" s="1"/>
  <c r="N42" i="14"/>
  <c r="L29" i="14"/>
  <c r="N29" i="14" s="1"/>
  <c r="E11" i="13"/>
  <c r="G11" i="13" s="1"/>
  <c r="J17" i="15" l="1"/>
  <c r="L17" i="15" s="1"/>
  <c r="O77" i="14"/>
  <c r="O76" i="14"/>
  <c r="Q76" i="14" s="1"/>
  <c r="O73" i="14"/>
  <c r="Q73" i="14" s="1"/>
  <c r="O70" i="14"/>
  <c r="Q70" i="14" s="1"/>
  <c r="O69" i="14"/>
  <c r="Q69" i="14" s="1"/>
  <c r="O68" i="14"/>
  <c r="Q68" i="14" s="1"/>
  <c r="O66" i="14"/>
  <c r="Q66" i="14" s="1"/>
  <c r="O64" i="14"/>
  <c r="O63" i="14"/>
  <c r="O62" i="14"/>
  <c r="O59" i="14"/>
  <c r="Q59" i="14" s="1"/>
  <c r="O58" i="14"/>
  <c r="Q58" i="14" s="1"/>
  <c r="O55" i="14"/>
  <c r="Q55" i="14" s="1"/>
  <c r="O54" i="14"/>
  <c r="Q54" i="14" s="1"/>
  <c r="O47" i="14"/>
  <c r="Q47" i="14" s="1"/>
  <c r="O43" i="14"/>
  <c r="Q43" i="14" s="1"/>
  <c r="O42" i="14"/>
  <c r="Q42" i="14" s="1"/>
  <c r="O38" i="14"/>
  <c r="Q38" i="14" s="1"/>
  <c r="O37" i="14"/>
  <c r="Q37" i="14" s="1"/>
  <c r="O36" i="14"/>
  <c r="Q36" i="14" s="1"/>
  <c r="O35" i="14"/>
  <c r="Q35" i="14" s="1"/>
  <c r="O34" i="14"/>
  <c r="Q34" i="14" s="1"/>
  <c r="O33" i="14"/>
  <c r="Q33" i="14" s="1"/>
  <c r="O32" i="14"/>
  <c r="Q32" i="14" s="1"/>
  <c r="O30" i="14"/>
  <c r="Q30" i="14" s="1"/>
  <c r="O28" i="14"/>
  <c r="Q28" i="14" s="1"/>
  <c r="O27" i="14"/>
  <c r="Q27" i="14" s="1"/>
  <c r="O26" i="14"/>
  <c r="Q26" i="14" s="1"/>
  <c r="O25" i="14"/>
  <c r="Q25" i="14" s="1"/>
  <c r="O23" i="14"/>
  <c r="Q23" i="14" s="1"/>
  <c r="O21" i="14"/>
  <c r="Q21" i="14" s="1"/>
  <c r="O18" i="14"/>
  <c r="Q18" i="14" s="1"/>
  <c r="O15" i="14"/>
  <c r="Q15" i="14" s="1"/>
  <c r="O14" i="14"/>
  <c r="Q14" i="14" s="1"/>
  <c r="O13" i="14"/>
  <c r="Q13" i="14" s="1"/>
  <c r="O12" i="14"/>
  <c r="Q12" i="14" s="1"/>
  <c r="O11" i="14"/>
  <c r="Q11" i="14" s="1"/>
  <c r="I75" i="14"/>
  <c r="I72" i="14"/>
  <c r="I67" i="14"/>
  <c r="K67" i="14" s="1"/>
  <c r="I44" i="14"/>
  <c r="K44" i="14" s="1"/>
  <c r="I31" i="14"/>
  <c r="I24" i="14"/>
  <c r="K24" i="14" s="1"/>
  <c r="I20" i="14"/>
  <c r="I17" i="14"/>
  <c r="K17" i="14" s="1"/>
  <c r="I10" i="14"/>
  <c r="E151" i="13"/>
  <c r="E148" i="13"/>
  <c r="E146" i="13"/>
  <c r="E143" i="13"/>
  <c r="E139" i="13"/>
  <c r="E135" i="13"/>
  <c r="E131" i="13"/>
  <c r="E127" i="13"/>
  <c r="E123" i="13"/>
  <c r="E119" i="13"/>
  <c r="E115" i="13"/>
  <c r="E111" i="13"/>
  <c r="E107" i="13"/>
  <c r="E103" i="13"/>
  <c r="E99" i="13"/>
  <c r="E95" i="13"/>
  <c r="E89" i="13"/>
  <c r="E328" i="13"/>
  <c r="G328" i="13" s="1"/>
  <c r="E357" i="13"/>
  <c r="E307" i="13"/>
  <c r="E303" i="13"/>
  <c r="G303" i="13" s="1"/>
  <c r="E301" i="13"/>
  <c r="G301" i="13" s="1"/>
  <c r="E281" i="13"/>
  <c r="E261" i="13"/>
  <c r="G261" i="13" s="1"/>
  <c r="E259" i="13"/>
  <c r="G259" i="13" s="1"/>
  <c r="E254" i="13"/>
  <c r="G254" i="13" s="1"/>
  <c r="E252" i="13"/>
  <c r="G252" i="13" s="1"/>
  <c r="E247" i="13"/>
  <c r="G247" i="13" s="1"/>
  <c r="E245" i="13"/>
  <c r="G245" i="13" s="1"/>
  <c r="E231" i="13"/>
  <c r="G231" i="13" s="1"/>
  <c r="E229" i="13"/>
  <c r="G229" i="13" s="1"/>
  <c r="E221" i="13"/>
  <c r="G221" i="13" s="1"/>
  <c r="E219" i="13"/>
  <c r="G219" i="13" s="1"/>
  <c r="E214" i="13"/>
  <c r="G214" i="13" s="1"/>
  <c r="E212" i="13"/>
  <c r="G212" i="13" s="1"/>
  <c r="E198" i="13"/>
  <c r="G198" i="13" s="1"/>
  <c r="E196" i="13"/>
  <c r="G196" i="13" s="1"/>
  <c r="E207" i="13"/>
  <c r="G207" i="13" s="1"/>
  <c r="E205" i="13"/>
  <c r="G205" i="13" s="1"/>
  <c r="E193" i="13"/>
  <c r="G193" i="13" s="1"/>
  <c r="E190" i="13"/>
  <c r="G190" i="13" s="1"/>
  <c r="E184" i="13"/>
  <c r="G184" i="13" s="1"/>
  <c r="E178" i="13"/>
  <c r="G178" i="13" s="1"/>
  <c r="E172" i="13"/>
  <c r="G172" i="13" s="1"/>
  <c r="E169" i="13"/>
  <c r="G169" i="13" s="1"/>
  <c r="E167" i="13"/>
  <c r="G167" i="13" s="1"/>
  <c r="E161" i="13"/>
  <c r="G161" i="13" s="1"/>
  <c r="E157" i="13"/>
  <c r="E152" i="13"/>
  <c r="G152" i="13" s="1"/>
  <c r="E84" i="13"/>
  <c r="G84" i="13" s="1"/>
  <c r="E80" i="13"/>
  <c r="G80" i="13" s="1"/>
  <c r="E77" i="13"/>
  <c r="G77" i="13" s="1"/>
  <c r="E73" i="13"/>
  <c r="G73" i="13" s="1"/>
  <c r="E70" i="13"/>
  <c r="G70" i="13" s="1"/>
  <c r="E67" i="13"/>
  <c r="G67" i="13" s="1"/>
  <c r="E63" i="13"/>
  <c r="G63" i="13" s="1"/>
  <c r="E60" i="13"/>
  <c r="G60" i="13" s="1"/>
  <c r="E55" i="13"/>
  <c r="G55" i="13" s="1"/>
  <c r="E53" i="13"/>
  <c r="G53" i="13" s="1"/>
  <c r="E50" i="13"/>
  <c r="G50" i="13" s="1"/>
  <c r="E48" i="13"/>
  <c r="G48" i="13" s="1"/>
  <c r="E40" i="13"/>
  <c r="G40" i="13" s="1"/>
  <c r="E38" i="13"/>
  <c r="G38" i="13" s="1"/>
  <c r="E23" i="13"/>
  <c r="G23" i="13" s="1"/>
  <c r="E29" i="13"/>
  <c r="G29" i="13" s="1"/>
  <c r="E15" i="13"/>
  <c r="G15" i="13" s="1"/>
  <c r="E10" i="13"/>
  <c r="G10" i="13" s="1"/>
  <c r="E8" i="13"/>
  <c r="G8" i="13" s="1"/>
  <c r="B24" i="15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2" i="14" s="1"/>
  <c r="B43" i="14" s="1"/>
  <c r="B44" i="14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E202" i="13"/>
  <c r="G202" i="13" s="1"/>
  <c r="E298" i="13"/>
  <c r="B319" i="13"/>
  <c r="B320" i="13" s="1"/>
  <c r="E320" i="13"/>
  <c r="E45" i="13"/>
  <c r="B33" i="13" l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G157" i="13"/>
  <c r="E156" i="13"/>
  <c r="O75" i="14"/>
  <c r="Q75" i="14" s="1"/>
  <c r="K75" i="14"/>
  <c r="I9" i="14"/>
  <c r="K10" i="14"/>
  <c r="O20" i="14"/>
  <c r="Q20" i="14" s="1"/>
  <c r="K20" i="14"/>
  <c r="I29" i="14"/>
  <c r="K31" i="14"/>
  <c r="O72" i="14"/>
  <c r="Q72" i="14" s="1"/>
  <c r="K72" i="14"/>
  <c r="E109" i="13"/>
  <c r="G109" i="13" s="1"/>
  <c r="G111" i="13"/>
  <c r="E137" i="13"/>
  <c r="G137" i="13" s="1"/>
  <c r="G139" i="13"/>
  <c r="E141" i="13"/>
  <c r="G141" i="13" s="1"/>
  <c r="G143" i="13"/>
  <c r="E145" i="13"/>
  <c r="G145" i="13" s="1"/>
  <c r="G146" i="13"/>
  <c r="E356" i="13"/>
  <c r="G357" i="13"/>
  <c r="E44" i="13"/>
  <c r="G44" i="13" s="1"/>
  <c r="G45" i="13"/>
  <c r="E88" i="13"/>
  <c r="G88" i="13" s="1"/>
  <c r="G89" i="13"/>
  <c r="E93" i="13"/>
  <c r="G95" i="13"/>
  <c r="E113" i="13"/>
  <c r="G113" i="13" s="1"/>
  <c r="G115" i="13"/>
  <c r="E117" i="13"/>
  <c r="G117" i="13" s="1"/>
  <c r="G119" i="13"/>
  <c r="E125" i="13"/>
  <c r="G125" i="13" s="1"/>
  <c r="G127" i="13"/>
  <c r="E147" i="13"/>
  <c r="G147" i="13" s="1"/>
  <c r="G148" i="13"/>
  <c r="E306" i="13"/>
  <c r="G306" i="13" s="1"/>
  <c r="G307" i="13"/>
  <c r="E97" i="13"/>
  <c r="G97" i="13" s="1"/>
  <c r="G99" i="13"/>
  <c r="E121" i="13"/>
  <c r="G121" i="13" s="1"/>
  <c r="G123" i="13"/>
  <c r="E129" i="13"/>
  <c r="G129" i="13" s="1"/>
  <c r="G131" i="13"/>
  <c r="E265" i="13"/>
  <c r="G281" i="13"/>
  <c r="E295" i="13"/>
  <c r="G295" i="13" s="1"/>
  <c r="G298" i="13"/>
  <c r="E101" i="13"/>
  <c r="G101" i="13" s="1"/>
  <c r="G103" i="13"/>
  <c r="E133" i="13"/>
  <c r="G133" i="13" s="1"/>
  <c r="G135" i="13"/>
  <c r="E149" i="13"/>
  <c r="G149" i="13" s="1"/>
  <c r="G151" i="13"/>
  <c r="E105" i="13"/>
  <c r="G105" i="13" s="1"/>
  <c r="G107" i="13"/>
  <c r="E319" i="13"/>
  <c r="G320" i="13"/>
  <c r="B321" i="13"/>
  <c r="B322" i="13" s="1"/>
  <c r="B323" i="13" s="1"/>
  <c r="B324" i="13" s="1"/>
  <c r="B325" i="13" s="1"/>
  <c r="B326" i="13" s="1"/>
  <c r="B327" i="13" s="1"/>
  <c r="B328" i="13" s="1"/>
  <c r="B329" i="13" s="1"/>
  <c r="E228" i="13"/>
  <c r="E218" i="13"/>
  <c r="B25" i="15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5" i="14"/>
  <c r="B46" i="14" s="1"/>
  <c r="B47" i="14" s="1"/>
  <c r="E47" i="13"/>
  <c r="E211" i="13"/>
  <c r="E251" i="13"/>
  <c r="E244" i="13"/>
  <c r="E300" i="13"/>
  <c r="E204" i="13"/>
  <c r="E195" i="13"/>
  <c r="E7" i="13"/>
  <c r="E258" i="13"/>
  <c r="G258" i="13" s="1"/>
  <c r="E22" i="13"/>
  <c r="G22" i="13" s="1"/>
  <c r="G156" i="13"/>
  <c r="O10" i="14"/>
  <c r="Q10" i="14" s="1"/>
  <c r="I19" i="14"/>
  <c r="I74" i="14"/>
  <c r="O31" i="14"/>
  <c r="Q31" i="14" s="1"/>
  <c r="O67" i="14"/>
  <c r="Q67" i="14" s="1"/>
  <c r="I65" i="14"/>
  <c r="O17" i="14"/>
  <c r="Q17" i="14" s="1"/>
  <c r="I16" i="14"/>
  <c r="O24" i="14"/>
  <c r="Q24" i="14" s="1"/>
  <c r="I22" i="14"/>
  <c r="O46" i="14"/>
  <c r="Q46" i="14" s="1"/>
  <c r="G93" i="13" l="1"/>
  <c r="O74" i="14"/>
  <c r="Q74" i="14" s="1"/>
  <c r="K74" i="14"/>
  <c r="O19" i="14"/>
  <c r="Q19" i="14" s="1"/>
  <c r="K19" i="14"/>
  <c r="O29" i="14"/>
  <c r="Q29" i="14" s="1"/>
  <c r="K29" i="14"/>
  <c r="O65" i="14"/>
  <c r="Q65" i="14" s="1"/>
  <c r="K65" i="14"/>
  <c r="O22" i="14"/>
  <c r="Q22" i="14" s="1"/>
  <c r="K22" i="14"/>
  <c r="O9" i="14"/>
  <c r="Q9" i="14" s="1"/>
  <c r="K9" i="14"/>
  <c r="O16" i="14"/>
  <c r="Q16" i="14" s="1"/>
  <c r="K16" i="14"/>
  <c r="E87" i="13"/>
  <c r="G87" i="13" s="1"/>
  <c r="G204" i="13"/>
  <c r="G300" i="13"/>
  <c r="G244" i="13"/>
  <c r="G251" i="13"/>
  <c r="G211" i="13"/>
  <c r="G47" i="13"/>
  <c r="E264" i="13"/>
  <c r="G264" i="13" s="1"/>
  <c r="G265" i="13"/>
  <c r="G218" i="13"/>
  <c r="E355" i="13"/>
  <c r="G356" i="13"/>
  <c r="G228" i="13"/>
  <c r="E92" i="13"/>
  <c r="G195" i="13"/>
  <c r="E6" i="13"/>
  <c r="G6" i="13" s="1"/>
  <c r="G7" i="13"/>
  <c r="E318" i="13"/>
  <c r="G319" i="13"/>
  <c r="B330" i="13"/>
  <c r="B331" i="13" s="1"/>
  <c r="B332" i="13" s="1"/>
  <c r="B48" i="14"/>
  <c r="B49" i="14" s="1"/>
  <c r="B51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2" i="14" s="1"/>
  <c r="B73" i="14" s="1"/>
  <c r="B74" i="14" s="1"/>
  <c r="B75" i="14" s="1"/>
  <c r="B76" i="14" s="1"/>
  <c r="B50" i="13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44" i="15"/>
  <c r="I8" i="14"/>
  <c r="E21" i="13" l="1"/>
  <c r="G21" i="13" s="1"/>
  <c r="B333" i="13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O8" i="14"/>
  <c r="Q8" i="14" s="1"/>
  <c r="K8" i="14"/>
  <c r="G355" i="13"/>
  <c r="E327" i="13"/>
  <c r="G327" i="13" s="1"/>
  <c r="G92" i="13"/>
  <c r="E359" i="13"/>
  <c r="G359" i="13" s="1"/>
  <c r="E263" i="13"/>
  <c r="G263" i="13" s="1"/>
  <c r="E366" i="13"/>
  <c r="G366" i="13" s="1"/>
  <c r="G4" i="15"/>
  <c r="I4" i="15" s="1"/>
  <c r="B69" i="13"/>
  <c r="B70" i="13" s="1"/>
  <c r="B71" i="13" s="1"/>
  <c r="B72" i="13" s="1"/>
  <c r="B73" i="13" s="1"/>
  <c r="B74" i="13" s="1"/>
  <c r="B77" i="14"/>
  <c r="E312" i="13"/>
  <c r="J14" i="15"/>
  <c r="L14" i="15" s="1"/>
  <c r="J7" i="15"/>
  <c r="L7" i="15" s="1"/>
  <c r="J9" i="15"/>
  <c r="L9" i="15" s="1"/>
  <c r="I7" i="14"/>
  <c r="K7" i="14" s="1"/>
  <c r="E365" i="13" l="1"/>
  <c r="G312" i="13"/>
  <c r="D6" i="15"/>
  <c r="F6" i="15" s="1"/>
  <c r="B75" i="13"/>
  <c r="B76" i="13" s="1"/>
  <c r="B77" i="13" s="1"/>
  <c r="B78" i="13" s="1"/>
  <c r="B79" i="13" s="1"/>
  <c r="B80" i="13" s="1"/>
  <c r="B81" i="13" s="1"/>
  <c r="B82" i="13" s="1"/>
  <c r="D4" i="15"/>
  <c r="F4" i="15" s="1"/>
  <c r="J10" i="15"/>
  <c r="L10" i="15" s="1"/>
  <c r="J8" i="15"/>
  <c r="L8" i="15" s="1"/>
  <c r="B83" i="13" l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E367" i="13"/>
  <c r="G365" i="13"/>
  <c r="J4" i="15"/>
  <c r="L4" i="15" s="1"/>
  <c r="J11" i="15"/>
  <c r="L11" i="15" s="1"/>
  <c r="G367" i="13" l="1"/>
  <c r="B115" i="13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J16" i="15"/>
  <c r="L16" i="15" s="1"/>
  <c r="J15" i="15"/>
  <c r="L15" i="15" s="1"/>
  <c r="J13" i="15"/>
  <c r="L13" i="15" s="1"/>
  <c r="B143" i="13" l="1"/>
  <c r="B144" i="13" s="1"/>
  <c r="B145" i="13" s="1"/>
  <c r="B146" i="13" s="1"/>
  <c r="B147" i="13" s="1"/>
  <c r="B148" i="13" s="1"/>
  <c r="B149" i="13" s="1"/>
  <c r="B150" i="13" s="1"/>
  <c r="B151" i="13" l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l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l="1"/>
  <c r="B198" i="13" s="1"/>
  <c r="B199" i="13" s="1"/>
  <c r="B200" i="13" s="1"/>
  <c r="O51" i="14"/>
  <c r="Q51" i="14" s="1"/>
  <c r="L44" i="14"/>
  <c r="N44" i="14" s="1"/>
  <c r="B201" i="13" l="1"/>
  <c r="B202" i="13" s="1"/>
  <c r="B203" i="13" s="1"/>
  <c r="B204" i="13" s="1"/>
  <c r="B205" i="13" s="1"/>
  <c r="B206" i="13" s="1"/>
  <c r="B207" i="13" s="1"/>
  <c r="O44" i="14"/>
  <c r="Q44" i="14" s="1"/>
  <c r="L7" i="14"/>
  <c r="N7" i="14" l="1"/>
  <c r="B208" i="13"/>
  <c r="O7" i="14"/>
  <c r="Q7" i="14" s="1"/>
  <c r="G6" i="15"/>
  <c r="I6" i="15" s="1"/>
  <c r="B209" i="13" l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J6" i="15"/>
  <c r="L6" i="15" s="1"/>
  <c r="G5" i="15"/>
  <c r="I5" i="15" s="1"/>
  <c r="B223" i="13" l="1"/>
  <c r="B224" i="13" s="1"/>
  <c r="G19" i="15"/>
  <c r="I19" i="15" s="1"/>
  <c r="B225" i="13" l="1"/>
  <c r="B226" i="13" s="1"/>
  <c r="B227" i="13" s="1"/>
  <c r="B228" i="13" s="1"/>
  <c r="B229" i="13" s="1"/>
  <c r="B230" i="13" s="1"/>
  <c r="B231" i="13" s="1"/>
  <c r="B232" i="13" s="1"/>
  <c r="B233" i="13" l="1"/>
  <c r="B234" i="13" s="1"/>
  <c r="B235" i="13" l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l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l="1"/>
  <c r="B282" i="13" s="1"/>
  <c r="B283" i="13" s="1"/>
  <c r="B284" i="13" s="1"/>
  <c r="B285" i="13" s="1"/>
  <c r="B286" i="13" s="1"/>
  <c r="B287" i="13" s="1"/>
  <c r="B288" i="13" s="1"/>
  <c r="B289" i="13" s="1"/>
  <c r="B290" i="13" l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D12" i="15" l="1"/>
  <c r="F12" i="15" s="1"/>
  <c r="J12" i="15" l="1"/>
  <c r="L12" i="15" s="1"/>
  <c r="D5" i="15"/>
  <c r="F5" i="15" s="1"/>
  <c r="D18" i="15" l="1"/>
  <c r="F18" i="15" s="1"/>
  <c r="J5" i="15"/>
  <c r="L5" i="15" s="1"/>
  <c r="J20" i="15" l="1"/>
  <c r="J44" i="15" l="1"/>
  <c r="L20" i="15"/>
</calcChain>
</file>

<file path=xl/sharedStrings.xml><?xml version="1.0" encoding="utf-8"?>
<sst xmlns="http://schemas.openxmlformats.org/spreadsheetml/2006/main" count="2978" uniqueCount="728">
  <si>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</si>
  <si>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</si>
  <si>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</si>
  <si>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</si>
  <si>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</si>
  <si>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</si>
  <si>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</si>
  <si>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</si>
  <si>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</si>
  <si>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</si>
  <si>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</si>
  <si>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</si>
  <si>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</si>
  <si>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</si>
  <si>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</si>
  <si>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</si>
  <si>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</si>
  <si>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</si>
  <si>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</si>
  <si>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</si>
  <si>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</si>
  <si>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</si>
  <si>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</si>
  <si>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</si>
  <si>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</si>
  <si>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</si>
  <si>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</si>
  <si>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</si>
  <si>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</si>
  <si>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</si>
  <si>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</si>
  <si>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</si>
  <si>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</si>
  <si>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</si>
  <si>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</si>
  <si>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</si>
  <si>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</si>
  <si>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</si>
  <si>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</si>
  <si>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</si>
  <si>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</si>
  <si>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</si>
  <si>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</si>
  <si>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</si>
  <si>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</si>
  <si>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</si>
  <si>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</si>
  <si>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</si>
  <si>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</si>
  <si>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</si>
  <si>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</si>
  <si>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</si>
  <si>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</si>
  <si>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</si>
  <si>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</si>
  <si>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</si>
  <si>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</si>
  <si>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</si>
  <si>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</si>
  <si>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</si>
  <si>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</si>
  <si>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</si>
  <si>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</si>
  <si>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</si>
  <si>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</si>
  <si>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</si>
  <si>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</si>
  <si>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</si>
  <si>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</si>
  <si>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</si>
  <si>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</si>
  <si>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</si>
  <si>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</si>
  <si>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</si>
  <si>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</si>
  <si>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</si>
  <si>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</si>
  <si>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</si>
  <si>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</si>
  <si>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</si>
  <si>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</si>
  <si>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</si>
  <si>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</si>
  <si>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</si>
  <si>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</si>
  <si>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</si>
  <si>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</si>
  <si>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</si>
  <si>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</si>
  <si>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</si>
  <si>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</si>
  <si>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</si>
  <si>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</si>
  <si>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</si>
  <si>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</si>
  <si>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</si>
  <si>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</si>
  <si>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</si>
  <si>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</si>
  <si>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</si>
  <si>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</si>
  <si>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</si>
  <si>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</si>
  <si>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</si>
  <si>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</si>
  <si>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</si>
  <si>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</si>
  <si>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</si>
  <si>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</si>
  <si>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</si>
  <si>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</si>
  <si>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</si>
  <si>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</si>
  <si>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</si>
  <si>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</si>
  <si>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</si>
  <si>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</si>
  <si>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</si>
  <si>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</si>
  <si>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</si>
  <si>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</si>
  <si>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</si>
  <si>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</si>
  <si>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</si>
  <si>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</si>
  <si>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</si>
  <si>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</si>
  <si>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</si>
  <si>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</si>
  <si>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</si>
  <si>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</si>
  <si>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</si>
  <si>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</si>
  <si>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</si>
  <si>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</si>
  <si>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</si>
  <si>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</si>
  <si>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</si>
  <si>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</si>
  <si>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</si>
  <si>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</si>
  <si>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</si>
  <si>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</si>
  <si>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</si>
  <si>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</si>
  <si>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</si>
  <si>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</si>
  <si>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</si>
  <si>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</si>
  <si>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</si>
  <si>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</si>
  <si>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</si>
  <si>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</si>
  <si>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</si>
  <si>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</si>
  <si>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</si>
  <si>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</si>
  <si>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</si>
  <si>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</si>
  <si>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</si>
  <si>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</si>
  <si>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</si>
  <si>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</si>
  <si>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</si>
  <si>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</si>
  <si>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</si>
  <si>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</si>
  <si>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</si>
  <si>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</si>
  <si>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</si>
  <si>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</si>
  <si>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</si>
  <si>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</si>
  <si>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</si>
  <si>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</si>
  <si>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</si>
  <si>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</si>
  <si>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</si>
  <si>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</si>
  <si>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</si>
  <si>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</si>
  <si>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</si>
  <si>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</si>
  <si>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</si>
  <si>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</si>
  <si>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</si>
  <si>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</si>
  <si>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</si>
  <si>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</si>
  <si>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</si>
  <si>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</si>
  <si>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</si>
  <si>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</si>
  <si>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</si>
  <si>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</si>
  <si>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</si>
  <si>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</si>
  <si>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</si>
  <si>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</si>
  <si>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</si>
  <si>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</si>
  <si>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</si>
  <si>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</si>
  <si>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</si>
  <si>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</si>
  <si>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</si>
  <si>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</si>
  <si>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</si>
  <si>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</si>
  <si>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</si>
  <si>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</si>
  <si>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</si>
  <si>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</si>
  <si>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</si>
  <si>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</si>
  <si>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</si>
  <si>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</si>
  <si>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</si>
  <si>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</si>
  <si>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</si>
  <si>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</si>
  <si>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</si>
  <si>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</si>
  <si>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</si>
  <si>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</si>
  <si>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</si>
  <si>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</si>
  <si>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</si>
  <si>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</si>
  <si>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</si>
  <si>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</si>
  <si>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</si>
  <si>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</si>
  <si>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</si>
  <si>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</si>
  <si>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</si>
  <si>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</si>
  <si>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</si>
  <si>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Ochrana prostredie pre život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</si>
  <si>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</si>
  <si>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</si>
  <si>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</si>
  <si>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</si>
  <si>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</si>
  <si>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</si>
  <si>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</si>
  <si>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</si>
  <si>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</si>
  <si>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</si>
  <si>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</si>
  <si>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</si>
  <si>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</si>
  <si>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</si>
  <si>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</si>
  <si>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</si>
  <si>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</si>
  <si>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</si>
  <si>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</si>
  <si>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</si>
  <si>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</si>
  <si>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</si>
  <si>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</si>
  <si>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</si>
  <si>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</si>
  <si>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</si>
  <si>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</si>
  <si>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ESF projekt</t>
  </si>
  <si>
    <t>Dotácia na rekonštrukciu Zimného štadióna Pavla Demitru</t>
  </si>
  <si>
    <t>Rekonštrukcia Zimného štadióna Pavla Demitru</t>
  </si>
  <si>
    <t>Skatepark</t>
  </si>
  <si>
    <t>Transfery nefinančným subjektom</t>
  </si>
  <si>
    <t>Polopodzemné kontajnery</t>
  </si>
  <si>
    <t>ŠJ HEES súkromné stravovacie zariadenie</t>
  </si>
  <si>
    <t>Statická doprava Bavlnárska ul.</t>
  </si>
  <si>
    <t>Zo štátneho účelového fondu</t>
  </si>
  <si>
    <t>Enviromentálny fond</t>
  </si>
  <si>
    <t>Evidencia obyvateľstva</t>
  </si>
  <si>
    <t>Matrika</t>
  </si>
  <si>
    <t>Školstvo - prenesené kompetencie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</si>
  <si>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</si>
  <si>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</si>
  <si>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</si>
  <si>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</si>
  <si>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</si>
  <si>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</si>
  <si>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</si>
  <si>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</si>
  <si>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</si>
  <si>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</si>
  <si>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</si>
  <si>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</si>
  <si>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Priechod pre chodcov Ul.Dolné Pažite (podsvietený,nadsvietený)</t>
  </si>
  <si>
    <t>Cyklotrasa Juh-centrum - III.etapa (cintorín - kruhový objazd pod Juhom)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</si>
  <si>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</si>
  <si>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</si>
  <si>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</si>
  <si>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</si>
  <si>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</si>
  <si>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</si>
  <si>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</si>
  <si>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</si>
  <si>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</si>
  <si>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</si>
  <si>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</si>
  <si>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</si>
  <si>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</si>
  <si>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</si>
  <si>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v detských jasliach</t>
  </si>
  <si>
    <t>Za stravné zamestnanci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</si>
  <si>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</si>
  <si>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</si>
  <si>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</si>
  <si>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poplatok za vlastný spotrebič</t>
  </si>
  <si>
    <t>Za predaj výrobkov, tovarov a služieb - stravovanie</t>
  </si>
  <si>
    <t>Zariadenie opatrovateľske služby - 24 hod starostlivosť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</si>
  <si>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</si>
  <si>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</si>
  <si>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</si>
  <si>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</si>
  <si>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</si>
  <si>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</si>
  <si>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Súťaže zo ŠR</t>
  </si>
  <si>
    <t>Strava pre deti v hmotnej núdzi ( vr.obedov zadarmo)</t>
  </si>
  <si>
    <t>Dary pre SSMT m.r.o.</t>
  </si>
  <si>
    <t>Územnoplánovacie podklady a dokumentácie, zmeny a doplnky ÚPN</t>
  </si>
  <si>
    <t>Členské do OOCR</t>
  </si>
  <si>
    <t xml:space="preserve">Nákup objektov   </t>
  </si>
  <si>
    <t>Nákup pozemkov</t>
  </si>
  <si>
    <t>Softvér</t>
  </si>
  <si>
    <t>Hardvér</t>
  </si>
  <si>
    <t>Maják na auto</t>
  </si>
  <si>
    <t>Osobné motorové vozidlo</t>
  </si>
  <si>
    <t>Kolomaž o.z. - Sám na javisku</t>
  </si>
  <si>
    <t>Pohoda Festival s.r.o. - Festival Pohoda</t>
  </si>
  <si>
    <t>Stredisko Soblahov a Brezina</t>
  </si>
  <si>
    <t>Poradensko - bytové problémy</t>
  </si>
  <si>
    <t>Dotácie</t>
  </si>
  <si>
    <t>Rekonštrukcia sociálnych zariadení</t>
  </si>
  <si>
    <t>Konvektomat</t>
  </si>
  <si>
    <t>Služby (KIS)</t>
  </si>
  <si>
    <t>Zabezpečenie činnosti KIC</t>
  </si>
  <si>
    <t>Zníženie en.náročnosti jaslí 28.októbra</t>
  </si>
  <si>
    <t>Realizácia stavieb a ich technickéhoo zhodnotenia</t>
  </si>
  <si>
    <t>Príjmy</t>
  </si>
  <si>
    <t>Výdavky</t>
  </si>
  <si>
    <t>453: Nevyčerpané dotácie z predchádzajúcich rokov</t>
  </si>
  <si>
    <t>821: Splácanie istiny z dlhodobých bankových úverov</t>
  </si>
  <si>
    <t>821: ŠFRB - splácanie istiny</t>
  </si>
  <si>
    <t>Tovary a služby (KP)</t>
  </si>
  <si>
    <t>Tovary a služby (INFO)</t>
  </si>
  <si>
    <t>Cyklotrasy</t>
  </si>
  <si>
    <t>Nové parkovacie miesta</t>
  </si>
  <si>
    <t>Rezerva na financovanie neštatnych školských zariadení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</si>
  <si>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</si>
  <si>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</si>
  <si>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</si>
  <si>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</si>
  <si>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</si>
  <si>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</si>
  <si>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</si>
  <si>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</si>
  <si>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</si>
  <si>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</si>
  <si>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</si>
  <si>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</si>
  <si>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</si>
  <si>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</si>
  <si>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</si>
  <si>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</si>
  <si>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</si>
  <si>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</si>
  <si>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</si>
  <si>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</si>
  <si>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</si>
  <si>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</si>
  <si>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</si>
  <si>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</si>
  <si>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</si>
  <si>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</si>
  <si>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Projektové dokumentácie pre projekty EÚ</t>
  </si>
  <si>
    <t>Nový cintorín</t>
  </si>
  <si>
    <t>Nová preložka Chynoranská trať</t>
  </si>
  <si>
    <t>Nový priechod pre chodcov M.Bela</t>
  </si>
  <si>
    <t>Priechod pre chodcov - konečná Armádna - Sibírska</t>
  </si>
  <si>
    <t>Revitalizácia priestoru pri KS v Záblatí</t>
  </si>
  <si>
    <t>Európske hlavné mesto kultúry 2026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</si>
  <si>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</si>
  <si>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</si>
  <si>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</si>
  <si>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</si>
  <si>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</si>
  <si>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Most Orechové</t>
  </si>
  <si>
    <t xml:space="preserve">KS Dlhé Hony   </t>
  </si>
  <si>
    <t>Priemyselná sušička</t>
  </si>
  <si>
    <t>PROGRAM   8: ŠPORT A ODDYCH</t>
  </si>
  <si>
    <t>Program   8: ŠPORT A ODDYCH</t>
  </si>
  <si>
    <t>Program   7: VZDELÁVANIE</t>
  </si>
  <si>
    <t>Program   5: BEZPEČNOSŤ</t>
  </si>
  <si>
    <t>Priemyselná práčka</t>
  </si>
  <si>
    <t>Evakuačný výťah</t>
  </si>
  <si>
    <t>Sociálny šatník</t>
  </si>
  <si>
    <t>Z činnosti CKKP Hviezda</t>
  </si>
  <si>
    <t>0721</t>
  </si>
  <si>
    <t>Doplatok straty</t>
  </si>
  <si>
    <t>Integrovaný dopravný systém</t>
  </si>
  <si>
    <t>Revitalizácia Námestia sv. Anny</t>
  </si>
  <si>
    <t>Plošina pre imobilných</t>
  </si>
  <si>
    <t>Verejné osvetlenie - rekonštrukcia</t>
  </si>
  <si>
    <t>Chodník + ostrovček na Kamenci (Vinohrady)</t>
  </si>
  <si>
    <t>Križovatka pod Juhom s napojením na nový most</t>
  </si>
  <si>
    <t>Priechod pre chodcov - Legionárska CSS</t>
  </si>
  <si>
    <t>Priechod pre chodcov - Zimný štadión CSS</t>
  </si>
  <si>
    <t>Priechod pre chodcov - Zlatovská CSS</t>
  </si>
  <si>
    <t>Saratovská - Partizánska - prepojenie</t>
  </si>
  <si>
    <t>Ul. 28. októbra</t>
  </si>
  <si>
    <t>Zimný štadión - fotovoltika</t>
  </si>
  <si>
    <t>Revitalizácia nám. Sv. Anny</t>
  </si>
  <si>
    <t>Z prenájmov - Hviezda</t>
  </si>
  <si>
    <t>Za predaj výrobkov, tovarov a služieb - upratovanie, pranie, žehlenie</t>
  </si>
  <si>
    <t>Kreatívny inštitút Trenčín, n.o. - dotácia na kapitálové výdavky</t>
  </si>
  <si>
    <t>Detašované pracoviská Denného centra Sihoť</t>
  </si>
  <si>
    <t>Rekonštrukcia nájomného bytu</t>
  </si>
  <si>
    <t>Služby (plavecký výcvik)</t>
  </si>
  <si>
    <t>Splácanie úrokov a ostatné platby súvisiace s úverom</t>
  </si>
  <si>
    <t>Z termínovaných vkladov</t>
  </si>
  <si>
    <t>Fond na podporu športu - Výmena palubovej podlahy a mobilných tribún</t>
  </si>
  <si>
    <t>Župný dom - posudky a výskumy</t>
  </si>
  <si>
    <t>Priechod pri Merkury markete</t>
  </si>
  <si>
    <t>Revitalizácia Parku Gen. M.R.Štefánika</t>
  </si>
  <si>
    <t>Trenčiansky luh - revitalizácia Rekreačno - vzdelávacej zóny</t>
  </si>
  <si>
    <t xml:space="preserve">Park Zlatovce   </t>
  </si>
  <si>
    <t>Schodok kapitálového rozpočtu</t>
  </si>
  <si>
    <t>Schodok rozpočtu spolu</t>
  </si>
  <si>
    <t>Stravovanie žiakov</t>
  </si>
  <si>
    <t>Dotácie na výnimočné akcie (projekty)</t>
  </si>
  <si>
    <t>Dotácie na šport (činnosť)</t>
  </si>
  <si>
    <t>Inštitút participácie</t>
  </si>
  <si>
    <t>R O Z P O Č E T    2025</t>
  </si>
  <si>
    <t>;</t>
  </si>
  <si>
    <t>454: Prevod z rezervného fondu  - Most Orechové</t>
  </si>
  <si>
    <t>513: Prijatie dlhodobého úveru - ČSOB a.s. 2023</t>
  </si>
  <si>
    <t>Poplatok za rozvoj</t>
  </si>
  <si>
    <t>Z predaja bytov</t>
  </si>
  <si>
    <t>Interiéry Zelený most - ulica (Fiesta)</t>
  </si>
  <si>
    <t>Komunitné centrum Dlhé Hony</t>
  </si>
  <si>
    <t>Komunitné centrum Dlhé Hony - vybavenie</t>
  </si>
  <si>
    <t>Pontóny na Váhu</t>
  </si>
  <si>
    <t>Regenerácia vnútrobloku Opávia na Beckovskej ulici v Trenčíne</t>
  </si>
  <si>
    <t>Revitalizácia Hviezdoslavovej ulice</t>
  </si>
  <si>
    <t>Zelený most  - ulica (Fiesta)</t>
  </si>
  <si>
    <t>Zníženie energetickej náročnosti budovy Detských jaslí na ulici 28.októbra</t>
  </si>
  <si>
    <t>ZŠ Dlhé Hony - jedáleň, kuchyňa, bežecký ovál, volejbalové ihrisko</t>
  </si>
  <si>
    <t>Nákup pozemkov pre Opatovský cintorín</t>
  </si>
  <si>
    <t>Verejné WC - rekonštrukcia interiéru</t>
  </si>
  <si>
    <t>Osvetlenie spojovacieho chodníka ul. Školská a Bavlnárska</t>
  </si>
  <si>
    <t>Autobusové prístrešky Hanzlíkovská</t>
  </si>
  <si>
    <t>Parkovisko Družba - rampový systém</t>
  </si>
  <si>
    <t>Kukučínova ul. - dolná</t>
  </si>
  <si>
    <t>Nové prepojenie Južná ul. a Halalovka</t>
  </si>
  <si>
    <t>Odvodnenie pri cintoríne Opatová</t>
  </si>
  <si>
    <t>Parkovacie miesta ul. Orechovská od kostola po križovatku s Chotárnou</t>
  </si>
  <si>
    <t>Chodník a parkovisko ul. Inovecká 1137</t>
  </si>
  <si>
    <t>Nový chodník z ul. Gen. Svobodu na ul. Halalovku</t>
  </si>
  <si>
    <t>Dopravné značenie</t>
  </si>
  <si>
    <t xml:space="preserve">MŠ Novomeského </t>
  </si>
  <si>
    <t xml:space="preserve">Vyvýšený priechod   </t>
  </si>
  <si>
    <t>Rekonštrukcia - jedáleň,kuchyňa, bežecký ovál, volejbalové ihrisko</t>
  </si>
  <si>
    <t>Obnova základnej školy</t>
  </si>
  <si>
    <t>Revitalizácia vnútrobloku sídlisko Kvetná</t>
  </si>
  <si>
    <t>Vnútroblok Nábrežná a Študentská</t>
  </si>
  <si>
    <t>Revitalizácia ulice 1.mája</t>
  </si>
  <si>
    <t>Zelený most - ulica (Fiesta)</t>
  </si>
  <si>
    <t>Kolomaž o.z. - Klub Lúč</t>
  </si>
  <si>
    <t>Klub priateľov vážnej hudby - Hudba pod hradom - jar, jeseň</t>
  </si>
  <si>
    <t xml:space="preserve">Komunitné centrum Dlhé Hony </t>
  </si>
  <si>
    <t>Revitalizácia ihriska a areálu KC Aktivity</t>
  </si>
  <si>
    <t>Kreatívny inštitút Trenčín n.o. - príspevok na správu a programové aktivity</t>
  </si>
  <si>
    <t>Materské centrum Srdiečko - dotácia na prevádzku</t>
  </si>
  <si>
    <t>NFP PPA - Bezpečný a atraktívny lesopark Brezina pre všetkých</t>
  </si>
  <si>
    <t>Výmena okien v novšej budove MsÚ</t>
  </si>
  <si>
    <t>Obnova bočného vstupu na cintorín</t>
  </si>
  <si>
    <t>Cyklotrasa Trenčín - Trenčianska Turná</t>
  </si>
  <si>
    <t>Nozdrkovce - cesta a chodníky</t>
  </si>
  <si>
    <t>Riešenie križovatky ul. Partizánska pri židovskom cintoríne</t>
  </si>
  <si>
    <t>2 zastávky na ul. M.Rázusa - rekonštrukcia</t>
  </si>
  <si>
    <t>Rekonštrukcia elektroinštalácie</t>
  </si>
  <si>
    <t xml:space="preserve">Herné prvky </t>
  </si>
  <si>
    <t>Nové osvetlenie a oplotenie futbalového štadióna Trenčín - Záblatie</t>
  </si>
  <si>
    <t>Detské ihrisko Žilinská ulica</t>
  </si>
  <si>
    <t>Ihrisko a objekt zázemia v Parku Gen. M.R.Štefánika</t>
  </si>
  <si>
    <t>LOOKA - projektová dokumentácia</t>
  </si>
  <si>
    <t xml:space="preserve">Regenerácia vnútrobloku OPAVIA na Beckovskej ulici </t>
  </si>
  <si>
    <t>Projekt z Finančného mechanizmu EHP (Európsky hospodársky priestor) a Nórskeho finančného mechanizmu</t>
  </si>
  <si>
    <t>Realizácia stojísk polopodzemných kontajnerov Juh</t>
  </si>
  <si>
    <t>454: Prevod z rezervného fondu - Výmena palubovej podlahy a mobilných tribún v športovej hale</t>
  </si>
  <si>
    <t>Z prenajatých budov, priestorov a objektov -  pódia a mobiliáru</t>
  </si>
  <si>
    <t>Z prenajatých strojov, prístrojov, zariadení, techniky a náradia - Hviezda</t>
  </si>
  <si>
    <t>MŠ Novomeského</t>
  </si>
  <si>
    <t>Prepravné</t>
  </si>
  <si>
    <t>Za predaj výrobkov, tovarov a služieb - pranie šatstva</t>
  </si>
  <si>
    <t>Terénna sociálna práca a komunitné práce</t>
  </si>
  <si>
    <t>821: Environfond - splácanie istiny</t>
  </si>
  <si>
    <t>Správa ŠZMT m.r.o.</t>
  </si>
  <si>
    <t>Rekreačné poukazy materské školy</t>
  </si>
  <si>
    <t>Zariadenie OS - Celoročný pobyt</t>
  </si>
  <si>
    <t>é</t>
  </si>
  <si>
    <t>KKC Hviezda</t>
  </si>
  <si>
    <t>814: Vklad do základného imania - vstup mesta do Integrovaného dopravného systému</t>
  </si>
  <si>
    <t>ŠJ pri S MŠ Štvorlístok, Orechovská 14</t>
  </si>
  <si>
    <t>ŠJ pri C MŠ sv. Andreja - Svorada a Benedikta</t>
  </si>
  <si>
    <t>Služby z príspevku z EF</t>
  </si>
  <si>
    <t>Školstvo - prenesené kompetencie - materské školy</t>
  </si>
  <si>
    <t>Technický sekretariát Kooperačnej rady Udržateľného mestského rozvoja Trenčín</t>
  </si>
  <si>
    <t>Mestské hospodárstvo a správa lesov, m.r.o.</t>
  </si>
  <si>
    <t>Projektový zámer Centra pre ekologické spracovanie odpadov Trenčín</t>
  </si>
  <si>
    <t xml:space="preserve">Obnova a oprava kultúrnej pamiatky - Vojenský cintorín </t>
  </si>
  <si>
    <t>Výmena interiérového osvetlenia Mestský úrad</t>
  </si>
  <si>
    <t>Výmena interiérového osvetlenia MHSL</t>
  </si>
  <si>
    <t>Výmena termoregulačných ventilov a hlavíc MHSL</t>
  </si>
  <si>
    <t xml:space="preserve">GRAPE AGENCY s.r.o. - Grape Festival </t>
  </si>
  <si>
    <t>GNSS SatLab SLC externá anténa</t>
  </si>
  <si>
    <t>Rekonštrukcia strechy budovy MHSL m.r.o.</t>
  </si>
  <si>
    <t>Dvere Dom smútku Juh</t>
  </si>
  <si>
    <t>Fasáda budovy Mestskej polície</t>
  </si>
  <si>
    <t>Vianočné osvetlenie</t>
  </si>
  <si>
    <t>Chodník a parkoviská Mládežnícka</t>
  </si>
  <si>
    <t>MK Rázusa po ZUŠ</t>
  </si>
  <si>
    <t>Cyklotrasa pod Juhom</t>
  </si>
  <si>
    <t>Lávka do alúvia</t>
  </si>
  <si>
    <t>Chodníky Brezina</t>
  </si>
  <si>
    <t>Motorové vozidlo na dovoz stravy do ZOS a ZPS</t>
  </si>
  <si>
    <t>Park v prírode alúvia Orechovského potoka</t>
  </si>
  <si>
    <t>Dotácia na rýchle opaterenia v budove Mestského úradu a v budove MHSL m.r.o.</t>
  </si>
  <si>
    <t xml:space="preserve">V ý d a v k y </t>
  </si>
  <si>
    <t>MŠ  Osvienčimská (Turkovej)</t>
  </si>
  <si>
    <t>MK J.Halašu - rekonštrukcia</t>
  </si>
  <si>
    <t>513: Prijatie dlhodobého úveru SLSP</t>
  </si>
  <si>
    <t xml:space="preserve">Monitorovanie a signalizácia potreby pomoci </t>
  </si>
  <si>
    <t>513: Prijatie nového úveru</t>
  </si>
  <si>
    <t>Záchytné parkovisko Biskupice</t>
  </si>
  <si>
    <t>Kreatívny inštitút n.o. - dotácia na Inštitút participácie</t>
  </si>
  <si>
    <t>ZFC 1939 Trenčín o.z. - dotácia na činnosť</t>
  </si>
  <si>
    <t>LampART - činnosť</t>
  </si>
  <si>
    <t>KIT n.o.</t>
  </si>
  <si>
    <t>Sever - suma na rozdelenie pre m.č.</t>
  </si>
  <si>
    <t>Župný dom - rekonštrukcia</t>
  </si>
  <si>
    <t>Grandvíno s.r.o. - Festival "Víno pod hradom"</t>
  </si>
  <si>
    <t xml:space="preserve">IPčko, občianske združenie - dotácia na prevádzku </t>
  </si>
  <si>
    <t>Zníženie en.náročnosti objektu zariadenia pre seniorov na Lavičkovej ulici</t>
  </si>
  <si>
    <t>Sanácia vlhosti suterénu MsÚ</t>
  </si>
  <si>
    <t>Klimatizácie v kanceláriach MsÚ</t>
  </si>
  <si>
    <t>Posuvné regále v archíve</t>
  </si>
  <si>
    <t>Autobusová stanica - nika, prístrešiky, označníky</t>
  </si>
  <si>
    <t>Zriadenie elektrických prípojok pre LED tabule</t>
  </si>
  <si>
    <t>M.Bela - autobusové prístrešky</t>
  </si>
  <si>
    <t>M.Bela - osadenie prístrešku</t>
  </si>
  <si>
    <t>Infraset - zariadenie na opravu výtlkov</t>
  </si>
  <si>
    <t>Prepojenie Železničnej stanice Zlatovce s Muškátovou ulicou</t>
  </si>
  <si>
    <t>Hrádza Riviéria - most na Ostrov</t>
  </si>
  <si>
    <t>Krytá plaváreň - rekonštrukcia strojovne úpravy vody na kúpanie</t>
  </si>
  <si>
    <t>Rekonštrukcia rímskeho nápisu na hradnom brale</t>
  </si>
  <si>
    <t>Rekonštrukcia priestorov pre klubovňu pre klientov</t>
  </si>
  <si>
    <t xml:space="preserve">Mestská veža - podbránie </t>
  </si>
  <si>
    <t xml:space="preserve">Podchod pri Hoteli Elizabeth </t>
  </si>
  <si>
    <t>Dočasná revitalizácia priestoru po modernizácií železničnej trate v centre Trenčína - LOOKa</t>
  </si>
  <si>
    <t>Verejné osvetlenie - rekonštrukcia 1. etapa</t>
  </si>
  <si>
    <t>Verejné osvetlenie - rekonštrukcia 2. etapa</t>
  </si>
  <si>
    <t>514: Prijatie úveru  z Environmentálneho fondu na rekonštrukciu verejného osvetlenia 1. etapa</t>
  </si>
  <si>
    <t>514: Prijatie úveru  z Environmentálneho fondu na rekonštrukciu verejného osvetlenia 2. etapa</t>
  </si>
  <si>
    <t>Stropný zdvíhací systém</t>
  </si>
  <si>
    <t xml:space="preserve">454: Prevod z rezervného fondu - predpokladaný HV </t>
  </si>
  <si>
    <t>Projektové dokumentácie</t>
  </si>
  <si>
    <t>Rekonštrukcia schodiska a stojiska pre kontajnery</t>
  </si>
  <si>
    <t>Statická doprava  Veľkomoravská ul.</t>
  </si>
  <si>
    <t>Úprava križovatky pri kostole Opatová - MHD</t>
  </si>
  <si>
    <t>Chodník Opatovská ul. k materskej škole</t>
  </si>
  <si>
    <t>Židovská náboženská obec v Trenčíne - dotácia na prevádzku a činnost</t>
  </si>
  <si>
    <t>Schválený rozpočet na rok 2025</t>
  </si>
  <si>
    <t>SHUFFLEBEAR s.r.o. - Záhradkár 2025</t>
  </si>
  <si>
    <t>Priechod pre chodcov a osvetlenie na križovatke Novomeského - J.Halašu - Šmidkeho</t>
  </si>
  <si>
    <t>Nový chodník z ul. Gen. Svobodu na ul. Halalovku pri BD 2839</t>
  </si>
  <si>
    <t>Rekonštrukcia chodníka Šmidkeho</t>
  </si>
  <si>
    <t>Rekonštrukcia schodov M.Bela 29</t>
  </si>
  <si>
    <t>Bezbarierové prepojenie od bytového domu 2711/12 smerom ku schodom a k ihrisku (Juh)</t>
  </si>
  <si>
    <t>Rekonštrukcia komunikáccie Šmidkeho 18-22</t>
  </si>
  <si>
    <t>Zabezpečenie križovatky pri zásobovaní Billa - Južanka</t>
  </si>
  <si>
    <t>Ul. Východná - začiatočný rádius okolo kostola</t>
  </si>
  <si>
    <t>Chodníky za Gen. Svobodu 3-11</t>
  </si>
  <si>
    <t>Multifunkčné ihrisko</t>
  </si>
  <si>
    <t>Rekonštrukcia šatní, 1.etapa</t>
  </si>
  <si>
    <t>Rekonštrukcia kotolne</t>
  </si>
  <si>
    <t>Park pod Juhom - bočný chodník pri podchode</t>
  </si>
  <si>
    <t>Dom smútku Kubrica</t>
  </si>
  <si>
    <t>Osvetlenie Zelnica</t>
  </si>
  <si>
    <t>Drobné zásahy v Opatovej</t>
  </si>
  <si>
    <t>Výmena podláh</t>
  </si>
  <si>
    <t>Rekonštrukcia kúpeľne</t>
  </si>
  <si>
    <t>Rekonštrukcia oplotenia</t>
  </si>
  <si>
    <t>Rekonštrukcia pieskoviska</t>
  </si>
  <si>
    <t>Nový chodník zadný vstup do MŠ</t>
  </si>
  <si>
    <t>Výmena tartanu</t>
  </si>
  <si>
    <t>Zateplenie telocvične</t>
  </si>
  <si>
    <t>Kuchynský robot</t>
  </si>
  <si>
    <t>Škrabka na zemiaky</t>
  </si>
  <si>
    <t>Rekonštrukcia oplotenia, múrikov</t>
  </si>
  <si>
    <t>Futbalový klub TFK Opatová - rekonštrukcia areálu</t>
  </si>
  <si>
    <t>Pamätník P.Demitru</t>
  </si>
  <si>
    <t>Clementisova ulica - mobiliár</t>
  </si>
  <si>
    <t>Detské ihrisko Žilinská - herné prvky</t>
  </si>
  <si>
    <t>Detské ihrisko Kubrica - herné prvky</t>
  </si>
  <si>
    <t>Detské ihrisko K výstavisku - herné prvky</t>
  </si>
  <si>
    <t>Prístrešok na prekrytie pódia v Kubrej</t>
  </si>
  <si>
    <t>Oporný múr Cintorínska ul. - 2.etapa</t>
  </si>
  <si>
    <t>Realizácia 2 parkovacích miest pre zamestnancov v areáli materskej školy, rekonštrukcia 2 terás</t>
  </si>
  <si>
    <t>Rekonštrukcia chodníkov v areáli materskej školy</t>
  </si>
  <si>
    <t>Chodníky v MČ Stred</t>
  </si>
  <si>
    <t>MK Karpatská - Jesenského v podjazde pod Električnou ulicou</t>
  </si>
  <si>
    <t>Chodník a komunikácia Legionárska - podchod na Noviny</t>
  </si>
  <si>
    <t>Vyvýšený priechod pre chodcov s príslušenstvom na ul. Bezručova</t>
  </si>
  <si>
    <t xml:space="preserve">KS Istebník </t>
  </si>
  <si>
    <t>Chodník Staničná</t>
  </si>
  <si>
    <t>M.Kišša - povrch cesty</t>
  </si>
  <si>
    <t>MČ Západ - komunikácie, chodníky, parkoviská, prechody pre chodcov</t>
  </si>
  <si>
    <t>Rekonštrukcia elektroinštalácie 1.etapa</t>
  </si>
  <si>
    <t>Pumptrack Vinohrady</t>
  </si>
  <si>
    <t>Obnova Mariánskeho námestia Trenčín</t>
  </si>
  <si>
    <t>Správa a údržba pozem.komunikácií</t>
  </si>
  <si>
    <t>CVČ pri Piaristickom gymnáziu J.Braneckého</t>
  </si>
  <si>
    <t>Príspevok na ubytovanie odídencov z Ukrajiny</t>
  </si>
  <si>
    <t xml:space="preserve">Príspevok za ubytovanie odídencov z Ukrajiny </t>
  </si>
  <si>
    <t>Trenčiansky futbalový klub Opatová - dotácia na činnosť</t>
  </si>
  <si>
    <t>AS Trenčín, a.s. - realizácia filmu "120 rokov futbalu v Trenčíne"</t>
  </si>
  <si>
    <t>Fond na podporu športu - ZŠ Dlhé Hony - športový areál</t>
  </si>
  <si>
    <t>Športový areál</t>
  </si>
  <si>
    <t xml:space="preserve">Dobrovoľná civilná ochrana - dotácia na materiálové vybavenie </t>
  </si>
  <si>
    <t>Vratky</t>
  </si>
  <si>
    <t>ŠJ pri CMŠ Bl. Tarzície</t>
  </si>
  <si>
    <t>ŠJ pri SMŠ Motýlik</t>
  </si>
  <si>
    <t>Integrovaná doprava Žilinského a Trenčianskeho kraja s.r.o. - dotácia na prípravu a koordináciu prevádzkovania integrovaného dopravného systému</t>
  </si>
  <si>
    <t>Slimáčkovo, s.r.o., M.Turkovej 22, Trenčín</t>
  </si>
  <si>
    <t>AS Trenčín, a.s. - dotácia na činnosť</t>
  </si>
  <si>
    <t>Hokejový klub Dukla Trenčín n.o. - dotácia na činnosť</t>
  </si>
  <si>
    <t>Športový klub 1.FBC Trenčín, o.z. - dotácia na činnosť</t>
  </si>
  <si>
    <t>Florbalový klub AS Trenčín - dotácia na činnosť</t>
  </si>
  <si>
    <t>Basketbalový klub AS Trenčín - dotácia na činnosť</t>
  </si>
  <si>
    <t>Výmena palubovej podlahy a mobilných tribún v športovej hale</t>
  </si>
  <si>
    <t>Cirkevný zbor Evanjelickej cirkvi augsburského vyznania na Slovensku Trenčín - dotácia na revitalizáciu nádvoria farského úradu - sadové úpravy a výstavba altánku</t>
  </si>
  <si>
    <t>Granty (dary, sponzor.)</t>
  </si>
  <si>
    <t>Prieskum spokojnosti cestujúcich s kvalitou MHD v meste Trenčín</t>
  </si>
  <si>
    <t>Súkromná výdajná ŠJ, Záhumenská 7A</t>
  </si>
  <si>
    <t>Rekonštrukcia povrchu na chodníkoch na ul. Gen.Viesta</t>
  </si>
  <si>
    <t>Drobné rekonštrukčné práce v Športovej hale</t>
  </si>
  <si>
    <t>Chodník na ul. M.R.Štefánika pri bytovom dome č. 383</t>
  </si>
  <si>
    <t>AK Slávia Trenčín o.z. - Príprava pretekárov na ME U23 a YOF</t>
  </si>
  <si>
    <t>Projekt Šaliansky Maťko</t>
  </si>
  <si>
    <t>Príjem z predaja kapitálových aktív</t>
  </si>
  <si>
    <t>Projekt Mobilities for EU</t>
  </si>
  <si>
    <t>Projekt Making City</t>
  </si>
  <si>
    <t>Návrh na reštaurovanie vybraných kamenných článkov nad farskými schodmi</t>
  </si>
  <si>
    <t>Zábradlie s personálnou bránkou Farská</t>
  </si>
  <si>
    <t>Rekonštrukcia a modernizácia</t>
  </si>
  <si>
    <t>Chodník Západná</t>
  </si>
  <si>
    <t>Nevyčerpaná dotácia za rok 2024</t>
  </si>
  <si>
    <t>Projekt na inštaláciu bleskozvodu</t>
  </si>
  <si>
    <t>Inštalácia bleskozvodu</t>
  </si>
  <si>
    <t>Vzduchotechnika</t>
  </si>
  <si>
    <t>Multifunkčná panvica</t>
  </si>
  <si>
    <t>Obnova mestskej krytej plavárne</t>
  </si>
  <si>
    <t>Rekuperácia</t>
  </si>
  <si>
    <t>Altánok</t>
  </si>
  <si>
    <t>Klimatizácia</t>
  </si>
  <si>
    <t>Nevyčerpaná dotácia z roku 2024</t>
  </si>
  <si>
    <t>453: Nevyčerpané finančné prostriedky z roku 2024 - komunálny odpad</t>
  </si>
  <si>
    <t>453: Nevyčerpané finančné prostriedky z roku 2024 - podnikanie KIS</t>
  </si>
  <si>
    <t>453: Nevyčerpané finančné prostriedky z roku 2024 - poplatok za rozvoj</t>
  </si>
  <si>
    <t>453: SSMT m.r.o.  - Nevyčerpané finančné prostriedky z predchádzajúcich rokov</t>
  </si>
  <si>
    <t>453: ZŠ Kubranská  - Nevyčerpané finančné prostriedky z predchádzajúcich rokov</t>
  </si>
  <si>
    <t xml:space="preserve">Materiál </t>
  </si>
  <si>
    <t>Župný dom - interiérové a exteriérové vybavenie a zariadenie</t>
  </si>
  <si>
    <t>Elektrická požiarna signalizácia v archíve budovy MHSL</t>
  </si>
  <si>
    <t xml:space="preserve">R E Z E R V N Ý  F O N D </t>
  </si>
  <si>
    <t>Stav rezervného fondu k 1.1.2025</t>
  </si>
  <si>
    <t>Tvorba rezervného fondu z hospodárskeho výsledku 2024 (schválenie v rámci Záverečného účtu mesta Trenčín za rok 2024)</t>
  </si>
  <si>
    <t>Schválené použitie v roku 2025</t>
  </si>
  <si>
    <t>Predpokladaný stav rezervného fondu k 31.12.2025</t>
  </si>
  <si>
    <t>Čerpanie</t>
  </si>
  <si>
    <t>Ipčko, o.z. - Bezpečný priestor pre mladých v Káčko Trenčín</t>
  </si>
  <si>
    <t>Golfový a športový klub Trenčín - Pickleball - nový šport v meste pre každého</t>
  </si>
  <si>
    <t xml:space="preserve">Bežné </t>
  </si>
  <si>
    <t>Zahraničné granty</t>
  </si>
  <si>
    <t>Mestské divadlo Trenčín o.z. - Letné divadelné večery</t>
  </si>
  <si>
    <t>Realizácia exteriérového výstavného systému na stenu MsÚ</t>
  </si>
  <si>
    <t>Dobrovoľná požiarna ochrana o.z. - dotácia pre DHZ Opatová a DHZ Záblatie</t>
  </si>
  <si>
    <t>Dotácia na vojnové hroby</t>
  </si>
  <si>
    <t>Personalizácia služieb mesta Trenčín a podpora omnikanálového modelu komunikácie</t>
  </si>
  <si>
    <t>Z predaja kapitálových aktív</t>
  </si>
  <si>
    <t xml:space="preserve">Granty   </t>
  </si>
  <si>
    <t>Nadácia EPH - Ochrana rímskeho nápisu v Trenčíne</t>
  </si>
  <si>
    <t>Dotácia na podporu rozvoja sociálnych služieb - motorové vozidlo pre SSmT m.r.o.</t>
  </si>
  <si>
    <t>Elektrický varný kotol</t>
  </si>
  <si>
    <t>Plynový varný kotol</t>
  </si>
  <si>
    <t>814: Účasť na majetku</t>
  </si>
  <si>
    <t>Trenčiansky Futbalový klub Opatová o.z. - dotácia na kontajnerovú šatňu</t>
  </si>
  <si>
    <t>Varný kotol</t>
  </si>
  <si>
    <t>Úprava ostrovčeka Kubranská - v križovatke s ul. Pod Hájnikom</t>
  </si>
  <si>
    <t>Priechod pre chodcov Kubranská</t>
  </si>
  <si>
    <t>Projekt Inovácie verejných služieb SMART City</t>
  </si>
  <si>
    <t>Výstavba miest pre nabíjanie elektromobilov</t>
  </si>
  <si>
    <t xml:space="preserve">Rozšírenie koncertnej sály </t>
  </si>
  <si>
    <t>Centrum pre rodinu o.z. - dotácia na spolufinancovanie rekonštrukcie objektu Centra pre rodinu</t>
  </si>
  <si>
    <t>Plnenie Programového rozpočtu Mesta Trenčín k 30.6.2025</t>
  </si>
  <si>
    <t>% plnenia</t>
  </si>
  <si>
    <t>Plnenie rozpočtu k 30.6.2025</t>
  </si>
  <si>
    <t>Bežný rozpočet na rok 2025</t>
  </si>
  <si>
    <t>Plnenie bežného rozpočtu k 30.6.2025</t>
  </si>
  <si>
    <t>Kapitálový rozpočet na rok 2025</t>
  </si>
  <si>
    <t>Plnenie kapitálového rozpočtu k 30.6.2025</t>
  </si>
  <si>
    <t>Rozpočet na rok 2025</t>
  </si>
  <si>
    <t>SUMARIZÁCIA</t>
  </si>
  <si>
    <t>Bežný rozpočet 2025</t>
  </si>
  <si>
    <t>Kapitálový rozpočet 2025</t>
  </si>
  <si>
    <t>Rozpočet spolu 2025</t>
  </si>
  <si>
    <t>Plnenie rozpočtu spolu k 30.6.2025</t>
  </si>
  <si>
    <t>Za prebytočný hnuteľný majetok</t>
  </si>
  <si>
    <t>Projekt Budovanie mesta s prehľadným systémom investícií - Hackathon</t>
  </si>
  <si>
    <t>Dotácia na odmeny 800 EUR</t>
  </si>
  <si>
    <t xml:space="preserve">SPAK - EKO a.s. - príspevok na rok 2025 na základe dohody o vzájomnej spolupráci  pri tvorbe a prevádzke systému zberu odpadu z tabakových výrobkov s filtrami  obsahujúcimi plasty </t>
  </si>
  <si>
    <t>Prieskumné sondy pred realizáciou investičných akcií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</si>
</sst>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  <numFmt numFmtId="164" formatCode="#,##0.00\ [$EUR]"/>
    <numFmt numFmtId="165" formatCode="#,##0.00\ [$EUR];[Red]#,##0.00\ [$EUR]"/>
    <numFmt numFmtId="166" formatCode="#,##0.0"/>
    <numFmt numFmtId="167" formatCode="0.0"/>
  </numFmts>
  <fonts count="5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9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6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3"/>
      <name val="Cambria"/>
      <family val="2"/>
      <scheme val="major"/>
    </font>
    <font>
      <b/>
      <sz val="2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4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22"/>
      <color theme="3" tint="-0.249977111117893"/>
      <name val="Arial"/>
      <family val="2"/>
      <charset val="238"/>
    </font>
    <font>
      <b/>
      <sz val="22"/>
      <color rgb="FF00008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8"/>
      <name val="Trebuchet MS"/>
      <family val="2"/>
      <charset val="238"/>
    </font>
    <font>
      <sz val="8"/>
      <name val="Arial CE"/>
      <charset val="238"/>
    </font>
    <font>
      <b/>
      <i/>
      <sz val="9"/>
      <name val="Trebuchet MS"/>
      <family val="2"/>
      <charset val="238"/>
    </font>
    <font>
      <sz val="8"/>
      <name val="Trebuchet MS"/>
      <family val="2"/>
      <charset val="238"/>
    </font>
    <font>
      <b/>
      <sz val="10"/>
      <name val="Times New Roman"/>
      <family val="1"/>
      <charset val="238"/>
    </font>
    <font>
      <i/>
      <sz val="8"/>
      <name val="Trebuchet MS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</fills>
  <borders count="1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88402966399123"/>
      </right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hair">
        <color theme="3" tint="0.39994506668294322"/>
      </bottom>
      <diagonal/>
    </border>
    <border>
      <left/>
      <right/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91454817346722"/>
      </right>
      <top/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/>
      <top style="thin">
        <color theme="3" tint="0.39994506668294322"/>
      </top>
      <bottom style="hair">
        <color theme="3" tint="0.39991454817346722"/>
      </bottom>
      <diagonal/>
    </border>
    <border>
      <left/>
      <right/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medium">
        <color theme="3" tint="0.59999389629810485"/>
      </bottom>
      <diagonal/>
    </border>
    <border>
      <left/>
      <right/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medium">
        <color theme="3" tint="0.59999389629810485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/>
      <diagonal/>
    </border>
    <border>
      <left style="hair">
        <color theme="3" tint="0.39994506668294322"/>
      </left>
      <right/>
      <top style="thin">
        <color theme="3" tint="0.39994506668294322"/>
      </top>
      <bottom/>
      <diagonal/>
    </border>
    <border>
      <left style="hair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/>
      <bottom/>
      <diagonal/>
    </border>
    <border>
      <left/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1454817346722"/>
      </left>
      <right style="thin">
        <color theme="3" tint="0.39994506668294322"/>
      </right>
      <top/>
      <bottom/>
      <diagonal/>
    </border>
    <border>
      <left style="hair">
        <color theme="3" tint="0.39991454817346722"/>
      </left>
      <right style="thin">
        <color theme="3" tint="0.39994506668294322"/>
      </right>
      <top/>
      <bottom/>
      <diagonal/>
    </border>
    <border>
      <left style="hair">
        <color theme="3" tint="0.39991454817346722"/>
      </left>
      <right style="thin">
        <color theme="3" tint="0.39994506668294322"/>
      </right>
      <top/>
      <bottom style="hair">
        <color theme="3" tint="0.39991454817346722"/>
      </bottom>
      <diagonal/>
    </border>
    <border>
      <left style="thin">
        <color theme="3" tint="0.39991454817346722"/>
      </left>
      <right style="thin">
        <color theme="3" tint="0.39994506668294322"/>
      </right>
      <top/>
      <bottom style="hair">
        <color theme="3" tint="0.39994506668294322"/>
      </bottom>
      <diagonal/>
    </border>
    <border>
      <left style="thin">
        <color theme="3" tint="0.39994506668294322"/>
      </left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/>
      <diagonal/>
    </border>
    <border>
      <left/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1454817346722"/>
      </bottom>
      <diagonal/>
    </border>
    <border>
      <left/>
      <right/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hair">
        <color theme="3" tint="0.399945066682943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4506668294322"/>
      </left>
      <right/>
      <top style="hair">
        <color theme="3" tint="0.399914548173467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14548173467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88402966399123"/>
      </bottom>
      <diagonal/>
    </border>
    <border>
      <left style="hair">
        <color theme="3" tint="0.39994506668294322"/>
      </left>
      <right style="thin">
        <color theme="3" tint="0.39994506668294322"/>
      </right>
      <top/>
      <bottom style="hair">
        <color theme="3" tint="0.39994506668294322"/>
      </bottom>
      <diagonal/>
    </border>
    <border>
      <left style="hair">
        <color theme="3" tint="0.39991454817346722"/>
      </left>
      <right style="thin">
        <color theme="3" tint="0.39991454817346722"/>
      </right>
      <top/>
      <bottom style="thin">
        <color theme="3" tint="0.39988402966399123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</borders>
  <cellStyleXfs count="65">
    <xf numFmtId="0" fontId="0" fillId="0" borderId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25" borderId="0" applyNumberFormat="0" applyBorder="0" applyAlignment="0" applyProtection="0"/>
    <xf numFmtId="0" fontId="4" fillId="0" borderId="0"/>
    <xf numFmtId="0" fontId="29" fillId="26" borderId="1" applyNumberFormat="0" applyAlignment="0" applyProtection="0"/>
    <xf numFmtId="42" fontId="27" fillId="0" borderId="0" applyFont="0" applyFill="0" applyBorder="0" applyAlignment="0" applyProtection="0"/>
    <xf numFmtId="165" fontId="27" fillId="0" borderId="0" applyFont="0" applyFill="0" applyBorder="0" applyProtection="0">
      <alignment horizontal="right" vertical="center"/>
    </xf>
    <xf numFmtId="165" fontId="27" fillId="0" borderId="0" applyFont="0" applyFill="0" applyBorder="0" applyProtection="0">
      <alignment horizontal="right" vertical="center"/>
    </xf>
    <xf numFmtId="165" fontId="27" fillId="0" borderId="0" applyFont="0" applyFill="0" applyBorder="0" applyProtection="0">
      <alignment horizontal="right" vertical="center"/>
    </xf>
    <xf numFmtId="165" fontId="27" fillId="0" borderId="0" applyFont="0" applyFill="0" applyBorder="0" applyProtection="0">
      <alignment horizontal="right" vertical="center"/>
    </xf>
    <xf numFmtId="0" fontId="30" fillId="0" borderId="0" applyNumberFormat="0" applyFill="0" applyAlignment="0" applyProtection="0"/>
    <xf numFmtId="164" fontId="31" fillId="27" borderId="0" applyProtection="0">
      <alignment horizontal="right"/>
    </xf>
    <xf numFmtId="0" fontId="32" fillId="0" borderId="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4" fillId="0" borderId="0"/>
    <xf numFmtId="0" fontId="25" fillId="0" borderId="0"/>
    <xf numFmtId="0" fontId="3" fillId="0" borderId="0"/>
    <xf numFmtId="0" fontId="27" fillId="0" borderId="0">
      <alignment vertical="center" wrapText="1"/>
    </xf>
    <xf numFmtId="0" fontId="25" fillId="0" borderId="0"/>
    <xf numFmtId="0" fontId="3" fillId="0" borderId="0"/>
    <xf numFmtId="9" fontId="27" fillId="0" borderId="0" applyFont="0" applyFill="0" applyBorder="0" applyAlignment="0" applyProtection="0"/>
    <xf numFmtId="0" fontId="27" fillId="29" borderId="2" applyNumberFormat="0" applyFont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39" fillId="30" borderId="5" applyNumberFormat="0" applyAlignment="0" applyProtection="0"/>
    <xf numFmtId="0" fontId="40" fillId="31" borderId="5" applyNumberFormat="0" applyAlignment="0" applyProtection="0"/>
    <xf numFmtId="0" fontId="41" fillId="31" borderId="6" applyNumberFormat="0" applyAlignment="0" applyProtection="0"/>
    <xf numFmtId="0" fontId="42" fillId="0" borderId="0" applyNumberFormat="0" applyFill="0" applyBorder="0" applyAlignment="0" applyProtection="0"/>
    <xf numFmtId="0" fontId="43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</cellStyleXfs>
  <cellXfs count="523">
    <xf numFmtId="0" fontId="0" fillId="0" borderId="0" xfId="0"/>
    <xf numFmtId="0" fontId="5" fillId="0" borderId="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3" fontId="9" fillId="2" borderId="7" xfId="0" applyNumberFormat="1" applyFont="1" applyFill="1" applyBorder="1" applyAlignment="1">
      <alignment vertical="center"/>
    </xf>
    <xf numFmtId="3" fontId="9" fillId="2" borderId="10" xfId="0" applyNumberFormat="1" applyFont="1" applyFill="1" applyBorder="1" applyAlignment="1">
      <alignment vertical="center"/>
    </xf>
    <xf numFmtId="0" fontId="10" fillId="3" borderId="7" xfId="0" applyFont="1" applyFill="1" applyBorder="1"/>
    <xf numFmtId="3" fontId="10" fillId="3" borderId="7" xfId="0" applyNumberFormat="1" applyFont="1" applyFill="1" applyBorder="1"/>
    <xf numFmtId="3" fontId="10" fillId="3" borderId="10" xfId="0" applyNumberFormat="1" applyFont="1" applyFill="1" applyBorder="1" applyAlignment="1">
      <alignment horizontal="right"/>
    </xf>
    <xf numFmtId="0" fontId="12" fillId="0" borderId="7" xfId="0" applyFont="1" applyBorder="1"/>
    <xf numFmtId="49" fontId="12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3" fontId="12" fillId="0" borderId="7" xfId="0" applyNumberFormat="1" applyFont="1" applyBorder="1"/>
    <xf numFmtId="3" fontId="12" fillId="0" borderId="10" xfId="0" applyNumberFormat="1" applyFont="1" applyBorder="1"/>
    <xf numFmtId="0" fontId="13" fillId="0" borderId="7" xfId="0" applyFont="1" applyBorder="1"/>
    <xf numFmtId="49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3" fontId="13" fillId="0" borderId="7" xfId="0" applyNumberFormat="1" applyFont="1" applyBorder="1"/>
    <xf numFmtId="3" fontId="13" fillId="0" borderId="10" xfId="0" applyNumberFormat="1" applyFont="1" applyBorder="1"/>
    <xf numFmtId="0" fontId="14" fillId="0" borderId="7" xfId="0" applyFont="1" applyBorder="1"/>
    <xf numFmtId="0" fontId="5" fillId="0" borderId="7" xfId="0" applyFont="1" applyBorder="1" applyAlignment="1">
      <alignment horizontal="center"/>
    </xf>
    <xf numFmtId="3" fontId="5" fillId="0" borderId="7" xfId="0" applyNumberFormat="1" applyFont="1" applyBorder="1"/>
    <xf numFmtId="3" fontId="14" fillId="0" borderId="7" xfId="0" applyNumberFormat="1" applyFont="1" applyBorder="1"/>
    <xf numFmtId="3" fontId="5" fillId="0" borderId="10" xfId="0" applyNumberFormat="1" applyFont="1" applyBorder="1"/>
    <xf numFmtId="0" fontId="11" fillId="40" borderId="7" xfId="0" applyFont="1" applyFill="1" applyBorder="1"/>
    <xf numFmtId="3" fontId="11" fillId="40" borderId="7" xfId="0" applyNumberFormat="1" applyFont="1" applyFill="1" applyBorder="1"/>
    <xf numFmtId="3" fontId="11" fillId="40" borderId="10" xfId="0" applyNumberFormat="1" applyFont="1" applyFill="1" applyBorder="1"/>
    <xf numFmtId="3" fontId="13" fillId="41" borderId="7" xfId="0" applyNumberFormat="1" applyFont="1" applyFill="1" applyBorder="1"/>
    <xf numFmtId="3" fontId="10" fillId="3" borderId="10" xfId="0" applyNumberFormat="1" applyFont="1" applyFill="1" applyBorder="1"/>
    <xf numFmtId="0" fontId="14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/>
    </xf>
    <xf numFmtId="3" fontId="14" fillId="0" borderId="7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wrapText="1"/>
    </xf>
    <xf numFmtId="0" fontId="10" fillId="3" borderId="12" xfId="0" applyFont="1" applyFill="1" applyBorder="1"/>
    <xf numFmtId="0" fontId="2" fillId="0" borderId="13" xfId="0" applyFont="1" applyBorder="1" applyAlignment="1">
      <alignment horizontal="center" vertical="center"/>
    </xf>
    <xf numFmtId="0" fontId="10" fillId="3" borderId="14" xfId="0" applyFont="1" applyFill="1" applyBorder="1"/>
    <xf numFmtId="3" fontId="10" fillId="3" borderId="14" xfId="0" applyNumberFormat="1" applyFont="1" applyFill="1" applyBorder="1"/>
    <xf numFmtId="3" fontId="10" fillId="3" borderId="15" xfId="0" applyNumberFormat="1" applyFont="1" applyFill="1" applyBorder="1"/>
    <xf numFmtId="3" fontId="14" fillId="0" borderId="10" xfId="0" applyNumberFormat="1" applyFont="1" applyBorder="1"/>
    <xf numFmtId="0" fontId="14" fillId="0" borderId="14" xfId="0" applyFont="1" applyBorder="1"/>
    <xf numFmtId="0" fontId="14" fillId="0" borderId="14" xfId="0" applyFont="1" applyBorder="1" applyAlignment="1">
      <alignment horizontal="center"/>
    </xf>
    <xf numFmtId="0" fontId="5" fillId="0" borderId="14" xfId="0" applyFont="1" applyBorder="1"/>
    <xf numFmtId="3" fontId="5" fillId="0" borderId="14" xfId="0" applyNumberFormat="1" applyFont="1" applyBorder="1"/>
    <xf numFmtId="3" fontId="14" fillId="0" borderId="14" xfId="0" applyNumberFormat="1" applyFont="1" applyBorder="1"/>
    <xf numFmtId="3" fontId="14" fillId="0" borderId="15" xfId="0" applyNumberFormat="1" applyFont="1" applyBorder="1"/>
    <xf numFmtId="0" fontId="13" fillId="0" borderId="7" xfId="0" applyFont="1" applyBorder="1" applyAlignment="1">
      <alignment vertical="center"/>
    </xf>
    <xf numFmtId="49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3" fontId="9" fillId="2" borderId="18" xfId="0" applyNumberFormat="1" applyFont="1" applyFill="1" applyBorder="1" applyAlignment="1">
      <alignment vertical="center"/>
    </xf>
    <xf numFmtId="3" fontId="9" fillId="2" borderId="19" xfId="0" applyNumberFormat="1" applyFont="1" applyFill="1" applyBorder="1" applyAlignment="1">
      <alignment vertical="center"/>
    </xf>
    <xf numFmtId="0" fontId="10" fillId="3" borderId="18" xfId="0" applyFont="1" applyFill="1" applyBorder="1"/>
    <xf numFmtId="3" fontId="10" fillId="3" borderId="18" xfId="0" applyNumberFormat="1" applyFont="1" applyFill="1" applyBorder="1"/>
    <xf numFmtId="3" fontId="10" fillId="3" borderId="19" xfId="0" applyNumberFormat="1" applyFont="1" applyFill="1" applyBorder="1"/>
    <xf numFmtId="0" fontId="12" fillId="0" borderId="18" xfId="0" applyFont="1" applyBorder="1"/>
    <xf numFmtId="49" fontId="12" fillId="0" borderId="18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3" fontId="12" fillId="0" borderId="18" xfId="0" applyNumberFormat="1" applyFont="1" applyBorder="1"/>
    <xf numFmtId="3" fontId="12" fillId="0" borderId="19" xfId="0" applyNumberFormat="1" applyFont="1" applyBorder="1"/>
    <xf numFmtId="0" fontId="13" fillId="0" borderId="18" xfId="0" applyFont="1" applyBorder="1"/>
    <xf numFmtId="49" fontId="13" fillId="0" borderId="18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3" fontId="13" fillId="0" borderId="18" xfId="0" applyNumberFormat="1" applyFont="1" applyBorder="1"/>
    <xf numFmtId="3" fontId="13" fillId="0" borderId="19" xfId="0" applyNumberFormat="1" applyFont="1" applyBorder="1"/>
    <xf numFmtId="0" fontId="11" fillId="43" borderId="18" xfId="0" applyFont="1" applyFill="1" applyBorder="1"/>
    <xf numFmtId="0" fontId="11" fillId="43" borderId="18" xfId="0" applyFont="1" applyFill="1" applyBorder="1" applyAlignment="1">
      <alignment horizontal="center"/>
    </xf>
    <xf numFmtId="3" fontId="11" fillId="43" borderId="18" xfId="0" applyNumberFormat="1" applyFont="1" applyFill="1" applyBorder="1"/>
    <xf numFmtId="3" fontId="11" fillId="43" borderId="19" xfId="0" applyNumberFormat="1" applyFont="1" applyFill="1" applyBorder="1"/>
    <xf numFmtId="0" fontId="5" fillId="0" borderId="18" xfId="0" applyFont="1" applyBorder="1"/>
    <xf numFmtId="49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3" fontId="5" fillId="0" borderId="18" xfId="0" applyNumberFormat="1" applyFont="1" applyBorder="1"/>
    <xf numFmtId="3" fontId="5" fillId="0" borderId="19" xfId="0" applyNumberFormat="1" applyFont="1" applyBorder="1"/>
    <xf numFmtId="0" fontId="11" fillId="5" borderId="18" xfId="0" applyFont="1" applyFill="1" applyBorder="1"/>
    <xf numFmtId="0" fontId="11" fillId="5" borderId="18" xfId="0" applyFont="1" applyFill="1" applyBorder="1" applyAlignment="1">
      <alignment horizontal="center"/>
    </xf>
    <xf numFmtId="3" fontId="11" fillId="5" borderId="18" xfId="0" applyNumberFormat="1" applyFont="1" applyFill="1" applyBorder="1"/>
    <xf numFmtId="3" fontId="11" fillId="5" borderId="19" xfId="0" applyNumberFormat="1" applyFont="1" applyFill="1" applyBorder="1"/>
    <xf numFmtId="0" fontId="13" fillId="0" borderId="21" xfId="0" applyFont="1" applyBorder="1"/>
    <xf numFmtId="49" fontId="13" fillId="0" borderId="21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3" fontId="13" fillId="0" borderId="21" xfId="0" applyNumberFormat="1" applyFont="1" applyBorder="1"/>
    <xf numFmtId="3" fontId="13" fillId="0" borderId="22" xfId="0" applyNumberFormat="1" applyFont="1" applyBorder="1"/>
    <xf numFmtId="0" fontId="14" fillId="0" borderId="18" xfId="0" applyFont="1" applyBorder="1"/>
    <xf numFmtId="0" fontId="11" fillId="5" borderId="7" xfId="0" applyFont="1" applyFill="1" applyBorder="1"/>
    <xf numFmtId="0" fontId="11" fillId="5" borderId="7" xfId="0" applyFont="1" applyFill="1" applyBorder="1" applyAlignment="1">
      <alignment horizontal="center"/>
    </xf>
    <xf numFmtId="3" fontId="11" fillId="5" borderId="7" xfId="0" applyNumberFormat="1" applyFont="1" applyFill="1" applyBorder="1"/>
    <xf numFmtId="3" fontId="11" fillId="5" borderId="10" xfId="0" applyNumberFormat="1" applyFont="1" applyFill="1" applyBorder="1"/>
    <xf numFmtId="49" fontId="5" fillId="0" borderId="7" xfId="0" applyNumberFormat="1" applyFont="1" applyBorder="1" applyAlignment="1">
      <alignment horizontal="center"/>
    </xf>
    <xf numFmtId="0" fontId="13" fillId="42" borderId="7" xfId="0" applyFont="1" applyFill="1" applyBorder="1"/>
    <xf numFmtId="49" fontId="13" fillId="42" borderId="7" xfId="0" applyNumberFormat="1" applyFont="1" applyFill="1" applyBorder="1" applyAlignment="1">
      <alignment horizontal="center"/>
    </xf>
    <xf numFmtId="0" fontId="13" fillId="42" borderId="7" xfId="0" applyFont="1" applyFill="1" applyBorder="1" applyAlignment="1">
      <alignment horizontal="center"/>
    </xf>
    <xf numFmtId="3" fontId="13" fillId="42" borderId="7" xfId="0" applyNumberFormat="1" applyFont="1" applyFill="1" applyBorder="1"/>
    <xf numFmtId="3" fontId="13" fillId="42" borderId="10" xfId="0" applyNumberFormat="1" applyFont="1" applyFill="1" applyBorder="1"/>
    <xf numFmtId="0" fontId="12" fillId="6" borderId="7" xfId="0" applyFont="1" applyFill="1" applyBorder="1"/>
    <xf numFmtId="0" fontId="12" fillId="6" borderId="7" xfId="0" applyFont="1" applyFill="1" applyBorder="1" applyAlignment="1">
      <alignment horizontal="center"/>
    </xf>
    <xf numFmtId="3" fontId="12" fillId="6" borderId="7" xfId="0" applyNumberFormat="1" applyFont="1" applyFill="1" applyBorder="1"/>
    <xf numFmtId="3" fontId="12" fillId="6" borderId="10" xfId="0" applyNumberFormat="1" applyFont="1" applyFill="1" applyBorder="1"/>
    <xf numFmtId="0" fontId="7" fillId="0" borderId="7" xfId="0" applyFont="1" applyBorder="1"/>
    <xf numFmtId="0" fontId="12" fillId="44" borderId="7" xfId="0" applyFont="1" applyFill="1" applyBorder="1"/>
    <xf numFmtId="49" fontId="12" fillId="44" borderId="7" xfId="0" applyNumberFormat="1" applyFont="1" applyFill="1" applyBorder="1" applyAlignment="1">
      <alignment horizontal="center"/>
    </xf>
    <xf numFmtId="0" fontId="12" fillId="44" borderId="7" xfId="0" applyFont="1" applyFill="1" applyBorder="1" applyAlignment="1">
      <alignment horizontal="center"/>
    </xf>
    <xf numFmtId="3" fontId="12" fillId="44" borderId="7" xfId="0" applyNumberFormat="1" applyFont="1" applyFill="1" applyBorder="1"/>
    <xf numFmtId="3" fontId="12" fillId="44" borderId="10" xfId="0" applyNumberFormat="1" applyFont="1" applyFill="1" applyBorder="1"/>
    <xf numFmtId="0" fontId="13" fillId="0" borderId="0" xfId="0" applyFont="1"/>
    <xf numFmtId="0" fontId="13" fillId="0" borderId="11" xfId="0" applyFont="1" applyBorder="1"/>
    <xf numFmtId="49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3" fontId="13" fillId="0" borderId="11" xfId="0" applyNumberFormat="1" applyFont="1" applyBorder="1"/>
    <xf numFmtId="3" fontId="12" fillId="0" borderId="11" xfId="0" applyNumberFormat="1" applyFont="1" applyBorder="1"/>
    <xf numFmtId="3" fontId="12" fillId="0" borderId="25" xfId="0" applyNumberFormat="1" applyFont="1" applyBorder="1"/>
    <xf numFmtId="3" fontId="5" fillId="0" borderId="28" xfId="0" applyNumberFormat="1" applyFont="1" applyBorder="1"/>
    <xf numFmtId="0" fontId="14" fillId="0" borderId="7" xfId="0" applyFont="1" applyBorder="1" applyAlignment="1">
      <alignment horizontal="center"/>
    </xf>
    <xf numFmtId="0" fontId="13" fillId="41" borderId="7" xfId="0" applyFont="1" applyFill="1" applyBorder="1" applyAlignment="1">
      <alignment horizontal="center"/>
    </xf>
    <xf numFmtId="0" fontId="13" fillId="41" borderId="7" xfId="0" applyFont="1" applyFill="1" applyBorder="1"/>
    <xf numFmtId="3" fontId="13" fillId="41" borderId="10" xfId="0" applyNumberFormat="1" applyFont="1" applyFill="1" applyBorder="1"/>
    <xf numFmtId="3" fontId="10" fillId="3" borderId="26" xfId="0" applyNumberFormat="1" applyFont="1" applyFill="1" applyBorder="1"/>
    <xf numFmtId="3" fontId="10" fillId="3" borderId="29" xfId="0" applyNumberFormat="1" applyFont="1" applyFill="1" applyBorder="1"/>
    <xf numFmtId="0" fontId="12" fillId="0" borderId="30" xfId="0" applyFont="1" applyBorder="1"/>
    <xf numFmtId="0" fontId="12" fillId="0" borderId="16" xfId="0" applyFont="1" applyBorder="1"/>
    <xf numFmtId="49" fontId="12" fillId="0" borderId="16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3" fontId="3" fillId="0" borderId="16" xfId="0" applyNumberFormat="1" applyFont="1" applyBorder="1"/>
    <xf numFmtId="0" fontId="13" fillId="0" borderId="30" xfId="0" applyFont="1" applyBorder="1"/>
    <xf numFmtId="0" fontId="13" fillId="0" borderId="16" xfId="0" applyFont="1" applyBorder="1"/>
    <xf numFmtId="49" fontId="13" fillId="0" borderId="16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3" fontId="13" fillId="0" borderId="16" xfId="0" applyNumberFormat="1" applyFont="1" applyBorder="1"/>
    <xf numFmtId="3" fontId="16" fillId="0" borderId="16" xfId="0" applyNumberFormat="1" applyFont="1" applyBorder="1"/>
    <xf numFmtId="0" fontId="5" fillId="0" borderId="16" xfId="0" applyFont="1" applyBorder="1"/>
    <xf numFmtId="0" fontId="3" fillId="0" borderId="30" xfId="0" applyFont="1" applyBorder="1"/>
    <xf numFmtId="0" fontId="3" fillId="0" borderId="16" xfId="0" applyFont="1" applyBorder="1"/>
    <xf numFmtId="0" fontId="12" fillId="0" borderId="36" xfId="0" applyFont="1" applyBorder="1"/>
    <xf numFmtId="0" fontId="12" fillId="0" borderId="37" xfId="0" applyFont="1" applyBorder="1"/>
    <xf numFmtId="49" fontId="12" fillId="0" borderId="37" xfId="0" applyNumberFormat="1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5" fillId="0" borderId="37" xfId="0" applyFont="1" applyBorder="1"/>
    <xf numFmtId="3" fontId="15" fillId="0" borderId="37" xfId="0" applyNumberFormat="1" applyFont="1" applyBorder="1"/>
    <xf numFmtId="0" fontId="14" fillId="0" borderId="7" xfId="0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/>
    </xf>
    <xf numFmtId="0" fontId="12" fillId="0" borderId="11" xfId="0" applyFont="1" applyBorder="1"/>
    <xf numFmtId="49" fontId="12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0" fillId="3" borderId="26" xfId="0" applyFont="1" applyFill="1" applyBorder="1"/>
    <xf numFmtId="0" fontId="2" fillId="0" borderId="39" xfId="0" applyFont="1" applyBorder="1" applyAlignment="1">
      <alignment horizontal="center" vertical="center"/>
    </xf>
    <xf numFmtId="0" fontId="12" fillId="0" borderId="27" xfId="0" applyFont="1" applyBorder="1"/>
    <xf numFmtId="49" fontId="12" fillId="0" borderId="27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3" fontId="12" fillId="0" borderId="27" xfId="0" applyNumberFormat="1" applyFont="1" applyBorder="1"/>
    <xf numFmtId="3" fontId="12" fillId="0" borderId="28" xfId="0" applyNumberFormat="1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18" fillId="39" borderId="41" xfId="0" applyFont="1" applyFill="1" applyBorder="1"/>
    <xf numFmtId="3" fontId="18" fillId="39" borderId="41" xfId="0" applyNumberFormat="1" applyFont="1" applyFill="1" applyBorder="1"/>
    <xf numFmtId="0" fontId="11" fillId="45" borderId="42" xfId="0" applyFont="1" applyFill="1" applyBorder="1" applyAlignment="1">
      <alignment vertical="center"/>
    </xf>
    <xf numFmtId="3" fontId="11" fillId="45" borderId="42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16" fillId="46" borderId="43" xfId="0" applyFont="1" applyFill="1" applyBorder="1"/>
    <xf numFmtId="3" fontId="16" fillId="46" borderId="43" xfId="0" applyNumberFormat="1" applyFont="1" applyFill="1" applyBorder="1"/>
    <xf numFmtId="0" fontId="16" fillId="46" borderId="7" xfId="0" applyFont="1" applyFill="1" applyBorder="1"/>
    <xf numFmtId="3" fontId="16" fillId="46" borderId="7" xfId="0" applyNumberFormat="1" applyFont="1" applyFill="1" applyBorder="1"/>
    <xf numFmtId="0" fontId="13" fillId="0" borderId="44" xfId="0" applyFont="1" applyBorder="1"/>
    <xf numFmtId="0" fontId="13" fillId="0" borderId="33" xfId="0" applyFont="1" applyBorder="1"/>
    <xf numFmtId="3" fontId="13" fillId="0" borderId="33" xfId="0" applyNumberFormat="1" applyFont="1" applyBorder="1"/>
    <xf numFmtId="0" fontId="18" fillId="39" borderId="33" xfId="0" applyFont="1" applyFill="1" applyBorder="1"/>
    <xf numFmtId="3" fontId="18" fillId="39" borderId="33" xfId="0" applyNumberFormat="1" applyFont="1" applyFill="1" applyBorder="1"/>
    <xf numFmtId="0" fontId="11" fillId="45" borderId="45" xfId="0" applyFont="1" applyFill="1" applyBorder="1"/>
    <xf numFmtId="3" fontId="11" fillId="45" borderId="45" xfId="0" applyNumberFormat="1" applyFont="1" applyFill="1" applyBorder="1"/>
    <xf numFmtId="0" fontId="16" fillId="46" borderId="46" xfId="0" applyFont="1" applyFill="1" applyBorder="1"/>
    <xf numFmtId="3" fontId="16" fillId="46" borderId="46" xfId="0" applyNumberFormat="1" applyFont="1" applyFill="1" applyBorder="1"/>
    <xf numFmtId="0" fontId="16" fillId="46" borderId="16" xfId="0" applyFont="1" applyFill="1" applyBorder="1"/>
    <xf numFmtId="3" fontId="16" fillId="46" borderId="16" xfId="0" applyNumberFormat="1" applyFont="1" applyFill="1" applyBorder="1"/>
    <xf numFmtId="3" fontId="13" fillId="41" borderId="16" xfId="0" applyNumberFormat="1" applyFont="1" applyFill="1" applyBorder="1"/>
    <xf numFmtId="0" fontId="13" fillId="0" borderId="16" xfId="0" applyFont="1" applyBorder="1" applyAlignment="1">
      <alignment vertical="center"/>
    </xf>
    <xf numFmtId="3" fontId="13" fillId="0" borderId="16" xfId="0" applyNumberFormat="1" applyFont="1" applyBorder="1" applyAlignment="1">
      <alignment vertical="center"/>
    </xf>
    <xf numFmtId="0" fontId="16" fillId="46" borderId="16" xfId="0" applyFont="1" applyFill="1" applyBorder="1" applyAlignment="1">
      <alignment wrapText="1"/>
    </xf>
    <xf numFmtId="3" fontId="16" fillId="46" borderId="16" xfId="0" applyNumberFormat="1" applyFont="1" applyFill="1" applyBorder="1" applyAlignment="1">
      <alignment vertical="center"/>
    </xf>
    <xf numFmtId="0" fontId="11" fillId="45" borderId="47" xfId="0" applyFont="1" applyFill="1" applyBorder="1"/>
    <xf numFmtId="3" fontId="11" fillId="45" borderId="47" xfId="0" applyNumberFormat="1" applyFont="1" applyFill="1" applyBorder="1"/>
    <xf numFmtId="3" fontId="13" fillId="0" borderId="48" xfId="0" applyNumberFormat="1" applyFont="1" applyBorder="1"/>
    <xf numFmtId="0" fontId="13" fillId="47" borderId="16" xfId="0" applyFont="1" applyFill="1" applyBorder="1"/>
    <xf numFmtId="3" fontId="13" fillId="47" borderId="16" xfId="0" applyNumberFormat="1" applyFont="1" applyFill="1" applyBorder="1"/>
    <xf numFmtId="0" fontId="13" fillId="47" borderId="16" xfId="0" applyFont="1" applyFill="1" applyBorder="1" applyAlignment="1">
      <alignment vertical="center"/>
    </xf>
    <xf numFmtId="0" fontId="13" fillId="47" borderId="16" xfId="0" applyFont="1" applyFill="1" applyBorder="1" applyAlignment="1">
      <alignment vertical="center" wrapText="1"/>
    </xf>
    <xf numFmtId="3" fontId="13" fillId="47" borderId="16" xfId="0" applyNumberFormat="1" applyFont="1" applyFill="1" applyBorder="1" applyAlignment="1">
      <alignment vertical="center"/>
    </xf>
    <xf numFmtId="0" fontId="14" fillId="0" borderId="16" xfId="0" applyFont="1" applyBorder="1"/>
    <xf numFmtId="3" fontId="13" fillId="41" borderId="16" xfId="0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2" fillId="0" borderId="33" xfId="0" applyFont="1" applyBorder="1" applyAlignment="1">
      <alignment vertical="center" wrapText="1"/>
    </xf>
    <xf numFmtId="3" fontId="2" fillId="0" borderId="33" xfId="0" applyNumberFormat="1" applyFont="1" applyBorder="1" applyAlignment="1">
      <alignment vertical="center"/>
    </xf>
    <xf numFmtId="0" fontId="13" fillId="47" borderId="46" xfId="0" applyFont="1" applyFill="1" applyBorder="1" applyAlignment="1">
      <alignment vertical="center"/>
    </xf>
    <xf numFmtId="0" fontId="13" fillId="47" borderId="46" xfId="0" applyFont="1" applyFill="1" applyBorder="1" applyAlignment="1">
      <alignment vertical="center" wrapText="1"/>
    </xf>
    <xf numFmtId="3" fontId="13" fillId="47" borderId="46" xfId="0" applyNumberFormat="1" applyFont="1" applyFill="1" applyBorder="1" applyAlignment="1">
      <alignment vertical="center"/>
    </xf>
    <xf numFmtId="0" fontId="13" fillId="0" borderId="33" xfId="0" applyFont="1" applyBorder="1" applyAlignment="1">
      <alignment vertical="center"/>
    </xf>
    <xf numFmtId="3" fontId="13" fillId="0" borderId="33" xfId="0" applyNumberFormat="1" applyFont="1" applyBorder="1" applyAlignment="1">
      <alignment vertical="center"/>
    </xf>
    <xf numFmtId="0" fontId="11" fillId="45" borderId="47" xfId="0" applyFont="1" applyFill="1" applyBorder="1" applyAlignment="1">
      <alignment vertical="center"/>
    </xf>
    <xf numFmtId="3" fontId="11" fillId="45" borderId="47" xfId="0" applyNumberFormat="1" applyFont="1" applyFill="1" applyBorder="1" applyAlignment="1">
      <alignment vertical="center"/>
    </xf>
    <xf numFmtId="0" fontId="21" fillId="2" borderId="49" xfId="0" applyFont="1" applyFill="1" applyBorder="1" applyAlignment="1">
      <alignment vertical="center"/>
    </xf>
    <xf numFmtId="3" fontId="22" fillId="2" borderId="49" xfId="0" applyNumberFormat="1" applyFont="1" applyFill="1" applyBorder="1" applyAlignment="1">
      <alignment vertical="center"/>
    </xf>
    <xf numFmtId="0" fontId="2" fillId="0" borderId="50" xfId="0" applyFont="1" applyBorder="1" applyAlignment="1">
      <alignment horizontal="center"/>
    </xf>
    <xf numFmtId="0" fontId="18" fillId="39" borderId="51" xfId="0" applyFont="1" applyFill="1" applyBorder="1"/>
    <xf numFmtId="3" fontId="18" fillId="39" borderId="51" xfId="0" applyNumberFormat="1" applyFont="1" applyFill="1" applyBorder="1"/>
    <xf numFmtId="0" fontId="2" fillId="0" borderId="35" xfId="0" applyFont="1" applyBorder="1" applyAlignment="1">
      <alignment horizontal="center"/>
    </xf>
    <xf numFmtId="0" fontId="11" fillId="45" borderId="42" xfId="0" applyFont="1" applyFill="1" applyBorder="1"/>
    <xf numFmtId="3" fontId="11" fillId="45" borderId="42" xfId="0" applyNumberFormat="1" applyFont="1" applyFill="1" applyBorder="1"/>
    <xf numFmtId="0" fontId="18" fillId="39" borderId="11" xfId="0" applyFont="1" applyFill="1" applyBorder="1"/>
    <xf numFmtId="3" fontId="18" fillId="39" borderId="11" xfId="0" applyNumberFormat="1" applyFont="1" applyFill="1" applyBorder="1"/>
    <xf numFmtId="0" fontId="13" fillId="47" borderId="7" xfId="0" applyFont="1" applyFill="1" applyBorder="1"/>
    <xf numFmtId="3" fontId="13" fillId="47" borderId="7" xfId="0" applyNumberFormat="1" applyFont="1" applyFill="1" applyBorder="1"/>
    <xf numFmtId="0" fontId="14" fillId="0" borderId="43" xfId="0" applyFont="1" applyBorder="1"/>
    <xf numFmtId="0" fontId="13" fillId="0" borderId="43" xfId="0" applyFont="1" applyBorder="1" applyAlignment="1">
      <alignment vertical="center" wrapText="1"/>
    </xf>
    <xf numFmtId="3" fontId="13" fillId="0" borderId="43" xfId="0" applyNumberFormat="1" applyFont="1" applyBorder="1" applyAlignment="1">
      <alignment vertical="center"/>
    </xf>
    <xf numFmtId="0" fontId="21" fillId="2" borderId="14" xfId="0" applyFont="1" applyFill="1" applyBorder="1" applyAlignment="1">
      <alignment vertical="center"/>
    </xf>
    <xf numFmtId="3" fontId="21" fillId="2" borderId="14" xfId="0" applyNumberFormat="1" applyFont="1" applyFill="1" applyBorder="1" applyAlignment="1">
      <alignment vertical="center"/>
    </xf>
    <xf numFmtId="0" fontId="47" fillId="0" borderId="9" xfId="0" applyFont="1" applyBorder="1" applyAlignment="1">
      <alignment horizontal="center" vertical="center"/>
    </xf>
    <xf numFmtId="0" fontId="21" fillId="48" borderId="7" xfId="0" applyFont="1" applyFill="1" applyBorder="1" applyAlignment="1">
      <alignment vertical="center"/>
    </xf>
    <xf numFmtId="3" fontId="21" fillId="48" borderId="7" xfId="0" applyNumberFormat="1" applyFont="1" applyFill="1" applyBorder="1" applyAlignment="1">
      <alignment vertical="center"/>
    </xf>
    <xf numFmtId="0" fontId="47" fillId="0" borderId="13" xfId="0" applyFont="1" applyBorder="1" applyAlignment="1">
      <alignment horizontal="center"/>
    </xf>
    <xf numFmtId="0" fontId="48" fillId="49" borderId="14" xfId="0" applyFont="1" applyFill="1" applyBorder="1"/>
    <xf numFmtId="3" fontId="48" fillId="49" borderId="14" xfId="0" applyNumberFormat="1" applyFont="1" applyFill="1" applyBorder="1"/>
    <xf numFmtId="3" fontId="17" fillId="0" borderId="0" xfId="0" applyNumberFormat="1" applyFont="1"/>
    <xf numFmtId="3" fontId="17" fillId="0" borderId="0" xfId="0" applyNumberFormat="1" applyFont="1" applyAlignment="1">
      <alignment vertical="center"/>
    </xf>
    <xf numFmtId="3" fontId="3" fillId="0" borderId="18" xfId="0" applyNumberFormat="1" applyFont="1" applyBorder="1"/>
    <xf numFmtId="3" fontId="2" fillId="0" borderId="17" xfId="0" applyNumberFormat="1" applyFont="1" applyBorder="1" applyAlignment="1">
      <alignment horizontal="center"/>
    </xf>
    <xf numFmtId="3" fontId="11" fillId="51" borderId="18" xfId="0" applyNumberFormat="1" applyFont="1" applyFill="1" applyBorder="1"/>
    <xf numFmtId="3" fontId="11" fillId="52" borderId="18" xfId="0" applyNumberFormat="1" applyFont="1" applyFill="1" applyBorder="1"/>
    <xf numFmtId="3" fontId="11" fillId="0" borderId="18" xfId="0" applyNumberFormat="1" applyFont="1" applyBorder="1"/>
    <xf numFmtId="3" fontId="23" fillId="0" borderId="18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3" fontId="11" fillId="51" borderId="18" xfId="0" applyNumberFormat="1" applyFont="1" applyFill="1" applyBorder="1" applyAlignment="1">
      <alignment vertical="center"/>
    </xf>
    <xf numFmtId="3" fontId="11" fillId="52" borderId="18" xfId="0" applyNumberFormat="1" applyFont="1" applyFill="1" applyBorder="1" applyAlignment="1">
      <alignment vertical="center"/>
    </xf>
    <xf numFmtId="3" fontId="2" fillId="0" borderId="20" xfId="0" applyNumberFormat="1" applyFont="1" applyBorder="1" applyAlignment="1">
      <alignment horizontal="center" vertical="center"/>
    </xf>
    <xf numFmtId="3" fontId="11" fillId="51" borderId="21" xfId="0" applyNumberFormat="1" applyFont="1" applyFill="1" applyBorder="1" applyAlignment="1">
      <alignment vertical="center"/>
    </xf>
    <xf numFmtId="3" fontId="11" fillId="52" borderId="21" xfId="0" applyNumberFormat="1" applyFont="1" applyFill="1" applyBorder="1" applyAlignment="1">
      <alignment vertical="center"/>
    </xf>
    <xf numFmtId="3" fontId="17" fillId="0" borderId="18" xfId="0" applyNumberFormat="1" applyFont="1" applyBorder="1"/>
    <xf numFmtId="3" fontId="5" fillId="4" borderId="52" xfId="0" applyNumberFormat="1" applyFont="1" applyFill="1" applyBorder="1"/>
    <xf numFmtId="3" fontId="5" fillId="4" borderId="53" xfId="0" applyNumberFormat="1" applyFont="1" applyFill="1" applyBorder="1"/>
    <xf numFmtId="3" fontId="17" fillId="0" borderId="23" xfId="0" applyNumberFormat="1" applyFont="1" applyBorder="1" applyAlignment="1">
      <alignment vertical="center"/>
    </xf>
    <xf numFmtId="3" fontId="3" fillId="41" borderId="0" xfId="0" applyNumberFormat="1" applyFont="1" applyFill="1"/>
    <xf numFmtId="3" fontId="24" fillId="0" borderId="10" xfId="0" applyNumberFormat="1" applyFont="1" applyBorder="1"/>
    <xf numFmtId="0" fontId="13" fillId="0" borderId="55" xfId="0" applyFont="1" applyBorder="1"/>
    <xf numFmtId="0" fontId="13" fillId="0" borderId="48" xfId="0" applyFont="1" applyBorder="1" applyAlignment="1">
      <alignment wrapText="1"/>
    </xf>
    <xf numFmtId="0" fontId="10" fillId="54" borderId="7" xfId="0" applyFont="1" applyFill="1" applyBorder="1"/>
    <xf numFmtId="3" fontId="11" fillId="41" borderId="18" xfId="0" applyNumberFormat="1" applyFont="1" applyFill="1" applyBorder="1"/>
    <xf numFmtId="3" fontId="11" fillId="50" borderId="18" xfId="0" applyNumberFormat="1" applyFont="1" applyFill="1" applyBorder="1"/>
    <xf numFmtId="0" fontId="13" fillId="0" borderId="27" xfId="0" applyFont="1" applyBorder="1"/>
    <xf numFmtId="49" fontId="13" fillId="0" borderId="27" xfId="0" applyNumberFormat="1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5" fillId="0" borderId="27" xfId="0" applyFont="1" applyBorder="1"/>
    <xf numFmtId="3" fontId="13" fillId="0" borderId="27" xfId="0" applyNumberFormat="1" applyFont="1" applyBorder="1"/>
    <xf numFmtId="3" fontId="13" fillId="0" borderId="28" xfId="0" applyNumberFormat="1" applyFont="1" applyBorder="1"/>
    <xf numFmtId="3" fontId="1" fillId="0" borderId="0" xfId="0" applyNumberFormat="1" applyFont="1"/>
    <xf numFmtId="3" fontId="14" fillId="0" borderId="10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49" fontId="12" fillId="0" borderId="33" xfId="0" applyNumberFormat="1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13" fillId="0" borderId="70" xfId="0" applyNumberFormat="1" applyFont="1" applyBorder="1"/>
    <xf numFmtId="0" fontId="5" fillId="0" borderId="30" xfId="0" applyFont="1" applyBorder="1"/>
    <xf numFmtId="0" fontId="5" fillId="0" borderId="16" xfId="0" applyFont="1" applyBorder="1" applyAlignment="1">
      <alignment horizontal="center"/>
    </xf>
    <xf numFmtId="3" fontId="5" fillId="0" borderId="70" xfId="0" applyNumberFormat="1" applyFont="1" applyBorder="1"/>
    <xf numFmtId="0" fontId="3" fillId="41" borderId="0" xfId="0" applyFont="1" applyFill="1"/>
    <xf numFmtId="0" fontId="2" fillId="41" borderId="0" xfId="0" applyFont="1" applyFill="1" applyAlignment="1">
      <alignment horizontal="center" vertical="center"/>
    </xf>
    <xf numFmtId="0" fontId="3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3" fontId="16" fillId="53" borderId="23" xfId="0" applyNumberFormat="1" applyFont="1" applyFill="1" applyBorder="1" applyAlignment="1">
      <alignment vertical="center"/>
    </xf>
    <xf numFmtId="3" fontId="12" fillId="41" borderId="16" xfId="0" applyNumberFormat="1" applyFont="1" applyFill="1" applyBorder="1"/>
    <xf numFmtId="3" fontId="5" fillId="41" borderId="7" xfId="0" applyNumberFormat="1" applyFont="1" applyFill="1" applyBorder="1"/>
    <xf numFmtId="3" fontId="45" fillId="41" borderId="53" xfId="0" applyNumberFormat="1" applyFont="1" applyFill="1" applyBorder="1"/>
    <xf numFmtId="3" fontId="46" fillId="41" borderId="18" xfId="0" applyNumberFormat="1" applyFont="1" applyFill="1" applyBorder="1"/>
    <xf numFmtId="3" fontId="5" fillId="41" borderId="52" xfId="0" applyNumberFormat="1" applyFont="1" applyFill="1" applyBorder="1"/>
    <xf numFmtId="0" fontId="11" fillId="43" borderId="7" xfId="0" applyFont="1" applyFill="1" applyBorder="1"/>
    <xf numFmtId="3" fontId="13" fillId="0" borderId="31" xfId="0" applyNumberFormat="1" applyFont="1" applyBorder="1"/>
    <xf numFmtId="3" fontId="5" fillId="0" borderId="34" xfId="0" applyNumberFormat="1" applyFont="1" applyBorder="1" applyAlignment="1">
      <alignment vertical="center"/>
    </xf>
    <xf numFmtId="3" fontId="12" fillId="0" borderId="31" xfId="0" applyNumberFormat="1" applyFont="1" applyBorder="1"/>
    <xf numFmtId="3" fontId="13" fillId="0" borderId="38" xfId="0" applyNumberFormat="1" applyFont="1" applyBorder="1"/>
    <xf numFmtId="0" fontId="10" fillId="3" borderId="71" xfId="0" applyFont="1" applyFill="1" applyBorder="1"/>
    <xf numFmtId="3" fontId="10" fillId="3" borderId="43" xfId="0" applyNumberFormat="1" applyFont="1" applyFill="1" applyBorder="1"/>
    <xf numFmtId="0" fontId="14" fillId="0" borderId="30" xfId="0" applyFont="1" applyBorder="1"/>
    <xf numFmtId="0" fontId="5" fillId="0" borderId="0" xfId="0" applyFont="1" applyAlignment="1">
      <alignment vertical="center" wrapText="1"/>
    </xf>
    <xf numFmtId="0" fontId="14" fillId="0" borderId="76" xfId="0" applyFont="1" applyBorder="1"/>
    <xf numFmtId="0" fontId="14" fillId="0" borderId="46" xfId="0" applyFont="1" applyBorder="1"/>
    <xf numFmtId="0" fontId="5" fillId="0" borderId="46" xfId="0" applyFont="1" applyBorder="1" applyAlignment="1">
      <alignment horizontal="center"/>
    </xf>
    <xf numFmtId="0" fontId="5" fillId="0" borderId="46" xfId="0" applyFont="1" applyBorder="1"/>
    <xf numFmtId="3" fontId="5" fillId="0" borderId="77" xfId="0" applyNumberFormat="1" applyFont="1" applyBorder="1"/>
    <xf numFmtId="0" fontId="1" fillId="0" borderId="0" xfId="0" applyFont="1"/>
    <xf numFmtId="49" fontId="5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/>
    </xf>
    <xf numFmtId="3" fontId="10" fillId="0" borderId="7" xfId="0" applyNumberFormat="1" applyFont="1" applyBorder="1"/>
    <xf numFmtId="0" fontId="2" fillId="0" borderId="81" xfId="0" applyFont="1" applyBorder="1" applyAlignment="1">
      <alignment horizontal="center" vertical="center"/>
    </xf>
    <xf numFmtId="0" fontId="14" fillId="0" borderId="82" xfId="0" applyFont="1" applyBorder="1"/>
    <xf numFmtId="0" fontId="5" fillId="0" borderId="82" xfId="0" applyFont="1" applyBorder="1"/>
    <xf numFmtId="0" fontId="5" fillId="0" borderId="82" xfId="0" applyFont="1" applyBorder="1" applyAlignment="1">
      <alignment horizontal="center"/>
    </xf>
    <xf numFmtId="3" fontId="5" fillId="0" borderId="82" xfId="0" applyNumberFormat="1" applyFont="1" applyBorder="1"/>
    <xf numFmtId="3" fontId="5" fillId="0" borderId="83" xfId="0" applyNumberFormat="1" applyFont="1" applyBorder="1"/>
    <xf numFmtId="0" fontId="14" fillId="0" borderId="27" xfId="0" applyFont="1" applyBorder="1"/>
    <xf numFmtId="0" fontId="5" fillId="0" borderId="27" xfId="0" applyFont="1" applyBorder="1" applyAlignment="1">
      <alignment horizontal="center"/>
    </xf>
    <xf numFmtId="3" fontId="5" fillId="0" borderId="27" xfId="0" applyNumberFormat="1" applyFont="1" applyBorder="1"/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 wrapText="1"/>
    </xf>
    <xf numFmtId="3" fontId="5" fillId="0" borderId="27" xfId="0" applyNumberFormat="1" applyFont="1" applyBorder="1" applyAlignment="1">
      <alignment vertical="center"/>
    </xf>
    <xf numFmtId="3" fontId="5" fillId="0" borderId="28" xfId="0" applyNumberFormat="1" applyFont="1" applyBorder="1" applyAlignment="1">
      <alignment vertical="center"/>
    </xf>
    <xf numFmtId="0" fontId="13" fillId="0" borderId="12" xfId="0" applyFont="1" applyBorder="1"/>
    <xf numFmtId="0" fontId="5" fillId="0" borderId="7" xfId="0" applyFont="1" applyBorder="1" applyAlignment="1">
      <alignment horizontal="left" wrapText="1"/>
    </xf>
    <xf numFmtId="3" fontId="11" fillId="41" borderId="7" xfId="0" applyNumberFormat="1" applyFont="1" applyFill="1" applyBorder="1"/>
    <xf numFmtId="0" fontId="11" fillId="41" borderId="7" xfId="0" applyFont="1" applyFill="1" applyBorder="1"/>
    <xf numFmtId="3" fontId="12" fillId="41" borderId="10" xfId="0" applyNumberFormat="1" applyFont="1" applyFill="1" applyBorder="1"/>
    <xf numFmtId="0" fontId="13" fillId="0" borderId="7" xfId="0" applyFont="1" applyBorder="1" applyAlignment="1">
      <alignment wrapText="1"/>
    </xf>
    <xf numFmtId="0" fontId="13" fillId="0" borderId="0" xfId="0" applyFont="1" applyAlignment="1">
      <alignment horizontal="center"/>
    </xf>
    <xf numFmtId="3" fontId="10" fillId="41" borderId="7" xfId="0" applyNumberFormat="1" applyFont="1" applyFill="1" applyBorder="1"/>
    <xf numFmtId="3" fontId="10" fillId="41" borderId="10" xfId="0" applyNumberFormat="1" applyFont="1" applyFill="1" applyBorder="1"/>
    <xf numFmtId="0" fontId="10" fillId="41" borderId="7" xfId="0" applyFont="1" applyFill="1" applyBorder="1"/>
    <xf numFmtId="0" fontId="3" fillId="41" borderId="7" xfId="0" applyFont="1" applyFill="1" applyBorder="1"/>
    <xf numFmtId="3" fontId="2" fillId="0" borderId="87" xfId="0" applyNumberFormat="1" applyFont="1" applyBorder="1" applyAlignment="1">
      <alignment horizontal="center"/>
    </xf>
    <xf numFmtId="3" fontId="11" fillId="0" borderId="88" xfId="0" applyNumberFormat="1" applyFont="1" applyBorder="1"/>
    <xf numFmtId="3" fontId="2" fillId="0" borderId="89" xfId="0" applyNumberFormat="1" applyFont="1" applyBorder="1" applyAlignment="1">
      <alignment horizontal="center"/>
    </xf>
    <xf numFmtId="3" fontId="5" fillId="4" borderId="90" xfId="0" applyNumberFormat="1" applyFont="1" applyFill="1" applyBorder="1"/>
    <xf numFmtId="3" fontId="5" fillId="4" borderId="91" xfId="0" applyNumberFormat="1" applyFont="1" applyFill="1" applyBorder="1"/>
    <xf numFmtId="3" fontId="11" fillId="0" borderId="92" xfId="0" applyNumberFormat="1" applyFont="1" applyBorder="1"/>
    <xf numFmtId="3" fontId="11" fillId="39" borderId="84" xfId="0" applyNumberFormat="1" applyFont="1" applyFill="1" applyBorder="1" applyAlignment="1">
      <alignment vertical="center"/>
    </xf>
    <xf numFmtId="3" fontId="11" fillId="39" borderId="85" xfId="0" applyNumberFormat="1" applyFont="1" applyFill="1" applyBorder="1" applyAlignment="1">
      <alignment vertical="center"/>
    </xf>
    <xf numFmtId="3" fontId="11" fillId="39" borderId="86" xfId="0" applyNumberFormat="1" applyFont="1" applyFill="1" applyBorder="1" applyAlignment="1">
      <alignment vertical="center"/>
    </xf>
    <xf numFmtId="3" fontId="2" fillId="0" borderId="87" xfId="0" applyNumberFormat="1" applyFont="1" applyBorder="1" applyAlignment="1">
      <alignment horizontal="center" vertical="center"/>
    </xf>
    <xf numFmtId="3" fontId="5" fillId="4" borderId="52" xfId="0" applyNumberFormat="1" applyFont="1" applyFill="1" applyBorder="1" applyAlignment="1">
      <alignment vertical="center" wrapText="1"/>
    </xf>
    <xf numFmtId="3" fontId="5" fillId="4" borderId="53" xfId="0" applyNumberFormat="1" applyFont="1" applyFill="1" applyBorder="1" applyAlignment="1">
      <alignment vertical="center"/>
    </xf>
    <xf numFmtId="3" fontId="11" fillId="0" borderId="88" xfId="0" applyNumberFormat="1" applyFont="1" applyBorder="1" applyAlignment="1">
      <alignment vertical="center"/>
    </xf>
    <xf numFmtId="4" fontId="11" fillId="0" borderId="88" xfId="0" applyNumberFormat="1" applyFont="1" applyBorder="1"/>
    <xf numFmtId="0" fontId="13" fillId="0" borderId="16" xfId="0" applyFont="1" applyBorder="1" applyAlignment="1">
      <alignment wrapText="1"/>
    </xf>
    <xf numFmtId="0" fontId="13" fillId="0" borderId="48" xfId="0" applyFont="1" applyBorder="1"/>
    <xf numFmtId="3" fontId="2" fillId="0" borderId="93" xfId="0" applyNumberFormat="1" applyFont="1" applyBorder="1" applyAlignment="1">
      <alignment horizontal="center"/>
    </xf>
    <xf numFmtId="3" fontId="5" fillId="4" borderId="68" xfId="0" applyNumberFormat="1" applyFont="1" applyFill="1" applyBorder="1"/>
    <xf numFmtId="3" fontId="5" fillId="4" borderId="69" xfId="0" applyNumberFormat="1" applyFont="1" applyFill="1" applyBorder="1"/>
    <xf numFmtId="3" fontId="11" fillId="0" borderId="94" xfId="0" applyNumberFormat="1" applyFont="1" applyBorder="1"/>
    <xf numFmtId="4" fontId="11" fillId="0" borderId="94" xfId="0" applyNumberFormat="1" applyFont="1" applyBorder="1"/>
    <xf numFmtId="3" fontId="11" fillId="0" borderId="0" xfId="0" applyNumberFormat="1" applyFont="1" applyAlignment="1">
      <alignment vertical="center"/>
    </xf>
    <xf numFmtId="3" fontId="11" fillId="0" borderId="0" xfId="0" applyNumberFormat="1" applyFont="1"/>
    <xf numFmtId="3" fontId="11" fillId="39" borderId="69" xfId="0" applyNumberFormat="1" applyFont="1" applyFill="1" applyBorder="1" applyAlignment="1">
      <alignment vertical="center"/>
    </xf>
    <xf numFmtId="3" fontId="11" fillId="50" borderId="53" xfId="0" applyNumberFormat="1" applyFont="1" applyFill="1" applyBorder="1"/>
    <xf numFmtId="3" fontId="53" fillId="0" borderId="19" xfId="0" applyNumberFormat="1" applyFont="1" applyBorder="1" applyAlignment="1">
      <alignment horizontal="center" vertical="center" wrapText="1"/>
    </xf>
    <xf numFmtId="166" fontId="2" fillId="0" borderId="19" xfId="0" applyNumberFormat="1" applyFont="1" applyBorder="1"/>
    <xf numFmtId="3" fontId="56" fillId="39" borderId="105" xfId="0" applyNumberFormat="1" applyFont="1" applyFill="1" applyBorder="1" applyAlignment="1">
      <alignment vertical="center"/>
    </xf>
    <xf numFmtId="3" fontId="56" fillId="39" borderId="74" xfId="0" applyNumberFormat="1" applyFont="1" applyFill="1" applyBorder="1" applyAlignment="1">
      <alignment horizontal="center" vertical="center"/>
    </xf>
    <xf numFmtId="3" fontId="8" fillId="39" borderId="40" xfId="0" applyNumberFormat="1" applyFont="1" applyFill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3" fontId="2" fillId="0" borderId="96" xfId="0" applyNumberFormat="1" applyFont="1" applyBorder="1" applyAlignment="1">
      <alignment horizontal="center" vertical="center" wrapText="1"/>
    </xf>
    <xf numFmtId="3" fontId="11" fillId="41" borderId="73" xfId="0" applyNumberFormat="1" applyFont="1" applyFill="1" applyBorder="1" applyAlignment="1">
      <alignment vertical="center"/>
    </xf>
    <xf numFmtId="167" fontId="8" fillId="52" borderId="18" xfId="0" applyNumberFormat="1" applyFont="1" applyFill="1" applyBorder="1"/>
    <xf numFmtId="167" fontId="57" fillId="0" borderId="18" xfId="0" applyNumberFormat="1" applyFont="1" applyBorder="1"/>
    <xf numFmtId="166" fontId="8" fillId="52" borderId="18" xfId="0" applyNumberFormat="1" applyFont="1" applyFill="1" applyBorder="1"/>
    <xf numFmtId="166" fontId="14" fillId="0" borderId="18" xfId="0" applyNumberFormat="1" applyFont="1" applyBorder="1"/>
    <xf numFmtId="166" fontId="8" fillId="51" borderId="18" xfId="0" applyNumberFormat="1" applyFont="1" applyFill="1" applyBorder="1" applyAlignment="1">
      <alignment vertical="center"/>
    </xf>
    <xf numFmtId="166" fontId="8" fillId="52" borderId="18" xfId="0" applyNumberFormat="1" applyFont="1" applyFill="1" applyBorder="1" applyAlignment="1">
      <alignment vertical="center"/>
    </xf>
    <xf numFmtId="166" fontId="53" fillId="0" borderId="19" xfId="0" applyNumberFormat="1" applyFont="1" applyBorder="1"/>
    <xf numFmtId="3" fontId="10" fillId="39" borderId="66" xfId="0" applyNumberFormat="1" applyFont="1" applyFill="1" applyBorder="1"/>
    <xf numFmtId="3" fontId="10" fillId="39" borderId="67" xfId="0" applyNumberFormat="1" applyFont="1" applyFill="1" applyBorder="1"/>
    <xf numFmtId="3" fontId="12" fillId="41" borderId="7" xfId="0" applyNumberFormat="1" applyFont="1" applyFill="1" applyBorder="1"/>
    <xf numFmtId="0" fontId="13" fillId="0" borderId="107" xfId="0" applyFont="1" applyBorder="1" applyAlignment="1">
      <alignment vertical="center" wrapText="1"/>
    </xf>
    <xf numFmtId="0" fontId="13" fillId="47" borderId="30" xfId="0" applyFont="1" applyFill="1" applyBorder="1"/>
    <xf numFmtId="0" fontId="13" fillId="47" borderId="30" xfId="0" applyFont="1" applyFill="1" applyBorder="1" applyAlignment="1">
      <alignment vertical="center"/>
    </xf>
    <xf numFmtId="166" fontId="2" fillId="0" borderId="19" xfId="0" applyNumberFormat="1" applyFont="1" applyBorder="1" applyAlignment="1">
      <alignment vertical="center"/>
    </xf>
    <xf numFmtId="166" fontId="8" fillId="0" borderId="19" xfId="0" applyNumberFormat="1" applyFont="1" applyBorder="1"/>
    <xf numFmtId="49" fontId="14" fillId="0" borderId="7" xfId="0" applyNumberFormat="1" applyFont="1" applyBorder="1" applyAlignment="1">
      <alignment horizontal="center" vertical="center"/>
    </xf>
    <xf numFmtId="3" fontId="5" fillId="4" borderId="109" xfId="0" applyNumberFormat="1" applyFont="1" applyFill="1" applyBorder="1"/>
    <xf numFmtId="3" fontId="3" fillId="0" borderId="110" xfId="0" applyNumberFormat="1" applyFont="1" applyBorder="1"/>
    <xf numFmtId="3" fontId="5" fillId="4" borderId="111" xfId="0" applyNumberFormat="1" applyFont="1" applyFill="1" applyBorder="1"/>
    <xf numFmtId="3" fontId="5" fillId="4" borderId="54" xfId="0" applyNumberFormat="1" applyFont="1" applyFill="1" applyBorder="1"/>
    <xf numFmtId="3" fontId="3" fillId="0" borderId="112" xfId="0" applyNumberFormat="1" applyFont="1" applyBorder="1"/>
    <xf numFmtId="3" fontId="5" fillId="0" borderId="54" xfId="0" applyNumberFormat="1" applyFont="1" applyBorder="1"/>
    <xf numFmtId="3" fontId="3" fillId="0" borderId="54" xfId="0" applyNumberFormat="1" applyFont="1" applyBorder="1"/>
    <xf numFmtId="3" fontId="11" fillId="50" borderId="54" xfId="0" applyNumberFormat="1" applyFont="1" applyFill="1" applyBorder="1"/>
    <xf numFmtId="3" fontId="17" fillId="0" borderId="112" xfId="0" applyNumberFormat="1" applyFont="1" applyBorder="1"/>
    <xf numFmtId="3" fontId="5" fillId="4" borderId="114" xfId="0" applyNumberFormat="1" applyFont="1" applyFill="1" applyBorder="1"/>
    <xf numFmtId="3" fontId="3" fillId="0" borderId="115" xfId="0" applyNumberFormat="1" applyFont="1" applyBorder="1"/>
    <xf numFmtId="166" fontId="2" fillId="0" borderId="116" xfId="0" applyNumberFormat="1" applyFont="1" applyBorder="1"/>
    <xf numFmtId="3" fontId="13" fillId="0" borderId="25" xfId="0" applyNumberFormat="1" applyFont="1" applyBorder="1"/>
    <xf numFmtId="0" fontId="10" fillId="3" borderId="117" xfId="0" applyFont="1" applyFill="1" applyBorder="1"/>
    <xf numFmtId="3" fontId="10" fillId="3" borderId="117" xfId="0" applyNumberFormat="1" applyFont="1" applyFill="1" applyBorder="1"/>
    <xf numFmtId="166" fontId="2" fillId="0" borderId="118" xfId="0" applyNumberFormat="1" applyFont="1" applyBorder="1"/>
    <xf numFmtId="3" fontId="10" fillId="3" borderId="119" xfId="0" applyNumberFormat="1" applyFont="1" applyFill="1" applyBorder="1"/>
    <xf numFmtId="0" fontId="13" fillId="0" borderId="24" xfId="0" applyFont="1" applyBorder="1"/>
    <xf numFmtId="49" fontId="13" fillId="0" borderId="24" xfId="0" applyNumberFormat="1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3" fontId="13" fillId="0" borderId="24" xfId="0" applyNumberFormat="1" applyFont="1" applyBorder="1"/>
    <xf numFmtId="166" fontId="2" fillId="0" borderId="120" xfId="0" applyNumberFormat="1" applyFont="1" applyBorder="1"/>
    <xf numFmtId="3" fontId="13" fillId="0" borderId="121" xfId="0" applyNumberFormat="1" applyFont="1" applyBorder="1"/>
    <xf numFmtId="0" fontId="12" fillId="0" borderId="24" xfId="0" applyFont="1" applyBorder="1"/>
    <xf numFmtId="49" fontId="12" fillId="0" borderId="24" xfId="0" applyNumberFormat="1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3" fontId="12" fillId="0" borderId="24" xfId="0" applyNumberFormat="1" applyFont="1" applyBorder="1"/>
    <xf numFmtId="3" fontId="12" fillId="0" borderId="121" xfId="0" applyNumberFormat="1" applyFont="1" applyBorder="1"/>
    <xf numFmtId="0" fontId="14" fillId="0" borderId="24" xfId="0" applyFont="1" applyBorder="1" applyAlignment="1">
      <alignment horizontal="center"/>
    </xf>
    <xf numFmtId="0" fontId="5" fillId="0" borderId="24" xfId="0" applyFont="1" applyBorder="1"/>
    <xf numFmtId="3" fontId="5" fillId="0" borderId="24" xfId="0" applyNumberFormat="1" applyFont="1" applyBorder="1"/>
    <xf numFmtId="3" fontId="5" fillId="0" borderId="121" xfId="0" applyNumberFormat="1" applyFont="1" applyBorder="1"/>
    <xf numFmtId="3" fontId="11" fillId="39" borderId="68" xfId="0" applyNumberFormat="1" applyFont="1" applyFill="1" applyBorder="1" applyAlignment="1">
      <alignment vertical="center"/>
    </xf>
    <xf numFmtId="3" fontId="11" fillId="39" borderId="69" xfId="0" applyNumberFormat="1" applyFont="1" applyFill="1" applyBorder="1" applyAlignment="1">
      <alignment vertical="center"/>
    </xf>
    <xf numFmtId="3" fontId="11" fillId="50" borderId="111" xfId="0" applyNumberFormat="1" applyFont="1" applyFill="1" applyBorder="1"/>
    <xf numFmtId="3" fontId="11" fillId="50" borderId="54" xfId="0" applyNumberFormat="1" applyFont="1" applyFill="1" applyBorder="1"/>
    <xf numFmtId="3" fontId="5" fillId="4" borderId="113" xfId="0" applyNumberFormat="1" applyFont="1" applyFill="1" applyBorder="1"/>
    <xf numFmtId="3" fontId="5" fillId="4" borderId="114" xfId="0" applyNumberFormat="1" applyFont="1" applyFill="1" applyBorder="1"/>
    <xf numFmtId="3" fontId="5" fillId="4" borderId="108" xfId="0" applyNumberFormat="1" applyFont="1" applyFill="1" applyBorder="1"/>
    <xf numFmtId="3" fontId="5" fillId="4" borderId="109" xfId="0" applyNumberFormat="1" applyFont="1" applyFill="1" applyBorder="1"/>
    <xf numFmtId="3" fontId="5" fillId="4" borderId="52" xfId="0" applyNumberFormat="1" applyFont="1" applyFill="1" applyBorder="1"/>
    <xf numFmtId="3" fontId="5" fillId="4" borderId="53" xfId="0" applyNumberFormat="1" applyFont="1" applyFill="1" applyBorder="1"/>
    <xf numFmtId="3" fontId="11" fillId="50" borderId="52" xfId="0" applyNumberFormat="1" applyFont="1" applyFill="1" applyBorder="1"/>
    <xf numFmtId="3" fontId="11" fillId="50" borderId="53" xfId="0" applyNumberFormat="1" applyFont="1" applyFill="1" applyBorder="1"/>
    <xf numFmtId="3" fontId="18" fillId="41" borderId="73" xfId="0" applyNumberFormat="1" applyFont="1" applyFill="1" applyBorder="1" applyAlignment="1">
      <alignment horizontal="center" vertical="center" wrapText="1"/>
    </xf>
    <xf numFmtId="3" fontId="11" fillId="51" borderId="68" xfId="0" applyNumberFormat="1" applyFont="1" applyFill="1" applyBorder="1" applyAlignment="1">
      <alignment horizontal="center" vertical="center"/>
    </xf>
    <xf numFmtId="3" fontId="11" fillId="51" borderId="69" xfId="0" applyNumberFormat="1" applyFont="1" applyFill="1" applyBorder="1" applyAlignment="1">
      <alignment horizontal="center" vertical="center"/>
    </xf>
    <xf numFmtId="3" fontId="11" fillId="51" borderId="106" xfId="0" applyNumberFormat="1" applyFont="1" applyFill="1" applyBorder="1" applyAlignment="1">
      <alignment horizontal="center" vertical="center"/>
    </xf>
    <xf numFmtId="3" fontId="11" fillId="51" borderId="52" xfId="0" applyNumberFormat="1" applyFont="1" applyFill="1" applyBorder="1" applyAlignment="1">
      <alignment horizontal="center" vertical="center"/>
    </xf>
    <xf numFmtId="3" fontId="11" fillId="51" borderId="65" xfId="0" applyNumberFormat="1" applyFont="1" applyFill="1" applyBorder="1" applyAlignment="1">
      <alignment horizontal="center" vertical="center"/>
    </xf>
    <xf numFmtId="3" fontId="10" fillId="39" borderId="73" xfId="0" applyNumberFormat="1" applyFont="1" applyFill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8" fillId="55" borderId="7" xfId="0" applyFont="1" applyFill="1" applyBorder="1" applyAlignment="1">
      <alignment horizontal="center" vertical="center"/>
    </xf>
    <xf numFmtId="0" fontId="8" fillId="55" borderId="11" xfId="0" applyFont="1" applyFill="1" applyBorder="1" applyAlignment="1">
      <alignment horizontal="center" vertical="center"/>
    </xf>
    <xf numFmtId="49" fontId="20" fillId="55" borderId="18" xfId="0" applyNumberFormat="1" applyFont="1" applyFill="1" applyBorder="1" applyAlignment="1">
      <alignment horizontal="center" vertical="center" wrapText="1"/>
    </xf>
    <xf numFmtId="49" fontId="20" fillId="55" borderId="21" xfId="0" applyNumberFormat="1" applyFont="1" applyFill="1" applyBorder="1" applyAlignment="1">
      <alignment horizontal="center" vertical="center" wrapText="1"/>
    </xf>
    <xf numFmtId="0" fontId="8" fillId="55" borderId="18" xfId="0" applyFont="1" applyFill="1" applyBorder="1" applyAlignment="1">
      <alignment horizontal="center" vertical="center"/>
    </xf>
    <xf numFmtId="0" fontId="8" fillId="55" borderId="21" xfId="0" applyFont="1" applyFill="1" applyBorder="1" applyAlignment="1">
      <alignment horizontal="center" vertical="center"/>
    </xf>
    <xf numFmtId="3" fontId="8" fillId="55" borderId="40" xfId="0" applyNumberFormat="1" applyFont="1" applyFill="1" applyBorder="1" applyAlignment="1">
      <alignment horizontal="center" vertical="center" wrapText="1"/>
    </xf>
    <xf numFmtId="3" fontId="8" fillId="55" borderId="18" xfId="0" applyNumberFormat="1" applyFont="1" applyFill="1" applyBorder="1" applyAlignment="1">
      <alignment horizontal="center" vertical="center" wrapText="1"/>
    </xf>
    <xf numFmtId="3" fontId="8" fillId="55" borderId="21" xfId="0" applyNumberFormat="1" applyFont="1" applyFill="1" applyBorder="1" applyAlignment="1">
      <alignment horizontal="center" vertical="center" wrapText="1"/>
    </xf>
    <xf numFmtId="49" fontId="19" fillId="55" borderId="56" xfId="0" applyNumberFormat="1" applyFont="1" applyFill="1" applyBorder="1" applyAlignment="1">
      <alignment horizontal="center" vertical="center"/>
    </xf>
    <xf numFmtId="49" fontId="19" fillId="55" borderId="8" xfId="0" applyNumberFormat="1" applyFont="1" applyFill="1" applyBorder="1" applyAlignment="1">
      <alignment horizontal="center" vertical="center"/>
    </xf>
    <xf numFmtId="49" fontId="19" fillId="55" borderId="9" xfId="0" applyNumberFormat="1" applyFont="1" applyFill="1" applyBorder="1" applyAlignment="1">
      <alignment horizontal="center" vertical="center"/>
    </xf>
    <xf numFmtId="49" fontId="19" fillId="55" borderId="7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3" fontId="52" fillId="55" borderId="95" xfId="0" applyNumberFormat="1" applyFont="1" applyFill="1" applyBorder="1" applyAlignment="1">
      <alignment horizontal="center" vertical="center" wrapText="1"/>
    </xf>
    <xf numFmtId="3" fontId="52" fillId="55" borderId="97" xfId="0" applyNumberFormat="1" applyFont="1" applyFill="1" applyBorder="1" applyAlignment="1">
      <alignment horizontal="center" vertical="center" wrapText="1"/>
    </xf>
    <xf numFmtId="3" fontId="52" fillId="55" borderId="64" xfId="0" applyNumberFormat="1" applyFont="1" applyFill="1" applyBorder="1" applyAlignment="1">
      <alignment horizontal="center" vertical="center" wrapText="1"/>
    </xf>
    <xf numFmtId="0" fontId="47" fillId="0" borderId="9" xfId="0" applyFont="1" applyBorder="1" applyAlignment="1">
      <alignment horizontal="center"/>
    </xf>
    <xf numFmtId="49" fontId="20" fillId="55" borderId="7" xfId="0" applyNumberFormat="1" applyFont="1" applyFill="1" applyBorder="1" applyAlignment="1">
      <alignment horizontal="center" vertical="center"/>
    </xf>
    <xf numFmtId="49" fontId="20" fillId="55" borderId="1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3" fontId="53" fillId="0" borderId="96" xfId="0" applyNumberFormat="1" applyFont="1" applyBorder="1" applyAlignment="1">
      <alignment horizontal="center" vertical="center" wrapText="1"/>
    </xf>
    <xf numFmtId="3" fontId="53" fillId="0" borderId="19" xfId="0" applyNumberFormat="1" applyFont="1" applyBorder="1" applyAlignment="1">
      <alignment horizontal="center" vertical="center" wrapText="1"/>
    </xf>
    <xf numFmtId="49" fontId="19" fillId="55" borderId="57" xfId="0" applyNumberFormat="1" applyFont="1" applyFill="1" applyBorder="1" applyAlignment="1">
      <alignment horizontal="center" vertical="center"/>
    </xf>
    <xf numFmtId="49" fontId="19" fillId="55" borderId="40" xfId="0" applyNumberFormat="1" applyFont="1" applyFill="1" applyBorder="1" applyAlignment="1">
      <alignment horizontal="center" vertical="center"/>
    </xf>
    <xf numFmtId="49" fontId="19" fillId="55" borderId="58" xfId="0" applyNumberFormat="1" applyFont="1" applyFill="1" applyBorder="1" applyAlignment="1">
      <alignment horizontal="center" vertical="center"/>
    </xf>
    <xf numFmtId="49" fontId="19" fillId="55" borderId="18" xfId="0" applyNumberFormat="1" applyFont="1" applyFill="1" applyBorder="1" applyAlignment="1">
      <alignment horizontal="center" vertical="center"/>
    </xf>
    <xf numFmtId="0" fontId="11" fillId="40" borderId="7" xfId="0" applyFont="1" applyFill="1" applyBorder="1"/>
    <xf numFmtId="0" fontId="3" fillId="40" borderId="7" xfId="0" applyFont="1" applyFill="1" applyBorder="1"/>
    <xf numFmtId="0" fontId="10" fillId="3" borderId="7" xfId="0" applyFont="1" applyFill="1" applyBorder="1"/>
    <xf numFmtId="0" fontId="3" fillId="0" borderId="7" xfId="0" applyFont="1" applyBorder="1"/>
    <xf numFmtId="49" fontId="54" fillId="55" borderId="79" xfId="0" applyNumberFormat="1" applyFont="1" applyFill="1" applyBorder="1" applyAlignment="1">
      <alignment horizontal="center"/>
    </xf>
    <xf numFmtId="49" fontId="54" fillId="55" borderId="80" xfId="0" applyNumberFormat="1" applyFont="1" applyFill="1" applyBorder="1" applyAlignment="1">
      <alignment horizontal="center"/>
    </xf>
    <xf numFmtId="49" fontId="54" fillId="55" borderId="98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3" fontId="52" fillId="55" borderId="61" xfId="0" applyNumberFormat="1" applyFont="1" applyFill="1" applyBorder="1" applyAlignment="1">
      <alignment horizontal="center" vertical="center" wrapText="1"/>
    </xf>
    <xf numFmtId="3" fontId="52" fillId="55" borderId="10" xfId="0" applyNumberFormat="1" applyFont="1" applyFill="1" applyBorder="1" applyAlignment="1">
      <alignment horizontal="center" vertical="center" wrapText="1"/>
    </xf>
    <xf numFmtId="3" fontId="53" fillId="0" borderId="99" xfId="0" applyNumberFormat="1" applyFont="1" applyBorder="1" applyAlignment="1">
      <alignment horizontal="center" vertical="center" wrapText="1"/>
    </xf>
    <xf numFmtId="3" fontId="53" fillId="0" borderId="101" xfId="0" applyNumberFormat="1" applyFont="1" applyBorder="1" applyAlignment="1">
      <alignment horizontal="center" vertical="center" wrapText="1"/>
    </xf>
    <xf numFmtId="3" fontId="53" fillId="0" borderId="104" xfId="0" applyNumberFormat="1" applyFont="1" applyBorder="1" applyAlignment="1">
      <alignment horizontal="center" vertical="center" wrapText="1"/>
    </xf>
    <xf numFmtId="3" fontId="52" fillId="55" borderId="7" xfId="0" applyNumberFormat="1" applyFont="1" applyFill="1" applyBorder="1" applyAlignment="1">
      <alignment horizontal="center" vertical="center" wrapText="1"/>
    </xf>
    <xf numFmtId="3" fontId="53" fillId="0" borderId="100" xfId="0" applyNumberFormat="1" applyFont="1" applyBorder="1" applyAlignment="1">
      <alignment horizontal="center" vertical="center" wrapText="1"/>
    </xf>
    <xf numFmtId="3" fontId="53" fillId="0" borderId="102" xfId="0" applyNumberFormat="1" applyFont="1" applyBorder="1" applyAlignment="1">
      <alignment horizontal="center" vertical="center" wrapText="1"/>
    </xf>
    <xf numFmtId="3" fontId="53" fillId="0" borderId="103" xfId="0" applyNumberFormat="1" applyFont="1" applyBorder="1" applyAlignment="1">
      <alignment horizontal="center" vertical="center" wrapText="1"/>
    </xf>
    <xf numFmtId="0" fontId="55" fillId="55" borderId="7" xfId="0" applyFont="1" applyFill="1" applyBorder="1" applyAlignment="1">
      <alignment horizontal="center" vertical="center" textRotation="180" wrapText="1"/>
    </xf>
    <xf numFmtId="0" fontId="55" fillId="55" borderId="7" xfId="0" applyFont="1" applyFill="1" applyBorder="1" applyAlignment="1">
      <alignment horizontal="center" vertical="center"/>
    </xf>
    <xf numFmtId="0" fontId="55" fillId="55" borderId="7" xfId="0" applyFont="1" applyFill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/>
    </xf>
    <xf numFmtId="0" fontId="50" fillId="0" borderId="75" xfId="0" applyFont="1" applyBorder="1" applyAlignment="1">
      <alignment horizontal="left" wrapText="1"/>
    </xf>
    <xf numFmtId="0" fontId="49" fillId="0" borderId="75" xfId="0" applyFont="1" applyBorder="1" applyAlignment="1">
      <alignment horizontal="left" wrapText="1"/>
    </xf>
    <xf numFmtId="0" fontId="50" fillId="0" borderId="0" xfId="0" applyFont="1"/>
    <xf numFmtId="0" fontId="1" fillId="0" borderId="0" xfId="0" applyFont="1"/>
    <xf numFmtId="0" fontId="10" fillId="3" borderId="14" xfId="0" applyFont="1" applyFill="1" applyBorder="1"/>
    <xf numFmtId="0" fontId="3" fillId="0" borderId="14" xfId="0" applyFont="1" applyBorder="1"/>
    <xf numFmtId="0" fontId="10" fillId="54" borderId="72" xfId="0" applyFont="1" applyFill="1" applyBorder="1"/>
    <xf numFmtId="0" fontId="3" fillId="54" borderId="73" xfId="0" applyFont="1" applyFill="1" applyBorder="1"/>
    <xf numFmtId="0" fontId="3" fillId="54" borderId="74" xfId="0" applyFont="1" applyFill="1" applyBorder="1"/>
    <xf numFmtId="0" fontId="10" fillId="3" borderId="43" xfId="0" applyFont="1" applyFill="1" applyBorder="1"/>
    <xf numFmtId="0" fontId="3" fillId="0" borderId="43" xfId="0" applyFont="1" applyBorder="1"/>
    <xf numFmtId="0" fontId="10" fillId="54" borderId="52" xfId="0" applyFont="1" applyFill="1" applyBorder="1"/>
    <xf numFmtId="0" fontId="3" fillId="0" borderId="53" xfId="0" applyFont="1" applyBorder="1"/>
    <xf numFmtId="0" fontId="3" fillId="0" borderId="65" xfId="0" applyFont="1" applyBorder="1"/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7" fillId="40" borderId="7" xfId="0" applyFont="1" applyFill="1" applyBorder="1"/>
    <xf numFmtId="0" fontId="6" fillId="0" borderId="0" xfId="0" applyFont="1"/>
    <xf numFmtId="0" fontId="3" fillId="0" borderId="0" xfId="0" applyFont="1"/>
    <xf numFmtId="0" fontId="6" fillId="0" borderId="62" xfId="0" applyFont="1" applyBorder="1"/>
    <xf numFmtId="0" fontId="3" fillId="0" borderId="63" xfId="0" applyFont="1" applyBorder="1"/>
    <xf numFmtId="0" fontId="3" fillId="0" borderId="64" xfId="0" applyFont="1" applyBorder="1"/>
    <xf numFmtId="0" fontId="10" fillId="3" borderId="18" xfId="0" applyFont="1" applyFill="1" applyBorder="1"/>
    <xf numFmtId="0" fontId="3" fillId="0" borderId="18" xfId="0" applyFont="1" applyBorder="1"/>
    <xf numFmtId="0" fontId="9" fillId="2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54" xfId="0" applyFont="1" applyFill="1" applyBorder="1" applyAlignment="1">
      <alignment vertical="center"/>
    </xf>
    <xf numFmtId="0" fontId="9" fillId="2" borderId="78" xfId="0" applyFont="1" applyFill="1" applyBorder="1" applyAlignment="1">
      <alignment vertical="center"/>
    </xf>
    <xf numFmtId="0" fontId="10" fillId="3" borderId="12" xfId="0" applyFont="1" applyFill="1" applyBorder="1"/>
    <xf numFmtId="0" fontId="10" fillId="3" borderId="54" xfId="0" applyFont="1" applyFill="1" applyBorder="1"/>
    <xf numFmtId="0" fontId="10" fillId="3" borderId="78" xfId="0" applyFont="1" applyFill="1" applyBorder="1"/>
    <xf numFmtId="0" fontId="6" fillId="0" borderId="75" xfId="0" applyFont="1" applyBorder="1"/>
    <xf numFmtId="0" fontId="10" fillId="54" borderId="7" xfId="0" applyFont="1" applyFill="1" applyBorder="1"/>
    <xf numFmtId="0" fontId="3" fillId="54" borderId="7" xfId="0" applyFont="1" applyFill="1" applyBorder="1"/>
    <xf numFmtId="0" fontId="10" fillId="3" borderId="117" xfId="0" applyFont="1" applyFill="1" applyBorder="1"/>
    <xf numFmtId="0" fontId="3" fillId="0" borderId="117" xfId="0" applyFont="1" applyBorder="1"/>
    <xf numFmtId="0" fontId="10" fillId="3" borderId="26" xfId="0" applyFont="1" applyFill="1" applyBorder="1"/>
    <xf numFmtId="0" fontId="3" fillId="0" borderId="26" xfId="0" applyFont="1" applyBorder="1"/>
    <xf numFmtId="0" fontId="11" fillId="40" borderId="12" xfId="0" applyFont="1" applyFill="1" applyBorder="1"/>
    <xf numFmtId="0" fontId="11" fillId="40" borderId="54" xfId="0" applyFont="1" applyFill="1" applyBorder="1"/>
    <xf numFmtId="0" fontId="11" fillId="40" borderId="78" xfId="0" applyFont="1" applyFill="1" applyBorder="1"/>
    <xf numFmtId="0" fontId="6" fillId="41" borderId="0" xfId="0" applyFont="1" applyFill="1"/>
    <xf numFmtId="0" fontId="3" fillId="41" borderId="0" xfId="0" applyFont="1" applyFill="1"/>
  </cellXfs>
  <cellStyles count="65">
    <cellStyle name="20 % - zvýraznenie1 2" xfId="1" xr:uid="{4EA2DEE9-F43C-4FA4-92A5-0E98E04F2AFC}"/>
    <cellStyle name="20 % - zvýraznenie2 2" xfId="2" xr:uid="{BB813889-C15B-403D-8DC8-CC726A81A91A}"/>
    <cellStyle name="20 % - zvýraznenie3 2" xfId="3" xr:uid="{E51616DE-7190-418C-BE6C-B8F950C4AEBF}"/>
    <cellStyle name="20 % - zvýraznenie4 2" xfId="4" xr:uid="{04C4A123-180F-42DF-8651-053C15005264}"/>
    <cellStyle name="20 % - zvýraznenie5 2" xfId="5" xr:uid="{6E90C26B-23B2-4B40-BAD5-D733A51190B6}"/>
    <cellStyle name="20 % - zvýraznenie6 2" xfId="6" xr:uid="{8080A864-82CB-4D48-B06E-229D974D1F0B}"/>
    <cellStyle name="40 % - zvýraznenie1 2" xfId="7" xr:uid="{41C9E1FE-0ACC-4A1B-A72F-9FC54A502674}"/>
    <cellStyle name="40 % - zvýraznenie2 2" xfId="8" xr:uid="{E597415C-9AEF-4B29-8253-0C931388B2BF}"/>
    <cellStyle name="40 % - zvýraznenie3 2" xfId="9" xr:uid="{CD965FFD-4A79-4BB3-98C0-880AFA86DE24}"/>
    <cellStyle name="40 % - zvýraznenie4 2" xfId="10" xr:uid="{493A2BD4-8055-402D-915E-7F6E94DE1C50}"/>
    <cellStyle name="40 % - zvýraznenie5 2" xfId="11" xr:uid="{D47FD7F2-F6DC-4150-B7C5-3B9A678C29B0}"/>
    <cellStyle name="40 % - zvýraznenie6 2" xfId="12" xr:uid="{4620C00E-00CD-4F61-ABCE-8F3DB1F3538A}"/>
    <cellStyle name="60 % - zvýraznenie1 2" xfId="13" xr:uid="{DDA461D8-4A5A-4061-BC6E-ABEAA99018A6}"/>
    <cellStyle name="60 % - zvýraznenie2 2" xfId="14" xr:uid="{000707F7-208F-4EDE-A48D-A3E89F39DBFA}"/>
    <cellStyle name="60 % - zvýraznenie3 2" xfId="15" xr:uid="{9826E401-F1DE-41E6-94F5-FCD47AA12A18}"/>
    <cellStyle name="60 % - zvýraznenie4 2" xfId="16" xr:uid="{793E6D85-E95C-43E2-97F5-FEB5D0CEFEE3}"/>
    <cellStyle name="60 % - zvýraznenie5 2" xfId="17" xr:uid="{615F67B6-12E6-4F32-BFA7-F627C88591A6}"/>
    <cellStyle name="60 % - zvýraznenie6 2" xfId="18" xr:uid="{2D6BB102-D6BB-4561-8F98-A53C0193AA29}"/>
    <cellStyle name="Comma [0] 2" xfId="19" xr:uid="{DC4B738B-3D7D-41D9-B1CE-C78E239A4365}"/>
    <cellStyle name="Comma 2" xfId="20" xr:uid="{384A20D7-3C48-4A19-8E38-90E021004932}"/>
    <cellStyle name="Comma 3" xfId="21" xr:uid="{8C6342D2-727F-47B6-8F3F-78DE2093C5E9}"/>
    <cellStyle name="Comma 4" xfId="22" xr:uid="{67F61DB4-9427-43F7-B067-760FC9119E0A}"/>
    <cellStyle name="Currency [0] 2" xfId="23" xr:uid="{55C8F0F6-98EC-4D36-8799-B7A1C28D018F}"/>
    <cellStyle name="Čiarka [0] 2" xfId="24" xr:uid="{5DB9A80B-F630-403F-900F-C6B71D84737D}"/>
    <cellStyle name="Čiarka 2" xfId="25" xr:uid="{B4E2DBA0-3F94-46F3-9BBC-3EE983955180}"/>
    <cellStyle name="Čiarka 3" xfId="26" xr:uid="{89BEEA0B-885A-4271-8B09-7EDBC8AAA287}"/>
    <cellStyle name="Čiarka 4" xfId="27" xr:uid="{B68ACAF1-F250-406E-94C5-8525F7BE0F87}"/>
    <cellStyle name="Čiarka 5" xfId="28" xr:uid="{BD8D9FDF-706C-4869-B668-CCA15DBB0079}"/>
    <cellStyle name="Dobrá 2" xfId="29" xr:uid="{E4BCAA18-A409-49B5-BE7F-ED96DA643C67}"/>
    <cellStyle name="Excel Built-in Normal" xfId="30" xr:uid="{AC5B6A87-B9B1-4DC9-8878-C0240818B6EB}"/>
    <cellStyle name="Kontrolná bunka 2" xfId="31" xr:uid="{EA0CF34A-3C56-40B2-BB1F-4FE2A47668D7}"/>
    <cellStyle name="Mena [0] 2" xfId="32" xr:uid="{84B49BB2-8EAC-4B44-AAE4-1BA6A46FA949}"/>
    <cellStyle name="Mena 2" xfId="33" xr:uid="{F7B789AD-A327-4768-8483-8D80A84AE87E}"/>
    <cellStyle name="Mena 3" xfId="34" xr:uid="{4A7CC271-5377-43CC-9CEA-77EEBF36125E}"/>
    <cellStyle name="Mena 4" xfId="35" xr:uid="{CC6F3828-5C8F-4682-9F95-469432F8E7BF}"/>
    <cellStyle name="Mena 5" xfId="36" xr:uid="{8D5A440C-31DF-4689-B594-6661AD9D3955}"/>
    <cellStyle name="Nadpis 1 2" xfId="37" xr:uid="{73A92C3B-0586-407A-9FB2-744267753707}"/>
    <cellStyle name="Nadpis 2 2" xfId="38" xr:uid="{A9C21619-C426-495C-8FD9-16CECE98C6ED}"/>
    <cellStyle name="Nadpis 3 2" xfId="39" xr:uid="{BFB44E2E-4C83-4D3D-B793-AB0517AC25B8}"/>
    <cellStyle name="Nadpis 4 2" xfId="40" xr:uid="{64CFAFC0-6D61-44BE-B89D-4180D809C9EA}"/>
    <cellStyle name="Názov 2" xfId="41" xr:uid="{8A2EC2D0-9452-4487-8B60-94ABEA9F8269}"/>
    <cellStyle name="Neutrálna 2" xfId="42" xr:uid="{AC6C8FB0-88AA-4705-8D65-E43D39990007}"/>
    <cellStyle name="Normálna" xfId="0" builtinId="0"/>
    <cellStyle name="Normálna 2" xfId="43" xr:uid="{1074F9E5-1CD6-41F7-AD6E-4CA5B8AFF9E2}"/>
    <cellStyle name="Normálna 3" xfId="44" xr:uid="{B081F04D-3927-441A-A8AF-242B653BEF4E}"/>
    <cellStyle name="Normálna 4" xfId="45" xr:uid="{C613BB65-6E41-4BC7-80EA-B9E203C2DA2F}"/>
    <cellStyle name="Normálna 5" xfId="46" xr:uid="{4668A71D-B3CC-435A-9D32-8CEC5848F8F9}"/>
    <cellStyle name="Normálne 2" xfId="47" xr:uid="{9D78AF5A-8FCB-448A-ADD4-37AB388B8B39}"/>
    <cellStyle name="normálne_Kalkulácia MHD TN 1 -12 2010" xfId="48" xr:uid="{AFD68AA7-DF85-4D61-BC7B-31198A9B3190}"/>
    <cellStyle name="Percentá 2" xfId="49" xr:uid="{EAFD9832-B084-4948-B81C-37E6F0AD59DA}"/>
    <cellStyle name="Poznámka 2" xfId="50" xr:uid="{5256A345-2663-4692-B1B6-11A1501BF2C6}"/>
    <cellStyle name="Prepojená bunka 2" xfId="51" xr:uid="{B6FE0476-BBC3-43B8-82F6-DCAF51639659}"/>
    <cellStyle name="Spolu 2" xfId="52" xr:uid="{5F4E03B6-713E-4CFC-AC22-6DE50583AAAC}"/>
    <cellStyle name="Text upozornenia 2" xfId="53" xr:uid="{B3CB5D48-CA5C-4479-BDED-6B5C541AAB7C}"/>
    <cellStyle name="Vstup 2" xfId="54" xr:uid="{5225B886-91CB-4A31-A9AF-FE36971785A4}"/>
    <cellStyle name="Výpočet 2" xfId="55" xr:uid="{021B1990-AE89-47C3-96B8-B94AFBE28D7C}"/>
    <cellStyle name="Výstup 2" xfId="56" xr:uid="{F3790254-43BA-49D2-B163-2D826DF52AA2}"/>
    <cellStyle name="Vysvetľujúci text 2" xfId="57" xr:uid="{75EA58A2-A5ED-492A-ACD7-D4BB883E5691}"/>
    <cellStyle name="Zlá 2" xfId="58" xr:uid="{4485DF9E-3F8D-47BE-9E46-0AB5D2D47885}"/>
    <cellStyle name="Zvýraznenie1 2" xfId="59" xr:uid="{8960CCAD-FAC5-4F2D-891E-82EB2B093724}"/>
    <cellStyle name="Zvýraznenie2 2" xfId="60" xr:uid="{22B4C3C4-98A6-4B97-AC15-92D5961B43E7}"/>
    <cellStyle name="Zvýraznenie3 2" xfId="61" xr:uid="{5D0F02EA-A35A-4F5F-9D31-C3B14F8B58A3}"/>
    <cellStyle name="Zvýraznenie4 2" xfId="62" xr:uid="{26CF8508-3DCA-4B36-BEE5-CF75C75361FF}"/>
    <cellStyle name="Zvýraznenie5 2" xfId="63" xr:uid="{024D7767-702B-4304-8FB2-A684B2E1B0D6}"/>
    <cellStyle name="Zvýraznenie6 2" xfId="64" xr:uid="{E3F4EA20-9F75-4E11-9FEE-2A613863ABC2}"/>
  </cellStyles>
  <dxfs count="5"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TableStyleMedium2" defaultPivotStyle="PivotStyleLight16">
    <tableStyle name="Vypočítavaný zoznam" pivot="0" count="5" xr9:uid="{B93D3A78-AD59-439A-8EAF-B49D02E5C158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FF000080"/>
      <color rgb="FF00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4E57-9AE8-47A5-87A9-048002C47563}">
  <sheetPr codeName="Sheet3"/>
  <dimension ref="A1:G1199"/>
  <sheetViews>
    <sheetView tabSelected="1" zoomScale="90" zoomScaleNormal="90" workbookViewId="0"/>
  </sheetViews>
  <sheetFormatPr defaultRowHeight="12.75" x14ac:dyDescent="0.2"/>
  <cols>
    <col min="1" max="1" width="7" style="3" customWidth="1"/>
    <col min="2" max="2" width="4.28515625" style="161" customWidth="1"/>
    <col min="3" max="3" width="7.28515625" style="3" customWidth="1"/>
    <col min="4" max="4" width="49.85546875" style="3" customWidth="1"/>
    <col min="5" max="5" width="16.42578125" style="5" customWidth="1"/>
    <col min="6" max="6" width="13.42578125" style="3" customWidth="1"/>
    <col min="7" max="7" width="6.140625" style="3" customWidth="1"/>
    <col min="8" max="16384" width="9.140625" style="3"/>
  </cols>
  <sheetData>
    <row r="1" spans="2:7" ht="68.25" customHeight="1" x14ac:dyDescent="0.2">
      <c r="B1" s="443" t="s">
        <v>710</v>
      </c>
      <c r="C1" s="443"/>
      <c r="D1" s="443"/>
      <c r="E1" s="443"/>
      <c r="F1" s="443"/>
      <c r="G1" s="443"/>
    </row>
    <row r="2" spans="2:7" ht="15" customHeight="1" x14ac:dyDescent="0.2">
      <c r="B2" s="453" t="s">
        <v>39</v>
      </c>
      <c r="C2" s="454"/>
      <c r="D2" s="454"/>
      <c r="E2" s="436" t="s">
        <v>577</v>
      </c>
      <c r="F2" s="444" t="s">
        <v>712</v>
      </c>
      <c r="G2" s="451" t="s">
        <v>711</v>
      </c>
    </row>
    <row r="3" spans="2:7" x14ac:dyDescent="0.2">
      <c r="B3" s="455"/>
      <c r="C3" s="456"/>
      <c r="D3" s="456"/>
      <c r="E3" s="437"/>
      <c r="F3" s="445"/>
      <c r="G3" s="452"/>
    </row>
    <row r="4" spans="2:7" x14ac:dyDescent="0.2">
      <c r="B4" s="428" t="s">
        <v>107</v>
      </c>
      <c r="C4" s="432" t="s">
        <v>304</v>
      </c>
      <c r="D4" s="434" t="s">
        <v>108</v>
      </c>
      <c r="E4" s="437"/>
      <c r="F4" s="445"/>
      <c r="G4" s="452"/>
    </row>
    <row r="5" spans="2:7" ht="11.25" customHeight="1" x14ac:dyDescent="0.2">
      <c r="B5" s="429"/>
      <c r="C5" s="433"/>
      <c r="D5" s="435"/>
      <c r="E5" s="438"/>
      <c r="F5" s="446"/>
      <c r="G5" s="452"/>
    </row>
    <row r="6" spans="2:7" ht="16.5" thickBot="1" x14ac:dyDescent="0.3">
      <c r="B6" s="162">
        <v>1</v>
      </c>
      <c r="C6" s="163">
        <v>100</v>
      </c>
      <c r="D6" s="163" t="s">
        <v>247</v>
      </c>
      <c r="E6" s="164">
        <f>E7</f>
        <v>39811290</v>
      </c>
      <c r="F6" s="164">
        <f>F7</f>
        <v>18479891</v>
      </c>
      <c r="G6" s="354">
        <f>F6/E6*100</f>
        <v>46.418719413513102</v>
      </c>
    </row>
    <row r="7" spans="2:7" s="38" customFormat="1" ht="15.75" thickBot="1" x14ac:dyDescent="0.25">
      <c r="B7" s="6">
        <f>B6+1</f>
        <v>2</v>
      </c>
      <c r="C7" s="165"/>
      <c r="D7" s="165" t="s">
        <v>38</v>
      </c>
      <c r="E7" s="166">
        <f>E15+E10+E8</f>
        <v>39811290</v>
      </c>
      <c r="F7" s="166">
        <f>F15+F10+F8</f>
        <v>18479891</v>
      </c>
      <c r="G7" s="354">
        <f>F7/E7*100</f>
        <v>46.418719413513102</v>
      </c>
    </row>
    <row r="8" spans="2:7" x14ac:dyDescent="0.2">
      <c r="B8" s="162">
        <f>B7+1</f>
        <v>3</v>
      </c>
      <c r="C8" s="168">
        <v>110</v>
      </c>
      <c r="D8" s="168" t="s">
        <v>248</v>
      </c>
      <c r="E8" s="169">
        <f>E9</f>
        <v>23819290</v>
      </c>
      <c r="F8" s="169">
        <f>F9</f>
        <v>11388946</v>
      </c>
      <c r="G8" s="354">
        <f t="shared" ref="G8:G72" si="0">F8/E8*100</f>
        <v>47.813960869530533</v>
      </c>
    </row>
    <row r="9" spans="2:7" x14ac:dyDescent="0.2">
      <c r="B9" s="162">
        <f t="shared" ref="B9:B67" si="1">B8+1</f>
        <v>4</v>
      </c>
      <c r="C9" s="17">
        <v>111003</v>
      </c>
      <c r="D9" s="17" t="s">
        <v>246</v>
      </c>
      <c r="E9" s="20">
        <f>23350333+468957</f>
        <v>23819290</v>
      </c>
      <c r="F9" s="20">
        <v>11388946</v>
      </c>
      <c r="G9" s="354">
        <f t="shared" si="0"/>
        <v>47.813960869530533</v>
      </c>
    </row>
    <row r="10" spans="2:7" x14ac:dyDescent="0.2">
      <c r="B10" s="162">
        <f t="shared" si="1"/>
        <v>5</v>
      </c>
      <c r="C10" s="170">
        <v>120</v>
      </c>
      <c r="D10" s="170" t="s">
        <v>250</v>
      </c>
      <c r="E10" s="171">
        <f>E11</f>
        <v>12000000</v>
      </c>
      <c r="F10" s="171">
        <f>F11</f>
        <v>4615602</v>
      </c>
      <c r="G10" s="354">
        <f t="shared" si="0"/>
        <v>38.463349999999998</v>
      </c>
    </row>
    <row r="11" spans="2:7" x14ac:dyDescent="0.2">
      <c r="B11" s="162">
        <f t="shared" si="1"/>
        <v>6</v>
      </c>
      <c r="C11" s="12"/>
      <c r="D11" s="12" t="s">
        <v>300</v>
      </c>
      <c r="E11" s="15">
        <f>SUM(E12:E14)</f>
        <v>12000000</v>
      </c>
      <c r="F11" s="15">
        <f>SUM(F12:F14)</f>
        <v>4615602</v>
      </c>
      <c r="G11" s="354">
        <f t="shared" si="0"/>
        <v>38.463349999999998</v>
      </c>
    </row>
    <row r="12" spans="2:7" x14ac:dyDescent="0.2">
      <c r="B12" s="162">
        <f t="shared" si="1"/>
        <v>7</v>
      </c>
      <c r="C12" s="17">
        <v>121001</v>
      </c>
      <c r="D12" s="17" t="s">
        <v>249</v>
      </c>
      <c r="E12" s="20">
        <v>1200000</v>
      </c>
      <c r="F12" s="20">
        <v>604332</v>
      </c>
      <c r="G12" s="354">
        <f t="shared" si="0"/>
        <v>50.360999999999997</v>
      </c>
    </row>
    <row r="13" spans="2:7" x14ac:dyDescent="0.2">
      <c r="B13" s="162">
        <f t="shared" si="1"/>
        <v>8</v>
      </c>
      <c r="C13" s="17">
        <v>121002</v>
      </c>
      <c r="D13" s="17" t="s">
        <v>251</v>
      </c>
      <c r="E13" s="20">
        <v>9420000</v>
      </c>
      <c r="F13" s="20">
        <v>3241083</v>
      </c>
      <c r="G13" s="354">
        <f t="shared" si="0"/>
        <v>34.406401273885351</v>
      </c>
    </row>
    <row r="14" spans="2:7" x14ac:dyDescent="0.2">
      <c r="B14" s="162">
        <f t="shared" si="1"/>
        <v>9</v>
      </c>
      <c r="C14" s="17">
        <v>121003</v>
      </c>
      <c r="D14" s="17" t="s">
        <v>252</v>
      </c>
      <c r="E14" s="20">
        <v>1380000</v>
      </c>
      <c r="F14" s="20">
        <v>770187</v>
      </c>
      <c r="G14" s="354">
        <f t="shared" si="0"/>
        <v>55.810652173913041</v>
      </c>
    </row>
    <row r="15" spans="2:7" x14ac:dyDescent="0.2">
      <c r="B15" s="162">
        <f t="shared" si="1"/>
        <v>10</v>
      </c>
      <c r="C15" s="170">
        <v>130</v>
      </c>
      <c r="D15" s="170" t="s">
        <v>253</v>
      </c>
      <c r="E15" s="171">
        <f>SUM(E16:E20)</f>
        <v>3992000</v>
      </c>
      <c r="F15" s="171">
        <f>SUM(F16:F20)</f>
        <v>2475343</v>
      </c>
      <c r="G15" s="354">
        <f t="shared" si="0"/>
        <v>62.007590180360715</v>
      </c>
    </row>
    <row r="16" spans="2:7" x14ac:dyDescent="0.2">
      <c r="B16" s="162">
        <f t="shared" si="1"/>
        <v>11</v>
      </c>
      <c r="C16" s="17">
        <v>133001</v>
      </c>
      <c r="D16" s="17" t="s">
        <v>296</v>
      </c>
      <c r="E16" s="20">
        <v>68000</v>
      </c>
      <c r="F16" s="20">
        <v>36026</v>
      </c>
      <c r="G16" s="354">
        <f t="shared" si="0"/>
        <v>52.979411764705887</v>
      </c>
    </row>
    <row r="17" spans="2:7" x14ac:dyDescent="0.2">
      <c r="B17" s="162">
        <f t="shared" si="1"/>
        <v>12</v>
      </c>
      <c r="C17" s="17">
        <v>133006</v>
      </c>
      <c r="D17" s="17" t="s">
        <v>297</v>
      </c>
      <c r="E17" s="20">
        <v>190000</v>
      </c>
      <c r="F17" s="20">
        <v>82743</v>
      </c>
      <c r="G17" s="354">
        <f t="shared" si="0"/>
        <v>43.548947368421054</v>
      </c>
    </row>
    <row r="18" spans="2:7" x14ac:dyDescent="0.2">
      <c r="B18" s="162">
        <f t="shared" si="1"/>
        <v>13</v>
      </c>
      <c r="C18" s="172">
        <v>133012</v>
      </c>
      <c r="D18" s="172" t="s">
        <v>298</v>
      </c>
      <c r="E18" s="20">
        <v>84000</v>
      </c>
      <c r="F18" s="20">
        <v>41034</v>
      </c>
      <c r="G18" s="354">
        <f t="shared" si="0"/>
        <v>48.85</v>
      </c>
    </row>
    <row r="19" spans="2:7" x14ac:dyDescent="0.2">
      <c r="B19" s="162">
        <f t="shared" si="1"/>
        <v>14</v>
      </c>
      <c r="C19" s="135">
        <v>133013</v>
      </c>
      <c r="D19" s="135" t="s">
        <v>299</v>
      </c>
      <c r="E19" s="20">
        <v>3350000</v>
      </c>
      <c r="F19" s="20">
        <v>2028256</v>
      </c>
      <c r="G19" s="354">
        <f t="shared" si="0"/>
        <v>60.544955223880592</v>
      </c>
    </row>
    <row r="20" spans="2:7" x14ac:dyDescent="0.2">
      <c r="B20" s="162">
        <f t="shared" si="1"/>
        <v>15</v>
      </c>
      <c r="C20" s="173">
        <v>133015</v>
      </c>
      <c r="D20" s="173" t="s">
        <v>441</v>
      </c>
      <c r="E20" s="20">
        <v>300000</v>
      </c>
      <c r="F20" s="20">
        <v>287284</v>
      </c>
      <c r="G20" s="354">
        <f t="shared" si="0"/>
        <v>95.761333333333326</v>
      </c>
    </row>
    <row r="21" spans="2:7" ht="16.5" thickBot="1" x14ac:dyDescent="0.3">
      <c r="B21" s="162">
        <f t="shared" si="1"/>
        <v>16</v>
      </c>
      <c r="C21" s="175">
        <v>200</v>
      </c>
      <c r="D21" s="175" t="s">
        <v>159</v>
      </c>
      <c r="E21" s="176">
        <f>E258+E251+E244+E228+E218+E211+E204+E195+E156+E92+E87+E47+E44+E22+E237</f>
        <v>10426543</v>
      </c>
      <c r="F21" s="176">
        <f>F258+F251+F244+F228+F218+F211+F204+F195+F156+F92+F87+F47+F44+F22+F237</f>
        <v>4889366</v>
      </c>
      <c r="G21" s="354">
        <f t="shared" si="0"/>
        <v>46.893452604568935</v>
      </c>
    </row>
    <row r="22" spans="2:7" ht="15.75" thickBot="1" x14ac:dyDescent="0.3">
      <c r="B22" s="162">
        <f t="shared" si="1"/>
        <v>17</v>
      </c>
      <c r="C22" s="177"/>
      <c r="D22" s="177" t="s">
        <v>38</v>
      </c>
      <c r="E22" s="178">
        <f>E40+E38+E29+E23</f>
        <v>4652790</v>
      </c>
      <c r="F22" s="178">
        <f>F40+F38+F29+F23</f>
        <v>2279101</v>
      </c>
      <c r="G22" s="354">
        <f t="shared" si="0"/>
        <v>48.983534610416548</v>
      </c>
    </row>
    <row r="23" spans="2:7" x14ac:dyDescent="0.2">
      <c r="B23" s="162">
        <f t="shared" si="1"/>
        <v>18</v>
      </c>
      <c r="C23" s="179">
        <v>210</v>
      </c>
      <c r="D23" s="179" t="s">
        <v>232</v>
      </c>
      <c r="E23" s="180">
        <f>SUM(E24:E28)</f>
        <v>943390</v>
      </c>
      <c r="F23" s="180">
        <f>SUM(F24:F28)</f>
        <v>466504</v>
      </c>
      <c r="G23" s="354">
        <f t="shared" si="0"/>
        <v>49.449750368352433</v>
      </c>
    </row>
    <row r="24" spans="2:7" x14ac:dyDescent="0.2">
      <c r="B24" s="162">
        <f t="shared" si="1"/>
        <v>19</v>
      </c>
      <c r="C24" s="135">
        <v>212002</v>
      </c>
      <c r="D24" s="135" t="s">
        <v>254</v>
      </c>
      <c r="E24" s="138">
        <v>130600</v>
      </c>
      <c r="F24" s="138">
        <v>112003</v>
      </c>
      <c r="G24" s="354">
        <f t="shared" si="0"/>
        <v>85.760336906584982</v>
      </c>
    </row>
    <row r="25" spans="2:7" x14ac:dyDescent="0.2">
      <c r="B25" s="162">
        <f t="shared" si="1"/>
        <v>20</v>
      </c>
      <c r="C25" s="135">
        <v>212003</v>
      </c>
      <c r="D25" s="135" t="s">
        <v>233</v>
      </c>
      <c r="E25" s="138">
        <v>734790</v>
      </c>
      <c r="F25" s="138">
        <f>35065+10+35743+231370+933+591+2097+409+34+2400</f>
        <v>308652</v>
      </c>
      <c r="G25" s="354">
        <f t="shared" si="0"/>
        <v>42.005470950883925</v>
      </c>
    </row>
    <row r="26" spans="2:7" x14ac:dyDescent="0.2">
      <c r="B26" s="162">
        <f t="shared" si="1"/>
        <v>21</v>
      </c>
      <c r="C26" s="135">
        <v>212003</v>
      </c>
      <c r="D26" s="135" t="s">
        <v>495</v>
      </c>
      <c r="E26" s="138">
        <v>2000</v>
      </c>
      <c r="F26" s="138"/>
      <c r="G26" s="354">
        <f t="shared" si="0"/>
        <v>0</v>
      </c>
    </row>
    <row r="27" spans="2:7" x14ac:dyDescent="0.2">
      <c r="B27" s="162">
        <f t="shared" si="1"/>
        <v>22</v>
      </c>
      <c r="C27" s="135">
        <v>212003</v>
      </c>
      <c r="D27" s="135" t="s">
        <v>417</v>
      </c>
      <c r="E27" s="138">
        <v>70000</v>
      </c>
      <c r="F27" s="138">
        <f>4340+39860</f>
        <v>44200</v>
      </c>
      <c r="G27" s="354">
        <f t="shared" si="0"/>
        <v>63.142857142857146</v>
      </c>
    </row>
    <row r="28" spans="2:7" ht="24" x14ac:dyDescent="0.2">
      <c r="B28" s="162">
        <f t="shared" si="1"/>
        <v>23</v>
      </c>
      <c r="C28" s="135">
        <v>212004</v>
      </c>
      <c r="D28" s="342" t="s">
        <v>496</v>
      </c>
      <c r="E28" s="138">
        <v>6000</v>
      </c>
      <c r="F28" s="138">
        <v>1649</v>
      </c>
      <c r="G28" s="354">
        <f t="shared" si="0"/>
        <v>27.483333333333331</v>
      </c>
    </row>
    <row r="29" spans="2:7" x14ac:dyDescent="0.2">
      <c r="B29" s="162">
        <f t="shared" si="1"/>
        <v>24</v>
      </c>
      <c r="C29" s="181">
        <v>220</v>
      </c>
      <c r="D29" s="181" t="s">
        <v>207</v>
      </c>
      <c r="E29" s="182">
        <f>SUM(E30:E37)</f>
        <v>3318700</v>
      </c>
      <c r="F29" s="182">
        <f>SUM(F30:F37)</f>
        <v>1613964</v>
      </c>
      <c r="G29" s="354">
        <f t="shared" si="0"/>
        <v>48.632416307590319</v>
      </c>
    </row>
    <row r="30" spans="2:7" x14ac:dyDescent="0.2">
      <c r="B30" s="162">
        <f t="shared" si="1"/>
        <v>25</v>
      </c>
      <c r="C30" s="135">
        <v>221004</v>
      </c>
      <c r="D30" s="135" t="s">
        <v>208</v>
      </c>
      <c r="E30" s="138">
        <v>240000</v>
      </c>
      <c r="F30" s="138">
        <v>249063</v>
      </c>
      <c r="G30" s="354">
        <f t="shared" si="0"/>
        <v>103.77624999999999</v>
      </c>
    </row>
    <row r="31" spans="2:7" x14ac:dyDescent="0.2">
      <c r="B31" s="162">
        <f t="shared" si="1"/>
        <v>26</v>
      </c>
      <c r="C31" s="135">
        <v>222003</v>
      </c>
      <c r="D31" s="135" t="s">
        <v>54</v>
      </c>
      <c r="E31" s="138">
        <v>180000</v>
      </c>
      <c r="F31" s="138">
        <v>72753</v>
      </c>
      <c r="G31" s="354">
        <f t="shared" si="0"/>
        <v>40.418333333333337</v>
      </c>
    </row>
    <row r="32" spans="2:7" x14ac:dyDescent="0.2">
      <c r="B32" s="162">
        <f t="shared" si="1"/>
        <v>27</v>
      </c>
      <c r="C32" s="135">
        <v>223001</v>
      </c>
      <c r="D32" s="135" t="s">
        <v>235</v>
      </c>
      <c r="E32" s="138">
        <v>5000</v>
      </c>
      <c r="F32" s="138">
        <f>96+22+4+57+154</f>
        <v>333</v>
      </c>
      <c r="G32" s="354">
        <f t="shared" si="0"/>
        <v>6.660000000000001</v>
      </c>
    </row>
    <row r="33" spans="2:7" x14ac:dyDescent="0.2">
      <c r="B33" s="162">
        <f t="shared" si="1"/>
        <v>28</v>
      </c>
      <c r="C33" s="135">
        <v>223001</v>
      </c>
      <c r="D33" s="135" t="s">
        <v>301</v>
      </c>
      <c r="E33" s="138">
        <v>2700000</v>
      </c>
      <c r="F33" s="138">
        <f>1291718-F32-F35-F34</f>
        <v>1238306</v>
      </c>
      <c r="G33" s="354">
        <f t="shared" si="0"/>
        <v>45.863185185185188</v>
      </c>
    </row>
    <row r="34" spans="2:7" x14ac:dyDescent="0.2">
      <c r="B34" s="162">
        <f t="shared" si="1"/>
        <v>29</v>
      </c>
      <c r="C34" s="135">
        <v>223001</v>
      </c>
      <c r="D34" s="135" t="s">
        <v>302</v>
      </c>
      <c r="E34" s="138">
        <v>29000</v>
      </c>
      <c r="F34" s="138">
        <f>3326+2393</f>
        <v>5719</v>
      </c>
      <c r="G34" s="354">
        <f t="shared" si="0"/>
        <v>19.720689655172414</v>
      </c>
    </row>
    <row r="35" spans="2:7" x14ac:dyDescent="0.2">
      <c r="B35" s="162">
        <f t="shared" si="1"/>
        <v>30</v>
      </c>
      <c r="C35" s="135">
        <v>223001</v>
      </c>
      <c r="D35" s="135" t="s">
        <v>401</v>
      </c>
      <c r="E35" s="138">
        <v>164200</v>
      </c>
      <c r="F35" s="138">
        <f>3384+514+42832+630</f>
        <v>47360</v>
      </c>
      <c r="G35" s="354">
        <f t="shared" si="0"/>
        <v>28.842874543239951</v>
      </c>
    </row>
    <row r="36" spans="2:7" x14ac:dyDescent="0.2">
      <c r="B36" s="162">
        <f t="shared" si="1"/>
        <v>31</v>
      </c>
      <c r="C36" s="135">
        <v>223004</v>
      </c>
      <c r="D36" s="135" t="s">
        <v>723</v>
      </c>
      <c r="E36" s="138"/>
      <c r="F36" s="138">
        <v>400</v>
      </c>
      <c r="G36" s="354"/>
    </row>
    <row r="37" spans="2:7" x14ac:dyDescent="0.2">
      <c r="B37" s="162">
        <f t="shared" si="1"/>
        <v>32</v>
      </c>
      <c r="C37" s="135">
        <v>229005</v>
      </c>
      <c r="D37" s="135" t="s">
        <v>245</v>
      </c>
      <c r="E37" s="138">
        <v>500</v>
      </c>
      <c r="F37" s="138">
        <v>30</v>
      </c>
      <c r="G37" s="354">
        <f t="shared" si="0"/>
        <v>6</v>
      </c>
    </row>
    <row r="38" spans="2:7" x14ac:dyDescent="0.2">
      <c r="B38" s="162">
        <f t="shared" si="1"/>
        <v>33</v>
      </c>
      <c r="C38" s="181">
        <v>240</v>
      </c>
      <c r="D38" s="181" t="s">
        <v>163</v>
      </c>
      <c r="E38" s="182">
        <f>E39</f>
        <v>130000</v>
      </c>
      <c r="F38" s="182">
        <f>F39</f>
        <v>50918</v>
      </c>
      <c r="G38" s="354">
        <f t="shared" si="0"/>
        <v>39.167692307692306</v>
      </c>
    </row>
    <row r="39" spans="2:7" x14ac:dyDescent="0.2">
      <c r="B39" s="162">
        <f t="shared" si="1"/>
        <v>34</v>
      </c>
      <c r="C39" s="135">
        <v>244</v>
      </c>
      <c r="D39" s="135" t="s">
        <v>424</v>
      </c>
      <c r="E39" s="138">
        <v>130000</v>
      </c>
      <c r="F39" s="138">
        <v>50918</v>
      </c>
      <c r="G39" s="354">
        <f t="shared" si="0"/>
        <v>39.167692307692306</v>
      </c>
    </row>
    <row r="40" spans="2:7" x14ac:dyDescent="0.2">
      <c r="B40" s="162">
        <f t="shared" si="1"/>
        <v>35</v>
      </c>
      <c r="C40" s="181">
        <v>290</v>
      </c>
      <c r="D40" s="181" t="s">
        <v>165</v>
      </c>
      <c r="E40" s="182">
        <f>SUM(E41:E43)</f>
        <v>260700</v>
      </c>
      <c r="F40" s="182">
        <f>SUM(F41:F43)</f>
        <v>147715</v>
      </c>
      <c r="G40" s="354">
        <f t="shared" si="0"/>
        <v>56.660912926735705</v>
      </c>
    </row>
    <row r="41" spans="2:7" x14ac:dyDescent="0.2">
      <c r="B41" s="162">
        <f t="shared" si="1"/>
        <v>36</v>
      </c>
      <c r="C41" s="135">
        <v>292008</v>
      </c>
      <c r="D41" s="135" t="s">
        <v>166</v>
      </c>
      <c r="E41" s="138">
        <v>1700</v>
      </c>
      <c r="F41" s="138">
        <v>0</v>
      </c>
      <c r="G41" s="354">
        <f t="shared" si="0"/>
        <v>0</v>
      </c>
    </row>
    <row r="42" spans="2:7" x14ac:dyDescent="0.2">
      <c r="B42" s="162">
        <f t="shared" si="1"/>
        <v>37</v>
      </c>
      <c r="C42" s="173">
        <v>292027</v>
      </c>
      <c r="D42" s="173" t="s">
        <v>543</v>
      </c>
      <c r="E42" s="174">
        <v>15000</v>
      </c>
      <c r="F42" s="174">
        <v>0</v>
      </c>
      <c r="G42" s="354">
        <f t="shared" si="0"/>
        <v>0</v>
      </c>
    </row>
    <row r="43" spans="2:7" ht="13.5" thickBot="1" x14ac:dyDescent="0.25">
      <c r="B43" s="162">
        <f t="shared" si="1"/>
        <v>38</v>
      </c>
      <c r="C43" s="173">
        <v>292027</v>
      </c>
      <c r="D43" s="173" t="s">
        <v>303</v>
      </c>
      <c r="E43" s="174">
        <v>244000</v>
      </c>
      <c r="F43" s="174">
        <v>147715</v>
      </c>
      <c r="G43" s="354">
        <f t="shared" si="0"/>
        <v>60.53893442622951</v>
      </c>
    </row>
    <row r="44" spans="2:7" ht="15.75" thickBot="1" x14ac:dyDescent="0.3">
      <c r="B44" s="162">
        <f t="shared" si="1"/>
        <v>39</v>
      </c>
      <c r="C44" s="177">
        <v>1</v>
      </c>
      <c r="D44" s="177" t="s">
        <v>48</v>
      </c>
      <c r="E44" s="178">
        <f>E45</f>
        <v>38500</v>
      </c>
      <c r="F44" s="178">
        <f>F45</f>
        <v>39253</v>
      </c>
      <c r="G44" s="354">
        <f t="shared" si="0"/>
        <v>101.95584415584416</v>
      </c>
    </row>
    <row r="45" spans="2:7" x14ac:dyDescent="0.2">
      <c r="B45" s="162">
        <f t="shared" si="1"/>
        <v>40</v>
      </c>
      <c r="C45" s="179">
        <v>220</v>
      </c>
      <c r="D45" s="179" t="s">
        <v>207</v>
      </c>
      <c r="E45" s="180">
        <f t="shared" ref="E45:F45" si="2">E46</f>
        <v>38500</v>
      </c>
      <c r="F45" s="180">
        <f t="shared" si="2"/>
        <v>39253</v>
      </c>
      <c r="G45" s="354">
        <f t="shared" si="0"/>
        <v>101.95584415584416</v>
      </c>
    </row>
    <row r="46" spans="2:7" ht="13.5" thickBot="1" x14ac:dyDescent="0.25">
      <c r="B46" s="162">
        <f t="shared" si="1"/>
        <v>41</v>
      </c>
      <c r="C46" s="135">
        <v>223002</v>
      </c>
      <c r="D46" s="135" t="s">
        <v>69</v>
      </c>
      <c r="E46" s="138">
        <v>38500</v>
      </c>
      <c r="F46" s="138">
        <v>39253</v>
      </c>
      <c r="G46" s="354">
        <f t="shared" si="0"/>
        <v>101.95584415584416</v>
      </c>
    </row>
    <row r="47" spans="2:7" ht="15.75" thickBot="1" x14ac:dyDescent="0.3">
      <c r="B47" s="162">
        <f t="shared" si="1"/>
        <v>42</v>
      </c>
      <c r="C47" s="177">
        <v>2</v>
      </c>
      <c r="D47" s="177" t="s">
        <v>513</v>
      </c>
      <c r="E47" s="178">
        <f>E48+E50+E53+E55+E60+E63+E67+E70+E73+E77+E80+E84+E75</f>
        <v>1241700</v>
      </c>
      <c r="F47" s="178">
        <f>F48+F50+F53+F55+F60+F63+F67+F70+F73+F77+F80+F84+F75</f>
        <v>382006</v>
      </c>
      <c r="G47" s="354">
        <f t="shared" si="0"/>
        <v>30.76475799307401</v>
      </c>
    </row>
    <row r="48" spans="2:7" x14ac:dyDescent="0.2">
      <c r="B48" s="162">
        <f t="shared" si="1"/>
        <v>43</v>
      </c>
      <c r="C48" s="181">
        <v>210</v>
      </c>
      <c r="D48" s="179" t="s">
        <v>232</v>
      </c>
      <c r="E48" s="182">
        <f t="shared" ref="E48:F48" si="3">E49</f>
        <v>300</v>
      </c>
      <c r="F48" s="182">
        <f t="shared" si="3"/>
        <v>0</v>
      </c>
      <c r="G48" s="354">
        <f t="shared" si="0"/>
        <v>0</v>
      </c>
    </row>
    <row r="49" spans="2:7" x14ac:dyDescent="0.2">
      <c r="B49" s="162">
        <f t="shared" si="1"/>
        <v>44</v>
      </c>
      <c r="C49" s="135">
        <v>212003</v>
      </c>
      <c r="D49" s="135" t="s">
        <v>233</v>
      </c>
      <c r="E49" s="138">
        <v>300</v>
      </c>
      <c r="F49" s="138">
        <v>0</v>
      </c>
      <c r="G49" s="354">
        <f t="shared" si="0"/>
        <v>0</v>
      </c>
    </row>
    <row r="50" spans="2:7" x14ac:dyDescent="0.2">
      <c r="B50" s="162">
        <f t="shared" si="1"/>
        <v>45</v>
      </c>
      <c r="C50" s="181">
        <v>220</v>
      </c>
      <c r="D50" s="181" t="s">
        <v>207</v>
      </c>
      <c r="E50" s="182">
        <f>SUM(E51:E52)</f>
        <v>1100</v>
      </c>
      <c r="F50" s="182">
        <f>SUM(F51:F52)</f>
        <v>2056</v>
      </c>
      <c r="G50" s="354">
        <f t="shared" si="0"/>
        <v>186.90909090909091</v>
      </c>
    </row>
    <row r="51" spans="2:7" x14ac:dyDescent="0.2">
      <c r="B51" s="162">
        <f t="shared" si="1"/>
        <v>46</v>
      </c>
      <c r="C51" s="135">
        <v>222003</v>
      </c>
      <c r="D51" s="135" t="s">
        <v>54</v>
      </c>
      <c r="E51" s="138">
        <v>100</v>
      </c>
      <c r="F51" s="138">
        <v>181</v>
      </c>
      <c r="G51" s="354">
        <f t="shared" si="0"/>
        <v>181</v>
      </c>
    </row>
    <row r="52" spans="2:7" x14ac:dyDescent="0.2">
      <c r="B52" s="162">
        <f t="shared" si="1"/>
        <v>47</v>
      </c>
      <c r="C52" s="135">
        <v>223001</v>
      </c>
      <c r="D52" s="135" t="s">
        <v>235</v>
      </c>
      <c r="E52" s="138">
        <v>1000</v>
      </c>
      <c r="F52" s="138">
        <v>1875</v>
      </c>
      <c r="G52" s="354">
        <f t="shared" si="0"/>
        <v>187.5</v>
      </c>
    </row>
    <row r="53" spans="2:7" x14ac:dyDescent="0.2">
      <c r="B53" s="162">
        <f t="shared" si="1"/>
        <v>48</v>
      </c>
      <c r="C53" s="181">
        <v>240</v>
      </c>
      <c r="D53" s="181" t="s">
        <v>163</v>
      </c>
      <c r="E53" s="182">
        <f t="shared" ref="E53:F53" si="4">E54</f>
        <v>50</v>
      </c>
      <c r="F53" s="182">
        <f t="shared" si="4"/>
        <v>0</v>
      </c>
      <c r="G53" s="354">
        <f t="shared" si="0"/>
        <v>0</v>
      </c>
    </row>
    <row r="54" spans="2:7" x14ac:dyDescent="0.2">
      <c r="B54" s="162">
        <f t="shared" si="1"/>
        <v>49</v>
      </c>
      <c r="C54" s="135">
        <v>242</v>
      </c>
      <c r="D54" s="135" t="s">
        <v>162</v>
      </c>
      <c r="E54" s="138">
        <v>50</v>
      </c>
      <c r="F54" s="138">
        <v>0</v>
      </c>
      <c r="G54" s="354">
        <f t="shared" si="0"/>
        <v>0</v>
      </c>
    </row>
    <row r="55" spans="2:7" x14ac:dyDescent="0.2">
      <c r="B55" s="162">
        <f t="shared" si="1"/>
        <v>50</v>
      </c>
      <c r="C55" s="181">
        <v>290</v>
      </c>
      <c r="D55" s="181" t="s">
        <v>165</v>
      </c>
      <c r="E55" s="182">
        <f>SUM(E56:E59)</f>
        <v>9000</v>
      </c>
      <c r="F55" s="182">
        <f>SUM(F56:F59)</f>
        <v>11820</v>
      </c>
      <c r="G55" s="354">
        <f t="shared" si="0"/>
        <v>131.33333333333331</v>
      </c>
    </row>
    <row r="56" spans="2:7" x14ac:dyDescent="0.2">
      <c r="B56" s="162">
        <f t="shared" si="1"/>
        <v>51</v>
      </c>
      <c r="C56" s="135">
        <v>292006</v>
      </c>
      <c r="D56" s="135" t="s">
        <v>164</v>
      </c>
      <c r="E56" s="138">
        <f>6500-2500</f>
        <v>4000</v>
      </c>
      <c r="F56" s="138">
        <f>1968</f>
        <v>1968</v>
      </c>
      <c r="G56" s="354">
        <f t="shared" si="0"/>
        <v>49.2</v>
      </c>
    </row>
    <row r="57" spans="2:7" x14ac:dyDescent="0.2">
      <c r="B57" s="162">
        <f t="shared" si="1"/>
        <v>52</v>
      </c>
      <c r="C57" s="135">
        <v>292012</v>
      </c>
      <c r="D57" s="135" t="s">
        <v>217</v>
      </c>
      <c r="E57" s="138">
        <v>4000</v>
      </c>
      <c r="F57" s="138">
        <v>8446</v>
      </c>
      <c r="G57" s="354">
        <f t="shared" si="0"/>
        <v>211.15</v>
      </c>
    </row>
    <row r="58" spans="2:7" x14ac:dyDescent="0.2">
      <c r="B58" s="162">
        <f t="shared" si="1"/>
        <v>53</v>
      </c>
      <c r="C58" s="135">
        <v>292017</v>
      </c>
      <c r="D58" s="135" t="s">
        <v>218</v>
      </c>
      <c r="E58" s="138">
        <v>500</v>
      </c>
      <c r="F58" s="138">
        <v>1406</v>
      </c>
      <c r="G58" s="354">
        <f t="shared" si="0"/>
        <v>281.2</v>
      </c>
    </row>
    <row r="59" spans="2:7" x14ac:dyDescent="0.2">
      <c r="B59" s="162">
        <f t="shared" si="1"/>
        <v>54</v>
      </c>
      <c r="C59" s="135">
        <v>292027</v>
      </c>
      <c r="D59" s="135" t="s">
        <v>303</v>
      </c>
      <c r="E59" s="138">
        <v>500</v>
      </c>
      <c r="F59" s="138">
        <v>0</v>
      </c>
      <c r="G59" s="354">
        <f t="shared" si="0"/>
        <v>0</v>
      </c>
    </row>
    <row r="60" spans="2:7" x14ac:dyDescent="0.2">
      <c r="B60" s="162">
        <f t="shared" si="1"/>
        <v>55</v>
      </c>
      <c r="C60" s="181"/>
      <c r="D60" s="181" t="s">
        <v>46</v>
      </c>
      <c r="E60" s="182">
        <f>SUM(E61:E62)</f>
        <v>306300</v>
      </c>
      <c r="F60" s="182">
        <f>SUM(F61:F62)</f>
        <v>158258</v>
      </c>
      <c r="G60" s="354">
        <f t="shared" si="0"/>
        <v>51.667646098596144</v>
      </c>
    </row>
    <row r="61" spans="2:7" x14ac:dyDescent="0.2">
      <c r="B61" s="162">
        <f t="shared" si="1"/>
        <v>56</v>
      </c>
      <c r="C61" s="135">
        <v>212003</v>
      </c>
      <c r="D61" s="135" t="s">
        <v>233</v>
      </c>
      <c r="E61" s="138">
        <v>15800</v>
      </c>
      <c r="F61" s="138">
        <v>10127</v>
      </c>
      <c r="G61" s="354">
        <f t="shared" si="0"/>
        <v>64.094936708860757</v>
      </c>
    </row>
    <row r="62" spans="2:7" x14ac:dyDescent="0.2">
      <c r="B62" s="162">
        <f t="shared" si="1"/>
        <v>57</v>
      </c>
      <c r="C62" s="135">
        <v>223001</v>
      </c>
      <c r="D62" s="135" t="s">
        <v>235</v>
      </c>
      <c r="E62" s="138">
        <v>290500</v>
      </c>
      <c r="F62" s="138">
        <f>11684+136447</f>
        <v>148131</v>
      </c>
      <c r="G62" s="354">
        <f t="shared" si="0"/>
        <v>50.991738382099825</v>
      </c>
    </row>
    <row r="63" spans="2:7" x14ac:dyDescent="0.2">
      <c r="B63" s="162">
        <f t="shared" si="1"/>
        <v>58</v>
      </c>
      <c r="C63" s="181"/>
      <c r="D63" s="181" t="s">
        <v>376</v>
      </c>
      <c r="E63" s="182">
        <f>SUM(E64:E66)</f>
        <v>409450</v>
      </c>
      <c r="F63" s="182">
        <f>SUM(F64:F66)</f>
        <v>47814</v>
      </c>
      <c r="G63" s="354">
        <f t="shared" si="0"/>
        <v>11.677616314568324</v>
      </c>
    </row>
    <row r="64" spans="2:7" x14ac:dyDescent="0.2">
      <c r="B64" s="162">
        <f t="shared" si="1"/>
        <v>59</v>
      </c>
      <c r="C64" s="135">
        <v>212002</v>
      </c>
      <c r="D64" s="135" t="s">
        <v>254</v>
      </c>
      <c r="E64" s="138">
        <v>16000</v>
      </c>
      <c r="F64" s="138">
        <v>15388</v>
      </c>
      <c r="G64" s="354">
        <f t="shared" si="0"/>
        <v>96.174999999999997</v>
      </c>
    </row>
    <row r="65" spans="2:7" x14ac:dyDescent="0.2">
      <c r="B65" s="162">
        <f t="shared" si="1"/>
        <v>60</v>
      </c>
      <c r="C65" s="135">
        <v>212003</v>
      </c>
      <c r="D65" s="135" t="s">
        <v>233</v>
      </c>
      <c r="E65" s="138">
        <v>2750</v>
      </c>
      <c r="F65" s="138">
        <v>2800</v>
      </c>
      <c r="G65" s="354">
        <f t="shared" si="0"/>
        <v>101.81818181818181</v>
      </c>
    </row>
    <row r="66" spans="2:7" x14ac:dyDescent="0.2">
      <c r="B66" s="162">
        <f t="shared" si="1"/>
        <v>61</v>
      </c>
      <c r="C66" s="135">
        <v>223001</v>
      </c>
      <c r="D66" s="135" t="s">
        <v>235</v>
      </c>
      <c r="E66" s="138">
        <v>390700</v>
      </c>
      <c r="F66" s="138">
        <v>29626</v>
      </c>
      <c r="G66" s="354">
        <f t="shared" si="0"/>
        <v>7.5828001023803422</v>
      </c>
    </row>
    <row r="67" spans="2:7" x14ac:dyDescent="0.2">
      <c r="B67" s="162">
        <f t="shared" si="1"/>
        <v>62</v>
      </c>
      <c r="C67" s="181"/>
      <c r="D67" s="181" t="s">
        <v>197</v>
      </c>
      <c r="E67" s="182">
        <f>SUM(E68:E69)</f>
        <v>80000</v>
      </c>
      <c r="F67" s="182">
        <f>SUM(F68:F69)</f>
        <v>27919</v>
      </c>
      <c r="G67" s="354">
        <f t="shared" si="0"/>
        <v>34.89875</v>
      </c>
    </row>
    <row r="68" spans="2:7" x14ac:dyDescent="0.2">
      <c r="B68" s="162">
        <f>B67+1</f>
        <v>63</v>
      </c>
      <c r="C68" s="135">
        <v>212003</v>
      </c>
      <c r="D68" s="135" t="s">
        <v>233</v>
      </c>
      <c r="E68" s="138">
        <v>40000</v>
      </c>
      <c r="F68" s="138">
        <v>20814</v>
      </c>
      <c r="G68" s="354">
        <f t="shared" si="0"/>
        <v>52.034999999999997</v>
      </c>
    </row>
    <row r="69" spans="2:7" x14ac:dyDescent="0.2">
      <c r="B69" s="162">
        <f t="shared" ref="B69:B97" si="5">B68+1</f>
        <v>64</v>
      </c>
      <c r="C69" s="135">
        <v>223001</v>
      </c>
      <c r="D69" s="135" t="s">
        <v>235</v>
      </c>
      <c r="E69" s="138">
        <v>40000</v>
      </c>
      <c r="F69" s="138">
        <f>1705+5400</f>
        <v>7105</v>
      </c>
      <c r="G69" s="354">
        <f t="shared" si="0"/>
        <v>17.762499999999999</v>
      </c>
    </row>
    <row r="70" spans="2:7" x14ac:dyDescent="0.2">
      <c r="B70" s="162">
        <f t="shared" si="5"/>
        <v>65</v>
      </c>
      <c r="C70" s="181"/>
      <c r="D70" s="181" t="s">
        <v>213</v>
      </c>
      <c r="E70" s="182">
        <f>SUM(E71:E72)</f>
        <v>206500</v>
      </c>
      <c r="F70" s="182">
        <f>SUM(F71:F72)</f>
        <v>26863</v>
      </c>
      <c r="G70" s="354">
        <f t="shared" si="0"/>
        <v>13.008716707021792</v>
      </c>
    </row>
    <row r="71" spans="2:7" x14ac:dyDescent="0.2">
      <c r="B71" s="162">
        <f t="shared" si="5"/>
        <v>66</v>
      </c>
      <c r="C71" s="135">
        <v>212004</v>
      </c>
      <c r="D71" s="135" t="s">
        <v>234</v>
      </c>
      <c r="E71" s="138">
        <v>6500</v>
      </c>
      <c r="F71" s="138">
        <v>180</v>
      </c>
      <c r="G71" s="354">
        <f t="shared" si="0"/>
        <v>2.7692307692307692</v>
      </c>
    </row>
    <row r="72" spans="2:7" x14ac:dyDescent="0.2">
      <c r="B72" s="162">
        <f t="shared" si="5"/>
        <v>67</v>
      </c>
      <c r="C72" s="135">
        <v>223001</v>
      </c>
      <c r="D72" s="135" t="s">
        <v>235</v>
      </c>
      <c r="E72" s="138">
        <v>200000</v>
      </c>
      <c r="F72" s="138">
        <v>26683</v>
      </c>
      <c r="G72" s="354">
        <f t="shared" si="0"/>
        <v>13.3415</v>
      </c>
    </row>
    <row r="73" spans="2:7" x14ac:dyDescent="0.2">
      <c r="B73" s="162">
        <f t="shared" si="5"/>
        <v>68</v>
      </c>
      <c r="C73" s="181"/>
      <c r="D73" s="181" t="s">
        <v>203</v>
      </c>
      <c r="E73" s="182">
        <f>E74</f>
        <v>2500</v>
      </c>
      <c r="F73" s="182">
        <f>F74</f>
        <v>774</v>
      </c>
      <c r="G73" s="354">
        <f t="shared" ref="G73:G136" si="6">F73/E73*100</f>
        <v>30.959999999999997</v>
      </c>
    </row>
    <row r="74" spans="2:7" x14ac:dyDescent="0.2">
      <c r="B74" s="162">
        <f t="shared" si="5"/>
        <v>69</v>
      </c>
      <c r="C74" s="135">
        <v>292006</v>
      </c>
      <c r="D74" s="135" t="s">
        <v>164</v>
      </c>
      <c r="E74" s="138">
        <v>2500</v>
      </c>
      <c r="F74" s="138">
        <v>774</v>
      </c>
      <c r="G74" s="354">
        <f t="shared" si="6"/>
        <v>30.959999999999997</v>
      </c>
    </row>
    <row r="75" spans="2:7" x14ac:dyDescent="0.2">
      <c r="B75" s="162">
        <f t="shared" si="5"/>
        <v>70</v>
      </c>
      <c r="C75" s="181"/>
      <c r="D75" s="181" t="s">
        <v>626</v>
      </c>
      <c r="E75" s="182">
        <f>E76</f>
        <v>2500</v>
      </c>
      <c r="F75" s="182">
        <f>F76</f>
        <v>866</v>
      </c>
      <c r="G75" s="354">
        <f t="shared" si="6"/>
        <v>34.64</v>
      </c>
    </row>
    <row r="76" spans="2:7" x14ac:dyDescent="0.2">
      <c r="B76" s="162">
        <f t="shared" si="5"/>
        <v>71</v>
      </c>
      <c r="C76" s="135">
        <v>292006</v>
      </c>
      <c r="D76" s="135" t="s">
        <v>164</v>
      </c>
      <c r="E76" s="138">
        <v>2500</v>
      </c>
      <c r="F76" s="138">
        <v>866</v>
      </c>
      <c r="G76" s="354">
        <f t="shared" si="6"/>
        <v>34.64</v>
      </c>
    </row>
    <row r="77" spans="2:7" x14ac:dyDescent="0.2">
      <c r="B77" s="162">
        <f t="shared" si="5"/>
        <v>72</v>
      </c>
      <c r="C77" s="181"/>
      <c r="D77" s="181" t="s">
        <v>44</v>
      </c>
      <c r="E77" s="182">
        <f>SUM(E78:E79)</f>
        <v>20050</v>
      </c>
      <c r="F77" s="182">
        <f>SUM(F78:F79)</f>
        <v>3750</v>
      </c>
      <c r="G77" s="354">
        <f t="shared" si="6"/>
        <v>18.703241895261847</v>
      </c>
    </row>
    <row r="78" spans="2:7" x14ac:dyDescent="0.2">
      <c r="B78" s="162">
        <f t="shared" si="5"/>
        <v>73</v>
      </c>
      <c r="C78" s="135">
        <v>212003</v>
      </c>
      <c r="D78" s="135" t="s">
        <v>233</v>
      </c>
      <c r="E78" s="138">
        <v>50</v>
      </c>
      <c r="F78" s="138">
        <v>18</v>
      </c>
      <c r="G78" s="354">
        <f t="shared" si="6"/>
        <v>36</v>
      </c>
    </row>
    <row r="79" spans="2:7" x14ac:dyDescent="0.2">
      <c r="B79" s="162">
        <f t="shared" si="5"/>
        <v>74</v>
      </c>
      <c r="C79" s="135">
        <v>223001</v>
      </c>
      <c r="D79" s="135" t="s">
        <v>235</v>
      </c>
      <c r="E79" s="138">
        <v>20000</v>
      </c>
      <c r="F79" s="138">
        <v>3732</v>
      </c>
      <c r="G79" s="354">
        <f t="shared" si="6"/>
        <v>18.66</v>
      </c>
    </row>
    <row r="80" spans="2:7" x14ac:dyDescent="0.2">
      <c r="B80" s="162">
        <f t="shared" si="5"/>
        <v>75</v>
      </c>
      <c r="C80" s="181"/>
      <c r="D80" s="181" t="s">
        <v>45</v>
      </c>
      <c r="E80" s="182">
        <f>SUM(E81:E83)</f>
        <v>153250</v>
      </c>
      <c r="F80" s="182">
        <f>SUM(F81:F83)</f>
        <v>72231</v>
      </c>
      <c r="G80" s="354">
        <f t="shared" si="6"/>
        <v>47.132789559543234</v>
      </c>
    </row>
    <row r="81" spans="2:7" x14ac:dyDescent="0.2">
      <c r="B81" s="162">
        <f t="shared" si="5"/>
        <v>76</v>
      </c>
      <c r="C81" s="135">
        <v>212002</v>
      </c>
      <c r="D81" s="135" t="s">
        <v>254</v>
      </c>
      <c r="E81" s="138">
        <v>500</v>
      </c>
      <c r="F81" s="138">
        <v>276</v>
      </c>
      <c r="G81" s="354">
        <f t="shared" si="6"/>
        <v>55.2</v>
      </c>
    </row>
    <row r="82" spans="2:7" x14ac:dyDescent="0.2">
      <c r="B82" s="162">
        <f t="shared" si="5"/>
        <v>77</v>
      </c>
      <c r="C82" s="135">
        <v>212003</v>
      </c>
      <c r="D82" s="135" t="s">
        <v>233</v>
      </c>
      <c r="E82" s="138">
        <v>250</v>
      </c>
      <c r="F82" s="138">
        <v>0</v>
      </c>
      <c r="G82" s="354">
        <f t="shared" si="6"/>
        <v>0</v>
      </c>
    </row>
    <row r="83" spans="2:7" x14ac:dyDescent="0.2">
      <c r="B83" s="162">
        <f t="shared" si="5"/>
        <v>78</v>
      </c>
      <c r="C83" s="135">
        <v>223001</v>
      </c>
      <c r="D83" s="135" t="s">
        <v>235</v>
      </c>
      <c r="E83" s="138">
        <f>201500-49000</f>
        <v>152500</v>
      </c>
      <c r="F83" s="138">
        <f>71687+268</f>
        <v>71955</v>
      </c>
      <c r="G83" s="354">
        <f t="shared" si="6"/>
        <v>47.183606557377047</v>
      </c>
    </row>
    <row r="84" spans="2:7" x14ac:dyDescent="0.2">
      <c r="B84" s="162">
        <f t="shared" si="5"/>
        <v>79</v>
      </c>
      <c r="C84" s="181"/>
      <c r="D84" s="181" t="s">
        <v>47</v>
      </c>
      <c r="E84" s="182">
        <f>SUM(E85:E86)</f>
        <v>50700</v>
      </c>
      <c r="F84" s="182">
        <f>SUM(F85:F86)</f>
        <v>29655</v>
      </c>
      <c r="G84" s="354">
        <f t="shared" si="6"/>
        <v>58.491124260355029</v>
      </c>
    </row>
    <row r="85" spans="2:7" x14ac:dyDescent="0.2">
      <c r="B85" s="162">
        <f t="shared" si="5"/>
        <v>80</v>
      </c>
      <c r="C85" s="135">
        <v>212002</v>
      </c>
      <c r="D85" s="135" t="s">
        <v>254</v>
      </c>
      <c r="E85" s="138">
        <v>700</v>
      </c>
      <c r="F85" s="138">
        <v>400</v>
      </c>
      <c r="G85" s="354">
        <f t="shared" si="6"/>
        <v>57.142857142857139</v>
      </c>
    </row>
    <row r="86" spans="2:7" ht="13.5" thickBot="1" x14ac:dyDescent="0.25">
      <c r="B86" s="162">
        <f t="shared" si="5"/>
        <v>81</v>
      </c>
      <c r="C86" s="173">
        <v>223001</v>
      </c>
      <c r="D86" s="173" t="s">
        <v>235</v>
      </c>
      <c r="E86" s="174">
        <f>1000+49000</f>
        <v>50000</v>
      </c>
      <c r="F86" s="174">
        <v>29255</v>
      </c>
      <c r="G86" s="354">
        <f t="shared" si="6"/>
        <v>58.51</v>
      </c>
    </row>
    <row r="87" spans="2:7" ht="15.75" thickBot="1" x14ac:dyDescent="0.3">
      <c r="B87" s="162">
        <f t="shared" si="5"/>
        <v>82</v>
      </c>
      <c r="C87" s="177">
        <v>3</v>
      </c>
      <c r="D87" s="177" t="s">
        <v>8</v>
      </c>
      <c r="E87" s="178">
        <f>E88+E90</f>
        <v>54051</v>
      </c>
      <c r="F87" s="178">
        <f>F88+F90</f>
        <v>30040</v>
      </c>
      <c r="G87" s="354">
        <f t="shared" si="6"/>
        <v>55.577140108416124</v>
      </c>
    </row>
    <row r="88" spans="2:7" x14ac:dyDescent="0.2">
      <c r="B88" s="162">
        <f t="shared" si="5"/>
        <v>83</v>
      </c>
      <c r="C88" s="179">
        <v>220</v>
      </c>
      <c r="D88" s="179" t="s">
        <v>207</v>
      </c>
      <c r="E88" s="180">
        <f t="shared" ref="E88:F88" si="7">E89</f>
        <v>50900</v>
      </c>
      <c r="F88" s="180">
        <f t="shared" si="7"/>
        <v>26889</v>
      </c>
      <c r="G88" s="354">
        <f t="shared" si="6"/>
        <v>52.827111984282901</v>
      </c>
    </row>
    <row r="89" spans="2:7" x14ac:dyDescent="0.2">
      <c r="B89" s="162">
        <f t="shared" si="5"/>
        <v>84</v>
      </c>
      <c r="C89" s="135">
        <v>223002</v>
      </c>
      <c r="D89" s="135" t="s">
        <v>69</v>
      </c>
      <c r="E89" s="138">
        <f>50348+549+3</f>
        <v>50900</v>
      </c>
      <c r="F89" s="138">
        <v>26889</v>
      </c>
      <c r="G89" s="354">
        <f t="shared" si="6"/>
        <v>52.827111984282901</v>
      </c>
    </row>
    <row r="90" spans="2:7" x14ac:dyDescent="0.2">
      <c r="B90" s="162">
        <f t="shared" si="5"/>
        <v>85</v>
      </c>
      <c r="C90" s="181">
        <v>290</v>
      </c>
      <c r="D90" s="181" t="s">
        <v>165</v>
      </c>
      <c r="E90" s="182">
        <f>E91</f>
        <v>3151</v>
      </c>
      <c r="F90" s="182">
        <f>F91</f>
        <v>3151</v>
      </c>
      <c r="G90" s="354">
        <f t="shared" si="6"/>
        <v>100</v>
      </c>
    </row>
    <row r="91" spans="2:7" ht="13.5" thickBot="1" x14ac:dyDescent="0.25">
      <c r="B91" s="162">
        <f t="shared" si="5"/>
        <v>86</v>
      </c>
      <c r="C91" s="135">
        <v>292012</v>
      </c>
      <c r="D91" s="135" t="s">
        <v>217</v>
      </c>
      <c r="E91" s="138">
        <v>3151</v>
      </c>
      <c r="F91" s="138">
        <v>3151</v>
      </c>
      <c r="G91" s="354">
        <f t="shared" si="6"/>
        <v>100</v>
      </c>
    </row>
    <row r="92" spans="2:7" ht="15.75" thickBot="1" x14ac:dyDescent="0.3">
      <c r="B92" s="162">
        <f t="shared" si="5"/>
        <v>87</v>
      </c>
      <c r="C92" s="177">
        <v>4</v>
      </c>
      <c r="D92" s="177" t="s">
        <v>81</v>
      </c>
      <c r="E92" s="178">
        <f>E93+E97+E101+E105+E109+E113+E117+E121+E125+E129+E133+E137+E141+E145+E147+E149+E152</f>
        <v>1110923</v>
      </c>
      <c r="F92" s="178">
        <f>F93+F97+F101+F105+F109+F113+F117+F121+F125+F129+F133+F137+F141+F145+F147+F149+F152</f>
        <v>583786</v>
      </c>
      <c r="G92" s="354">
        <f t="shared" si="6"/>
        <v>52.549636653485429</v>
      </c>
    </row>
    <row r="93" spans="2:7" x14ac:dyDescent="0.2">
      <c r="B93" s="162">
        <f t="shared" si="5"/>
        <v>88</v>
      </c>
      <c r="C93" s="179"/>
      <c r="D93" s="179" t="s">
        <v>65</v>
      </c>
      <c r="E93" s="180">
        <f>SUM(E94:E96)</f>
        <v>48285</v>
      </c>
      <c r="F93" s="180">
        <f>SUM(F94:F96)</f>
        <v>24025</v>
      </c>
      <c r="G93" s="354">
        <f t="shared" si="6"/>
        <v>49.756653204929066</v>
      </c>
    </row>
    <row r="94" spans="2:7" x14ac:dyDescent="0.2">
      <c r="B94" s="162">
        <f t="shared" si="5"/>
        <v>89</v>
      </c>
      <c r="C94" s="135">
        <v>223001</v>
      </c>
      <c r="D94" s="135" t="s">
        <v>235</v>
      </c>
      <c r="E94" s="138">
        <v>5376</v>
      </c>
      <c r="F94" s="138">
        <v>2616</v>
      </c>
      <c r="G94" s="354">
        <f t="shared" si="6"/>
        <v>48.660714285714285</v>
      </c>
    </row>
    <row r="95" spans="2:7" x14ac:dyDescent="0.2">
      <c r="B95" s="162">
        <f t="shared" si="5"/>
        <v>90</v>
      </c>
      <c r="C95" s="135">
        <v>223002</v>
      </c>
      <c r="D95" s="135" t="s">
        <v>69</v>
      </c>
      <c r="E95" s="138">
        <f>14700+160+2</f>
        <v>14862</v>
      </c>
      <c r="F95" s="138">
        <v>8084</v>
      </c>
      <c r="G95" s="354">
        <f t="shared" si="6"/>
        <v>54.393755887498315</v>
      </c>
    </row>
    <row r="96" spans="2:7" x14ac:dyDescent="0.2">
      <c r="B96" s="162">
        <f t="shared" si="5"/>
        <v>91</v>
      </c>
      <c r="C96" s="135">
        <v>223003</v>
      </c>
      <c r="D96" s="135" t="s">
        <v>70</v>
      </c>
      <c r="E96" s="138">
        <v>28047</v>
      </c>
      <c r="F96" s="138">
        <v>13325</v>
      </c>
      <c r="G96" s="354">
        <f t="shared" si="6"/>
        <v>47.509537561949585</v>
      </c>
    </row>
    <row r="97" spans="2:7" x14ac:dyDescent="0.2">
      <c r="B97" s="162">
        <f t="shared" si="5"/>
        <v>92</v>
      </c>
      <c r="C97" s="181"/>
      <c r="D97" s="181" t="s">
        <v>223</v>
      </c>
      <c r="E97" s="182">
        <f>SUM(E98:E100)</f>
        <v>109080</v>
      </c>
      <c r="F97" s="182">
        <f>SUM(F98:F100)</f>
        <v>63070</v>
      </c>
      <c r="G97" s="354">
        <f t="shared" si="6"/>
        <v>57.81994866153282</v>
      </c>
    </row>
    <row r="98" spans="2:7" x14ac:dyDescent="0.2">
      <c r="B98" s="162">
        <f t="shared" ref="B98:B138" si="8">B97+1</f>
        <v>93</v>
      </c>
      <c r="C98" s="135">
        <v>223001</v>
      </c>
      <c r="D98" s="135" t="s">
        <v>235</v>
      </c>
      <c r="E98" s="138">
        <v>11592</v>
      </c>
      <c r="F98" s="138">
        <v>6216</v>
      </c>
      <c r="G98" s="354">
        <f t="shared" si="6"/>
        <v>53.623188405797109</v>
      </c>
    </row>
    <row r="99" spans="2:7" x14ac:dyDescent="0.2">
      <c r="B99" s="162">
        <f t="shared" si="8"/>
        <v>94</v>
      </c>
      <c r="C99" s="135">
        <v>223002</v>
      </c>
      <c r="D99" s="135" t="s">
        <v>69</v>
      </c>
      <c r="E99" s="138">
        <f>36015+392+2</f>
        <v>36409</v>
      </c>
      <c r="F99" s="138">
        <v>20884</v>
      </c>
      <c r="G99" s="354">
        <f t="shared" si="6"/>
        <v>57.359444093493373</v>
      </c>
    </row>
    <row r="100" spans="2:7" x14ac:dyDescent="0.2">
      <c r="B100" s="162">
        <f t="shared" si="8"/>
        <v>95</v>
      </c>
      <c r="C100" s="135">
        <v>223003</v>
      </c>
      <c r="D100" s="135" t="s">
        <v>70</v>
      </c>
      <c r="E100" s="138">
        <v>61079</v>
      </c>
      <c r="F100" s="138">
        <v>35970</v>
      </c>
      <c r="G100" s="354">
        <f t="shared" si="6"/>
        <v>58.890944514481248</v>
      </c>
    </row>
    <row r="101" spans="2:7" x14ac:dyDescent="0.2">
      <c r="B101" s="162">
        <f t="shared" si="8"/>
        <v>96</v>
      </c>
      <c r="C101" s="181"/>
      <c r="D101" s="181" t="s">
        <v>64</v>
      </c>
      <c r="E101" s="182">
        <f>SUM(E102:E104)</f>
        <v>53470</v>
      </c>
      <c r="F101" s="182">
        <f>SUM(F102:F104)</f>
        <v>28140</v>
      </c>
      <c r="G101" s="354">
        <f t="shared" si="6"/>
        <v>52.627641668225181</v>
      </c>
    </row>
    <row r="102" spans="2:7" x14ac:dyDescent="0.2">
      <c r="B102" s="162">
        <f t="shared" si="8"/>
        <v>97</v>
      </c>
      <c r="C102" s="135">
        <v>223001</v>
      </c>
      <c r="D102" s="135" t="s">
        <v>235</v>
      </c>
      <c r="E102" s="138">
        <v>5712</v>
      </c>
      <c r="F102" s="138">
        <v>3032</v>
      </c>
      <c r="G102" s="354">
        <f t="shared" si="6"/>
        <v>53.081232492997202</v>
      </c>
    </row>
    <row r="103" spans="2:7" x14ac:dyDescent="0.2">
      <c r="B103" s="162">
        <f t="shared" si="8"/>
        <v>98</v>
      </c>
      <c r="C103" s="135">
        <v>223002</v>
      </c>
      <c r="D103" s="135" t="s">
        <v>69</v>
      </c>
      <c r="E103" s="138">
        <f>17273+188+1</f>
        <v>17462</v>
      </c>
      <c r="F103" s="138">
        <v>9665</v>
      </c>
      <c r="G103" s="354">
        <f t="shared" si="6"/>
        <v>55.348757301569115</v>
      </c>
    </row>
    <row r="104" spans="2:7" x14ac:dyDescent="0.2">
      <c r="B104" s="162">
        <f t="shared" si="8"/>
        <v>99</v>
      </c>
      <c r="C104" s="135">
        <v>223003</v>
      </c>
      <c r="D104" s="135" t="s">
        <v>70</v>
      </c>
      <c r="E104" s="138">
        <v>30296</v>
      </c>
      <c r="F104" s="138">
        <v>15443</v>
      </c>
      <c r="G104" s="354">
        <f t="shared" si="6"/>
        <v>50.973725904409825</v>
      </c>
    </row>
    <row r="105" spans="2:7" x14ac:dyDescent="0.2">
      <c r="B105" s="162">
        <f t="shared" si="8"/>
        <v>100</v>
      </c>
      <c r="C105" s="181"/>
      <c r="D105" s="181" t="s">
        <v>534</v>
      </c>
      <c r="E105" s="182">
        <f>SUM(E106:E108)</f>
        <v>70980</v>
      </c>
      <c r="F105" s="182">
        <f>SUM(F106:F108)</f>
        <v>34955</v>
      </c>
      <c r="G105" s="354">
        <f t="shared" si="6"/>
        <v>49.246266553958861</v>
      </c>
    </row>
    <row r="106" spans="2:7" x14ac:dyDescent="0.2">
      <c r="B106" s="162">
        <f t="shared" si="8"/>
        <v>101</v>
      </c>
      <c r="C106" s="135">
        <v>223001</v>
      </c>
      <c r="D106" s="135" t="s">
        <v>235</v>
      </c>
      <c r="E106" s="138">
        <v>7728</v>
      </c>
      <c r="F106" s="138">
        <v>4032</v>
      </c>
      <c r="G106" s="354">
        <f t="shared" si="6"/>
        <v>52.173913043478258</v>
      </c>
    </row>
    <row r="107" spans="2:7" x14ac:dyDescent="0.2">
      <c r="B107" s="162">
        <f t="shared" si="8"/>
        <v>102</v>
      </c>
      <c r="C107" s="135">
        <v>223002</v>
      </c>
      <c r="D107" s="135" t="s">
        <v>69</v>
      </c>
      <c r="E107" s="138">
        <f>22785+248-1</f>
        <v>23032</v>
      </c>
      <c r="F107" s="138">
        <v>11746</v>
      </c>
      <c r="G107" s="354">
        <f t="shared" si="6"/>
        <v>50.998610628690521</v>
      </c>
    </row>
    <row r="108" spans="2:7" x14ac:dyDescent="0.2">
      <c r="B108" s="162">
        <f t="shared" si="8"/>
        <v>103</v>
      </c>
      <c r="C108" s="135">
        <v>223003</v>
      </c>
      <c r="D108" s="135" t="s">
        <v>70</v>
      </c>
      <c r="E108" s="138">
        <v>40220</v>
      </c>
      <c r="F108" s="138">
        <v>19177</v>
      </c>
      <c r="G108" s="354">
        <f t="shared" si="6"/>
        <v>47.680258577821974</v>
      </c>
    </row>
    <row r="109" spans="2:7" x14ac:dyDescent="0.2">
      <c r="B109" s="162">
        <f t="shared" si="8"/>
        <v>104</v>
      </c>
      <c r="C109" s="181"/>
      <c r="D109" s="181" t="s">
        <v>95</v>
      </c>
      <c r="E109" s="182">
        <f>SUM(E110:E112)</f>
        <v>57900</v>
      </c>
      <c r="F109" s="182">
        <f>SUM(F110:F112)</f>
        <v>32156</v>
      </c>
      <c r="G109" s="354">
        <f t="shared" si="6"/>
        <v>55.537132987910184</v>
      </c>
    </row>
    <row r="110" spans="2:7" x14ac:dyDescent="0.2">
      <c r="B110" s="162">
        <f t="shared" si="8"/>
        <v>105</v>
      </c>
      <c r="C110" s="135">
        <v>223001</v>
      </c>
      <c r="D110" s="135" t="s">
        <v>235</v>
      </c>
      <c r="E110" s="138">
        <v>6048</v>
      </c>
      <c r="F110" s="138">
        <v>3424</v>
      </c>
      <c r="G110" s="354">
        <f t="shared" si="6"/>
        <v>56.613756613756614</v>
      </c>
    </row>
    <row r="111" spans="2:7" x14ac:dyDescent="0.2">
      <c r="B111" s="162">
        <f t="shared" si="8"/>
        <v>106</v>
      </c>
      <c r="C111" s="135">
        <v>223002</v>
      </c>
      <c r="D111" s="135" t="s">
        <v>69</v>
      </c>
      <c r="E111" s="138">
        <f>18008+196</f>
        <v>18204</v>
      </c>
      <c r="F111" s="138">
        <v>11505</v>
      </c>
      <c r="G111" s="354">
        <f t="shared" si="6"/>
        <v>63.200395517468685</v>
      </c>
    </row>
    <row r="112" spans="2:7" x14ac:dyDescent="0.2">
      <c r="B112" s="162">
        <f t="shared" si="8"/>
        <v>107</v>
      </c>
      <c r="C112" s="135">
        <v>223003</v>
      </c>
      <c r="D112" s="135" t="s">
        <v>70</v>
      </c>
      <c r="E112" s="138">
        <v>33648</v>
      </c>
      <c r="F112" s="138">
        <v>17227</v>
      </c>
      <c r="G112" s="354">
        <f t="shared" si="6"/>
        <v>51.19769377080361</v>
      </c>
    </row>
    <row r="113" spans="2:7" x14ac:dyDescent="0.2">
      <c r="B113" s="162">
        <f t="shared" si="8"/>
        <v>108</v>
      </c>
      <c r="C113" s="181"/>
      <c r="D113" s="181" t="s">
        <v>83</v>
      </c>
      <c r="E113" s="182">
        <f>SUM(E114:E116)</f>
        <v>99765</v>
      </c>
      <c r="F113" s="182">
        <f>SUM(F114:F116)</f>
        <v>50373</v>
      </c>
      <c r="G113" s="354">
        <f t="shared" si="6"/>
        <v>50.491655390166891</v>
      </c>
    </row>
    <row r="114" spans="2:7" x14ac:dyDescent="0.2">
      <c r="B114" s="162">
        <f t="shared" si="8"/>
        <v>109</v>
      </c>
      <c r="C114" s="135">
        <v>223001</v>
      </c>
      <c r="D114" s="135" t="s">
        <v>235</v>
      </c>
      <c r="E114" s="138">
        <v>10920</v>
      </c>
      <c r="F114" s="138">
        <v>5448</v>
      </c>
      <c r="G114" s="354">
        <f t="shared" si="6"/>
        <v>49.890109890109891</v>
      </c>
    </row>
    <row r="115" spans="2:7" x14ac:dyDescent="0.2">
      <c r="B115" s="162">
        <f t="shared" si="8"/>
        <v>110</v>
      </c>
      <c r="C115" s="135">
        <v>223002</v>
      </c>
      <c r="D115" s="135" t="s">
        <v>69</v>
      </c>
      <c r="E115" s="138">
        <f>30870+336+1</f>
        <v>31207</v>
      </c>
      <c r="F115" s="138">
        <v>16989</v>
      </c>
      <c r="G115" s="354">
        <f t="shared" si="6"/>
        <v>54.439709039638537</v>
      </c>
    </row>
    <row r="116" spans="2:7" x14ac:dyDescent="0.2">
      <c r="B116" s="162">
        <f t="shared" si="8"/>
        <v>111</v>
      </c>
      <c r="C116" s="135">
        <v>223003</v>
      </c>
      <c r="D116" s="135" t="s">
        <v>70</v>
      </c>
      <c r="E116" s="138">
        <v>57638</v>
      </c>
      <c r="F116" s="138">
        <v>27936</v>
      </c>
      <c r="G116" s="354">
        <f t="shared" si="6"/>
        <v>48.468024567125859</v>
      </c>
    </row>
    <row r="117" spans="2:7" x14ac:dyDescent="0.2">
      <c r="B117" s="162">
        <f t="shared" si="8"/>
        <v>112</v>
      </c>
      <c r="C117" s="181"/>
      <c r="D117" s="181" t="s">
        <v>497</v>
      </c>
      <c r="E117" s="182">
        <f>SUM(E118:E120)</f>
        <v>105580</v>
      </c>
      <c r="F117" s="182">
        <f>SUM(F118:F120)</f>
        <v>53149</v>
      </c>
      <c r="G117" s="354">
        <f t="shared" si="6"/>
        <v>50.340026520174277</v>
      </c>
    </row>
    <row r="118" spans="2:7" x14ac:dyDescent="0.2">
      <c r="B118" s="162">
        <f t="shared" si="8"/>
        <v>113</v>
      </c>
      <c r="C118" s="135">
        <v>223001</v>
      </c>
      <c r="D118" s="135" t="s">
        <v>235</v>
      </c>
      <c r="E118" s="138">
        <v>59976</v>
      </c>
      <c r="F118" s="138">
        <v>6044</v>
      </c>
      <c r="G118" s="354">
        <f t="shared" si="6"/>
        <v>10.07736427904495</v>
      </c>
    </row>
    <row r="119" spans="2:7" x14ac:dyDescent="0.2">
      <c r="B119" s="162">
        <f t="shared" si="8"/>
        <v>114</v>
      </c>
      <c r="C119" s="135">
        <v>223002</v>
      </c>
      <c r="D119" s="135" t="s">
        <v>69</v>
      </c>
      <c r="E119" s="138">
        <f>33810+368+2</f>
        <v>34180</v>
      </c>
      <c r="F119" s="138">
        <v>18371</v>
      </c>
      <c r="G119" s="354">
        <f t="shared" si="6"/>
        <v>53.747805734347573</v>
      </c>
    </row>
    <row r="120" spans="2:7" x14ac:dyDescent="0.2">
      <c r="B120" s="162">
        <f t="shared" si="8"/>
        <v>115</v>
      </c>
      <c r="C120" s="135">
        <v>223003</v>
      </c>
      <c r="D120" s="135" t="s">
        <v>70</v>
      </c>
      <c r="E120" s="138">
        <v>11424</v>
      </c>
      <c r="F120" s="138">
        <v>28734</v>
      </c>
      <c r="G120" s="354">
        <f t="shared" si="6"/>
        <v>251.52310924369749</v>
      </c>
    </row>
    <row r="121" spans="2:7" x14ac:dyDescent="0.2">
      <c r="B121" s="162">
        <f t="shared" si="8"/>
        <v>116</v>
      </c>
      <c r="C121" s="181"/>
      <c r="D121" s="181" t="s">
        <v>99</v>
      </c>
      <c r="E121" s="182">
        <f>SUM(E122:E124)</f>
        <v>61575</v>
      </c>
      <c r="F121" s="182">
        <f>SUM(F122:F124)</f>
        <v>27348</v>
      </c>
      <c r="G121" s="354">
        <f t="shared" si="6"/>
        <v>44.414129110840442</v>
      </c>
    </row>
    <row r="122" spans="2:7" x14ac:dyDescent="0.2">
      <c r="B122" s="162">
        <f t="shared" si="8"/>
        <v>117</v>
      </c>
      <c r="C122" s="135">
        <v>223001</v>
      </c>
      <c r="D122" s="135" t="s">
        <v>235</v>
      </c>
      <c r="E122" s="138">
        <v>6384</v>
      </c>
      <c r="F122" s="138">
        <v>3056</v>
      </c>
      <c r="G122" s="354">
        <f t="shared" si="6"/>
        <v>47.869674185463658</v>
      </c>
    </row>
    <row r="123" spans="2:7" x14ac:dyDescent="0.2">
      <c r="B123" s="162">
        <f t="shared" si="8"/>
        <v>118</v>
      </c>
      <c r="C123" s="135">
        <v>223002</v>
      </c>
      <c r="D123" s="135" t="s">
        <v>69</v>
      </c>
      <c r="E123" s="138">
        <f>19478+212</f>
        <v>19690</v>
      </c>
      <c r="F123" s="138">
        <v>9087</v>
      </c>
      <c r="G123" s="354">
        <f t="shared" si="6"/>
        <v>46.150330116810565</v>
      </c>
    </row>
    <row r="124" spans="2:7" x14ac:dyDescent="0.2">
      <c r="B124" s="162">
        <f t="shared" si="8"/>
        <v>119</v>
      </c>
      <c r="C124" s="135">
        <v>223003</v>
      </c>
      <c r="D124" s="135" t="s">
        <v>70</v>
      </c>
      <c r="E124" s="138">
        <v>35501</v>
      </c>
      <c r="F124" s="138">
        <v>15205</v>
      </c>
      <c r="G124" s="354">
        <f t="shared" si="6"/>
        <v>42.829779442832596</v>
      </c>
    </row>
    <row r="125" spans="2:7" x14ac:dyDescent="0.2">
      <c r="B125" s="162">
        <f t="shared" si="8"/>
        <v>120</v>
      </c>
      <c r="C125" s="181"/>
      <c r="D125" s="181" t="s">
        <v>60</v>
      </c>
      <c r="E125" s="182">
        <f>SUM(E126:E128)</f>
        <v>91425</v>
      </c>
      <c r="F125" s="182">
        <f>SUM(F126:F128)</f>
        <v>44564</v>
      </c>
      <c r="G125" s="354">
        <f t="shared" si="6"/>
        <v>48.743779053869289</v>
      </c>
    </row>
    <row r="126" spans="2:7" x14ac:dyDescent="0.2">
      <c r="B126" s="162">
        <f t="shared" si="8"/>
        <v>121</v>
      </c>
      <c r="C126" s="135">
        <v>223001</v>
      </c>
      <c r="D126" s="135" t="s">
        <v>235</v>
      </c>
      <c r="E126" s="138">
        <v>10164</v>
      </c>
      <c r="F126" s="138">
        <v>4760</v>
      </c>
      <c r="G126" s="354">
        <f t="shared" si="6"/>
        <v>46.831955922865014</v>
      </c>
    </row>
    <row r="127" spans="2:7" x14ac:dyDescent="0.2">
      <c r="B127" s="162">
        <f t="shared" si="8"/>
        <v>122</v>
      </c>
      <c r="C127" s="135">
        <v>223002</v>
      </c>
      <c r="D127" s="135" t="s">
        <v>69</v>
      </c>
      <c r="E127" s="138">
        <f>28665+312+3</f>
        <v>28980</v>
      </c>
      <c r="F127" s="138">
        <v>15095</v>
      </c>
      <c r="G127" s="354">
        <f t="shared" si="6"/>
        <v>52.087646652864038</v>
      </c>
    </row>
    <row r="128" spans="2:7" x14ac:dyDescent="0.2">
      <c r="B128" s="162">
        <f t="shared" si="8"/>
        <v>123</v>
      </c>
      <c r="C128" s="135">
        <v>223003</v>
      </c>
      <c r="D128" s="135" t="s">
        <v>70</v>
      </c>
      <c r="E128" s="138">
        <v>52281</v>
      </c>
      <c r="F128" s="138">
        <v>24709</v>
      </c>
      <c r="G128" s="354">
        <f t="shared" si="6"/>
        <v>47.261911593121788</v>
      </c>
    </row>
    <row r="129" spans="2:7" x14ac:dyDescent="0.2">
      <c r="B129" s="162">
        <f t="shared" si="8"/>
        <v>124</v>
      </c>
      <c r="C129" s="181"/>
      <c r="D129" s="181" t="s">
        <v>66</v>
      </c>
      <c r="E129" s="182">
        <f>SUM(E130:E132)</f>
        <v>91800</v>
      </c>
      <c r="F129" s="182">
        <f>SUM(F130:F132)</f>
        <v>44275</v>
      </c>
      <c r="G129" s="354">
        <f t="shared" si="6"/>
        <v>48.229847494553383</v>
      </c>
    </row>
    <row r="130" spans="2:7" x14ac:dyDescent="0.2">
      <c r="B130" s="162">
        <f t="shared" si="8"/>
        <v>125</v>
      </c>
      <c r="C130" s="135">
        <v>223001</v>
      </c>
      <c r="D130" s="135" t="s">
        <v>235</v>
      </c>
      <c r="E130" s="138">
        <v>10164</v>
      </c>
      <c r="F130" s="138">
        <v>4784</v>
      </c>
      <c r="G130" s="354">
        <f t="shared" si="6"/>
        <v>47.068083431719792</v>
      </c>
    </row>
    <row r="131" spans="2:7" x14ac:dyDescent="0.2">
      <c r="B131" s="162">
        <f t="shared" si="8"/>
        <v>126</v>
      </c>
      <c r="C131" s="135">
        <v>223002</v>
      </c>
      <c r="D131" s="135" t="s">
        <v>69</v>
      </c>
      <c r="E131" s="138">
        <f>28298+308</f>
        <v>28606</v>
      </c>
      <c r="F131" s="138">
        <v>14082</v>
      </c>
      <c r="G131" s="354">
        <f t="shared" si="6"/>
        <v>49.227434803887299</v>
      </c>
    </row>
    <row r="132" spans="2:7" x14ac:dyDescent="0.2">
      <c r="B132" s="162">
        <f t="shared" si="8"/>
        <v>127</v>
      </c>
      <c r="C132" s="135">
        <v>223003</v>
      </c>
      <c r="D132" s="135" t="s">
        <v>70</v>
      </c>
      <c r="E132" s="138">
        <v>53030</v>
      </c>
      <c r="F132" s="138">
        <v>25409</v>
      </c>
      <c r="G132" s="354">
        <f t="shared" si="6"/>
        <v>47.914388082217613</v>
      </c>
    </row>
    <row r="133" spans="2:7" x14ac:dyDescent="0.2">
      <c r="B133" s="162">
        <f t="shared" si="8"/>
        <v>128</v>
      </c>
      <c r="C133" s="181"/>
      <c r="D133" s="181" t="s">
        <v>67</v>
      </c>
      <c r="E133" s="182">
        <f>SUM(E134:E136)</f>
        <v>83050</v>
      </c>
      <c r="F133" s="182">
        <f>SUM(F134:F136)</f>
        <v>41854</v>
      </c>
      <c r="G133" s="354">
        <f t="shared" si="6"/>
        <v>50.396146899458159</v>
      </c>
    </row>
    <row r="134" spans="2:7" x14ac:dyDescent="0.2">
      <c r="B134" s="162">
        <f t="shared" si="8"/>
        <v>129</v>
      </c>
      <c r="C134" s="135">
        <v>223001</v>
      </c>
      <c r="D134" s="135" t="s">
        <v>235</v>
      </c>
      <c r="E134" s="138">
        <v>8652</v>
      </c>
      <c r="F134" s="138">
        <v>4352</v>
      </c>
      <c r="G134" s="354">
        <f t="shared" si="6"/>
        <v>50.300508552935739</v>
      </c>
    </row>
    <row r="135" spans="2:7" x14ac:dyDescent="0.2">
      <c r="B135" s="162">
        <f t="shared" si="8"/>
        <v>130</v>
      </c>
      <c r="C135" s="135">
        <v>223002</v>
      </c>
      <c r="D135" s="135" t="s">
        <v>69</v>
      </c>
      <c r="E135" s="138">
        <f>26460+288-1</f>
        <v>26747</v>
      </c>
      <c r="F135" s="138">
        <v>14455</v>
      </c>
      <c r="G135" s="354">
        <f t="shared" si="6"/>
        <v>54.043444124574712</v>
      </c>
    </row>
    <row r="136" spans="2:7" x14ac:dyDescent="0.2">
      <c r="B136" s="162">
        <f t="shared" si="8"/>
        <v>131</v>
      </c>
      <c r="C136" s="135">
        <v>223003</v>
      </c>
      <c r="D136" s="135" t="s">
        <v>70</v>
      </c>
      <c r="E136" s="138">
        <v>47651</v>
      </c>
      <c r="F136" s="138">
        <v>23047</v>
      </c>
      <c r="G136" s="354">
        <f t="shared" si="6"/>
        <v>48.366246248767077</v>
      </c>
    </row>
    <row r="137" spans="2:7" x14ac:dyDescent="0.2">
      <c r="B137" s="162">
        <f t="shared" si="8"/>
        <v>132</v>
      </c>
      <c r="C137" s="181"/>
      <c r="D137" s="181" t="s">
        <v>91</v>
      </c>
      <c r="E137" s="182">
        <f>SUM(E138:E140)</f>
        <v>24820</v>
      </c>
      <c r="F137" s="182">
        <f>SUM(F138:F140)</f>
        <v>12695</v>
      </c>
      <c r="G137" s="354">
        <f t="shared" ref="G137:G195" si="9">F137/E137*100</f>
        <v>51.148267526188562</v>
      </c>
    </row>
    <row r="138" spans="2:7" x14ac:dyDescent="0.2">
      <c r="B138" s="162">
        <f t="shared" si="8"/>
        <v>133</v>
      </c>
      <c r="C138" s="135">
        <v>223001</v>
      </c>
      <c r="D138" s="135" t="s">
        <v>235</v>
      </c>
      <c r="E138" s="138">
        <v>2940</v>
      </c>
      <c r="F138" s="138">
        <v>1560</v>
      </c>
      <c r="G138" s="354">
        <f t="shared" si="9"/>
        <v>53.061224489795919</v>
      </c>
    </row>
    <row r="139" spans="2:7" x14ac:dyDescent="0.2">
      <c r="B139" s="162">
        <f t="shared" ref="B139:B195" si="10">B138+1</f>
        <v>134</v>
      </c>
      <c r="C139" s="135">
        <v>223002</v>
      </c>
      <c r="D139" s="135" t="s">
        <v>69</v>
      </c>
      <c r="E139" s="138">
        <f>6615+72</f>
        <v>6687</v>
      </c>
      <c r="F139" s="138">
        <v>3789</v>
      </c>
      <c r="G139" s="354">
        <f t="shared" si="9"/>
        <v>56.662180349932697</v>
      </c>
    </row>
    <row r="140" spans="2:7" x14ac:dyDescent="0.2">
      <c r="B140" s="162">
        <f t="shared" si="10"/>
        <v>135</v>
      </c>
      <c r="C140" s="135">
        <v>223003</v>
      </c>
      <c r="D140" s="135" t="s">
        <v>70</v>
      </c>
      <c r="E140" s="138">
        <v>15193</v>
      </c>
      <c r="F140" s="138">
        <v>7346</v>
      </c>
      <c r="G140" s="354">
        <f t="shared" si="9"/>
        <v>48.351214375041138</v>
      </c>
    </row>
    <row r="141" spans="2:7" x14ac:dyDescent="0.2">
      <c r="B141" s="162">
        <f t="shared" si="10"/>
        <v>136</v>
      </c>
      <c r="C141" s="181"/>
      <c r="D141" s="181" t="s">
        <v>193</v>
      </c>
      <c r="E141" s="182">
        <f>SUM(E142:E144)</f>
        <v>32510</v>
      </c>
      <c r="F141" s="182">
        <f>SUM(F142:F144)</f>
        <v>14729</v>
      </c>
      <c r="G141" s="354">
        <f t="shared" si="9"/>
        <v>45.306059673946478</v>
      </c>
    </row>
    <row r="142" spans="2:7" x14ac:dyDescent="0.2">
      <c r="B142" s="162">
        <f t="shared" si="10"/>
        <v>137</v>
      </c>
      <c r="C142" s="135">
        <v>223001</v>
      </c>
      <c r="D142" s="135" t="s">
        <v>235</v>
      </c>
      <c r="E142" s="138">
        <v>3360</v>
      </c>
      <c r="F142" s="138">
        <v>1544</v>
      </c>
      <c r="G142" s="354">
        <f t="shared" si="9"/>
        <v>45.952380952380949</v>
      </c>
    </row>
    <row r="143" spans="2:7" x14ac:dyDescent="0.2">
      <c r="B143" s="162">
        <f t="shared" si="10"/>
        <v>138</v>
      </c>
      <c r="C143" s="135">
        <v>223002</v>
      </c>
      <c r="D143" s="135" t="s">
        <v>69</v>
      </c>
      <c r="E143" s="138">
        <f>9555+104-1</f>
        <v>9658</v>
      </c>
      <c r="F143" s="138">
        <v>5498</v>
      </c>
      <c r="G143" s="354">
        <f t="shared" si="9"/>
        <v>56.926899979291775</v>
      </c>
    </row>
    <row r="144" spans="2:7" x14ac:dyDescent="0.2">
      <c r="B144" s="162">
        <f t="shared" si="10"/>
        <v>139</v>
      </c>
      <c r="C144" s="135">
        <v>223003</v>
      </c>
      <c r="D144" s="135" t="s">
        <v>70</v>
      </c>
      <c r="E144" s="138">
        <v>19492</v>
      </c>
      <c r="F144" s="138">
        <v>7687</v>
      </c>
      <c r="G144" s="354">
        <f t="shared" si="9"/>
        <v>39.436691976195362</v>
      </c>
    </row>
    <row r="145" spans="2:7" x14ac:dyDescent="0.2">
      <c r="B145" s="162">
        <f t="shared" si="10"/>
        <v>140</v>
      </c>
      <c r="C145" s="181"/>
      <c r="D145" s="181" t="s">
        <v>68</v>
      </c>
      <c r="E145" s="182">
        <f>E146</f>
        <v>12775</v>
      </c>
      <c r="F145" s="182">
        <f>F146</f>
        <v>5450</v>
      </c>
      <c r="G145" s="354">
        <f t="shared" si="9"/>
        <v>42.661448140900191</v>
      </c>
    </row>
    <row r="146" spans="2:7" x14ac:dyDescent="0.2">
      <c r="B146" s="162">
        <f t="shared" si="10"/>
        <v>141</v>
      </c>
      <c r="C146" s="135">
        <v>223002</v>
      </c>
      <c r="D146" s="135" t="s">
        <v>69</v>
      </c>
      <c r="E146" s="138">
        <f>12658+116+1</f>
        <v>12775</v>
      </c>
      <c r="F146" s="138">
        <v>5450</v>
      </c>
      <c r="G146" s="354">
        <f t="shared" si="9"/>
        <v>42.661448140900191</v>
      </c>
    </row>
    <row r="147" spans="2:7" x14ac:dyDescent="0.2">
      <c r="B147" s="162">
        <f t="shared" si="10"/>
        <v>142</v>
      </c>
      <c r="C147" s="181"/>
      <c r="D147" s="181" t="s">
        <v>102</v>
      </c>
      <c r="E147" s="182">
        <f>E148</f>
        <v>40495</v>
      </c>
      <c r="F147" s="182">
        <f>F148</f>
        <v>20878</v>
      </c>
      <c r="G147" s="354">
        <f t="shared" si="9"/>
        <v>51.5569823434992</v>
      </c>
    </row>
    <row r="148" spans="2:7" x14ac:dyDescent="0.2">
      <c r="B148" s="162">
        <f t="shared" si="10"/>
        <v>143</v>
      </c>
      <c r="C148" s="135">
        <v>223002</v>
      </c>
      <c r="D148" s="135" t="s">
        <v>69</v>
      </c>
      <c r="E148" s="138">
        <f>40058+436+1</f>
        <v>40495</v>
      </c>
      <c r="F148" s="138">
        <v>20878</v>
      </c>
      <c r="G148" s="354">
        <f t="shared" si="9"/>
        <v>51.5569823434992</v>
      </c>
    </row>
    <row r="149" spans="2:7" x14ac:dyDescent="0.2">
      <c r="B149" s="162">
        <f t="shared" si="10"/>
        <v>144</v>
      </c>
      <c r="C149" s="181"/>
      <c r="D149" s="181" t="s">
        <v>87</v>
      </c>
      <c r="E149" s="182">
        <f>SUM(E150:E151)</f>
        <v>72665</v>
      </c>
      <c r="F149" s="182">
        <f>SUM(F150:F151)</f>
        <v>34100</v>
      </c>
      <c r="G149" s="354">
        <f t="shared" si="9"/>
        <v>46.927681827564854</v>
      </c>
    </row>
    <row r="150" spans="2:7" x14ac:dyDescent="0.2">
      <c r="B150" s="162">
        <f t="shared" si="10"/>
        <v>145</v>
      </c>
      <c r="C150" s="135">
        <v>223001</v>
      </c>
      <c r="D150" s="135" t="s">
        <v>235</v>
      </c>
      <c r="E150" s="138">
        <v>11340</v>
      </c>
      <c r="F150" s="138">
        <v>5720</v>
      </c>
      <c r="G150" s="354">
        <f t="shared" si="9"/>
        <v>50.440917107583772</v>
      </c>
    </row>
    <row r="151" spans="2:7" x14ac:dyDescent="0.2">
      <c r="B151" s="162">
        <f t="shared" si="10"/>
        <v>146</v>
      </c>
      <c r="C151" s="135">
        <v>223003</v>
      </c>
      <c r="D151" s="135" t="s">
        <v>70</v>
      </c>
      <c r="E151" s="138">
        <f>61322+3</f>
        <v>61325</v>
      </c>
      <c r="F151" s="138">
        <v>28380</v>
      </c>
      <c r="G151" s="354">
        <f t="shared" si="9"/>
        <v>46.278026905829591</v>
      </c>
    </row>
    <row r="152" spans="2:7" x14ac:dyDescent="0.2">
      <c r="B152" s="162">
        <f t="shared" si="10"/>
        <v>147</v>
      </c>
      <c r="C152" s="181"/>
      <c r="D152" s="181" t="s">
        <v>305</v>
      </c>
      <c r="E152" s="182">
        <f>SUM(E153:E155)</f>
        <v>54748</v>
      </c>
      <c r="F152" s="182">
        <f>SUM(F153:F155)</f>
        <v>52025</v>
      </c>
      <c r="G152" s="354">
        <f t="shared" si="9"/>
        <v>95.026302330678746</v>
      </c>
    </row>
    <row r="153" spans="2:7" x14ac:dyDescent="0.2">
      <c r="B153" s="162">
        <f t="shared" si="10"/>
        <v>148</v>
      </c>
      <c r="C153" s="135">
        <v>212003</v>
      </c>
      <c r="D153" s="135" t="s">
        <v>233</v>
      </c>
      <c r="E153" s="138">
        <v>7500</v>
      </c>
      <c r="F153" s="138">
        <v>4776</v>
      </c>
      <c r="G153" s="354">
        <f t="shared" si="9"/>
        <v>63.680000000000007</v>
      </c>
    </row>
    <row r="154" spans="2:7" x14ac:dyDescent="0.2">
      <c r="B154" s="162">
        <f t="shared" si="10"/>
        <v>149</v>
      </c>
      <c r="C154" s="135">
        <v>292012</v>
      </c>
      <c r="D154" s="135" t="s">
        <v>217</v>
      </c>
      <c r="E154" s="138">
        <v>45302</v>
      </c>
      <c r="F154" s="138">
        <v>45303</v>
      </c>
      <c r="G154" s="354">
        <f t="shared" si="9"/>
        <v>100.00220740806145</v>
      </c>
    </row>
    <row r="155" spans="2:7" ht="13.5" thickBot="1" x14ac:dyDescent="0.25">
      <c r="B155" s="162">
        <f t="shared" si="10"/>
        <v>150</v>
      </c>
      <c r="C155" s="135">
        <v>292019</v>
      </c>
      <c r="D155" s="135" t="s">
        <v>219</v>
      </c>
      <c r="E155" s="138">
        <f>3500-1554</f>
        <v>1946</v>
      </c>
      <c r="F155" s="138">
        <v>1946</v>
      </c>
      <c r="G155" s="354">
        <f t="shared" si="9"/>
        <v>100</v>
      </c>
    </row>
    <row r="156" spans="2:7" ht="15.75" thickBot="1" x14ac:dyDescent="0.3">
      <c r="B156" s="162">
        <f t="shared" si="10"/>
        <v>151</v>
      </c>
      <c r="C156" s="177">
        <v>5</v>
      </c>
      <c r="D156" s="177" t="s">
        <v>103</v>
      </c>
      <c r="E156" s="178">
        <f>E157+E161+E167+E169+E172+E178+E184+E190+E193</f>
        <v>1821684</v>
      </c>
      <c r="F156" s="178">
        <f>F157+F161+F167+F169+F172+F178+F184+F190+F193</f>
        <v>713825</v>
      </c>
      <c r="G156" s="354">
        <f t="shared" si="9"/>
        <v>39.184897051299785</v>
      </c>
    </row>
    <row r="157" spans="2:7" x14ac:dyDescent="0.2">
      <c r="B157" s="162">
        <f t="shared" si="10"/>
        <v>152</v>
      </c>
      <c r="C157" s="181">
        <v>290</v>
      </c>
      <c r="D157" s="181" t="s">
        <v>165</v>
      </c>
      <c r="E157" s="182">
        <f>SUM(E158:E160)</f>
        <v>10352</v>
      </c>
      <c r="F157" s="182">
        <f>SUM(F158:F160)</f>
        <v>16062</v>
      </c>
      <c r="G157" s="354">
        <f t="shared" si="9"/>
        <v>155.15842349304484</v>
      </c>
    </row>
    <row r="158" spans="2:7" x14ac:dyDescent="0.2">
      <c r="B158" s="162">
        <f t="shared" si="10"/>
        <v>153</v>
      </c>
      <c r="C158" s="135">
        <v>292012</v>
      </c>
      <c r="D158" s="135" t="s">
        <v>217</v>
      </c>
      <c r="E158" s="138">
        <v>4000</v>
      </c>
      <c r="F158" s="138">
        <v>11477</v>
      </c>
      <c r="G158" s="354">
        <f t="shared" si="9"/>
        <v>286.92500000000001</v>
      </c>
    </row>
    <row r="159" spans="2:7" x14ac:dyDescent="0.2">
      <c r="B159" s="162">
        <f t="shared" si="10"/>
        <v>154</v>
      </c>
      <c r="C159" s="135">
        <v>292017</v>
      </c>
      <c r="D159" s="135" t="s">
        <v>635</v>
      </c>
      <c r="E159" s="138">
        <f>2576+776</f>
        <v>3352</v>
      </c>
      <c r="F159" s="138">
        <v>2053</v>
      </c>
      <c r="G159" s="354">
        <f t="shared" si="9"/>
        <v>61.247016706443915</v>
      </c>
    </row>
    <row r="160" spans="2:7" x14ac:dyDescent="0.2">
      <c r="B160" s="162">
        <f t="shared" si="10"/>
        <v>155</v>
      </c>
      <c r="C160" s="135">
        <v>292019</v>
      </c>
      <c r="D160" s="135" t="s">
        <v>219</v>
      </c>
      <c r="E160" s="138">
        <v>3000</v>
      </c>
      <c r="F160" s="138">
        <v>2532</v>
      </c>
      <c r="G160" s="354">
        <f t="shared" si="9"/>
        <v>84.399999999999991</v>
      </c>
    </row>
    <row r="161" spans="2:7" x14ac:dyDescent="0.2">
      <c r="B161" s="162">
        <f t="shared" si="10"/>
        <v>156</v>
      </c>
      <c r="C161" s="181"/>
      <c r="D161" s="181" t="s">
        <v>71</v>
      </c>
      <c r="E161" s="182">
        <f>SUM(E162:E166)</f>
        <v>110428</v>
      </c>
      <c r="F161" s="182">
        <f>SUM(F162:F166)</f>
        <v>34401</v>
      </c>
      <c r="G161" s="354">
        <f t="shared" si="9"/>
        <v>31.152425109573663</v>
      </c>
    </row>
    <row r="162" spans="2:7" x14ac:dyDescent="0.2">
      <c r="B162" s="162">
        <f t="shared" si="10"/>
        <v>157</v>
      </c>
      <c r="C162" s="135">
        <v>223001</v>
      </c>
      <c r="D162" s="135" t="s">
        <v>377</v>
      </c>
      <c r="E162" s="138">
        <v>21623</v>
      </c>
      <c r="F162" s="138">
        <v>5017</v>
      </c>
      <c r="G162" s="354">
        <f t="shared" si="9"/>
        <v>23.202145863201221</v>
      </c>
    </row>
    <row r="163" spans="2:7" x14ac:dyDescent="0.2">
      <c r="B163" s="162">
        <f t="shared" si="10"/>
        <v>158</v>
      </c>
      <c r="C163" s="135">
        <v>223002</v>
      </c>
      <c r="D163" s="135" t="s">
        <v>69</v>
      </c>
      <c r="E163" s="138">
        <v>55920</v>
      </c>
      <c r="F163" s="138">
        <v>17810</v>
      </c>
      <c r="G163" s="354">
        <f t="shared" si="9"/>
        <v>31.849070100143063</v>
      </c>
    </row>
    <row r="164" spans="2:7" x14ac:dyDescent="0.2">
      <c r="B164" s="162">
        <f t="shared" si="10"/>
        <v>159</v>
      </c>
      <c r="C164" s="135">
        <v>223003</v>
      </c>
      <c r="D164" s="135" t="s">
        <v>307</v>
      </c>
      <c r="E164" s="138">
        <v>9320</v>
      </c>
      <c r="F164" s="138">
        <v>2347</v>
      </c>
      <c r="G164" s="354">
        <f t="shared" si="9"/>
        <v>25.182403433476395</v>
      </c>
    </row>
    <row r="165" spans="2:7" x14ac:dyDescent="0.2">
      <c r="B165" s="162">
        <f t="shared" si="10"/>
        <v>160</v>
      </c>
      <c r="C165" s="135">
        <v>223003</v>
      </c>
      <c r="D165" s="135" t="s">
        <v>306</v>
      </c>
      <c r="E165" s="138">
        <v>22265</v>
      </c>
      <c r="F165" s="138">
        <v>8879</v>
      </c>
      <c r="G165" s="354">
        <f t="shared" si="9"/>
        <v>39.878733438131597</v>
      </c>
    </row>
    <row r="166" spans="2:7" ht="14.25" customHeight="1" x14ac:dyDescent="0.2">
      <c r="B166" s="162">
        <f t="shared" si="10"/>
        <v>161</v>
      </c>
      <c r="C166" s="135">
        <v>223003</v>
      </c>
      <c r="D166" s="135" t="s">
        <v>308</v>
      </c>
      <c r="E166" s="138">
        <v>1300</v>
      </c>
      <c r="F166" s="138">
        <v>348</v>
      </c>
      <c r="G166" s="354">
        <f t="shared" si="9"/>
        <v>26.769230769230766</v>
      </c>
    </row>
    <row r="167" spans="2:7" x14ac:dyDescent="0.2">
      <c r="B167" s="162">
        <f t="shared" si="10"/>
        <v>162</v>
      </c>
      <c r="C167" s="181"/>
      <c r="D167" s="181" t="s">
        <v>104</v>
      </c>
      <c r="E167" s="182">
        <f>E168</f>
        <v>9900</v>
      </c>
      <c r="F167" s="182">
        <f>F168</f>
        <v>964</v>
      </c>
      <c r="G167" s="354">
        <f t="shared" si="9"/>
        <v>9.737373737373737</v>
      </c>
    </row>
    <row r="168" spans="2:7" x14ac:dyDescent="0.2">
      <c r="B168" s="162">
        <f t="shared" si="10"/>
        <v>163</v>
      </c>
      <c r="C168" s="135">
        <v>223001</v>
      </c>
      <c r="D168" s="135" t="s">
        <v>235</v>
      </c>
      <c r="E168" s="138">
        <v>9900</v>
      </c>
      <c r="F168" s="138">
        <v>964</v>
      </c>
      <c r="G168" s="354">
        <f t="shared" si="9"/>
        <v>9.737373737373737</v>
      </c>
    </row>
    <row r="169" spans="2:7" x14ac:dyDescent="0.2">
      <c r="B169" s="162">
        <f t="shared" si="10"/>
        <v>164</v>
      </c>
      <c r="C169" s="181"/>
      <c r="D169" s="181" t="s">
        <v>310</v>
      </c>
      <c r="E169" s="182">
        <f>SUM(E170:E171)</f>
        <v>9945</v>
      </c>
      <c r="F169" s="182">
        <f>SUM(F170:F171)</f>
        <v>3678</v>
      </c>
      <c r="G169" s="354">
        <f t="shared" si="9"/>
        <v>36.983408748114634</v>
      </c>
    </row>
    <row r="170" spans="2:7" x14ac:dyDescent="0.2">
      <c r="B170" s="162">
        <f t="shared" si="10"/>
        <v>165</v>
      </c>
      <c r="C170" s="135">
        <v>223001</v>
      </c>
      <c r="D170" s="135" t="s">
        <v>309</v>
      </c>
      <c r="E170" s="138">
        <v>9745</v>
      </c>
      <c r="F170" s="138">
        <v>3600</v>
      </c>
      <c r="G170" s="354">
        <f t="shared" si="9"/>
        <v>36.942021549512575</v>
      </c>
    </row>
    <row r="171" spans="2:7" x14ac:dyDescent="0.2">
      <c r="B171" s="162">
        <f t="shared" si="10"/>
        <v>166</v>
      </c>
      <c r="C171" s="135">
        <v>223001</v>
      </c>
      <c r="D171" s="135" t="s">
        <v>499</v>
      </c>
      <c r="E171" s="138">
        <v>200</v>
      </c>
      <c r="F171" s="138">
        <v>78</v>
      </c>
      <c r="G171" s="354">
        <f t="shared" si="9"/>
        <v>39</v>
      </c>
    </row>
    <row r="172" spans="2:7" x14ac:dyDescent="0.2">
      <c r="B172" s="162">
        <f t="shared" si="10"/>
        <v>167</v>
      </c>
      <c r="C172" s="181"/>
      <c r="D172" s="181" t="s">
        <v>58</v>
      </c>
      <c r="E172" s="182">
        <f>SUM(E173:E177)</f>
        <v>504919</v>
      </c>
      <c r="F172" s="182">
        <f>SUM(F173:F177)</f>
        <v>209138</v>
      </c>
      <c r="G172" s="354">
        <f t="shared" si="9"/>
        <v>41.420108967973079</v>
      </c>
    </row>
    <row r="173" spans="2:7" x14ac:dyDescent="0.2">
      <c r="B173" s="162">
        <f t="shared" si="10"/>
        <v>168</v>
      </c>
      <c r="C173" s="135">
        <v>212003</v>
      </c>
      <c r="D173" s="135" t="s">
        <v>233</v>
      </c>
      <c r="E173" s="138">
        <v>40</v>
      </c>
      <c r="F173" s="138">
        <v>10</v>
      </c>
      <c r="G173" s="354">
        <f t="shared" si="9"/>
        <v>25</v>
      </c>
    </row>
    <row r="174" spans="2:7" s="38" customFormat="1" x14ac:dyDescent="0.2">
      <c r="B174" s="162">
        <f t="shared" si="10"/>
        <v>169</v>
      </c>
      <c r="C174" s="184">
        <v>223001</v>
      </c>
      <c r="D174" s="58" t="s">
        <v>311</v>
      </c>
      <c r="E174" s="138">
        <v>76360</v>
      </c>
      <c r="F174" s="138">
        <v>33667</v>
      </c>
      <c r="G174" s="354">
        <f t="shared" si="9"/>
        <v>44.089837611314827</v>
      </c>
    </row>
    <row r="175" spans="2:7" x14ac:dyDescent="0.2">
      <c r="B175" s="162">
        <f t="shared" si="10"/>
        <v>170</v>
      </c>
      <c r="C175" s="135">
        <v>223001</v>
      </c>
      <c r="D175" s="135" t="s">
        <v>309</v>
      </c>
      <c r="E175" s="138">
        <v>194400</v>
      </c>
      <c r="F175" s="138">
        <v>78245</v>
      </c>
      <c r="G175" s="354">
        <f t="shared" si="9"/>
        <v>40.249485596707821</v>
      </c>
    </row>
    <row r="176" spans="2:7" x14ac:dyDescent="0.2">
      <c r="B176" s="162">
        <f t="shared" si="10"/>
        <v>171</v>
      </c>
      <c r="C176" s="135">
        <v>223001</v>
      </c>
      <c r="D176" s="135" t="s">
        <v>313</v>
      </c>
      <c r="E176" s="138">
        <v>216562</v>
      </c>
      <c r="F176" s="138">
        <v>91770</v>
      </c>
      <c r="G176" s="354">
        <f t="shared" si="9"/>
        <v>42.37585541323039</v>
      </c>
    </row>
    <row r="177" spans="2:7" x14ac:dyDescent="0.2">
      <c r="B177" s="162">
        <f t="shared" si="10"/>
        <v>172</v>
      </c>
      <c r="C177" s="135">
        <v>223001</v>
      </c>
      <c r="D177" s="135" t="s">
        <v>418</v>
      </c>
      <c r="E177" s="138">
        <v>17557</v>
      </c>
      <c r="F177" s="138">
        <v>5446</v>
      </c>
      <c r="G177" s="354">
        <f t="shared" si="9"/>
        <v>31.018966793871389</v>
      </c>
    </row>
    <row r="178" spans="2:7" ht="25.5" x14ac:dyDescent="0.2">
      <c r="B178" s="162">
        <f t="shared" si="10"/>
        <v>173</v>
      </c>
      <c r="C178" s="181"/>
      <c r="D178" s="186" t="s">
        <v>314</v>
      </c>
      <c r="E178" s="187">
        <f>SUM(E179:E183)</f>
        <v>502165</v>
      </c>
      <c r="F178" s="187">
        <f>SUM(F179:F183)</f>
        <v>204462</v>
      </c>
      <c r="G178" s="354">
        <f t="shared" si="9"/>
        <v>40.716099290073984</v>
      </c>
    </row>
    <row r="179" spans="2:7" x14ac:dyDescent="0.2">
      <c r="B179" s="162">
        <f t="shared" si="10"/>
        <v>174</v>
      </c>
      <c r="C179" s="135">
        <v>212003</v>
      </c>
      <c r="D179" s="135" t="s">
        <v>233</v>
      </c>
      <c r="E179" s="138">
        <v>70</v>
      </c>
      <c r="F179" s="138">
        <v>0</v>
      </c>
      <c r="G179" s="354">
        <f t="shared" si="9"/>
        <v>0</v>
      </c>
    </row>
    <row r="180" spans="2:7" x14ac:dyDescent="0.2">
      <c r="B180" s="162">
        <f t="shared" si="10"/>
        <v>175</v>
      </c>
      <c r="C180" s="135">
        <v>223001</v>
      </c>
      <c r="D180" s="135" t="s">
        <v>309</v>
      </c>
      <c r="E180" s="138">
        <v>116070</v>
      </c>
      <c r="F180" s="138">
        <v>48094</v>
      </c>
      <c r="G180" s="354">
        <f t="shared" si="9"/>
        <v>41.435340742655299</v>
      </c>
    </row>
    <row r="181" spans="2:7" x14ac:dyDescent="0.2">
      <c r="B181" s="162">
        <f t="shared" si="10"/>
        <v>176</v>
      </c>
      <c r="C181" s="135">
        <v>223001</v>
      </c>
      <c r="D181" s="135" t="s">
        <v>313</v>
      </c>
      <c r="E181" s="138">
        <v>236010</v>
      </c>
      <c r="F181" s="138">
        <v>99477</v>
      </c>
      <c r="G181" s="354">
        <f t="shared" si="9"/>
        <v>42.149485191305452</v>
      </c>
    </row>
    <row r="182" spans="2:7" x14ac:dyDescent="0.2">
      <c r="B182" s="162">
        <f t="shared" si="10"/>
        <v>177</v>
      </c>
      <c r="C182" s="135">
        <v>223001</v>
      </c>
      <c r="D182" s="135" t="s">
        <v>311</v>
      </c>
      <c r="E182" s="138">
        <v>135780</v>
      </c>
      <c r="F182" s="138">
        <v>51391</v>
      </c>
      <c r="G182" s="354">
        <f t="shared" si="9"/>
        <v>37.848725880100162</v>
      </c>
    </row>
    <row r="183" spans="2:7" x14ac:dyDescent="0.2">
      <c r="B183" s="162">
        <f t="shared" si="10"/>
        <v>178</v>
      </c>
      <c r="C183" s="135">
        <v>223001</v>
      </c>
      <c r="D183" s="135" t="s">
        <v>418</v>
      </c>
      <c r="E183" s="138">
        <v>14235</v>
      </c>
      <c r="F183" s="138">
        <v>5500</v>
      </c>
      <c r="G183" s="354">
        <f t="shared" si="9"/>
        <v>38.637161924833158</v>
      </c>
    </row>
    <row r="184" spans="2:7" x14ac:dyDescent="0.2">
      <c r="B184" s="162">
        <f t="shared" si="10"/>
        <v>179</v>
      </c>
      <c r="C184" s="181"/>
      <c r="D184" s="181" t="s">
        <v>504</v>
      </c>
      <c r="E184" s="182">
        <f>SUM(E185:E189)</f>
        <v>387265</v>
      </c>
      <c r="F184" s="182">
        <f>SUM(F185:F189)</f>
        <v>145738</v>
      </c>
      <c r="G184" s="354">
        <f t="shared" si="9"/>
        <v>37.632628820058613</v>
      </c>
    </row>
    <row r="185" spans="2:7" x14ac:dyDescent="0.2">
      <c r="B185" s="162">
        <f t="shared" si="10"/>
        <v>180</v>
      </c>
      <c r="C185" s="135">
        <v>223001</v>
      </c>
      <c r="D185" s="135" t="s">
        <v>309</v>
      </c>
      <c r="E185" s="138">
        <v>168630</v>
      </c>
      <c r="F185" s="138">
        <v>79930</v>
      </c>
      <c r="G185" s="354">
        <f t="shared" si="9"/>
        <v>47.399632331139181</v>
      </c>
    </row>
    <row r="186" spans="2:7" x14ac:dyDescent="0.2">
      <c r="B186" s="162">
        <f t="shared" si="10"/>
        <v>181</v>
      </c>
      <c r="C186" s="135">
        <v>223001</v>
      </c>
      <c r="D186" s="135" t="s">
        <v>313</v>
      </c>
      <c r="E186" s="138">
        <v>160470</v>
      </c>
      <c r="F186" s="190">
        <v>44608</v>
      </c>
      <c r="G186" s="354">
        <f>F186/E186*100</f>
        <v>27.798342369290207</v>
      </c>
    </row>
    <row r="187" spans="2:7" x14ac:dyDescent="0.2">
      <c r="B187" s="162">
        <f t="shared" si="10"/>
        <v>182</v>
      </c>
      <c r="C187" s="135">
        <v>223001</v>
      </c>
      <c r="D187" s="135" t="s">
        <v>311</v>
      </c>
      <c r="E187" s="138">
        <v>39347</v>
      </c>
      <c r="F187" s="138">
        <v>15861</v>
      </c>
      <c r="G187" s="354">
        <f t="shared" si="9"/>
        <v>40.310570056166931</v>
      </c>
    </row>
    <row r="188" spans="2:7" x14ac:dyDescent="0.2">
      <c r="B188" s="162">
        <f t="shared" si="10"/>
        <v>183</v>
      </c>
      <c r="C188" s="135">
        <v>223001</v>
      </c>
      <c r="D188" s="135" t="s">
        <v>418</v>
      </c>
      <c r="E188" s="138">
        <v>18268</v>
      </c>
      <c r="F188" s="138">
        <v>5339</v>
      </c>
      <c r="G188" s="354">
        <f>F188/E188*100</f>
        <v>29.225968907379023</v>
      </c>
    </row>
    <row r="189" spans="2:7" s="38" customFormat="1" ht="21.75" customHeight="1" x14ac:dyDescent="0.2">
      <c r="B189" s="162">
        <f t="shared" si="10"/>
        <v>184</v>
      </c>
      <c r="C189" s="184">
        <v>223001</v>
      </c>
      <c r="D189" s="58" t="s">
        <v>312</v>
      </c>
      <c r="E189" s="185">
        <v>550</v>
      </c>
      <c r="F189" s="185">
        <v>0</v>
      </c>
      <c r="G189" s="354">
        <f t="shared" si="9"/>
        <v>0</v>
      </c>
    </row>
    <row r="190" spans="2:7" x14ac:dyDescent="0.2">
      <c r="B190" s="162">
        <f t="shared" si="10"/>
        <v>185</v>
      </c>
      <c r="C190" s="181"/>
      <c r="D190" s="181" t="s">
        <v>318</v>
      </c>
      <c r="E190" s="182">
        <f>SUM(E191:E192)</f>
        <v>266870</v>
      </c>
      <c r="F190" s="182">
        <f>SUM(F191:F192)</f>
        <v>93241</v>
      </c>
      <c r="G190" s="354">
        <f t="shared" si="9"/>
        <v>34.938734215160935</v>
      </c>
    </row>
    <row r="191" spans="2:7" x14ac:dyDescent="0.2">
      <c r="B191" s="162">
        <f t="shared" si="10"/>
        <v>186</v>
      </c>
      <c r="C191" s="135">
        <v>223001</v>
      </c>
      <c r="D191" s="135" t="s">
        <v>315</v>
      </c>
      <c r="E191" s="138">
        <v>264870</v>
      </c>
      <c r="F191" s="138">
        <v>93241</v>
      </c>
      <c r="G191" s="354">
        <f t="shared" si="9"/>
        <v>35.202552195416622</v>
      </c>
    </row>
    <row r="192" spans="2:7" x14ac:dyDescent="0.2">
      <c r="B192" s="162">
        <f t="shared" si="10"/>
        <v>187</v>
      </c>
      <c r="C192" s="135">
        <v>223001</v>
      </c>
      <c r="D192" s="135" t="s">
        <v>316</v>
      </c>
      <c r="E192" s="138">
        <v>2000</v>
      </c>
      <c r="F192" s="138">
        <v>0</v>
      </c>
      <c r="G192" s="354">
        <f t="shared" si="9"/>
        <v>0</v>
      </c>
    </row>
    <row r="193" spans="2:7" x14ac:dyDescent="0.2">
      <c r="B193" s="162">
        <f t="shared" si="10"/>
        <v>188</v>
      </c>
      <c r="C193" s="181"/>
      <c r="D193" s="181" t="s">
        <v>317</v>
      </c>
      <c r="E193" s="182">
        <f>E194</f>
        <v>19840</v>
      </c>
      <c r="F193" s="182">
        <f>F194</f>
        <v>6141</v>
      </c>
      <c r="G193" s="354">
        <f t="shared" si="9"/>
        <v>30.952620967741932</v>
      </c>
    </row>
    <row r="194" spans="2:7" ht="13.5" thickBot="1" x14ac:dyDescent="0.25">
      <c r="B194" s="162">
        <f t="shared" si="10"/>
        <v>189</v>
      </c>
      <c r="C194" s="173">
        <v>223001</v>
      </c>
      <c r="D194" s="173" t="s">
        <v>235</v>
      </c>
      <c r="E194" s="174">
        <v>19840</v>
      </c>
      <c r="F194" s="174">
        <v>6141</v>
      </c>
      <c r="G194" s="354">
        <f t="shared" si="9"/>
        <v>30.952620967741932</v>
      </c>
    </row>
    <row r="195" spans="2:7" ht="15.75" thickBot="1" x14ac:dyDescent="0.3">
      <c r="B195" s="162">
        <f t="shared" si="10"/>
        <v>190</v>
      </c>
      <c r="C195" s="177">
        <v>6</v>
      </c>
      <c r="D195" s="177" t="s">
        <v>279</v>
      </c>
      <c r="E195" s="178">
        <f>E196+E198+E202</f>
        <v>92823</v>
      </c>
      <c r="F195" s="178">
        <f>F196+F198+F202</f>
        <v>56918</v>
      </c>
      <c r="G195" s="354">
        <f t="shared" si="9"/>
        <v>61.318854163300038</v>
      </c>
    </row>
    <row r="196" spans="2:7" x14ac:dyDescent="0.2">
      <c r="B196" s="162">
        <f t="shared" ref="B196:B267" si="11">B195+1</f>
        <v>191</v>
      </c>
      <c r="C196" s="179">
        <v>210</v>
      </c>
      <c r="D196" s="179" t="s">
        <v>232</v>
      </c>
      <c r="E196" s="180">
        <f>E197</f>
        <v>1350</v>
      </c>
      <c r="F196" s="180">
        <f>F197</f>
        <v>624</v>
      </c>
      <c r="G196" s="354">
        <f t="shared" ref="G196:G260" si="12">F196/E196*100</f>
        <v>46.222222222222221</v>
      </c>
    </row>
    <row r="197" spans="2:7" x14ac:dyDescent="0.2">
      <c r="B197" s="162">
        <f t="shared" si="11"/>
        <v>192</v>
      </c>
      <c r="C197" s="135">
        <v>212003</v>
      </c>
      <c r="D197" s="135" t="s">
        <v>233</v>
      </c>
      <c r="E197" s="138">
        <v>1350</v>
      </c>
      <c r="F197" s="138">
        <v>624</v>
      </c>
      <c r="G197" s="354">
        <f t="shared" si="12"/>
        <v>46.222222222222221</v>
      </c>
    </row>
    <row r="198" spans="2:7" x14ac:dyDescent="0.2">
      <c r="B198" s="162">
        <f t="shared" si="11"/>
        <v>193</v>
      </c>
      <c r="C198" s="181">
        <v>220</v>
      </c>
      <c r="D198" s="181" t="s">
        <v>207</v>
      </c>
      <c r="E198" s="182">
        <f>SUM(E199:E201)</f>
        <v>91073</v>
      </c>
      <c r="F198" s="182">
        <f>SUM(F199:F201)</f>
        <v>55903</v>
      </c>
      <c r="G198" s="354">
        <f t="shared" si="12"/>
        <v>61.382627123296693</v>
      </c>
    </row>
    <row r="199" spans="2:7" x14ac:dyDescent="0.2">
      <c r="B199" s="162">
        <f t="shared" si="11"/>
        <v>194</v>
      </c>
      <c r="C199" s="135">
        <v>223001</v>
      </c>
      <c r="D199" s="135" t="s">
        <v>235</v>
      </c>
      <c r="E199" s="138">
        <v>38560</v>
      </c>
      <c r="F199" s="138">
        <v>22423</v>
      </c>
      <c r="G199" s="354">
        <f t="shared" si="12"/>
        <v>58.150933609958514</v>
      </c>
    </row>
    <row r="200" spans="2:7" x14ac:dyDescent="0.2">
      <c r="B200" s="162">
        <f t="shared" si="11"/>
        <v>195</v>
      </c>
      <c r="C200" s="135">
        <v>223002</v>
      </c>
      <c r="D200" s="135" t="s">
        <v>69</v>
      </c>
      <c r="E200" s="138">
        <v>35700</v>
      </c>
      <c r="F200" s="138">
        <v>19703</v>
      </c>
      <c r="G200" s="354">
        <f t="shared" si="12"/>
        <v>55.19047619047619</v>
      </c>
    </row>
    <row r="201" spans="2:7" x14ac:dyDescent="0.2">
      <c r="B201" s="162">
        <f t="shared" si="11"/>
        <v>196</v>
      </c>
      <c r="C201" s="135">
        <v>223003</v>
      </c>
      <c r="D201" s="135" t="s">
        <v>70</v>
      </c>
      <c r="E201" s="138">
        <v>16813</v>
      </c>
      <c r="F201" s="138">
        <v>13777</v>
      </c>
      <c r="G201" s="354">
        <f t="shared" si="12"/>
        <v>81.942544459644324</v>
      </c>
    </row>
    <row r="202" spans="2:7" x14ac:dyDescent="0.2">
      <c r="B202" s="162">
        <f t="shared" si="11"/>
        <v>197</v>
      </c>
      <c r="C202" s="181">
        <v>290</v>
      </c>
      <c r="D202" s="181" t="s">
        <v>165</v>
      </c>
      <c r="E202" s="182">
        <f>E203</f>
        <v>400</v>
      </c>
      <c r="F202" s="182">
        <f>F203</f>
        <v>391</v>
      </c>
      <c r="G202" s="354">
        <f t="shared" si="12"/>
        <v>97.75</v>
      </c>
    </row>
    <row r="203" spans="2:7" ht="13.5" thickBot="1" x14ac:dyDescent="0.25">
      <c r="B203" s="162">
        <f t="shared" si="11"/>
        <v>198</v>
      </c>
      <c r="C203" s="135">
        <v>292012</v>
      </c>
      <c r="D203" s="135" t="s">
        <v>217</v>
      </c>
      <c r="E203" s="138">
        <v>400</v>
      </c>
      <c r="F203" s="138">
        <v>391</v>
      </c>
      <c r="G203" s="354">
        <f t="shared" si="12"/>
        <v>97.75</v>
      </c>
    </row>
    <row r="204" spans="2:7" ht="15.75" thickBot="1" x14ac:dyDescent="0.3">
      <c r="B204" s="162">
        <f t="shared" si="11"/>
        <v>199</v>
      </c>
      <c r="C204" s="177">
        <v>7</v>
      </c>
      <c r="D204" s="177" t="s">
        <v>281</v>
      </c>
      <c r="E204" s="178">
        <f>E205+E207</f>
        <v>175750</v>
      </c>
      <c r="F204" s="178">
        <f>F205+F207</f>
        <v>100696</v>
      </c>
      <c r="G204" s="354">
        <f t="shared" si="12"/>
        <v>57.295021337126592</v>
      </c>
    </row>
    <row r="205" spans="2:7" x14ac:dyDescent="0.2">
      <c r="B205" s="162">
        <f t="shared" si="11"/>
        <v>200</v>
      </c>
      <c r="C205" s="179">
        <v>210</v>
      </c>
      <c r="D205" s="179" t="s">
        <v>232</v>
      </c>
      <c r="E205" s="180">
        <f>E206</f>
        <v>750</v>
      </c>
      <c r="F205" s="180">
        <f>F206</f>
        <v>275</v>
      </c>
      <c r="G205" s="354">
        <f t="shared" si="12"/>
        <v>36.666666666666664</v>
      </c>
    </row>
    <row r="206" spans="2:7" x14ac:dyDescent="0.2">
      <c r="B206" s="162">
        <f t="shared" si="11"/>
        <v>201</v>
      </c>
      <c r="C206" s="135">
        <v>212003</v>
      </c>
      <c r="D206" s="135" t="s">
        <v>233</v>
      </c>
      <c r="E206" s="138">
        <v>750</v>
      </c>
      <c r="F206" s="138">
        <v>275</v>
      </c>
      <c r="G206" s="354">
        <f t="shared" si="12"/>
        <v>36.666666666666664</v>
      </c>
    </row>
    <row r="207" spans="2:7" x14ac:dyDescent="0.2">
      <c r="B207" s="162">
        <f t="shared" si="11"/>
        <v>202</v>
      </c>
      <c r="C207" s="181">
        <v>220</v>
      </c>
      <c r="D207" s="181" t="s">
        <v>207</v>
      </c>
      <c r="E207" s="182">
        <f>SUM(E208:E210)</f>
        <v>175000</v>
      </c>
      <c r="F207" s="182">
        <f>SUM(F208:F210)</f>
        <v>100421</v>
      </c>
      <c r="G207" s="354">
        <f t="shared" si="12"/>
        <v>57.383428571428574</v>
      </c>
    </row>
    <row r="208" spans="2:7" x14ac:dyDescent="0.2">
      <c r="B208" s="162">
        <f t="shared" si="11"/>
        <v>203</v>
      </c>
      <c r="C208" s="135">
        <v>223001</v>
      </c>
      <c r="D208" s="135" t="s">
        <v>235</v>
      </c>
      <c r="E208" s="138">
        <v>47000</v>
      </c>
      <c r="F208" s="138">
        <v>41094</v>
      </c>
      <c r="G208" s="354">
        <f t="shared" si="12"/>
        <v>87.434042553191489</v>
      </c>
    </row>
    <row r="209" spans="2:7" x14ac:dyDescent="0.2">
      <c r="B209" s="162">
        <f t="shared" si="11"/>
        <v>204</v>
      </c>
      <c r="C209" s="135">
        <v>223002</v>
      </c>
      <c r="D209" s="135" t="s">
        <v>69</v>
      </c>
      <c r="E209" s="138">
        <v>45000</v>
      </c>
      <c r="F209" s="138">
        <v>32484</v>
      </c>
      <c r="G209" s="354">
        <f t="shared" si="12"/>
        <v>72.186666666666667</v>
      </c>
    </row>
    <row r="210" spans="2:7" ht="13.5" thickBot="1" x14ac:dyDescent="0.25">
      <c r="B210" s="162">
        <f t="shared" si="11"/>
        <v>205</v>
      </c>
      <c r="C210" s="135">
        <v>223003</v>
      </c>
      <c r="D210" s="135" t="s">
        <v>70</v>
      </c>
      <c r="E210" s="183">
        <v>83000</v>
      </c>
      <c r="F210" s="183">
        <v>26843</v>
      </c>
      <c r="G210" s="354">
        <f t="shared" si="12"/>
        <v>32.340963855421691</v>
      </c>
    </row>
    <row r="211" spans="2:7" ht="15.75" thickBot="1" x14ac:dyDescent="0.3">
      <c r="B211" s="162">
        <f t="shared" si="11"/>
        <v>206</v>
      </c>
      <c r="C211" s="188">
        <v>8</v>
      </c>
      <c r="D211" s="188" t="s">
        <v>6</v>
      </c>
      <c r="E211" s="189">
        <f>E212+E214</f>
        <v>95386</v>
      </c>
      <c r="F211" s="189">
        <f>F212+F214+F216</f>
        <v>51716</v>
      </c>
      <c r="G211" s="354">
        <f t="shared" si="12"/>
        <v>54.217600067095795</v>
      </c>
    </row>
    <row r="212" spans="2:7" x14ac:dyDescent="0.2">
      <c r="B212" s="162">
        <f t="shared" si="11"/>
        <v>207</v>
      </c>
      <c r="C212" s="179">
        <v>210</v>
      </c>
      <c r="D212" s="179" t="s">
        <v>232</v>
      </c>
      <c r="E212" s="180">
        <f>E213</f>
        <v>30286</v>
      </c>
      <c r="F212" s="180">
        <f>F213</f>
        <v>10055</v>
      </c>
      <c r="G212" s="354">
        <f t="shared" si="12"/>
        <v>33.200158489070859</v>
      </c>
    </row>
    <row r="213" spans="2:7" x14ac:dyDescent="0.2">
      <c r="B213" s="162">
        <f t="shared" si="11"/>
        <v>208</v>
      </c>
      <c r="C213" s="135">
        <v>212003</v>
      </c>
      <c r="D213" s="135" t="s">
        <v>233</v>
      </c>
      <c r="E213" s="138">
        <v>30286</v>
      </c>
      <c r="F213" s="138">
        <v>10055</v>
      </c>
      <c r="G213" s="354">
        <f t="shared" si="12"/>
        <v>33.200158489070859</v>
      </c>
    </row>
    <row r="214" spans="2:7" x14ac:dyDescent="0.2">
      <c r="B214" s="162">
        <f t="shared" si="11"/>
        <v>209</v>
      </c>
      <c r="C214" s="181">
        <v>220</v>
      </c>
      <c r="D214" s="181" t="s">
        <v>207</v>
      </c>
      <c r="E214" s="182">
        <f>E215</f>
        <v>65100</v>
      </c>
      <c r="F214" s="182">
        <f>F215</f>
        <v>37457</v>
      </c>
      <c r="G214" s="354">
        <f t="shared" si="12"/>
        <v>57.537634408602145</v>
      </c>
    </row>
    <row r="215" spans="2:7" x14ac:dyDescent="0.2">
      <c r="B215" s="162">
        <f t="shared" si="11"/>
        <v>210</v>
      </c>
      <c r="C215" s="135">
        <v>223002</v>
      </c>
      <c r="D215" s="135" t="s">
        <v>69</v>
      </c>
      <c r="E215" s="138">
        <v>65100</v>
      </c>
      <c r="F215" s="138">
        <v>37457</v>
      </c>
      <c r="G215" s="354">
        <f t="shared" si="12"/>
        <v>57.537634408602145</v>
      </c>
    </row>
    <row r="216" spans="2:7" x14ac:dyDescent="0.2">
      <c r="B216" s="162">
        <f t="shared" si="11"/>
        <v>211</v>
      </c>
      <c r="C216" s="181">
        <v>290</v>
      </c>
      <c r="D216" s="181" t="s">
        <v>165</v>
      </c>
      <c r="E216" s="182">
        <f>E217</f>
        <v>0</v>
      </c>
      <c r="F216" s="182">
        <f>F217</f>
        <v>4204</v>
      </c>
      <c r="G216" s="354">
        <v>0</v>
      </c>
    </row>
    <row r="217" spans="2:7" ht="13.5" thickBot="1" x14ac:dyDescent="0.25">
      <c r="B217" s="162">
        <f t="shared" si="11"/>
        <v>212</v>
      </c>
      <c r="C217" s="343">
        <v>292012</v>
      </c>
      <c r="D217" s="343" t="s">
        <v>217</v>
      </c>
      <c r="E217" s="190">
        <v>0</v>
      </c>
      <c r="F217" s="190">
        <v>4204</v>
      </c>
      <c r="G217" s="354">
        <v>0</v>
      </c>
    </row>
    <row r="218" spans="2:7" ht="15.75" thickBot="1" x14ac:dyDescent="0.3">
      <c r="B218" s="162">
        <f t="shared" si="11"/>
        <v>213</v>
      </c>
      <c r="C218" s="177">
        <v>9</v>
      </c>
      <c r="D218" s="177" t="s">
        <v>4</v>
      </c>
      <c r="E218" s="178">
        <f>E219+E221+E225</f>
        <v>172468</v>
      </c>
      <c r="F218" s="178">
        <f>F219+F221+F225</f>
        <v>94530</v>
      </c>
      <c r="G218" s="354">
        <f t="shared" si="12"/>
        <v>54.810167683280376</v>
      </c>
    </row>
    <row r="219" spans="2:7" x14ac:dyDescent="0.2">
      <c r="B219" s="162">
        <f t="shared" si="11"/>
        <v>214</v>
      </c>
      <c r="C219" s="179">
        <v>210</v>
      </c>
      <c r="D219" s="179" t="s">
        <v>232</v>
      </c>
      <c r="E219" s="180">
        <f>E220</f>
        <v>7000</v>
      </c>
      <c r="F219" s="180">
        <f>F220</f>
        <v>1594</v>
      </c>
      <c r="G219" s="354">
        <f t="shared" si="12"/>
        <v>22.771428571428569</v>
      </c>
    </row>
    <row r="220" spans="2:7" x14ac:dyDescent="0.2">
      <c r="B220" s="162">
        <f t="shared" si="11"/>
        <v>215</v>
      </c>
      <c r="C220" s="135">
        <v>212003</v>
      </c>
      <c r="D220" s="135" t="s">
        <v>233</v>
      </c>
      <c r="E220" s="138">
        <v>7000</v>
      </c>
      <c r="F220" s="138">
        <v>1594</v>
      </c>
      <c r="G220" s="354">
        <f t="shared" si="12"/>
        <v>22.771428571428569</v>
      </c>
    </row>
    <row r="221" spans="2:7" x14ac:dyDescent="0.2">
      <c r="B221" s="162">
        <f t="shared" si="11"/>
        <v>216</v>
      </c>
      <c r="C221" s="181">
        <v>220</v>
      </c>
      <c r="D221" s="181" t="s">
        <v>207</v>
      </c>
      <c r="E221" s="182">
        <f>SUM(E222:E224)</f>
        <v>146945</v>
      </c>
      <c r="F221" s="182">
        <f>SUM(F222:F224)</f>
        <v>74413</v>
      </c>
      <c r="G221" s="354">
        <f t="shared" si="12"/>
        <v>50.640035387389837</v>
      </c>
    </row>
    <row r="222" spans="2:7" x14ac:dyDescent="0.2">
      <c r="B222" s="162">
        <f t="shared" si="11"/>
        <v>217</v>
      </c>
      <c r="C222" s="135">
        <v>223001</v>
      </c>
      <c r="D222" s="135" t="s">
        <v>235</v>
      </c>
      <c r="E222" s="138">
        <v>59750</v>
      </c>
      <c r="F222" s="138">
        <v>30849</v>
      </c>
      <c r="G222" s="354">
        <f t="shared" si="12"/>
        <v>51.630125523012552</v>
      </c>
    </row>
    <row r="223" spans="2:7" x14ac:dyDescent="0.2">
      <c r="B223" s="162">
        <f t="shared" si="11"/>
        <v>218</v>
      </c>
      <c r="C223" s="135">
        <v>223002</v>
      </c>
      <c r="D223" s="135" t="s">
        <v>69</v>
      </c>
      <c r="E223" s="138">
        <v>50000</v>
      </c>
      <c r="F223" s="138">
        <v>27970</v>
      </c>
      <c r="G223" s="354">
        <f t="shared" si="12"/>
        <v>55.94</v>
      </c>
    </row>
    <row r="224" spans="2:7" x14ac:dyDescent="0.2">
      <c r="B224" s="162">
        <f t="shared" si="11"/>
        <v>219</v>
      </c>
      <c r="C224" s="135">
        <v>223003</v>
      </c>
      <c r="D224" s="135" t="s">
        <v>70</v>
      </c>
      <c r="E224" s="138">
        <v>37195</v>
      </c>
      <c r="F224" s="138">
        <v>15594</v>
      </c>
      <c r="G224" s="354">
        <f t="shared" si="12"/>
        <v>41.924989917999731</v>
      </c>
    </row>
    <row r="225" spans="2:7" x14ac:dyDescent="0.2">
      <c r="B225" s="162">
        <f t="shared" si="11"/>
        <v>220</v>
      </c>
      <c r="C225" s="181">
        <v>290</v>
      </c>
      <c r="D225" s="181" t="s">
        <v>165</v>
      </c>
      <c r="E225" s="182">
        <f>E226+E227</f>
        <v>18523</v>
      </c>
      <c r="F225" s="182">
        <f>F226+F227</f>
        <v>18523</v>
      </c>
      <c r="G225" s="354">
        <f t="shared" si="12"/>
        <v>100</v>
      </c>
    </row>
    <row r="226" spans="2:7" x14ac:dyDescent="0.2">
      <c r="B226" s="162">
        <f t="shared" si="11"/>
        <v>221</v>
      </c>
      <c r="C226" s="135">
        <v>292012</v>
      </c>
      <c r="D226" s="135" t="s">
        <v>217</v>
      </c>
      <c r="E226" s="138">
        <v>2792</v>
      </c>
      <c r="F226" s="138">
        <v>2792</v>
      </c>
      <c r="G226" s="354">
        <f t="shared" si="12"/>
        <v>100</v>
      </c>
    </row>
    <row r="227" spans="2:7" ht="13.5" thickBot="1" x14ac:dyDescent="0.25">
      <c r="B227" s="162">
        <f t="shared" si="11"/>
        <v>222</v>
      </c>
      <c r="C227" s="343">
        <v>292017</v>
      </c>
      <c r="D227" s="343" t="s">
        <v>218</v>
      </c>
      <c r="E227" s="190">
        <v>15731</v>
      </c>
      <c r="F227" s="190">
        <v>15731</v>
      </c>
      <c r="G227" s="354">
        <f t="shared" si="12"/>
        <v>100</v>
      </c>
    </row>
    <row r="228" spans="2:7" ht="15.75" thickBot="1" x14ac:dyDescent="0.3">
      <c r="B228" s="162">
        <f t="shared" si="11"/>
        <v>223</v>
      </c>
      <c r="C228" s="177">
        <v>10</v>
      </c>
      <c r="D228" s="177" t="s">
        <v>0</v>
      </c>
      <c r="E228" s="178">
        <f>E229+E231+E235</f>
        <v>224668</v>
      </c>
      <c r="F228" s="178">
        <f>F229+F231+F235</f>
        <v>122578</v>
      </c>
      <c r="G228" s="354">
        <f t="shared" si="12"/>
        <v>54.559616856873248</v>
      </c>
    </row>
    <row r="229" spans="2:7" x14ac:dyDescent="0.2">
      <c r="B229" s="162">
        <f t="shared" si="11"/>
        <v>224</v>
      </c>
      <c r="C229" s="179">
        <v>210</v>
      </c>
      <c r="D229" s="179" t="s">
        <v>232</v>
      </c>
      <c r="E229" s="180">
        <f>E230</f>
        <v>13000</v>
      </c>
      <c r="F229" s="180">
        <f>F230</f>
        <v>13930</v>
      </c>
      <c r="G229" s="354">
        <f t="shared" si="12"/>
        <v>107.15384615384616</v>
      </c>
    </row>
    <row r="230" spans="2:7" x14ac:dyDescent="0.2">
      <c r="B230" s="162">
        <f t="shared" si="11"/>
        <v>225</v>
      </c>
      <c r="C230" s="135">
        <v>212003</v>
      </c>
      <c r="D230" s="135" t="s">
        <v>233</v>
      </c>
      <c r="E230" s="138">
        <v>13000</v>
      </c>
      <c r="F230" s="138">
        <v>13930</v>
      </c>
      <c r="G230" s="354">
        <f t="shared" si="12"/>
        <v>107.15384615384616</v>
      </c>
    </row>
    <row r="231" spans="2:7" x14ac:dyDescent="0.2">
      <c r="B231" s="162">
        <f t="shared" si="11"/>
        <v>226</v>
      </c>
      <c r="C231" s="181">
        <v>220</v>
      </c>
      <c r="D231" s="181" t="s">
        <v>207</v>
      </c>
      <c r="E231" s="182">
        <f>SUM(E232:E234)</f>
        <v>210037</v>
      </c>
      <c r="F231" s="182">
        <f>SUM(F232:F234)</f>
        <v>107017</v>
      </c>
      <c r="G231" s="354">
        <f t="shared" si="12"/>
        <v>50.951499021600952</v>
      </c>
    </row>
    <row r="232" spans="2:7" x14ac:dyDescent="0.2">
      <c r="B232" s="162">
        <f t="shared" si="11"/>
        <v>227</v>
      </c>
      <c r="C232" s="135">
        <v>223001</v>
      </c>
      <c r="D232" s="135" t="s">
        <v>235</v>
      </c>
      <c r="E232" s="138">
        <v>68697</v>
      </c>
      <c r="F232" s="138">
        <v>34115</v>
      </c>
      <c r="G232" s="354">
        <f t="shared" si="12"/>
        <v>49.660101605601412</v>
      </c>
    </row>
    <row r="233" spans="2:7" x14ac:dyDescent="0.2">
      <c r="B233" s="162">
        <f t="shared" si="11"/>
        <v>228</v>
      </c>
      <c r="C233" s="135">
        <v>223002</v>
      </c>
      <c r="D233" s="135" t="s">
        <v>69</v>
      </c>
      <c r="E233" s="138">
        <v>31300</v>
      </c>
      <c r="F233" s="138">
        <v>17402</v>
      </c>
      <c r="G233" s="354">
        <f t="shared" si="12"/>
        <v>55.597444089456872</v>
      </c>
    </row>
    <row r="234" spans="2:7" x14ac:dyDescent="0.2">
      <c r="B234" s="162">
        <f t="shared" si="11"/>
        <v>229</v>
      </c>
      <c r="C234" s="135">
        <v>223003</v>
      </c>
      <c r="D234" s="135" t="s">
        <v>70</v>
      </c>
      <c r="E234" s="138">
        <v>110040</v>
      </c>
      <c r="F234" s="138">
        <v>55500</v>
      </c>
      <c r="G234" s="354">
        <f t="shared" si="12"/>
        <v>50.436205016357697</v>
      </c>
    </row>
    <row r="235" spans="2:7" x14ac:dyDescent="0.2">
      <c r="B235" s="162">
        <f t="shared" si="11"/>
        <v>230</v>
      </c>
      <c r="C235" s="181">
        <v>290</v>
      </c>
      <c r="D235" s="181" t="s">
        <v>165</v>
      </c>
      <c r="E235" s="182">
        <f>E236</f>
        <v>1631</v>
      </c>
      <c r="F235" s="182">
        <f>F236</f>
        <v>1631</v>
      </c>
      <c r="G235" s="354">
        <f t="shared" si="12"/>
        <v>100</v>
      </c>
    </row>
    <row r="236" spans="2:7" ht="13.5" thickBot="1" x14ac:dyDescent="0.25">
      <c r="B236" s="162">
        <f t="shared" si="11"/>
        <v>231</v>
      </c>
      <c r="C236" s="343">
        <v>292017</v>
      </c>
      <c r="D236" s="343" t="s">
        <v>218</v>
      </c>
      <c r="E236" s="190">
        <v>1631</v>
      </c>
      <c r="F236" s="190">
        <v>1631</v>
      </c>
      <c r="G236" s="354">
        <f t="shared" si="12"/>
        <v>100</v>
      </c>
    </row>
    <row r="237" spans="2:7" ht="15.75" thickBot="1" x14ac:dyDescent="0.3">
      <c r="B237" s="162">
        <f t="shared" si="11"/>
        <v>232</v>
      </c>
      <c r="C237" s="177">
        <v>11</v>
      </c>
      <c r="D237" s="177" t="s">
        <v>7</v>
      </c>
      <c r="E237" s="178">
        <f>E238+E240</f>
        <v>299500</v>
      </c>
      <c r="F237" s="178">
        <f>F238+F240</f>
        <v>162011</v>
      </c>
      <c r="G237" s="354">
        <f t="shared" si="12"/>
        <v>54.093823038397325</v>
      </c>
    </row>
    <row r="238" spans="2:7" x14ac:dyDescent="0.2">
      <c r="B238" s="162">
        <f t="shared" si="11"/>
        <v>233</v>
      </c>
      <c r="C238" s="179">
        <v>210</v>
      </c>
      <c r="D238" s="179" t="s">
        <v>232</v>
      </c>
      <c r="E238" s="180">
        <f>E239</f>
        <v>58000</v>
      </c>
      <c r="F238" s="180">
        <f>F239</f>
        <v>37266</v>
      </c>
      <c r="G238" s="354">
        <f t="shared" si="12"/>
        <v>64.251724137931035</v>
      </c>
    </row>
    <row r="239" spans="2:7" x14ac:dyDescent="0.2">
      <c r="B239" s="162">
        <f t="shared" si="11"/>
        <v>234</v>
      </c>
      <c r="C239" s="135">
        <v>212003</v>
      </c>
      <c r="D239" s="135" t="s">
        <v>233</v>
      </c>
      <c r="E239" s="138">
        <v>58000</v>
      </c>
      <c r="F239" s="138">
        <v>37266</v>
      </c>
      <c r="G239" s="354">
        <f t="shared" si="12"/>
        <v>64.251724137931035</v>
      </c>
    </row>
    <row r="240" spans="2:7" x14ac:dyDescent="0.2">
      <c r="B240" s="162">
        <f t="shared" si="11"/>
        <v>235</v>
      </c>
      <c r="C240" s="181">
        <v>220</v>
      </c>
      <c r="D240" s="181" t="s">
        <v>207</v>
      </c>
      <c r="E240" s="182">
        <f>SUM(E241:E243)</f>
        <v>241500</v>
      </c>
      <c r="F240" s="182">
        <f>SUM(F241:F243)</f>
        <v>124745</v>
      </c>
      <c r="G240" s="354">
        <f t="shared" si="12"/>
        <v>51.654244306418221</v>
      </c>
    </row>
    <row r="241" spans="2:7" x14ac:dyDescent="0.2">
      <c r="B241" s="162">
        <f t="shared" si="11"/>
        <v>236</v>
      </c>
      <c r="C241" s="135">
        <v>223001</v>
      </c>
      <c r="D241" s="135" t="s">
        <v>235</v>
      </c>
      <c r="E241" s="138">
        <v>104500</v>
      </c>
      <c r="F241" s="138">
        <v>56508</v>
      </c>
      <c r="G241" s="354">
        <f t="shared" si="12"/>
        <v>54.074641148325362</v>
      </c>
    </row>
    <row r="242" spans="2:7" x14ac:dyDescent="0.2">
      <c r="B242" s="162">
        <f t="shared" si="11"/>
        <v>237</v>
      </c>
      <c r="C242" s="135">
        <v>223002</v>
      </c>
      <c r="D242" s="135" t="s">
        <v>69</v>
      </c>
      <c r="E242" s="138">
        <v>57000</v>
      </c>
      <c r="F242" s="138">
        <v>29716</v>
      </c>
      <c r="G242" s="354">
        <f t="shared" si="12"/>
        <v>52.133333333333333</v>
      </c>
    </row>
    <row r="243" spans="2:7" ht="13.5" thickBot="1" x14ac:dyDescent="0.25">
      <c r="B243" s="162">
        <f t="shared" si="11"/>
        <v>238</v>
      </c>
      <c r="C243" s="135">
        <v>223003</v>
      </c>
      <c r="D243" s="135" t="s">
        <v>70</v>
      </c>
      <c r="E243" s="138">
        <v>80000</v>
      </c>
      <c r="F243" s="138">
        <v>38521</v>
      </c>
      <c r="G243" s="354">
        <f t="shared" si="12"/>
        <v>48.151250000000005</v>
      </c>
    </row>
    <row r="244" spans="2:7" ht="15.75" thickBot="1" x14ac:dyDescent="0.3">
      <c r="B244" s="162">
        <f t="shared" si="11"/>
        <v>239</v>
      </c>
      <c r="C244" s="177">
        <v>12</v>
      </c>
      <c r="D244" s="177" t="s">
        <v>5</v>
      </c>
      <c r="E244" s="178">
        <f>E245+E247</f>
        <v>170500</v>
      </c>
      <c r="F244" s="178">
        <f>F245+F247</f>
        <v>89187</v>
      </c>
      <c r="G244" s="354">
        <f t="shared" si="12"/>
        <v>52.309090909090905</v>
      </c>
    </row>
    <row r="245" spans="2:7" x14ac:dyDescent="0.2">
      <c r="B245" s="162">
        <f t="shared" si="11"/>
        <v>240</v>
      </c>
      <c r="C245" s="179">
        <v>210</v>
      </c>
      <c r="D245" s="179" t="s">
        <v>232</v>
      </c>
      <c r="E245" s="180">
        <f>E246</f>
        <v>17000</v>
      </c>
      <c r="F245" s="180">
        <f>F246</f>
        <v>10755</v>
      </c>
      <c r="G245" s="354">
        <f t="shared" si="12"/>
        <v>63.264705882352942</v>
      </c>
    </row>
    <row r="246" spans="2:7" x14ac:dyDescent="0.2">
      <c r="B246" s="162">
        <f t="shared" si="11"/>
        <v>241</v>
      </c>
      <c r="C246" s="135">
        <v>212003</v>
      </c>
      <c r="D246" s="135" t="s">
        <v>233</v>
      </c>
      <c r="E246" s="138">
        <v>17000</v>
      </c>
      <c r="F246" s="138">
        <v>10755</v>
      </c>
      <c r="G246" s="354">
        <f t="shared" si="12"/>
        <v>63.264705882352942</v>
      </c>
    </row>
    <row r="247" spans="2:7" x14ac:dyDescent="0.2">
      <c r="B247" s="162">
        <f t="shared" si="11"/>
        <v>242</v>
      </c>
      <c r="C247" s="181">
        <v>220</v>
      </c>
      <c r="D247" s="181" t="s">
        <v>207</v>
      </c>
      <c r="E247" s="182">
        <f>SUM(E248:E250)</f>
        <v>153500</v>
      </c>
      <c r="F247" s="182">
        <f>SUM(F248:F250)</f>
        <v>78432</v>
      </c>
      <c r="G247" s="354">
        <f t="shared" si="12"/>
        <v>51.095765472312706</v>
      </c>
    </row>
    <row r="248" spans="2:7" x14ac:dyDescent="0.2">
      <c r="B248" s="162">
        <f t="shared" si="11"/>
        <v>243</v>
      </c>
      <c r="C248" s="135">
        <v>223001</v>
      </c>
      <c r="D248" s="135" t="s">
        <v>235</v>
      </c>
      <c r="E248" s="138">
        <v>67000</v>
      </c>
      <c r="F248" s="138">
        <v>46318</v>
      </c>
      <c r="G248" s="354">
        <f t="shared" si="12"/>
        <v>69.131343283582098</v>
      </c>
    </row>
    <row r="249" spans="2:7" x14ac:dyDescent="0.2">
      <c r="B249" s="162">
        <f t="shared" si="11"/>
        <v>244</v>
      </c>
      <c r="C249" s="135">
        <v>223002</v>
      </c>
      <c r="D249" s="135" t="s">
        <v>69</v>
      </c>
      <c r="E249" s="138">
        <v>53000</v>
      </c>
      <c r="F249" s="138">
        <v>24217</v>
      </c>
      <c r="G249" s="354">
        <f t="shared" si="12"/>
        <v>45.692452830188678</v>
      </c>
    </row>
    <row r="250" spans="2:7" ht="13.5" thickBot="1" x14ac:dyDescent="0.25">
      <c r="B250" s="162">
        <f t="shared" si="11"/>
        <v>245</v>
      </c>
      <c r="C250" s="173">
        <v>223003</v>
      </c>
      <c r="D250" s="173" t="s">
        <v>70</v>
      </c>
      <c r="E250" s="174">
        <v>33500</v>
      </c>
      <c r="F250" s="174">
        <v>7897</v>
      </c>
      <c r="G250" s="354">
        <f t="shared" si="12"/>
        <v>23.573134328358208</v>
      </c>
    </row>
    <row r="251" spans="2:7" ht="15.75" thickBot="1" x14ac:dyDescent="0.3">
      <c r="B251" s="162">
        <f t="shared" si="11"/>
        <v>246</v>
      </c>
      <c r="C251" s="177">
        <v>13</v>
      </c>
      <c r="D251" s="177" t="s">
        <v>12</v>
      </c>
      <c r="E251" s="178">
        <f>E252+E254</f>
        <v>99000</v>
      </c>
      <c r="F251" s="178">
        <f>F252+F254</f>
        <v>72531</v>
      </c>
      <c r="G251" s="354">
        <f t="shared" si="12"/>
        <v>73.263636363636365</v>
      </c>
    </row>
    <row r="252" spans="2:7" x14ac:dyDescent="0.2">
      <c r="B252" s="162">
        <f t="shared" si="11"/>
        <v>247</v>
      </c>
      <c r="C252" s="179">
        <v>210</v>
      </c>
      <c r="D252" s="179" t="s">
        <v>232</v>
      </c>
      <c r="E252" s="180">
        <f>E253</f>
        <v>6000</v>
      </c>
      <c r="F252" s="180">
        <f>F253</f>
        <v>6817</v>
      </c>
      <c r="G252" s="354">
        <f t="shared" si="12"/>
        <v>113.61666666666667</v>
      </c>
    </row>
    <row r="253" spans="2:7" x14ac:dyDescent="0.2">
      <c r="B253" s="162">
        <f t="shared" si="11"/>
        <v>248</v>
      </c>
      <c r="C253" s="135">
        <v>212003</v>
      </c>
      <c r="D253" s="135" t="s">
        <v>233</v>
      </c>
      <c r="E253" s="138">
        <v>6000</v>
      </c>
      <c r="F253" s="138">
        <v>6817</v>
      </c>
      <c r="G253" s="354">
        <f t="shared" si="12"/>
        <v>113.61666666666667</v>
      </c>
    </row>
    <row r="254" spans="2:7" x14ac:dyDescent="0.2">
      <c r="B254" s="162">
        <f t="shared" si="11"/>
        <v>249</v>
      </c>
      <c r="C254" s="181">
        <v>220</v>
      </c>
      <c r="D254" s="181" t="s">
        <v>207</v>
      </c>
      <c r="E254" s="182">
        <f>SUM(E255:E257)</f>
        <v>93000</v>
      </c>
      <c r="F254" s="182">
        <f>SUM(F255:F257)</f>
        <v>65714</v>
      </c>
      <c r="G254" s="354">
        <f t="shared" si="12"/>
        <v>70.660215053763437</v>
      </c>
    </row>
    <row r="255" spans="2:7" x14ac:dyDescent="0.2">
      <c r="B255" s="162">
        <f t="shared" si="11"/>
        <v>250</v>
      </c>
      <c r="C255" s="135">
        <v>223001</v>
      </c>
      <c r="D255" s="135" t="s">
        <v>235</v>
      </c>
      <c r="E255" s="138">
        <v>35000</v>
      </c>
      <c r="F255" s="138">
        <v>18906</v>
      </c>
      <c r="G255" s="354">
        <f t="shared" si="12"/>
        <v>54.017142857142851</v>
      </c>
    </row>
    <row r="256" spans="2:7" x14ac:dyDescent="0.2">
      <c r="B256" s="162">
        <f t="shared" si="11"/>
        <v>251</v>
      </c>
      <c r="C256" s="135">
        <v>223002</v>
      </c>
      <c r="D256" s="135" t="s">
        <v>69</v>
      </c>
      <c r="E256" s="138">
        <v>16000</v>
      </c>
      <c r="F256" s="138">
        <v>12410</v>
      </c>
      <c r="G256" s="354">
        <f t="shared" si="12"/>
        <v>77.5625</v>
      </c>
    </row>
    <row r="257" spans="2:7" ht="13.5" thickBot="1" x14ac:dyDescent="0.25">
      <c r="B257" s="162">
        <f t="shared" si="11"/>
        <v>252</v>
      </c>
      <c r="C257" s="135">
        <v>223003</v>
      </c>
      <c r="D257" s="135" t="s">
        <v>70</v>
      </c>
      <c r="E257" s="138">
        <v>42000</v>
      </c>
      <c r="F257" s="138">
        <v>34398</v>
      </c>
      <c r="G257" s="354">
        <f t="shared" si="12"/>
        <v>81.899999999999991</v>
      </c>
    </row>
    <row r="258" spans="2:7" ht="15.75" thickBot="1" x14ac:dyDescent="0.3">
      <c r="B258" s="162">
        <f t="shared" si="11"/>
        <v>253</v>
      </c>
      <c r="C258" s="177">
        <v>14</v>
      </c>
      <c r="D258" s="177" t="s">
        <v>1</v>
      </c>
      <c r="E258" s="178">
        <f>E259+E261</f>
        <v>176800</v>
      </c>
      <c r="F258" s="178">
        <f>F259+F261</f>
        <v>111188</v>
      </c>
      <c r="G258" s="354">
        <f t="shared" si="12"/>
        <v>62.889140271493218</v>
      </c>
    </row>
    <row r="259" spans="2:7" x14ac:dyDescent="0.2">
      <c r="B259" s="162">
        <f t="shared" si="11"/>
        <v>254</v>
      </c>
      <c r="C259" s="179">
        <v>210</v>
      </c>
      <c r="D259" s="179" t="s">
        <v>232</v>
      </c>
      <c r="E259" s="180">
        <f>E260</f>
        <v>200</v>
      </c>
      <c r="F259" s="180">
        <f>F260</f>
        <v>69</v>
      </c>
      <c r="G259" s="354">
        <f t="shared" si="12"/>
        <v>34.5</v>
      </c>
    </row>
    <row r="260" spans="2:7" x14ac:dyDescent="0.2">
      <c r="B260" s="162">
        <f t="shared" si="11"/>
        <v>255</v>
      </c>
      <c r="C260" s="135">
        <v>212003</v>
      </c>
      <c r="D260" s="135" t="s">
        <v>233</v>
      </c>
      <c r="E260" s="138">
        <v>200</v>
      </c>
      <c r="F260" s="138">
        <v>69</v>
      </c>
      <c r="G260" s="354">
        <f t="shared" si="12"/>
        <v>34.5</v>
      </c>
    </row>
    <row r="261" spans="2:7" x14ac:dyDescent="0.2">
      <c r="B261" s="162">
        <f t="shared" si="11"/>
        <v>256</v>
      </c>
      <c r="C261" s="181">
        <v>220</v>
      </c>
      <c r="D261" s="181" t="s">
        <v>207</v>
      </c>
      <c r="E261" s="182">
        <f>E262</f>
        <v>176600</v>
      </c>
      <c r="F261" s="182">
        <f>F262</f>
        <v>111119</v>
      </c>
      <c r="G261" s="354">
        <f t="shared" ref="G261:G312" si="13">F261/E261*100</f>
        <v>62.921291053227634</v>
      </c>
    </row>
    <row r="262" spans="2:7" x14ac:dyDescent="0.2">
      <c r="B262" s="162">
        <f t="shared" si="11"/>
        <v>257</v>
      </c>
      <c r="C262" s="135">
        <v>223002</v>
      </c>
      <c r="D262" s="135" t="s">
        <v>69</v>
      </c>
      <c r="E262" s="138">
        <v>176600</v>
      </c>
      <c r="F262" s="138">
        <v>111119</v>
      </c>
      <c r="G262" s="354">
        <f t="shared" si="13"/>
        <v>62.921291053227634</v>
      </c>
    </row>
    <row r="263" spans="2:7" ht="16.5" thickBot="1" x14ac:dyDescent="0.3">
      <c r="B263" s="162">
        <f t="shared" si="11"/>
        <v>258</v>
      </c>
      <c r="C263" s="175">
        <v>300</v>
      </c>
      <c r="D263" s="175" t="s">
        <v>210</v>
      </c>
      <c r="E263" s="176">
        <f>E264+E295+E300+E306+E309</f>
        <v>24421158</v>
      </c>
      <c r="F263" s="176">
        <f>F264+F295+F300+F306+F309</f>
        <v>15221521</v>
      </c>
      <c r="G263" s="354">
        <f t="shared" si="13"/>
        <v>62.329235165670681</v>
      </c>
    </row>
    <row r="264" spans="2:7" ht="15.75" thickBot="1" x14ac:dyDescent="0.3">
      <c r="B264" s="162">
        <f t="shared" si="11"/>
        <v>259</v>
      </c>
      <c r="C264" s="177"/>
      <c r="D264" s="177" t="s">
        <v>38</v>
      </c>
      <c r="E264" s="178">
        <f>E265+E292</f>
        <v>23705058</v>
      </c>
      <c r="F264" s="178">
        <f>F265+F292</f>
        <v>14903783</v>
      </c>
      <c r="G264" s="354">
        <f t="shared" si="13"/>
        <v>62.871742393543187</v>
      </c>
    </row>
    <row r="265" spans="2:7" x14ac:dyDescent="0.2">
      <c r="B265" s="162">
        <f t="shared" si="11"/>
        <v>260</v>
      </c>
      <c r="C265" s="179">
        <v>310</v>
      </c>
      <c r="D265" s="179" t="s">
        <v>211</v>
      </c>
      <c r="E265" s="180">
        <f>E266+E270+E281+E283</f>
        <v>23670058</v>
      </c>
      <c r="F265" s="180">
        <f>F266+F270+F281+F283</f>
        <v>14903783</v>
      </c>
      <c r="G265" s="354">
        <f t="shared" si="13"/>
        <v>62.964708409248516</v>
      </c>
    </row>
    <row r="266" spans="2:7" x14ac:dyDescent="0.2">
      <c r="B266" s="162">
        <f t="shared" si="11"/>
        <v>261</v>
      </c>
      <c r="C266" s="191">
        <v>311</v>
      </c>
      <c r="D266" s="191" t="s">
        <v>209</v>
      </c>
      <c r="E266" s="192">
        <f>SUM(E267:E269)</f>
        <v>68427</v>
      </c>
      <c r="F266" s="192">
        <f>SUM(F267:F269)</f>
        <v>29275</v>
      </c>
      <c r="G266" s="354">
        <f t="shared" si="13"/>
        <v>42.782819647215284</v>
      </c>
    </row>
    <row r="267" spans="2:7" x14ac:dyDescent="0.2">
      <c r="B267" s="162">
        <f t="shared" si="11"/>
        <v>262</v>
      </c>
      <c r="C267" s="135"/>
      <c r="D267" s="135" t="s">
        <v>540</v>
      </c>
      <c r="E267" s="138">
        <f>110400-46373</f>
        <v>64027</v>
      </c>
      <c r="F267" s="138">
        <v>0</v>
      </c>
      <c r="G267" s="354">
        <f t="shared" si="13"/>
        <v>0</v>
      </c>
    </row>
    <row r="268" spans="2:7" s="38" customFormat="1" ht="48" x14ac:dyDescent="0.2">
      <c r="B268" s="162">
        <f t="shared" ref="B268:B280" si="14">B267+1</f>
        <v>263</v>
      </c>
      <c r="C268" s="184"/>
      <c r="D268" s="58" t="s">
        <v>726</v>
      </c>
      <c r="E268" s="185">
        <v>0</v>
      </c>
      <c r="F268" s="185">
        <v>24875</v>
      </c>
      <c r="G268" s="374"/>
    </row>
    <row r="269" spans="2:7" ht="24" x14ac:dyDescent="0.2">
      <c r="B269" s="162">
        <f t="shared" si="14"/>
        <v>264</v>
      </c>
      <c r="C269" s="135"/>
      <c r="D269" s="342" t="s">
        <v>692</v>
      </c>
      <c r="E269" s="138">
        <v>4400</v>
      </c>
      <c r="F269" s="138">
        <v>4400</v>
      </c>
      <c r="G269" s="354">
        <f t="shared" si="13"/>
        <v>100</v>
      </c>
    </row>
    <row r="270" spans="2:7" s="38" customFormat="1" ht="24" x14ac:dyDescent="0.2">
      <c r="B270" s="162">
        <f t="shared" si="14"/>
        <v>265</v>
      </c>
      <c r="C270" s="193">
        <v>312001</v>
      </c>
      <c r="D270" s="194" t="s">
        <v>220</v>
      </c>
      <c r="E270" s="195">
        <f>SUM(E271:E280)</f>
        <v>4326083</v>
      </c>
      <c r="F270" s="195">
        <f>SUM(F271:F280)</f>
        <v>3871165</v>
      </c>
      <c r="G270" s="354">
        <f t="shared" si="13"/>
        <v>89.48429792031267</v>
      </c>
    </row>
    <row r="271" spans="2:7" x14ac:dyDescent="0.2">
      <c r="B271" s="162">
        <f t="shared" si="14"/>
        <v>266</v>
      </c>
      <c r="C271" s="196"/>
      <c r="D271" s="58" t="s">
        <v>319</v>
      </c>
      <c r="E271" s="197">
        <f>1714596+8560</f>
        <v>1723156</v>
      </c>
      <c r="F271" s="197">
        <v>841024</v>
      </c>
      <c r="G271" s="354">
        <f t="shared" si="13"/>
        <v>48.807188670091392</v>
      </c>
    </row>
    <row r="272" spans="2:7" x14ac:dyDescent="0.2">
      <c r="B272" s="162">
        <f t="shared" si="14"/>
        <v>267</v>
      </c>
      <c r="C272" s="196"/>
      <c r="D272" s="58" t="s">
        <v>632</v>
      </c>
      <c r="E272" s="197">
        <v>112116</v>
      </c>
      <c r="F272" s="197"/>
      <c r="G272" s="354">
        <f t="shared" si="13"/>
        <v>0</v>
      </c>
    </row>
    <row r="273" spans="2:7" x14ac:dyDescent="0.2">
      <c r="B273" s="162">
        <f t="shared" si="14"/>
        <v>268</v>
      </c>
      <c r="C273" s="196"/>
      <c r="D273" s="58" t="s">
        <v>322</v>
      </c>
      <c r="E273" s="185">
        <v>1619179</v>
      </c>
      <c r="F273" s="185">
        <f>50+1296506</f>
        <v>1296556</v>
      </c>
      <c r="G273" s="354">
        <f t="shared" si="13"/>
        <v>80.074902157204363</v>
      </c>
    </row>
    <row r="274" spans="2:7" x14ac:dyDescent="0.2">
      <c r="B274" s="162">
        <f t="shared" si="14"/>
        <v>269</v>
      </c>
      <c r="C274" s="292"/>
      <c r="D274" s="58" t="s">
        <v>628</v>
      </c>
      <c r="E274" s="185">
        <v>150000</v>
      </c>
      <c r="F274" s="185">
        <v>121675</v>
      </c>
      <c r="G274" s="354">
        <f t="shared" si="13"/>
        <v>81.116666666666674</v>
      </c>
    </row>
    <row r="275" spans="2:7" x14ac:dyDescent="0.2">
      <c r="B275" s="162">
        <f t="shared" si="14"/>
        <v>270</v>
      </c>
      <c r="C275" s="292"/>
      <c r="D275" s="58" t="s">
        <v>169</v>
      </c>
      <c r="E275" s="185">
        <v>16000</v>
      </c>
      <c r="F275" s="185">
        <v>7380</v>
      </c>
      <c r="G275" s="354">
        <f t="shared" si="13"/>
        <v>46.125</v>
      </c>
    </row>
    <row r="276" spans="2:7" x14ac:dyDescent="0.2">
      <c r="B276" s="162">
        <f t="shared" si="14"/>
        <v>271</v>
      </c>
      <c r="C276" s="292"/>
      <c r="D276" s="371" t="s">
        <v>693</v>
      </c>
      <c r="E276" s="185">
        <v>14492</v>
      </c>
      <c r="F276" s="185">
        <v>14492</v>
      </c>
      <c r="G276" s="354">
        <f t="shared" si="13"/>
        <v>100</v>
      </c>
    </row>
    <row r="277" spans="2:7" ht="24" x14ac:dyDescent="0.2">
      <c r="B277" s="162">
        <f t="shared" si="14"/>
        <v>272</v>
      </c>
      <c r="C277" s="292"/>
      <c r="D277" s="371" t="s">
        <v>512</v>
      </c>
      <c r="E277" s="185">
        <v>83500</v>
      </c>
      <c r="F277" s="185">
        <v>0</v>
      </c>
      <c r="G277" s="354">
        <f t="shared" si="13"/>
        <v>0</v>
      </c>
    </row>
    <row r="278" spans="2:7" ht="24" x14ac:dyDescent="0.2">
      <c r="B278" s="162">
        <f t="shared" si="14"/>
        <v>273</v>
      </c>
      <c r="C278" s="292"/>
      <c r="D278" s="371" t="s">
        <v>724</v>
      </c>
      <c r="E278" s="185">
        <v>0</v>
      </c>
      <c r="F278" s="185">
        <v>19391</v>
      </c>
      <c r="G278" s="354"/>
    </row>
    <row r="279" spans="2:7" x14ac:dyDescent="0.2">
      <c r="B279" s="162">
        <f t="shared" si="14"/>
        <v>274</v>
      </c>
      <c r="C279" s="292"/>
      <c r="D279" s="371" t="s">
        <v>725</v>
      </c>
      <c r="E279" s="185">
        <v>0</v>
      </c>
      <c r="F279" s="185">
        <v>1570647</v>
      </c>
      <c r="G279" s="354"/>
    </row>
    <row r="280" spans="2:7" ht="24" x14ac:dyDescent="0.2">
      <c r="B280" s="162">
        <f t="shared" si="14"/>
        <v>275</v>
      </c>
      <c r="C280" s="292"/>
      <c r="D280" s="371" t="s">
        <v>694</v>
      </c>
      <c r="E280" s="185">
        <v>607640</v>
      </c>
      <c r="F280" s="185">
        <v>0</v>
      </c>
      <c r="G280" s="354">
        <f t="shared" si="13"/>
        <v>0</v>
      </c>
    </row>
    <row r="281" spans="2:7" x14ac:dyDescent="0.2">
      <c r="B281" s="162">
        <f t="shared" ref="B281:B289" si="15">B280+1</f>
        <v>276</v>
      </c>
      <c r="C281" s="372">
        <v>312002</v>
      </c>
      <c r="D281" s="191" t="s">
        <v>274</v>
      </c>
      <c r="E281" s="192">
        <f>E282</f>
        <v>100000</v>
      </c>
      <c r="F281" s="192">
        <f>F282</f>
        <v>110229</v>
      </c>
      <c r="G281" s="354">
        <f t="shared" si="13"/>
        <v>110.229</v>
      </c>
    </row>
    <row r="282" spans="2:7" x14ac:dyDescent="0.2">
      <c r="B282" s="162">
        <f t="shared" si="15"/>
        <v>277</v>
      </c>
      <c r="C282" s="292"/>
      <c r="D282" s="135" t="s">
        <v>275</v>
      </c>
      <c r="E282" s="138">
        <v>100000</v>
      </c>
      <c r="F282" s="138">
        <v>110229</v>
      </c>
      <c r="G282" s="354">
        <f t="shared" si="13"/>
        <v>110.229</v>
      </c>
    </row>
    <row r="283" spans="2:7" ht="24" x14ac:dyDescent="0.2">
      <c r="B283" s="162">
        <f t="shared" si="15"/>
        <v>278</v>
      </c>
      <c r="C283" s="373">
        <v>312012</v>
      </c>
      <c r="D283" s="194" t="s">
        <v>221</v>
      </c>
      <c r="E283" s="195">
        <f>SUM(E284:E291)</f>
        <v>19175548</v>
      </c>
      <c r="F283" s="195">
        <f>SUM(F284:F291)</f>
        <v>10893114</v>
      </c>
      <c r="G283" s="354">
        <f t="shared" si="13"/>
        <v>56.807315232920594</v>
      </c>
    </row>
    <row r="284" spans="2:7" x14ac:dyDescent="0.2">
      <c r="B284" s="162">
        <f t="shared" si="15"/>
        <v>279</v>
      </c>
      <c r="C284" s="196"/>
      <c r="D284" s="135" t="s">
        <v>278</v>
      </c>
      <c r="E284" s="138">
        <f>13619295-528933</f>
        <v>13090362</v>
      </c>
      <c r="F284" s="138">
        <f>70500+45100+70293+271693+6552792+70600+18284+550+126928+588595+2000-538</f>
        <v>7816797</v>
      </c>
      <c r="G284" s="354">
        <f t="shared" si="13"/>
        <v>59.714139303405055</v>
      </c>
    </row>
    <row r="285" spans="2:7" x14ac:dyDescent="0.2">
      <c r="B285" s="162">
        <f t="shared" si="15"/>
        <v>280</v>
      </c>
      <c r="C285" s="196"/>
      <c r="D285" s="135" t="s">
        <v>511</v>
      </c>
      <c r="E285" s="138">
        <f>5344800+284643+31283</f>
        <v>5660726</v>
      </c>
      <c r="F285" s="138">
        <f>51600+2667990</f>
        <v>2719590</v>
      </c>
      <c r="G285" s="354">
        <f t="shared" si="13"/>
        <v>48.043130863426356</v>
      </c>
    </row>
    <row r="286" spans="2:7" x14ac:dyDescent="0.2">
      <c r="B286" s="162">
        <f t="shared" si="15"/>
        <v>281</v>
      </c>
      <c r="C286" s="196"/>
      <c r="D286" s="135" t="s">
        <v>277</v>
      </c>
      <c r="E286" s="138">
        <v>185000</v>
      </c>
      <c r="F286" s="138">
        <v>148923</v>
      </c>
      <c r="G286" s="354">
        <f t="shared" si="13"/>
        <v>80.498918918918918</v>
      </c>
    </row>
    <row r="287" spans="2:7" x14ac:dyDescent="0.2">
      <c r="B287" s="162">
        <f t="shared" si="15"/>
        <v>282</v>
      </c>
      <c r="C287" s="196"/>
      <c r="D287" s="135" t="s">
        <v>256</v>
      </c>
      <c r="E287" s="138">
        <v>85000</v>
      </c>
      <c r="F287" s="138">
        <v>90952</v>
      </c>
      <c r="G287" s="354">
        <f t="shared" si="13"/>
        <v>107.00235294117645</v>
      </c>
    </row>
    <row r="288" spans="2:7" x14ac:dyDescent="0.2">
      <c r="B288" s="162">
        <f t="shared" si="15"/>
        <v>283</v>
      </c>
      <c r="C288" s="196"/>
      <c r="D288" s="135" t="s">
        <v>120</v>
      </c>
      <c r="E288" s="138">
        <f>44000+26460</f>
        <v>70460</v>
      </c>
      <c r="F288" s="138">
        <v>32592</v>
      </c>
      <c r="G288" s="354">
        <f t="shared" si="13"/>
        <v>46.256031791087146</v>
      </c>
    </row>
    <row r="289" spans="2:7" x14ac:dyDescent="0.2">
      <c r="B289" s="162">
        <f t="shared" si="15"/>
        <v>284</v>
      </c>
      <c r="C289" s="196"/>
      <c r="D289" s="135" t="s">
        <v>276</v>
      </c>
      <c r="E289" s="138">
        <v>18500</v>
      </c>
      <c r="F289" s="138">
        <f>17841+624</f>
        <v>18465</v>
      </c>
      <c r="G289" s="354">
        <f t="shared" si="13"/>
        <v>99.810810810810807</v>
      </c>
    </row>
    <row r="290" spans="2:7" x14ac:dyDescent="0.2">
      <c r="B290" s="162">
        <f t="shared" ref="B290:B298" si="16">B289+1</f>
        <v>285</v>
      </c>
      <c r="C290" s="196"/>
      <c r="D290" s="135" t="s">
        <v>320</v>
      </c>
      <c r="E290" s="183">
        <v>59000</v>
      </c>
      <c r="F290" s="183">
        <v>58728</v>
      </c>
      <c r="G290" s="354">
        <f t="shared" si="13"/>
        <v>99.538983050847463</v>
      </c>
    </row>
    <row r="291" spans="2:7" x14ac:dyDescent="0.2">
      <c r="B291" s="162">
        <f t="shared" si="16"/>
        <v>286</v>
      </c>
      <c r="C291" s="196"/>
      <c r="D291" s="135" t="s">
        <v>59</v>
      </c>
      <c r="E291" s="138">
        <v>6500</v>
      </c>
      <c r="F291" s="138">
        <v>7067</v>
      </c>
      <c r="G291" s="354">
        <f t="shared" si="13"/>
        <v>108.72307692307692</v>
      </c>
    </row>
    <row r="292" spans="2:7" x14ac:dyDescent="0.2">
      <c r="B292" s="162">
        <f t="shared" si="16"/>
        <v>287</v>
      </c>
      <c r="C292" s="179">
        <v>330</v>
      </c>
      <c r="D292" s="179" t="s">
        <v>689</v>
      </c>
      <c r="E292" s="180">
        <f>E293</f>
        <v>35000</v>
      </c>
      <c r="F292" s="180">
        <f>F293</f>
        <v>0</v>
      </c>
      <c r="G292" s="354">
        <f t="shared" si="13"/>
        <v>0</v>
      </c>
    </row>
    <row r="293" spans="2:7" x14ac:dyDescent="0.2">
      <c r="B293" s="162">
        <f t="shared" si="16"/>
        <v>288</v>
      </c>
      <c r="C293" s="193">
        <v>331</v>
      </c>
      <c r="D293" s="194" t="s">
        <v>688</v>
      </c>
      <c r="E293" s="195">
        <f>E294</f>
        <v>35000</v>
      </c>
      <c r="F293" s="195">
        <f>F294</f>
        <v>0</v>
      </c>
      <c r="G293" s="354">
        <f t="shared" si="13"/>
        <v>0</v>
      </c>
    </row>
    <row r="294" spans="2:7" ht="24.75" thickBot="1" x14ac:dyDescent="0.25">
      <c r="B294" s="162">
        <f t="shared" si="16"/>
        <v>289</v>
      </c>
      <c r="C294" s="196"/>
      <c r="D294" s="342" t="s">
        <v>492</v>
      </c>
      <c r="E294" s="138">
        <v>35000</v>
      </c>
      <c r="F294" s="138">
        <v>0</v>
      </c>
      <c r="G294" s="354">
        <f t="shared" si="13"/>
        <v>0</v>
      </c>
    </row>
    <row r="295" spans="2:7" ht="15.75" thickBot="1" x14ac:dyDescent="0.3">
      <c r="B295" s="162">
        <f t="shared" si="16"/>
        <v>290</v>
      </c>
      <c r="C295" s="177">
        <v>1</v>
      </c>
      <c r="D295" s="177" t="s">
        <v>48</v>
      </c>
      <c r="E295" s="178">
        <f>E298+E296</f>
        <v>11100</v>
      </c>
      <c r="F295" s="178">
        <f>F298+F296</f>
        <v>10900</v>
      </c>
      <c r="G295" s="354">
        <f t="shared" si="13"/>
        <v>98.198198198198199</v>
      </c>
    </row>
    <row r="296" spans="2:7" x14ac:dyDescent="0.2">
      <c r="B296" s="162">
        <f t="shared" si="16"/>
        <v>291</v>
      </c>
      <c r="C296" s="193">
        <v>311</v>
      </c>
      <c r="D296" s="194" t="s">
        <v>209</v>
      </c>
      <c r="E296" s="195">
        <f>E297</f>
        <v>200</v>
      </c>
      <c r="F296" s="195">
        <f>F297</f>
        <v>0</v>
      </c>
      <c r="G296" s="354">
        <f t="shared" si="13"/>
        <v>0</v>
      </c>
    </row>
    <row r="297" spans="2:7" x14ac:dyDescent="0.2">
      <c r="B297" s="162">
        <f t="shared" si="16"/>
        <v>292</v>
      </c>
      <c r="C297" s="198"/>
      <c r="D297" s="199" t="s">
        <v>647</v>
      </c>
      <c r="E297" s="200">
        <v>200</v>
      </c>
      <c r="F297" s="200">
        <v>0</v>
      </c>
      <c r="G297" s="354">
        <f t="shared" si="13"/>
        <v>0</v>
      </c>
    </row>
    <row r="298" spans="2:7" s="38" customFormat="1" ht="24" x14ac:dyDescent="0.2">
      <c r="B298" s="162">
        <f t="shared" si="16"/>
        <v>293</v>
      </c>
      <c r="C298" s="193">
        <v>312001</v>
      </c>
      <c r="D298" s="194" t="s">
        <v>220</v>
      </c>
      <c r="E298" s="195">
        <f>E299</f>
        <v>10900</v>
      </c>
      <c r="F298" s="195">
        <f>F299</f>
        <v>10900</v>
      </c>
      <c r="G298" s="354">
        <f t="shared" si="13"/>
        <v>100</v>
      </c>
    </row>
    <row r="299" spans="2:7" s="38" customFormat="1" ht="13.5" thickBot="1" x14ac:dyDescent="0.25">
      <c r="B299" s="162">
        <f t="shared" ref="B299:B312" si="17">B298+1</f>
        <v>294</v>
      </c>
      <c r="C299" s="198"/>
      <c r="D299" s="199" t="s">
        <v>321</v>
      </c>
      <c r="E299" s="200">
        <f>10000+900</f>
        <v>10900</v>
      </c>
      <c r="F299" s="200">
        <v>10900</v>
      </c>
      <c r="G299" s="354">
        <f t="shared" si="13"/>
        <v>100</v>
      </c>
    </row>
    <row r="300" spans="2:7" ht="15.75" thickBot="1" x14ac:dyDescent="0.3">
      <c r="B300" s="162">
        <f t="shared" si="17"/>
        <v>295</v>
      </c>
      <c r="C300" s="177">
        <v>5</v>
      </c>
      <c r="D300" s="177" t="s">
        <v>103</v>
      </c>
      <c r="E300" s="178">
        <f>E301+E303</f>
        <v>635000</v>
      </c>
      <c r="F300" s="178">
        <f>F301+F303</f>
        <v>305838</v>
      </c>
      <c r="G300" s="354">
        <f t="shared" si="13"/>
        <v>48.163464566929129</v>
      </c>
    </row>
    <row r="301" spans="2:7" x14ac:dyDescent="0.2">
      <c r="B301" s="162">
        <f t="shared" si="17"/>
        <v>296</v>
      </c>
      <c r="C301" s="191">
        <v>311</v>
      </c>
      <c r="D301" s="191" t="s">
        <v>209</v>
      </c>
      <c r="E301" s="192">
        <f>E302</f>
        <v>3000</v>
      </c>
      <c r="F301" s="192">
        <f>F302</f>
        <v>0</v>
      </c>
      <c r="G301" s="354">
        <f t="shared" si="13"/>
        <v>0</v>
      </c>
    </row>
    <row r="302" spans="2:7" x14ac:dyDescent="0.2">
      <c r="B302" s="162">
        <f t="shared" si="17"/>
        <v>297</v>
      </c>
      <c r="C302" s="135"/>
      <c r="D302" s="135" t="s">
        <v>323</v>
      </c>
      <c r="E302" s="138">
        <v>3000</v>
      </c>
      <c r="F302" s="138">
        <v>0</v>
      </c>
      <c r="G302" s="354">
        <f t="shared" si="13"/>
        <v>0</v>
      </c>
    </row>
    <row r="303" spans="2:7" s="38" customFormat="1" ht="24" x14ac:dyDescent="0.2">
      <c r="B303" s="162">
        <f t="shared" si="17"/>
        <v>298</v>
      </c>
      <c r="C303" s="193">
        <v>312001</v>
      </c>
      <c r="D303" s="194" t="s">
        <v>220</v>
      </c>
      <c r="E303" s="195">
        <f>SUM(E304:E305)</f>
        <v>632000</v>
      </c>
      <c r="F303" s="195">
        <f>SUM(F304:F305)</f>
        <v>305838</v>
      </c>
      <c r="G303" s="354">
        <f t="shared" si="13"/>
        <v>48.392088607594935</v>
      </c>
    </row>
    <row r="304" spans="2:7" x14ac:dyDescent="0.2">
      <c r="B304" s="162">
        <f t="shared" si="17"/>
        <v>299</v>
      </c>
      <c r="C304" s="135"/>
      <c r="D304" s="135" t="s">
        <v>282</v>
      </c>
      <c r="E304" s="183">
        <f>500000+60000</f>
        <v>560000</v>
      </c>
      <c r="F304" s="183">
        <v>274457</v>
      </c>
      <c r="G304" s="354">
        <f t="shared" si="13"/>
        <v>49.010178571428568</v>
      </c>
    </row>
    <row r="305" spans="2:7" ht="13.5" thickBot="1" x14ac:dyDescent="0.25">
      <c r="B305" s="162">
        <f t="shared" si="17"/>
        <v>300</v>
      </c>
      <c r="C305" s="251"/>
      <c r="D305" s="252" t="s">
        <v>500</v>
      </c>
      <c r="E305" s="190">
        <v>72000</v>
      </c>
      <c r="F305" s="190">
        <v>31381</v>
      </c>
      <c r="G305" s="354">
        <f t="shared" si="13"/>
        <v>43.584722222222219</v>
      </c>
    </row>
    <row r="306" spans="2:7" s="38" customFormat="1" ht="15.75" thickBot="1" x14ac:dyDescent="0.25">
      <c r="B306" s="162">
        <f t="shared" si="17"/>
        <v>301</v>
      </c>
      <c r="C306" s="206">
        <v>9</v>
      </c>
      <c r="D306" s="206" t="s">
        <v>4</v>
      </c>
      <c r="E306" s="207">
        <f>E307</f>
        <v>69000</v>
      </c>
      <c r="F306" s="207">
        <f>F307</f>
        <v>0</v>
      </c>
      <c r="G306" s="354">
        <f t="shared" si="13"/>
        <v>0</v>
      </c>
    </row>
    <row r="307" spans="2:7" s="38" customFormat="1" ht="24" x14ac:dyDescent="0.2">
      <c r="B307" s="162">
        <f t="shared" si="17"/>
        <v>302</v>
      </c>
      <c r="C307" s="201">
        <v>312001</v>
      </c>
      <c r="D307" s="202" t="s">
        <v>220</v>
      </c>
      <c r="E307" s="203">
        <f>E308</f>
        <v>69000</v>
      </c>
      <c r="F307" s="203">
        <f>F308</f>
        <v>0</v>
      </c>
      <c r="G307" s="354">
        <f t="shared" si="13"/>
        <v>0</v>
      </c>
    </row>
    <row r="308" spans="2:7" s="38" customFormat="1" ht="13.5" thickBot="1" x14ac:dyDescent="0.25">
      <c r="B308" s="162">
        <f t="shared" si="17"/>
        <v>303</v>
      </c>
      <c r="C308" s="198"/>
      <c r="D308" s="204" t="s">
        <v>266</v>
      </c>
      <c r="E308" s="205">
        <v>69000</v>
      </c>
      <c r="F308" s="205">
        <v>0</v>
      </c>
      <c r="G308" s="354">
        <f t="shared" si="13"/>
        <v>0</v>
      </c>
    </row>
    <row r="309" spans="2:7" s="38" customFormat="1" ht="15.75" thickBot="1" x14ac:dyDescent="0.3">
      <c r="B309" s="162">
        <f t="shared" si="17"/>
        <v>304</v>
      </c>
      <c r="C309" s="177">
        <v>10</v>
      </c>
      <c r="D309" s="177" t="s">
        <v>0</v>
      </c>
      <c r="E309" s="178">
        <f>E310</f>
        <v>1000</v>
      </c>
      <c r="F309" s="178">
        <f>F310</f>
        <v>1000</v>
      </c>
      <c r="G309" s="354">
        <f t="shared" si="13"/>
        <v>100</v>
      </c>
    </row>
    <row r="310" spans="2:7" s="38" customFormat="1" ht="24" x14ac:dyDescent="0.2">
      <c r="B310" s="162">
        <f t="shared" si="17"/>
        <v>305</v>
      </c>
      <c r="C310" s="201">
        <v>312001</v>
      </c>
      <c r="D310" s="202" t="s">
        <v>220</v>
      </c>
      <c r="E310" s="203">
        <f>E311</f>
        <v>1000</v>
      </c>
      <c r="F310" s="203">
        <f>F311</f>
        <v>1000</v>
      </c>
      <c r="G310" s="354">
        <f t="shared" si="13"/>
        <v>100</v>
      </c>
    </row>
    <row r="311" spans="2:7" s="38" customFormat="1" x14ac:dyDescent="0.2">
      <c r="B311" s="162">
        <f t="shared" si="17"/>
        <v>306</v>
      </c>
      <c r="C311" s="198"/>
      <c r="D311" s="204" t="s">
        <v>654</v>
      </c>
      <c r="E311" s="205">
        <v>1000</v>
      </c>
      <c r="F311" s="205">
        <v>1000</v>
      </c>
      <c r="G311" s="354">
        <f t="shared" si="13"/>
        <v>100</v>
      </c>
    </row>
    <row r="312" spans="2:7" ht="15" x14ac:dyDescent="0.2">
      <c r="B312" s="162">
        <f t="shared" si="17"/>
        <v>307</v>
      </c>
      <c r="C312" s="208"/>
      <c r="D312" s="208" t="s">
        <v>110</v>
      </c>
      <c r="E312" s="209">
        <f>E263+E21+E6</f>
        <v>74658991</v>
      </c>
      <c r="F312" s="209">
        <f>F263+F21+F6</f>
        <v>38590778</v>
      </c>
      <c r="G312" s="354">
        <f t="shared" si="13"/>
        <v>51.689391301846022</v>
      </c>
    </row>
    <row r="313" spans="2:7" ht="12.75" customHeight="1" x14ac:dyDescent="0.2"/>
    <row r="314" spans="2:7" ht="24.75" customHeight="1" x14ac:dyDescent="0.2">
      <c r="B314" s="439" t="s">
        <v>160</v>
      </c>
      <c r="C314" s="440"/>
      <c r="D314" s="440"/>
      <c r="E314" s="436" t="s">
        <v>577</v>
      </c>
      <c r="F314" s="444" t="s">
        <v>712</v>
      </c>
      <c r="G314" s="451" t="s">
        <v>711</v>
      </c>
    </row>
    <row r="315" spans="2:7" ht="13.5" customHeight="1" x14ac:dyDescent="0.2">
      <c r="B315" s="441"/>
      <c r="C315" s="442"/>
      <c r="D315" s="442"/>
      <c r="E315" s="437"/>
      <c r="F315" s="445"/>
      <c r="G315" s="452"/>
    </row>
    <row r="316" spans="2:7" x14ac:dyDescent="0.2">
      <c r="B316" s="450" t="s">
        <v>107</v>
      </c>
      <c r="C316" s="448" t="s">
        <v>109</v>
      </c>
      <c r="D316" s="430" t="s">
        <v>108</v>
      </c>
      <c r="E316" s="437"/>
      <c r="F316" s="445"/>
      <c r="G316" s="452"/>
    </row>
    <row r="317" spans="2:7" ht="19.5" customHeight="1" x14ac:dyDescent="0.2">
      <c r="B317" s="450"/>
      <c r="C317" s="449"/>
      <c r="D317" s="431"/>
      <c r="E317" s="438"/>
      <c r="F317" s="446"/>
      <c r="G317" s="452"/>
    </row>
    <row r="318" spans="2:7" ht="16.5" thickBot="1" x14ac:dyDescent="0.3">
      <c r="B318" s="210">
        <v>1</v>
      </c>
      <c r="C318" s="211">
        <v>200</v>
      </c>
      <c r="D318" s="211" t="s">
        <v>159</v>
      </c>
      <c r="E318" s="212">
        <f>E319+E324</f>
        <v>1761315</v>
      </c>
      <c r="F318" s="212">
        <f>F319+F324</f>
        <v>61734</v>
      </c>
      <c r="G318" s="353"/>
    </row>
    <row r="319" spans="2:7" ht="15.75" thickBot="1" x14ac:dyDescent="0.3">
      <c r="B319" s="213">
        <f>B318+1</f>
        <v>2</v>
      </c>
      <c r="C319" s="214"/>
      <c r="D319" s="214" t="s">
        <v>38</v>
      </c>
      <c r="E319" s="215">
        <f>E320</f>
        <v>1757315</v>
      </c>
      <c r="F319" s="215">
        <f>F320</f>
        <v>61734</v>
      </c>
      <c r="G319" s="354">
        <f>F319/E319*100</f>
        <v>3.5129729160679788</v>
      </c>
    </row>
    <row r="320" spans="2:7" x14ac:dyDescent="0.2">
      <c r="B320" s="213">
        <f t="shared" ref="B320:B357" si="18">B319+1</f>
        <v>3</v>
      </c>
      <c r="C320" s="168">
        <v>230</v>
      </c>
      <c r="D320" s="168" t="s">
        <v>160</v>
      </c>
      <c r="E320" s="169">
        <f>SUM(E321:E323)</f>
        <v>1757315</v>
      </c>
      <c r="F320" s="169">
        <f>SUM(F321:F323)</f>
        <v>61734</v>
      </c>
      <c r="G320" s="354">
        <f t="shared" ref="G320:G359" si="19">F320/E320*100</f>
        <v>3.5129729160679788</v>
      </c>
    </row>
    <row r="321" spans="1:7" x14ac:dyDescent="0.2">
      <c r="B321" s="213">
        <f t="shared" si="18"/>
        <v>4</v>
      </c>
      <c r="C321" s="116">
        <v>231</v>
      </c>
      <c r="D321" s="116" t="s">
        <v>442</v>
      </c>
      <c r="E321" s="20">
        <v>400000</v>
      </c>
      <c r="F321" s="20">
        <f>17853+450</f>
        <v>18303</v>
      </c>
      <c r="G321" s="354">
        <f t="shared" si="19"/>
        <v>4.5757500000000002</v>
      </c>
    </row>
    <row r="322" spans="1:7" x14ac:dyDescent="0.2">
      <c r="B322" s="213">
        <f t="shared" si="18"/>
        <v>5</v>
      </c>
      <c r="C322" s="116">
        <v>231</v>
      </c>
      <c r="D322" s="116" t="s">
        <v>695</v>
      </c>
      <c r="E322" s="119">
        <v>207315</v>
      </c>
      <c r="F322" s="119">
        <v>0</v>
      </c>
      <c r="G322" s="354">
        <f t="shared" si="19"/>
        <v>0</v>
      </c>
    </row>
    <row r="323" spans="1:7" ht="13.5" thickBot="1" x14ac:dyDescent="0.25">
      <c r="B323" s="213">
        <f t="shared" si="18"/>
        <v>6</v>
      </c>
      <c r="C323" s="116">
        <v>233001</v>
      </c>
      <c r="D323" s="116" t="s">
        <v>161</v>
      </c>
      <c r="E323" s="119">
        <f>150000+1000000</f>
        <v>1150000</v>
      </c>
      <c r="F323" s="119">
        <v>43431</v>
      </c>
      <c r="G323" s="354">
        <f t="shared" si="19"/>
        <v>3.7766086956521741</v>
      </c>
    </row>
    <row r="324" spans="1:7" ht="15.75" thickBot="1" x14ac:dyDescent="0.3">
      <c r="B324" s="213">
        <f t="shared" si="18"/>
        <v>7</v>
      </c>
      <c r="C324" s="177">
        <v>2</v>
      </c>
      <c r="D324" s="177" t="s">
        <v>513</v>
      </c>
      <c r="E324" s="178">
        <f>E325</f>
        <v>4000</v>
      </c>
      <c r="F324" s="178">
        <f>F325</f>
        <v>0</v>
      </c>
      <c r="G324" s="354">
        <f t="shared" si="19"/>
        <v>0</v>
      </c>
    </row>
    <row r="325" spans="1:7" x14ac:dyDescent="0.2">
      <c r="B325" s="213">
        <f t="shared" si="18"/>
        <v>8</v>
      </c>
      <c r="C325" s="181">
        <v>230</v>
      </c>
      <c r="D325" s="179" t="s">
        <v>160</v>
      </c>
      <c r="E325" s="182">
        <f t="shared" ref="E325:F325" si="20">E326</f>
        <v>4000</v>
      </c>
      <c r="F325" s="182">
        <f t="shared" si="20"/>
        <v>0</v>
      </c>
      <c r="G325" s="354">
        <f t="shared" si="19"/>
        <v>0</v>
      </c>
    </row>
    <row r="326" spans="1:7" x14ac:dyDescent="0.2">
      <c r="B326" s="213">
        <f t="shared" si="18"/>
        <v>9</v>
      </c>
      <c r="C326" s="135">
        <v>231</v>
      </c>
      <c r="D326" s="135" t="s">
        <v>655</v>
      </c>
      <c r="E326" s="138">
        <v>4000</v>
      </c>
      <c r="F326" s="138">
        <v>0</v>
      </c>
      <c r="G326" s="354">
        <f t="shared" si="19"/>
        <v>0</v>
      </c>
    </row>
    <row r="327" spans="1:7" ht="16.5" thickBot="1" x14ac:dyDescent="0.3">
      <c r="A327" s="299" t="s">
        <v>438</v>
      </c>
      <c r="B327" s="213">
        <f t="shared" si="18"/>
        <v>10</v>
      </c>
      <c r="C327" s="216">
        <v>300</v>
      </c>
      <c r="D327" s="216" t="s">
        <v>210</v>
      </c>
      <c r="E327" s="217">
        <f>E328+E355</f>
        <v>53176962</v>
      </c>
      <c r="F327" s="217">
        <f>F328+F355</f>
        <v>1509420</v>
      </c>
      <c r="G327" s="354">
        <f t="shared" si="19"/>
        <v>2.83848483108155</v>
      </c>
    </row>
    <row r="328" spans="1:7" ht="15.75" thickBot="1" x14ac:dyDescent="0.3">
      <c r="B328" s="213">
        <f t="shared" si="18"/>
        <v>11</v>
      </c>
      <c r="C328" s="214"/>
      <c r="D328" s="214" t="s">
        <v>38</v>
      </c>
      <c r="E328" s="215">
        <f>E329</f>
        <v>52870940</v>
      </c>
      <c r="F328" s="215">
        <f>F329</f>
        <v>1509420</v>
      </c>
      <c r="G328" s="354">
        <f t="shared" si="19"/>
        <v>2.8549142496804483</v>
      </c>
    </row>
    <row r="329" spans="1:7" x14ac:dyDescent="0.2">
      <c r="B329" s="213">
        <f t="shared" si="18"/>
        <v>12</v>
      </c>
      <c r="C329" s="168">
        <v>320</v>
      </c>
      <c r="D329" s="168" t="s">
        <v>257</v>
      </c>
      <c r="E329" s="169">
        <f>E332+E330</f>
        <v>52870940</v>
      </c>
      <c r="F329" s="169">
        <f>F332+F330</f>
        <v>1509420</v>
      </c>
      <c r="G329" s="354">
        <f t="shared" si="19"/>
        <v>2.8549142496804483</v>
      </c>
    </row>
    <row r="330" spans="1:7" x14ac:dyDescent="0.2">
      <c r="B330" s="213">
        <f t="shared" si="18"/>
        <v>13</v>
      </c>
      <c r="C330" s="218">
        <v>321</v>
      </c>
      <c r="D330" s="218" t="s">
        <v>696</v>
      </c>
      <c r="E330" s="219">
        <f>E331</f>
        <v>20000</v>
      </c>
      <c r="F330" s="219">
        <f>F331</f>
        <v>20000</v>
      </c>
      <c r="G330" s="354">
        <f t="shared" si="19"/>
        <v>100</v>
      </c>
    </row>
    <row r="331" spans="1:7" x14ac:dyDescent="0.2">
      <c r="B331" s="213">
        <f t="shared" si="18"/>
        <v>14</v>
      </c>
      <c r="C331" s="22"/>
      <c r="D331" s="55" t="s">
        <v>697</v>
      </c>
      <c r="E331" s="56">
        <v>20000</v>
      </c>
      <c r="F331" s="56">
        <v>20000</v>
      </c>
      <c r="G331" s="354">
        <f t="shared" si="19"/>
        <v>100</v>
      </c>
    </row>
    <row r="332" spans="1:7" x14ac:dyDescent="0.2">
      <c r="B332" s="213">
        <f t="shared" si="18"/>
        <v>15</v>
      </c>
      <c r="C332" s="218">
        <v>322001</v>
      </c>
      <c r="D332" s="218" t="s">
        <v>258</v>
      </c>
      <c r="E332" s="219">
        <f>SUM(E333:E354)</f>
        <v>52850940</v>
      </c>
      <c r="F332" s="219">
        <f>SUM(F333:F354)</f>
        <v>1489420</v>
      </c>
      <c r="G332" s="354">
        <f t="shared" si="19"/>
        <v>2.818152335606519</v>
      </c>
    </row>
    <row r="333" spans="1:7" x14ac:dyDescent="0.2">
      <c r="B333" s="213">
        <f t="shared" si="18"/>
        <v>16</v>
      </c>
      <c r="C333" s="22"/>
      <c r="D333" s="55" t="s">
        <v>267</v>
      </c>
      <c r="E333" s="56">
        <f>10840870-3973987+162111</f>
        <v>7028994</v>
      </c>
      <c r="F333" s="56">
        <v>0</v>
      </c>
      <c r="G333" s="354">
        <f t="shared" si="19"/>
        <v>0</v>
      </c>
    </row>
    <row r="334" spans="1:7" ht="24" x14ac:dyDescent="0.2">
      <c r="B334" s="213">
        <f t="shared" si="18"/>
        <v>17</v>
      </c>
      <c r="C334" s="22"/>
      <c r="D334" s="55" t="s">
        <v>532</v>
      </c>
      <c r="E334" s="56">
        <v>61000</v>
      </c>
      <c r="F334" s="56">
        <v>0</v>
      </c>
      <c r="G334" s="354">
        <f t="shared" si="19"/>
        <v>0</v>
      </c>
    </row>
    <row r="335" spans="1:7" ht="24" x14ac:dyDescent="0.2">
      <c r="B335" s="213">
        <f t="shared" si="18"/>
        <v>18</v>
      </c>
      <c r="C335" s="22"/>
      <c r="D335" s="55" t="s">
        <v>698</v>
      </c>
      <c r="E335" s="56">
        <v>14000</v>
      </c>
      <c r="F335" s="56">
        <v>0</v>
      </c>
      <c r="G335" s="354">
        <f t="shared" si="19"/>
        <v>0</v>
      </c>
    </row>
    <row r="336" spans="1:7" ht="24" x14ac:dyDescent="0.2">
      <c r="B336" s="213">
        <f t="shared" si="18"/>
        <v>19</v>
      </c>
      <c r="C336" s="22"/>
      <c r="D336" s="55" t="s">
        <v>425</v>
      </c>
      <c r="E336" s="56">
        <f>707630-566104</f>
        <v>141526</v>
      </c>
      <c r="F336" s="56">
        <v>0</v>
      </c>
      <c r="G336" s="354">
        <f t="shared" si="19"/>
        <v>0</v>
      </c>
    </row>
    <row r="337" spans="2:7" x14ac:dyDescent="0.2">
      <c r="B337" s="213">
        <f t="shared" si="18"/>
        <v>20</v>
      </c>
      <c r="C337" s="22"/>
      <c r="D337" s="55" t="s">
        <v>444</v>
      </c>
      <c r="E337" s="56">
        <v>6223762</v>
      </c>
      <c r="F337" s="56">
        <v>0</v>
      </c>
      <c r="G337" s="354">
        <f t="shared" si="19"/>
        <v>0</v>
      </c>
    </row>
    <row r="338" spans="2:7" x14ac:dyDescent="0.2">
      <c r="B338" s="213">
        <f t="shared" si="18"/>
        <v>21</v>
      </c>
      <c r="C338" s="22"/>
      <c r="D338" s="55" t="s">
        <v>445</v>
      </c>
      <c r="E338" s="56">
        <v>386094</v>
      </c>
      <c r="F338" s="56">
        <v>0</v>
      </c>
      <c r="G338" s="354">
        <f t="shared" si="19"/>
        <v>0</v>
      </c>
    </row>
    <row r="339" spans="2:7" x14ac:dyDescent="0.2">
      <c r="B339" s="213">
        <f t="shared" si="18"/>
        <v>22</v>
      </c>
      <c r="C339" s="22"/>
      <c r="D339" s="55" t="s">
        <v>625</v>
      </c>
      <c r="E339" s="56">
        <v>763600</v>
      </c>
      <c r="F339" s="56">
        <v>0</v>
      </c>
      <c r="G339" s="354">
        <f t="shared" si="19"/>
        <v>0</v>
      </c>
    </row>
    <row r="340" spans="2:7" x14ac:dyDescent="0.2">
      <c r="B340" s="213">
        <f t="shared" si="18"/>
        <v>23</v>
      </c>
      <c r="C340" s="22"/>
      <c r="D340" s="55" t="s">
        <v>446</v>
      </c>
      <c r="E340" s="56">
        <f>36800+322000</f>
        <v>358800</v>
      </c>
      <c r="F340" s="56">
        <v>0</v>
      </c>
      <c r="G340" s="354">
        <f t="shared" si="19"/>
        <v>0</v>
      </c>
    </row>
    <row r="341" spans="2:7" x14ac:dyDescent="0.2">
      <c r="B341" s="213">
        <f t="shared" si="18"/>
        <v>24</v>
      </c>
      <c r="C341" s="22"/>
      <c r="D341" s="55" t="s">
        <v>706</v>
      </c>
      <c r="E341" s="56">
        <v>2377300</v>
      </c>
      <c r="F341" s="56">
        <v>0</v>
      </c>
      <c r="G341" s="354">
        <f t="shared" si="19"/>
        <v>0</v>
      </c>
    </row>
    <row r="342" spans="2:7" ht="15.75" customHeight="1" x14ac:dyDescent="0.2">
      <c r="B342" s="213">
        <f t="shared" si="18"/>
        <v>25</v>
      </c>
      <c r="C342" s="22"/>
      <c r="D342" s="55" t="s">
        <v>447</v>
      </c>
      <c r="E342" s="56">
        <v>662400</v>
      </c>
      <c r="F342" s="56">
        <v>0</v>
      </c>
      <c r="G342" s="354">
        <f t="shared" si="19"/>
        <v>0</v>
      </c>
    </row>
    <row r="343" spans="2:7" x14ac:dyDescent="0.2">
      <c r="B343" s="213">
        <f t="shared" si="18"/>
        <v>26</v>
      </c>
      <c r="C343" s="22"/>
      <c r="D343" s="55" t="s">
        <v>448</v>
      </c>
      <c r="E343" s="56">
        <v>4834739</v>
      </c>
      <c r="F343" s="56">
        <v>1489420</v>
      </c>
      <c r="G343" s="354">
        <f t="shared" si="19"/>
        <v>30.806626789988044</v>
      </c>
    </row>
    <row r="344" spans="2:7" x14ac:dyDescent="0.2">
      <c r="B344" s="213">
        <f t="shared" si="18"/>
        <v>27</v>
      </c>
      <c r="C344" s="22"/>
      <c r="D344" s="55" t="s">
        <v>405</v>
      </c>
      <c r="E344" s="56">
        <v>1087992</v>
      </c>
      <c r="F344" s="56">
        <v>0</v>
      </c>
      <c r="G344" s="354">
        <f t="shared" si="19"/>
        <v>0</v>
      </c>
    </row>
    <row r="345" spans="2:7" x14ac:dyDescent="0.2">
      <c r="B345" s="213">
        <f t="shared" si="18"/>
        <v>28</v>
      </c>
      <c r="C345" s="22"/>
      <c r="D345" s="55" t="s">
        <v>470</v>
      </c>
      <c r="E345" s="56">
        <v>2208000</v>
      </c>
      <c r="F345" s="56">
        <v>0</v>
      </c>
      <c r="G345" s="354">
        <f t="shared" si="19"/>
        <v>0</v>
      </c>
    </row>
    <row r="346" spans="2:7" x14ac:dyDescent="0.2">
      <c r="B346" s="213">
        <f t="shared" si="18"/>
        <v>29</v>
      </c>
      <c r="C346" s="22"/>
      <c r="D346" s="55" t="s">
        <v>531</v>
      </c>
      <c r="E346" s="56">
        <f>1564000-604837</f>
        <v>959163</v>
      </c>
      <c r="F346" s="56">
        <v>0</v>
      </c>
      <c r="G346" s="354">
        <f t="shared" si="19"/>
        <v>0</v>
      </c>
    </row>
    <row r="347" spans="2:7" ht="13.5" customHeight="1" x14ac:dyDescent="0.2">
      <c r="B347" s="213">
        <f t="shared" si="18"/>
        <v>30</v>
      </c>
      <c r="C347" s="22"/>
      <c r="D347" s="55" t="s">
        <v>293</v>
      </c>
      <c r="E347" s="56">
        <f>1656000+368000</f>
        <v>2024000</v>
      </c>
      <c r="F347" s="56">
        <v>0</v>
      </c>
      <c r="G347" s="354">
        <f t="shared" si="19"/>
        <v>0</v>
      </c>
    </row>
    <row r="348" spans="2:7" x14ac:dyDescent="0.2">
      <c r="B348" s="213">
        <f t="shared" si="18"/>
        <v>31</v>
      </c>
      <c r="C348" s="22"/>
      <c r="D348" s="55" t="s">
        <v>429</v>
      </c>
      <c r="E348" s="56">
        <v>920000</v>
      </c>
      <c r="F348" s="56">
        <v>0</v>
      </c>
      <c r="G348" s="354">
        <f t="shared" si="19"/>
        <v>0</v>
      </c>
    </row>
    <row r="349" spans="2:7" x14ac:dyDescent="0.2">
      <c r="B349" s="213">
        <f t="shared" si="18"/>
        <v>32</v>
      </c>
      <c r="C349" s="22"/>
      <c r="D349" s="55" t="s">
        <v>288</v>
      </c>
      <c r="E349" s="56">
        <v>515200</v>
      </c>
      <c r="F349" s="56">
        <v>0</v>
      </c>
      <c r="G349" s="354">
        <f t="shared" si="19"/>
        <v>0</v>
      </c>
    </row>
    <row r="350" spans="2:7" x14ac:dyDescent="0.2">
      <c r="B350" s="213">
        <f t="shared" si="18"/>
        <v>33</v>
      </c>
      <c r="C350" s="22"/>
      <c r="D350" s="55" t="s">
        <v>539</v>
      </c>
      <c r="E350" s="56">
        <v>1702000</v>
      </c>
      <c r="F350" s="56">
        <v>0</v>
      </c>
      <c r="G350" s="354">
        <f t="shared" si="19"/>
        <v>0</v>
      </c>
    </row>
    <row r="351" spans="2:7" x14ac:dyDescent="0.2">
      <c r="B351" s="213">
        <f t="shared" si="18"/>
        <v>34</v>
      </c>
      <c r="C351" s="22"/>
      <c r="D351" s="115" t="s">
        <v>449</v>
      </c>
      <c r="E351" s="56">
        <v>13800000</v>
      </c>
      <c r="F351" s="56">
        <v>0</v>
      </c>
      <c r="G351" s="354">
        <f t="shared" si="19"/>
        <v>0</v>
      </c>
    </row>
    <row r="352" spans="2:7" ht="24" x14ac:dyDescent="0.2">
      <c r="B352" s="213">
        <f t="shared" si="18"/>
        <v>35</v>
      </c>
      <c r="C352" s="22"/>
      <c r="D352" s="55" t="s">
        <v>451</v>
      </c>
      <c r="E352" s="56">
        <f>1316704+30749</f>
        <v>1347453</v>
      </c>
      <c r="F352" s="56">
        <v>0</v>
      </c>
      <c r="G352" s="354">
        <f t="shared" si="19"/>
        <v>0</v>
      </c>
    </row>
    <row r="353" spans="2:7" ht="24" x14ac:dyDescent="0.2">
      <c r="B353" s="213">
        <f t="shared" si="18"/>
        <v>36</v>
      </c>
      <c r="C353" s="22"/>
      <c r="D353" s="55" t="s">
        <v>450</v>
      </c>
      <c r="E353" s="56">
        <f>950800-115883</f>
        <v>834917</v>
      </c>
      <c r="F353" s="56">
        <v>0</v>
      </c>
      <c r="G353" s="354">
        <f t="shared" si="19"/>
        <v>0</v>
      </c>
    </row>
    <row r="354" spans="2:7" ht="13.5" thickBot="1" x14ac:dyDescent="0.25">
      <c r="B354" s="213">
        <f t="shared" si="18"/>
        <v>37</v>
      </c>
      <c r="C354" s="220"/>
      <c r="D354" s="221" t="s">
        <v>545</v>
      </c>
      <c r="E354" s="222">
        <f>3588000+331345+680655</f>
        <v>4600000</v>
      </c>
      <c r="F354" s="222">
        <v>0</v>
      </c>
      <c r="G354" s="354">
        <f t="shared" si="19"/>
        <v>0</v>
      </c>
    </row>
    <row r="355" spans="2:7" ht="15.75" thickBot="1" x14ac:dyDescent="0.3">
      <c r="B355" s="213">
        <f t="shared" si="18"/>
        <v>38</v>
      </c>
      <c r="C355" s="214">
        <v>2</v>
      </c>
      <c r="D355" s="214" t="s">
        <v>11</v>
      </c>
      <c r="E355" s="215">
        <f t="shared" ref="E355:F357" si="21">E356</f>
        <v>306022</v>
      </c>
      <c r="F355" s="215">
        <f t="shared" si="21"/>
        <v>0</v>
      </c>
      <c r="G355" s="354">
        <f t="shared" si="19"/>
        <v>0</v>
      </c>
    </row>
    <row r="356" spans="2:7" x14ac:dyDescent="0.2">
      <c r="B356" s="213">
        <f t="shared" si="18"/>
        <v>39</v>
      </c>
      <c r="C356" s="168">
        <v>320</v>
      </c>
      <c r="D356" s="168" t="s">
        <v>257</v>
      </c>
      <c r="E356" s="169">
        <f t="shared" si="21"/>
        <v>306022</v>
      </c>
      <c r="F356" s="169">
        <f t="shared" si="21"/>
        <v>0</v>
      </c>
      <c r="G356" s="354">
        <f t="shared" si="19"/>
        <v>0</v>
      </c>
    </row>
    <row r="357" spans="2:7" x14ac:dyDescent="0.2">
      <c r="B357" s="213">
        <f t="shared" si="18"/>
        <v>40</v>
      </c>
      <c r="C357" s="218">
        <v>322001</v>
      </c>
      <c r="D357" s="218" t="s">
        <v>258</v>
      </c>
      <c r="E357" s="219">
        <f t="shared" si="21"/>
        <v>306022</v>
      </c>
      <c r="F357" s="219">
        <f t="shared" si="21"/>
        <v>0</v>
      </c>
      <c r="G357" s="354">
        <f t="shared" si="19"/>
        <v>0</v>
      </c>
    </row>
    <row r="358" spans="2:7" ht="24" x14ac:dyDescent="0.2">
      <c r="B358" s="213">
        <f t="shared" ref="B358:B359" si="22">B357+1</f>
        <v>41</v>
      </c>
      <c r="C358" s="220"/>
      <c r="D358" s="221" t="s">
        <v>478</v>
      </c>
      <c r="E358" s="222">
        <v>306022</v>
      </c>
      <c r="F358" s="222">
        <v>0</v>
      </c>
      <c r="G358" s="354">
        <f t="shared" si="19"/>
        <v>0</v>
      </c>
    </row>
    <row r="359" spans="2:7" ht="15" x14ac:dyDescent="0.2">
      <c r="B359" s="213">
        <f t="shared" si="22"/>
        <v>42</v>
      </c>
      <c r="C359" s="223"/>
      <c r="D359" s="223" t="s">
        <v>40</v>
      </c>
      <c r="E359" s="224">
        <f>E327+E318</f>
        <v>54938277</v>
      </c>
      <c r="F359" s="224">
        <f>F327+F318</f>
        <v>1571154</v>
      </c>
      <c r="G359" s="354">
        <f t="shared" si="19"/>
        <v>2.8598530674706089</v>
      </c>
    </row>
    <row r="361" spans="2:7" ht="12.75" customHeight="1" x14ac:dyDescent="0.2">
      <c r="B361" s="439" t="s">
        <v>295</v>
      </c>
      <c r="C361" s="440"/>
      <c r="D361" s="440"/>
      <c r="E361" s="436" t="s">
        <v>577</v>
      </c>
      <c r="F361" s="444" t="s">
        <v>712</v>
      </c>
      <c r="G361" s="451" t="s">
        <v>711</v>
      </c>
    </row>
    <row r="362" spans="2:7" ht="15.75" customHeight="1" x14ac:dyDescent="0.2">
      <c r="B362" s="441"/>
      <c r="C362" s="442"/>
      <c r="D362" s="442"/>
      <c r="E362" s="437"/>
      <c r="F362" s="445"/>
      <c r="G362" s="452"/>
    </row>
    <row r="363" spans="2:7" ht="17.25" customHeight="1" x14ac:dyDescent="0.2">
      <c r="B363" s="447" t="s">
        <v>107</v>
      </c>
      <c r="C363" s="448" t="s">
        <v>109</v>
      </c>
      <c r="D363" s="430" t="s">
        <v>108</v>
      </c>
      <c r="E363" s="437"/>
      <c r="F363" s="445"/>
      <c r="G363" s="452"/>
    </row>
    <row r="364" spans="2:7" ht="17.25" customHeight="1" x14ac:dyDescent="0.2">
      <c r="B364" s="447"/>
      <c r="C364" s="448"/>
      <c r="D364" s="430"/>
      <c r="E364" s="438"/>
      <c r="F364" s="446"/>
      <c r="G364" s="452"/>
    </row>
    <row r="365" spans="2:7" ht="15" x14ac:dyDescent="0.2">
      <c r="B365" s="225">
        <v>1</v>
      </c>
      <c r="C365" s="226"/>
      <c r="D365" s="226" t="s">
        <v>110</v>
      </c>
      <c r="E365" s="227">
        <f>E312</f>
        <v>74658991</v>
      </c>
      <c r="F365" s="227">
        <f>F312</f>
        <v>38590778</v>
      </c>
      <c r="G365" s="354">
        <f>F365/E365*100</f>
        <v>51.689391301846022</v>
      </c>
    </row>
    <row r="366" spans="2:7" ht="15" x14ac:dyDescent="0.2">
      <c r="B366" s="225">
        <v>2</v>
      </c>
      <c r="C366" s="226"/>
      <c r="D366" s="226" t="s">
        <v>40</v>
      </c>
      <c r="E366" s="227">
        <f>E359</f>
        <v>54938277</v>
      </c>
      <c r="F366" s="227">
        <f>F359</f>
        <v>1571154</v>
      </c>
      <c r="G366" s="354">
        <f>F366/E366*100</f>
        <v>2.8598530674706089</v>
      </c>
    </row>
    <row r="367" spans="2:7" ht="15" x14ac:dyDescent="0.2">
      <c r="B367" s="228">
        <v>3</v>
      </c>
      <c r="C367" s="229"/>
      <c r="D367" s="229" t="s">
        <v>41</v>
      </c>
      <c r="E367" s="230">
        <f>E366+E365</f>
        <v>129597268</v>
      </c>
      <c r="F367" s="230">
        <f>F366+F365</f>
        <v>40161932</v>
      </c>
      <c r="G367" s="354">
        <f t="shared" ref="G367" si="23">F367/E367*100</f>
        <v>30.989798334329084</v>
      </c>
    </row>
    <row r="368" spans="2:7" s="275" customFormat="1" x14ac:dyDescent="0.2">
      <c r="B368" s="278"/>
      <c r="E368" s="249"/>
      <c r="G368" s="249"/>
    </row>
    <row r="369" spans="2:5" s="275" customFormat="1" x14ac:dyDescent="0.2">
      <c r="B369" s="278"/>
      <c r="E369" s="249"/>
    </row>
    <row r="370" spans="2:5" s="275" customFormat="1" x14ac:dyDescent="0.2">
      <c r="B370" s="278"/>
      <c r="E370" s="249"/>
    </row>
    <row r="371" spans="2:5" s="275" customFormat="1" x14ac:dyDescent="0.2">
      <c r="B371" s="278"/>
      <c r="E371" s="249"/>
    </row>
    <row r="372" spans="2:5" s="275" customFormat="1" x14ac:dyDescent="0.2">
      <c r="B372" s="278"/>
      <c r="E372" s="249"/>
    </row>
    <row r="373" spans="2:5" s="275" customFormat="1" x14ac:dyDescent="0.2">
      <c r="B373" s="278"/>
      <c r="E373" s="249"/>
    </row>
    <row r="374" spans="2:5" s="275" customFormat="1" x14ac:dyDescent="0.2">
      <c r="B374" s="278"/>
      <c r="E374" s="249"/>
    </row>
    <row r="375" spans="2:5" s="275" customFormat="1" x14ac:dyDescent="0.2">
      <c r="B375" s="278"/>
      <c r="E375" s="249"/>
    </row>
    <row r="376" spans="2:5" s="275" customFormat="1" x14ac:dyDescent="0.2">
      <c r="B376" s="278"/>
      <c r="E376" s="249"/>
    </row>
    <row r="377" spans="2:5" s="275" customFormat="1" x14ac:dyDescent="0.2">
      <c r="B377" s="278"/>
      <c r="E377" s="249"/>
    </row>
    <row r="378" spans="2:5" s="275" customFormat="1" x14ac:dyDescent="0.2">
      <c r="B378" s="278"/>
      <c r="E378" s="249"/>
    </row>
    <row r="379" spans="2:5" s="275" customFormat="1" x14ac:dyDescent="0.2">
      <c r="B379" s="278"/>
      <c r="E379" s="249"/>
    </row>
    <row r="380" spans="2:5" s="275" customFormat="1" x14ac:dyDescent="0.2">
      <c r="B380" s="278"/>
      <c r="E380" s="249"/>
    </row>
    <row r="381" spans="2:5" s="275" customFormat="1" x14ac:dyDescent="0.2">
      <c r="B381" s="278"/>
      <c r="E381" s="249"/>
    </row>
    <row r="382" spans="2:5" s="275" customFormat="1" x14ac:dyDescent="0.2">
      <c r="B382" s="278"/>
      <c r="E382" s="249"/>
    </row>
    <row r="383" spans="2:5" s="275" customFormat="1" x14ac:dyDescent="0.2">
      <c r="B383" s="278"/>
      <c r="E383" s="249"/>
    </row>
    <row r="384" spans="2:5" s="275" customFormat="1" x14ac:dyDescent="0.2">
      <c r="B384" s="278"/>
      <c r="E384" s="249"/>
    </row>
    <row r="385" spans="2:5" s="275" customFormat="1" x14ac:dyDescent="0.2">
      <c r="B385" s="278"/>
      <c r="E385" s="249"/>
    </row>
    <row r="386" spans="2:5" s="275" customFormat="1" x14ac:dyDescent="0.2">
      <c r="B386" s="278"/>
      <c r="E386" s="249"/>
    </row>
    <row r="387" spans="2:5" s="275" customFormat="1" x14ac:dyDescent="0.2">
      <c r="B387" s="278"/>
      <c r="E387" s="249"/>
    </row>
    <row r="388" spans="2:5" s="275" customFormat="1" x14ac:dyDescent="0.2">
      <c r="B388" s="278"/>
      <c r="E388" s="249"/>
    </row>
    <row r="389" spans="2:5" s="275" customFormat="1" x14ac:dyDescent="0.2">
      <c r="B389" s="278"/>
      <c r="E389" s="249"/>
    </row>
    <row r="390" spans="2:5" s="275" customFormat="1" x14ac:dyDescent="0.2">
      <c r="B390" s="278"/>
      <c r="E390" s="249"/>
    </row>
    <row r="391" spans="2:5" s="275" customFormat="1" x14ac:dyDescent="0.2">
      <c r="B391" s="278"/>
      <c r="E391" s="249"/>
    </row>
    <row r="392" spans="2:5" s="275" customFormat="1" x14ac:dyDescent="0.2">
      <c r="B392" s="278"/>
      <c r="E392" s="249"/>
    </row>
    <row r="393" spans="2:5" s="275" customFormat="1" x14ac:dyDescent="0.2">
      <c r="B393" s="278"/>
      <c r="E393" s="249"/>
    </row>
    <row r="394" spans="2:5" s="275" customFormat="1" x14ac:dyDescent="0.2">
      <c r="B394" s="278"/>
      <c r="E394" s="249"/>
    </row>
    <row r="395" spans="2:5" s="275" customFormat="1" x14ac:dyDescent="0.2">
      <c r="B395" s="278"/>
      <c r="E395" s="249"/>
    </row>
    <row r="396" spans="2:5" s="275" customFormat="1" x14ac:dyDescent="0.2">
      <c r="B396" s="278"/>
      <c r="E396" s="249"/>
    </row>
    <row r="397" spans="2:5" s="275" customFormat="1" x14ac:dyDescent="0.2">
      <c r="B397" s="278"/>
      <c r="E397" s="249"/>
    </row>
    <row r="398" spans="2:5" s="275" customFormat="1" x14ac:dyDescent="0.2">
      <c r="B398" s="278"/>
      <c r="E398" s="249"/>
    </row>
    <row r="399" spans="2:5" s="275" customFormat="1" x14ac:dyDescent="0.2">
      <c r="B399" s="278"/>
      <c r="E399" s="249"/>
    </row>
    <row r="400" spans="2:5" s="275" customFormat="1" x14ac:dyDescent="0.2">
      <c r="B400" s="278"/>
      <c r="E400" s="249"/>
    </row>
    <row r="401" spans="2:5" s="275" customFormat="1" x14ac:dyDescent="0.2">
      <c r="B401" s="278"/>
      <c r="E401" s="249"/>
    </row>
    <row r="402" spans="2:5" s="275" customFormat="1" x14ac:dyDescent="0.2">
      <c r="B402" s="278"/>
      <c r="E402" s="249"/>
    </row>
    <row r="403" spans="2:5" s="275" customFormat="1" x14ac:dyDescent="0.2">
      <c r="B403" s="278"/>
      <c r="E403" s="249"/>
    </row>
    <row r="404" spans="2:5" s="275" customFormat="1" x14ac:dyDescent="0.2">
      <c r="B404" s="278"/>
      <c r="E404" s="249"/>
    </row>
    <row r="405" spans="2:5" s="275" customFormat="1" x14ac:dyDescent="0.2">
      <c r="B405" s="278"/>
      <c r="E405" s="249"/>
    </row>
    <row r="406" spans="2:5" s="275" customFormat="1" x14ac:dyDescent="0.2">
      <c r="B406" s="278"/>
      <c r="E406" s="249"/>
    </row>
    <row r="407" spans="2:5" s="275" customFormat="1" x14ac:dyDescent="0.2">
      <c r="B407" s="278"/>
      <c r="E407" s="249"/>
    </row>
    <row r="408" spans="2:5" s="275" customFormat="1" x14ac:dyDescent="0.2">
      <c r="B408" s="278"/>
      <c r="E408" s="249"/>
    </row>
    <row r="409" spans="2:5" s="275" customFormat="1" x14ac:dyDescent="0.2">
      <c r="B409" s="278"/>
      <c r="E409" s="249"/>
    </row>
    <row r="410" spans="2:5" s="275" customFormat="1" x14ac:dyDescent="0.2">
      <c r="B410" s="278"/>
      <c r="E410" s="249"/>
    </row>
    <row r="411" spans="2:5" s="275" customFormat="1" x14ac:dyDescent="0.2">
      <c r="B411" s="278"/>
      <c r="E411" s="249"/>
    </row>
    <row r="412" spans="2:5" s="275" customFormat="1" x14ac:dyDescent="0.2">
      <c r="B412" s="278"/>
      <c r="E412" s="249"/>
    </row>
    <row r="413" spans="2:5" s="275" customFormat="1" x14ac:dyDescent="0.2">
      <c r="B413" s="278"/>
      <c r="E413" s="249"/>
    </row>
    <row r="414" spans="2:5" s="275" customFormat="1" x14ac:dyDescent="0.2">
      <c r="B414" s="278"/>
      <c r="E414" s="249"/>
    </row>
    <row r="415" spans="2:5" s="275" customFormat="1" x14ac:dyDescent="0.2">
      <c r="B415" s="278"/>
      <c r="E415" s="249"/>
    </row>
    <row r="416" spans="2:5" s="275" customFormat="1" x14ac:dyDescent="0.2">
      <c r="B416" s="278"/>
      <c r="E416" s="249"/>
    </row>
    <row r="417" spans="2:5" s="275" customFormat="1" x14ac:dyDescent="0.2">
      <c r="B417" s="278"/>
      <c r="E417" s="249"/>
    </row>
    <row r="418" spans="2:5" s="275" customFormat="1" x14ac:dyDescent="0.2">
      <c r="B418" s="278"/>
      <c r="E418" s="249"/>
    </row>
    <row r="419" spans="2:5" s="275" customFormat="1" x14ac:dyDescent="0.2">
      <c r="B419" s="278"/>
      <c r="E419" s="249"/>
    </row>
    <row r="420" spans="2:5" s="275" customFormat="1" x14ac:dyDescent="0.2">
      <c r="B420" s="278"/>
      <c r="E420" s="249"/>
    </row>
    <row r="421" spans="2:5" s="275" customFormat="1" x14ac:dyDescent="0.2">
      <c r="B421" s="278"/>
      <c r="E421" s="249"/>
    </row>
    <row r="422" spans="2:5" s="275" customFormat="1" x14ac:dyDescent="0.2">
      <c r="B422" s="278"/>
      <c r="E422" s="249"/>
    </row>
    <row r="423" spans="2:5" s="275" customFormat="1" x14ac:dyDescent="0.2">
      <c r="B423" s="278"/>
      <c r="E423" s="249"/>
    </row>
    <row r="424" spans="2:5" s="275" customFormat="1" x14ac:dyDescent="0.2">
      <c r="B424" s="278"/>
      <c r="E424" s="249"/>
    </row>
    <row r="425" spans="2:5" s="275" customFormat="1" x14ac:dyDescent="0.2">
      <c r="B425" s="278"/>
      <c r="E425" s="249"/>
    </row>
    <row r="426" spans="2:5" s="275" customFormat="1" x14ac:dyDescent="0.2">
      <c r="B426" s="278"/>
      <c r="E426" s="249"/>
    </row>
    <row r="427" spans="2:5" s="275" customFormat="1" x14ac:dyDescent="0.2">
      <c r="B427" s="278"/>
      <c r="E427" s="249"/>
    </row>
    <row r="428" spans="2:5" s="275" customFormat="1" x14ac:dyDescent="0.2">
      <c r="B428" s="278"/>
      <c r="E428" s="249"/>
    </row>
    <row r="429" spans="2:5" s="275" customFormat="1" x14ac:dyDescent="0.2">
      <c r="B429" s="278"/>
      <c r="E429" s="249"/>
    </row>
    <row r="430" spans="2:5" s="275" customFormat="1" x14ac:dyDescent="0.2">
      <c r="B430" s="278"/>
      <c r="E430" s="249"/>
    </row>
    <row r="431" spans="2:5" s="275" customFormat="1" x14ac:dyDescent="0.2">
      <c r="B431" s="278"/>
      <c r="E431" s="249"/>
    </row>
    <row r="432" spans="2:5" s="275" customFormat="1" x14ac:dyDescent="0.2">
      <c r="B432" s="278"/>
      <c r="E432" s="249"/>
    </row>
    <row r="433" spans="2:5" s="275" customFormat="1" x14ac:dyDescent="0.2">
      <c r="B433" s="278"/>
      <c r="E433" s="249"/>
    </row>
    <row r="434" spans="2:5" s="275" customFormat="1" x14ac:dyDescent="0.2">
      <c r="B434" s="278"/>
      <c r="E434" s="249"/>
    </row>
    <row r="435" spans="2:5" s="275" customFormat="1" x14ac:dyDescent="0.2">
      <c r="B435" s="278"/>
      <c r="E435" s="249"/>
    </row>
    <row r="436" spans="2:5" s="275" customFormat="1" x14ac:dyDescent="0.2">
      <c r="B436" s="278"/>
      <c r="E436" s="249"/>
    </row>
    <row r="437" spans="2:5" s="275" customFormat="1" x14ac:dyDescent="0.2">
      <c r="B437" s="278"/>
      <c r="E437" s="249"/>
    </row>
    <row r="438" spans="2:5" s="275" customFormat="1" x14ac:dyDescent="0.2">
      <c r="B438" s="278"/>
      <c r="E438" s="249"/>
    </row>
    <row r="439" spans="2:5" s="275" customFormat="1" x14ac:dyDescent="0.2">
      <c r="B439" s="278"/>
      <c r="E439" s="249"/>
    </row>
    <row r="440" spans="2:5" s="275" customFormat="1" x14ac:dyDescent="0.2">
      <c r="B440" s="278"/>
      <c r="E440" s="249"/>
    </row>
    <row r="441" spans="2:5" s="275" customFormat="1" x14ac:dyDescent="0.2">
      <c r="B441" s="278"/>
      <c r="E441" s="249"/>
    </row>
    <row r="442" spans="2:5" s="275" customFormat="1" x14ac:dyDescent="0.2">
      <c r="B442" s="278"/>
      <c r="E442" s="249"/>
    </row>
    <row r="443" spans="2:5" s="275" customFormat="1" x14ac:dyDescent="0.2">
      <c r="B443" s="278"/>
      <c r="E443" s="249"/>
    </row>
    <row r="444" spans="2:5" s="275" customFormat="1" x14ac:dyDescent="0.2">
      <c r="B444" s="278"/>
      <c r="E444" s="249"/>
    </row>
    <row r="445" spans="2:5" s="275" customFormat="1" x14ac:dyDescent="0.2">
      <c r="B445" s="278"/>
      <c r="E445" s="249"/>
    </row>
    <row r="446" spans="2:5" s="275" customFormat="1" x14ac:dyDescent="0.2">
      <c r="B446" s="278"/>
      <c r="E446" s="249"/>
    </row>
    <row r="447" spans="2:5" s="275" customFormat="1" x14ac:dyDescent="0.2">
      <c r="B447" s="278"/>
      <c r="E447" s="249"/>
    </row>
    <row r="448" spans="2:5" s="275" customFormat="1" x14ac:dyDescent="0.2">
      <c r="B448" s="278"/>
      <c r="E448" s="249"/>
    </row>
    <row r="449" spans="2:5" s="275" customFormat="1" x14ac:dyDescent="0.2">
      <c r="B449" s="278"/>
      <c r="E449" s="249"/>
    </row>
    <row r="450" spans="2:5" s="275" customFormat="1" x14ac:dyDescent="0.2">
      <c r="B450" s="278"/>
      <c r="E450" s="249"/>
    </row>
    <row r="451" spans="2:5" s="275" customFormat="1" x14ac:dyDescent="0.2">
      <c r="B451" s="278"/>
      <c r="E451" s="249"/>
    </row>
    <row r="452" spans="2:5" s="275" customFormat="1" x14ac:dyDescent="0.2">
      <c r="B452" s="278"/>
      <c r="E452" s="249"/>
    </row>
    <row r="453" spans="2:5" s="275" customFormat="1" x14ac:dyDescent="0.2">
      <c r="B453" s="278"/>
      <c r="E453" s="249"/>
    </row>
    <row r="454" spans="2:5" s="275" customFormat="1" x14ac:dyDescent="0.2">
      <c r="B454" s="278"/>
      <c r="E454" s="249"/>
    </row>
    <row r="455" spans="2:5" s="275" customFormat="1" x14ac:dyDescent="0.2">
      <c r="B455" s="278"/>
      <c r="E455" s="249"/>
    </row>
    <row r="456" spans="2:5" s="275" customFormat="1" x14ac:dyDescent="0.2">
      <c r="B456" s="278"/>
      <c r="E456" s="249"/>
    </row>
    <row r="457" spans="2:5" s="275" customFormat="1" x14ac:dyDescent="0.2">
      <c r="B457" s="278"/>
      <c r="E457" s="249"/>
    </row>
    <row r="458" spans="2:5" s="275" customFormat="1" x14ac:dyDescent="0.2">
      <c r="B458" s="278"/>
      <c r="E458" s="249"/>
    </row>
    <row r="459" spans="2:5" s="275" customFormat="1" x14ac:dyDescent="0.2">
      <c r="B459" s="278"/>
      <c r="E459" s="249"/>
    </row>
    <row r="460" spans="2:5" s="275" customFormat="1" x14ac:dyDescent="0.2">
      <c r="B460" s="278"/>
      <c r="E460" s="249"/>
    </row>
    <row r="461" spans="2:5" s="275" customFormat="1" x14ac:dyDescent="0.2">
      <c r="B461" s="278"/>
      <c r="E461" s="249"/>
    </row>
    <row r="462" spans="2:5" s="275" customFormat="1" x14ac:dyDescent="0.2">
      <c r="B462" s="278"/>
      <c r="E462" s="249"/>
    </row>
    <row r="463" spans="2:5" s="275" customFormat="1" x14ac:dyDescent="0.2">
      <c r="B463" s="278"/>
      <c r="E463" s="249"/>
    </row>
    <row r="464" spans="2:5" s="275" customFormat="1" x14ac:dyDescent="0.2">
      <c r="B464" s="278"/>
      <c r="E464" s="249"/>
    </row>
    <row r="465" spans="2:5" s="275" customFormat="1" x14ac:dyDescent="0.2">
      <c r="B465" s="278"/>
      <c r="E465" s="249"/>
    </row>
    <row r="466" spans="2:5" s="275" customFormat="1" x14ac:dyDescent="0.2">
      <c r="B466" s="278"/>
      <c r="E466" s="249"/>
    </row>
    <row r="467" spans="2:5" s="275" customFormat="1" x14ac:dyDescent="0.2">
      <c r="B467" s="278"/>
      <c r="E467" s="249"/>
    </row>
    <row r="468" spans="2:5" s="275" customFormat="1" x14ac:dyDescent="0.2">
      <c r="B468" s="278"/>
      <c r="E468" s="249"/>
    </row>
    <row r="469" spans="2:5" s="275" customFormat="1" x14ac:dyDescent="0.2">
      <c r="B469" s="278"/>
      <c r="E469" s="249"/>
    </row>
    <row r="470" spans="2:5" s="275" customFormat="1" x14ac:dyDescent="0.2">
      <c r="B470" s="278"/>
      <c r="E470" s="249"/>
    </row>
    <row r="471" spans="2:5" s="275" customFormat="1" x14ac:dyDescent="0.2">
      <c r="B471" s="278"/>
      <c r="E471" s="249"/>
    </row>
    <row r="472" spans="2:5" s="275" customFormat="1" x14ac:dyDescent="0.2">
      <c r="B472" s="278"/>
      <c r="E472" s="249"/>
    </row>
    <row r="473" spans="2:5" s="275" customFormat="1" x14ac:dyDescent="0.2">
      <c r="B473" s="278"/>
      <c r="E473" s="249"/>
    </row>
    <row r="474" spans="2:5" s="275" customFormat="1" x14ac:dyDescent="0.2">
      <c r="B474" s="278"/>
      <c r="E474" s="249"/>
    </row>
    <row r="475" spans="2:5" s="275" customFormat="1" x14ac:dyDescent="0.2">
      <c r="B475" s="278"/>
      <c r="E475" s="249"/>
    </row>
    <row r="476" spans="2:5" s="275" customFormat="1" x14ac:dyDescent="0.2">
      <c r="B476" s="278"/>
      <c r="E476" s="249"/>
    </row>
    <row r="477" spans="2:5" s="275" customFormat="1" x14ac:dyDescent="0.2">
      <c r="B477" s="278"/>
      <c r="E477" s="249"/>
    </row>
    <row r="478" spans="2:5" s="275" customFormat="1" x14ac:dyDescent="0.2">
      <c r="B478" s="278"/>
      <c r="E478" s="249"/>
    </row>
    <row r="479" spans="2:5" s="275" customFormat="1" x14ac:dyDescent="0.2">
      <c r="B479" s="278"/>
      <c r="E479" s="249"/>
    </row>
    <row r="480" spans="2:5" s="275" customFormat="1" x14ac:dyDescent="0.2">
      <c r="B480" s="278"/>
      <c r="E480" s="249"/>
    </row>
    <row r="481" spans="2:5" s="275" customFormat="1" x14ac:dyDescent="0.2">
      <c r="B481" s="278"/>
      <c r="E481" s="249"/>
    </row>
    <row r="482" spans="2:5" s="275" customFormat="1" x14ac:dyDescent="0.2">
      <c r="B482" s="278"/>
      <c r="E482" s="249"/>
    </row>
    <row r="483" spans="2:5" s="275" customFormat="1" x14ac:dyDescent="0.2">
      <c r="B483" s="278"/>
      <c r="E483" s="249"/>
    </row>
    <row r="484" spans="2:5" s="275" customFormat="1" x14ac:dyDescent="0.2">
      <c r="B484" s="278"/>
      <c r="E484" s="249"/>
    </row>
    <row r="485" spans="2:5" s="275" customFormat="1" x14ac:dyDescent="0.2">
      <c r="B485" s="278"/>
      <c r="E485" s="249"/>
    </row>
    <row r="486" spans="2:5" s="275" customFormat="1" x14ac:dyDescent="0.2">
      <c r="B486" s="278"/>
      <c r="E486" s="249"/>
    </row>
    <row r="487" spans="2:5" s="275" customFormat="1" x14ac:dyDescent="0.2">
      <c r="B487" s="278"/>
      <c r="E487" s="249"/>
    </row>
    <row r="488" spans="2:5" s="275" customFormat="1" x14ac:dyDescent="0.2">
      <c r="B488" s="278"/>
      <c r="E488" s="249"/>
    </row>
    <row r="489" spans="2:5" s="275" customFormat="1" x14ac:dyDescent="0.2">
      <c r="B489" s="278"/>
      <c r="E489" s="249"/>
    </row>
    <row r="490" spans="2:5" s="275" customFormat="1" x14ac:dyDescent="0.2">
      <c r="B490" s="278"/>
      <c r="E490" s="249"/>
    </row>
    <row r="491" spans="2:5" s="275" customFormat="1" x14ac:dyDescent="0.2">
      <c r="B491" s="278"/>
      <c r="E491" s="249"/>
    </row>
    <row r="492" spans="2:5" s="275" customFormat="1" x14ac:dyDescent="0.2">
      <c r="B492" s="278"/>
      <c r="E492" s="249"/>
    </row>
    <row r="493" spans="2:5" s="275" customFormat="1" x14ac:dyDescent="0.2">
      <c r="B493" s="278"/>
      <c r="E493" s="249"/>
    </row>
    <row r="494" spans="2:5" s="275" customFormat="1" x14ac:dyDescent="0.2">
      <c r="B494" s="278"/>
      <c r="E494" s="249"/>
    </row>
    <row r="495" spans="2:5" s="275" customFormat="1" x14ac:dyDescent="0.2">
      <c r="B495" s="278"/>
      <c r="E495" s="249"/>
    </row>
    <row r="496" spans="2:5" s="275" customFormat="1" x14ac:dyDescent="0.2">
      <c r="B496" s="278"/>
      <c r="E496" s="249"/>
    </row>
    <row r="497" spans="2:5" s="275" customFormat="1" x14ac:dyDescent="0.2">
      <c r="B497" s="278"/>
      <c r="E497" s="249"/>
    </row>
    <row r="498" spans="2:5" s="275" customFormat="1" x14ac:dyDescent="0.2">
      <c r="B498" s="278"/>
      <c r="E498" s="249"/>
    </row>
    <row r="499" spans="2:5" s="275" customFormat="1" x14ac:dyDescent="0.2">
      <c r="B499" s="278"/>
      <c r="E499" s="249"/>
    </row>
    <row r="500" spans="2:5" s="275" customFormat="1" x14ac:dyDescent="0.2">
      <c r="B500" s="278"/>
      <c r="E500" s="249"/>
    </row>
    <row r="501" spans="2:5" s="275" customFormat="1" x14ac:dyDescent="0.2">
      <c r="B501" s="278"/>
      <c r="E501" s="249"/>
    </row>
    <row r="502" spans="2:5" s="275" customFormat="1" x14ac:dyDescent="0.2">
      <c r="B502" s="278"/>
      <c r="E502" s="249"/>
    </row>
    <row r="503" spans="2:5" s="275" customFormat="1" x14ac:dyDescent="0.2">
      <c r="B503" s="278"/>
      <c r="E503" s="249"/>
    </row>
    <row r="504" spans="2:5" s="275" customFormat="1" x14ac:dyDescent="0.2">
      <c r="B504" s="278"/>
      <c r="E504" s="249"/>
    </row>
    <row r="505" spans="2:5" s="275" customFormat="1" x14ac:dyDescent="0.2">
      <c r="B505" s="278"/>
      <c r="E505" s="249"/>
    </row>
    <row r="506" spans="2:5" s="275" customFormat="1" x14ac:dyDescent="0.2">
      <c r="B506" s="278"/>
      <c r="E506" s="249"/>
    </row>
    <row r="507" spans="2:5" s="275" customFormat="1" x14ac:dyDescent="0.2">
      <c r="B507" s="278"/>
      <c r="E507" s="249"/>
    </row>
    <row r="508" spans="2:5" s="275" customFormat="1" x14ac:dyDescent="0.2">
      <c r="B508" s="278"/>
      <c r="E508" s="249"/>
    </row>
    <row r="509" spans="2:5" s="275" customFormat="1" x14ac:dyDescent="0.2">
      <c r="B509" s="278"/>
      <c r="E509" s="249"/>
    </row>
    <row r="510" spans="2:5" s="275" customFormat="1" x14ac:dyDescent="0.2">
      <c r="B510" s="278"/>
      <c r="E510" s="249"/>
    </row>
    <row r="511" spans="2:5" s="275" customFormat="1" x14ac:dyDescent="0.2">
      <c r="B511" s="278"/>
      <c r="E511" s="249"/>
    </row>
    <row r="512" spans="2:5" s="275" customFormat="1" x14ac:dyDescent="0.2">
      <c r="B512" s="278"/>
      <c r="E512" s="249"/>
    </row>
    <row r="513" spans="2:5" s="275" customFormat="1" x14ac:dyDescent="0.2">
      <c r="B513" s="278"/>
      <c r="E513" s="249"/>
    </row>
    <row r="514" spans="2:5" s="275" customFormat="1" x14ac:dyDescent="0.2">
      <c r="B514" s="278"/>
      <c r="E514" s="249"/>
    </row>
    <row r="515" spans="2:5" s="275" customFormat="1" x14ac:dyDescent="0.2">
      <c r="B515" s="278"/>
      <c r="E515" s="249"/>
    </row>
    <row r="516" spans="2:5" s="275" customFormat="1" x14ac:dyDescent="0.2">
      <c r="B516" s="278"/>
      <c r="E516" s="249"/>
    </row>
    <row r="517" spans="2:5" s="275" customFormat="1" x14ac:dyDescent="0.2">
      <c r="B517" s="278"/>
      <c r="E517" s="249"/>
    </row>
    <row r="518" spans="2:5" s="275" customFormat="1" x14ac:dyDescent="0.2">
      <c r="B518" s="278"/>
      <c r="E518" s="249"/>
    </row>
    <row r="519" spans="2:5" s="275" customFormat="1" x14ac:dyDescent="0.2">
      <c r="B519" s="278"/>
      <c r="E519" s="249"/>
    </row>
    <row r="520" spans="2:5" s="275" customFormat="1" x14ac:dyDescent="0.2">
      <c r="B520" s="278"/>
      <c r="E520" s="249"/>
    </row>
    <row r="521" spans="2:5" s="275" customFormat="1" x14ac:dyDescent="0.2">
      <c r="B521" s="278"/>
      <c r="E521" s="249"/>
    </row>
    <row r="522" spans="2:5" s="275" customFormat="1" x14ac:dyDescent="0.2">
      <c r="B522" s="278"/>
      <c r="E522" s="249"/>
    </row>
    <row r="523" spans="2:5" s="275" customFormat="1" x14ac:dyDescent="0.2">
      <c r="B523" s="278"/>
      <c r="E523" s="249"/>
    </row>
    <row r="524" spans="2:5" s="275" customFormat="1" x14ac:dyDescent="0.2">
      <c r="B524" s="278"/>
      <c r="E524" s="249"/>
    </row>
    <row r="525" spans="2:5" s="275" customFormat="1" x14ac:dyDescent="0.2">
      <c r="B525" s="278"/>
      <c r="E525" s="249"/>
    </row>
    <row r="526" spans="2:5" s="275" customFormat="1" x14ac:dyDescent="0.2">
      <c r="B526" s="278"/>
      <c r="E526" s="249"/>
    </row>
    <row r="527" spans="2:5" s="275" customFormat="1" x14ac:dyDescent="0.2">
      <c r="B527" s="278"/>
      <c r="E527" s="249"/>
    </row>
    <row r="528" spans="2:5" s="275" customFormat="1" x14ac:dyDescent="0.2">
      <c r="B528" s="278"/>
      <c r="E528" s="249"/>
    </row>
    <row r="529" spans="2:5" s="275" customFormat="1" x14ac:dyDescent="0.2">
      <c r="B529" s="278"/>
      <c r="E529" s="249"/>
    </row>
    <row r="530" spans="2:5" s="275" customFormat="1" x14ac:dyDescent="0.2">
      <c r="B530" s="278"/>
      <c r="E530" s="249"/>
    </row>
    <row r="531" spans="2:5" s="275" customFormat="1" x14ac:dyDescent="0.2">
      <c r="B531" s="278"/>
      <c r="E531" s="249"/>
    </row>
    <row r="532" spans="2:5" s="275" customFormat="1" x14ac:dyDescent="0.2">
      <c r="B532" s="278"/>
      <c r="E532" s="249"/>
    </row>
    <row r="533" spans="2:5" s="275" customFormat="1" x14ac:dyDescent="0.2">
      <c r="B533" s="278"/>
      <c r="E533" s="249"/>
    </row>
    <row r="534" spans="2:5" s="275" customFormat="1" x14ac:dyDescent="0.2">
      <c r="B534" s="278"/>
      <c r="E534" s="249"/>
    </row>
    <row r="535" spans="2:5" s="275" customFormat="1" x14ac:dyDescent="0.2">
      <c r="B535" s="278"/>
      <c r="E535" s="249"/>
    </row>
    <row r="536" spans="2:5" s="275" customFormat="1" x14ac:dyDescent="0.2">
      <c r="B536" s="278"/>
      <c r="E536" s="249"/>
    </row>
    <row r="537" spans="2:5" s="275" customFormat="1" x14ac:dyDescent="0.2">
      <c r="B537" s="278"/>
      <c r="E537" s="249"/>
    </row>
    <row r="538" spans="2:5" s="275" customFormat="1" x14ac:dyDescent="0.2">
      <c r="B538" s="278"/>
      <c r="E538" s="249"/>
    </row>
    <row r="539" spans="2:5" s="275" customFormat="1" x14ac:dyDescent="0.2">
      <c r="B539" s="278"/>
      <c r="E539" s="249"/>
    </row>
    <row r="540" spans="2:5" s="275" customFormat="1" x14ac:dyDescent="0.2">
      <c r="B540" s="278"/>
      <c r="E540" s="249"/>
    </row>
    <row r="541" spans="2:5" s="275" customFormat="1" x14ac:dyDescent="0.2">
      <c r="B541" s="278"/>
      <c r="E541" s="249"/>
    </row>
    <row r="542" spans="2:5" s="275" customFormat="1" x14ac:dyDescent="0.2">
      <c r="B542" s="278"/>
      <c r="E542" s="249"/>
    </row>
    <row r="543" spans="2:5" s="275" customFormat="1" x14ac:dyDescent="0.2">
      <c r="B543" s="278"/>
      <c r="E543" s="249"/>
    </row>
    <row r="544" spans="2:5" s="275" customFormat="1" x14ac:dyDescent="0.2">
      <c r="B544" s="278"/>
      <c r="E544" s="249"/>
    </row>
    <row r="545" spans="2:5" s="275" customFormat="1" x14ac:dyDescent="0.2">
      <c r="B545" s="278"/>
      <c r="E545" s="249"/>
    </row>
    <row r="546" spans="2:5" s="275" customFormat="1" x14ac:dyDescent="0.2">
      <c r="B546" s="278"/>
      <c r="E546" s="249"/>
    </row>
    <row r="547" spans="2:5" s="275" customFormat="1" x14ac:dyDescent="0.2">
      <c r="B547" s="278"/>
      <c r="E547" s="249"/>
    </row>
    <row r="548" spans="2:5" s="275" customFormat="1" x14ac:dyDescent="0.2">
      <c r="B548" s="278"/>
      <c r="E548" s="249"/>
    </row>
    <row r="549" spans="2:5" s="275" customFormat="1" x14ac:dyDescent="0.2">
      <c r="B549" s="278"/>
      <c r="E549" s="249"/>
    </row>
    <row r="550" spans="2:5" s="275" customFormat="1" x14ac:dyDescent="0.2">
      <c r="B550" s="278"/>
      <c r="E550" s="249"/>
    </row>
    <row r="551" spans="2:5" s="275" customFormat="1" x14ac:dyDescent="0.2">
      <c r="B551" s="278"/>
      <c r="E551" s="249"/>
    </row>
    <row r="552" spans="2:5" s="275" customFormat="1" x14ac:dyDescent="0.2">
      <c r="B552" s="278"/>
      <c r="E552" s="249"/>
    </row>
    <row r="553" spans="2:5" s="275" customFormat="1" x14ac:dyDescent="0.2">
      <c r="B553" s="278"/>
      <c r="E553" s="249"/>
    </row>
    <row r="554" spans="2:5" s="275" customFormat="1" x14ac:dyDescent="0.2">
      <c r="B554" s="278"/>
      <c r="E554" s="249"/>
    </row>
    <row r="555" spans="2:5" s="275" customFormat="1" x14ac:dyDescent="0.2">
      <c r="B555" s="278"/>
      <c r="E555" s="249"/>
    </row>
    <row r="556" spans="2:5" s="275" customFormat="1" x14ac:dyDescent="0.2">
      <c r="B556" s="278"/>
      <c r="E556" s="249"/>
    </row>
    <row r="557" spans="2:5" s="275" customFormat="1" x14ac:dyDescent="0.2">
      <c r="B557" s="278"/>
      <c r="E557" s="249"/>
    </row>
    <row r="558" spans="2:5" s="275" customFormat="1" x14ac:dyDescent="0.2">
      <c r="B558" s="278"/>
      <c r="E558" s="249"/>
    </row>
    <row r="559" spans="2:5" s="275" customFormat="1" x14ac:dyDescent="0.2">
      <c r="B559" s="278"/>
      <c r="E559" s="249"/>
    </row>
    <row r="560" spans="2:5" s="275" customFormat="1" x14ac:dyDescent="0.2">
      <c r="B560" s="278"/>
      <c r="E560" s="249"/>
    </row>
    <row r="561" spans="2:5" s="275" customFormat="1" x14ac:dyDescent="0.2">
      <c r="B561" s="278"/>
      <c r="E561" s="249"/>
    </row>
    <row r="562" spans="2:5" s="275" customFormat="1" x14ac:dyDescent="0.2">
      <c r="B562" s="278"/>
      <c r="E562" s="249"/>
    </row>
    <row r="563" spans="2:5" s="275" customFormat="1" x14ac:dyDescent="0.2">
      <c r="B563" s="278"/>
      <c r="E563" s="249"/>
    </row>
    <row r="564" spans="2:5" s="275" customFormat="1" x14ac:dyDescent="0.2">
      <c r="B564" s="278"/>
      <c r="E564" s="249"/>
    </row>
    <row r="565" spans="2:5" s="275" customFormat="1" x14ac:dyDescent="0.2">
      <c r="B565" s="278"/>
      <c r="E565" s="249"/>
    </row>
    <row r="566" spans="2:5" s="275" customFormat="1" x14ac:dyDescent="0.2">
      <c r="B566" s="278"/>
      <c r="E566" s="249"/>
    </row>
    <row r="567" spans="2:5" s="275" customFormat="1" x14ac:dyDescent="0.2">
      <c r="B567" s="278"/>
      <c r="E567" s="249"/>
    </row>
    <row r="568" spans="2:5" s="275" customFormat="1" x14ac:dyDescent="0.2">
      <c r="B568" s="278"/>
      <c r="E568" s="249"/>
    </row>
    <row r="569" spans="2:5" s="275" customFormat="1" x14ac:dyDescent="0.2">
      <c r="B569" s="278"/>
      <c r="E569" s="249"/>
    </row>
    <row r="570" spans="2:5" s="275" customFormat="1" x14ac:dyDescent="0.2">
      <c r="B570" s="278"/>
      <c r="E570" s="249"/>
    </row>
    <row r="571" spans="2:5" s="275" customFormat="1" x14ac:dyDescent="0.2">
      <c r="B571" s="278"/>
      <c r="E571" s="249"/>
    </row>
    <row r="572" spans="2:5" s="275" customFormat="1" x14ac:dyDescent="0.2">
      <c r="B572" s="278"/>
      <c r="E572" s="249"/>
    </row>
    <row r="573" spans="2:5" s="275" customFormat="1" x14ac:dyDescent="0.2">
      <c r="B573" s="278"/>
      <c r="E573" s="249"/>
    </row>
    <row r="574" spans="2:5" s="275" customFormat="1" x14ac:dyDescent="0.2">
      <c r="B574" s="278"/>
      <c r="E574" s="249"/>
    </row>
    <row r="575" spans="2:5" s="275" customFormat="1" x14ac:dyDescent="0.2">
      <c r="B575" s="278"/>
      <c r="E575" s="249"/>
    </row>
    <row r="576" spans="2:5" s="275" customFormat="1" x14ac:dyDescent="0.2">
      <c r="B576" s="278"/>
      <c r="E576" s="249"/>
    </row>
    <row r="577" spans="2:5" s="275" customFormat="1" x14ac:dyDescent="0.2">
      <c r="B577" s="278"/>
      <c r="E577" s="249"/>
    </row>
    <row r="578" spans="2:5" s="275" customFormat="1" x14ac:dyDescent="0.2">
      <c r="B578" s="278"/>
      <c r="E578" s="249"/>
    </row>
    <row r="579" spans="2:5" s="275" customFormat="1" x14ac:dyDescent="0.2">
      <c r="B579" s="278"/>
      <c r="E579" s="249"/>
    </row>
    <row r="580" spans="2:5" s="275" customFormat="1" x14ac:dyDescent="0.2">
      <c r="B580" s="278"/>
      <c r="E580" s="249"/>
    </row>
    <row r="581" spans="2:5" s="275" customFormat="1" x14ac:dyDescent="0.2">
      <c r="B581" s="278"/>
      <c r="E581" s="249"/>
    </row>
    <row r="582" spans="2:5" s="275" customFormat="1" x14ac:dyDescent="0.2">
      <c r="B582" s="278"/>
      <c r="E582" s="249"/>
    </row>
    <row r="583" spans="2:5" s="275" customFormat="1" x14ac:dyDescent="0.2">
      <c r="B583" s="278"/>
      <c r="E583" s="249"/>
    </row>
    <row r="584" spans="2:5" s="275" customFormat="1" x14ac:dyDescent="0.2">
      <c r="B584" s="278"/>
      <c r="E584" s="249"/>
    </row>
    <row r="585" spans="2:5" s="275" customFormat="1" x14ac:dyDescent="0.2">
      <c r="B585" s="278"/>
      <c r="E585" s="249"/>
    </row>
    <row r="586" spans="2:5" s="275" customFormat="1" x14ac:dyDescent="0.2">
      <c r="B586" s="278"/>
      <c r="E586" s="249"/>
    </row>
    <row r="587" spans="2:5" s="275" customFormat="1" x14ac:dyDescent="0.2">
      <c r="B587" s="278"/>
      <c r="E587" s="249"/>
    </row>
    <row r="588" spans="2:5" s="275" customFormat="1" x14ac:dyDescent="0.2">
      <c r="B588" s="278"/>
      <c r="E588" s="249"/>
    </row>
    <row r="589" spans="2:5" s="275" customFormat="1" x14ac:dyDescent="0.2">
      <c r="B589" s="278"/>
      <c r="E589" s="249"/>
    </row>
    <row r="590" spans="2:5" s="275" customFormat="1" x14ac:dyDescent="0.2">
      <c r="B590" s="278"/>
      <c r="E590" s="249"/>
    </row>
    <row r="591" spans="2:5" s="275" customFormat="1" x14ac:dyDescent="0.2">
      <c r="B591" s="278"/>
      <c r="E591" s="249"/>
    </row>
    <row r="592" spans="2:5" s="275" customFormat="1" x14ac:dyDescent="0.2">
      <c r="B592" s="278"/>
      <c r="E592" s="249"/>
    </row>
    <row r="593" spans="2:5" s="275" customFormat="1" x14ac:dyDescent="0.2">
      <c r="B593" s="278"/>
      <c r="E593" s="249"/>
    </row>
    <row r="594" spans="2:5" s="275" customFormat="1" x14ac:dyDescent="0.2">
      <c r="B594" s="278"/>
      <c r="E594" s="249"/>
    </row>
    <row r="595" spans="2:5" s="275" customFormat="1" x14ac:dyDescent="0.2">
      <c r="B595" s="278"/>
      <c r="E595" s="249"/>
    </row>
    <row r="596" spans="2:5" s="275" customFormat="1" x14ac:dyDescent="0.2">
      <c r="B596" s="278"/>
      <c r="E596" s="249"/>
    </row>
    <row r="597" spans="2:5" s="275" customFormat="1" x14ac:dyDescent="0.2">
      <c r="B597" s="278"/>
      <c r="E597" s="249"/>
    </row>
    <row r="598" spans="2:5" s="275" customFormat="1" x14ac:dyDescent="0.2">
      <c r="B598" s="278"/>
      <c r="E598" s="249"/>
    </row>
    <row r="599" spans="2:5" s="275" customFormat="1" x14ac:dyDescent="0.2">
      <c r="B599" s="278"/>
      <c r="E599" s="249"/>
    </row>
    <row r="600" spans="2:5" s="275" customFormat="1" x14ac:dyDescent="0.2">
      <c r="B600" s="278"/>
      <c r="E600" s="249"/>
    </row>
    <row r="601" spans="2:5" s="275" customFormat="1" x14ac:dyDescent="0.2">
      <c r="B601" s="278"/>
      <c r="E601" s="249"/>
    </row>
    <row r="602" spans="2:5" s="275" customFormat="1" x14ac:dyDescent="0.2">
      <c r="B602" s="278"/>
      <c r="E602" s="249"/>
    </row>
    <row r="603" spans="2:5" s="275" customFormat="1" x14ac:dyDescent="0.2">
      <c r="B603" s="278"/>
      <c r="E603" s="249"/>
    </row>
    <row r="604" spans="2:5" s="275" customFormat="1" x14ac:dyDescent="0.2">
      <c r="B604" s="278"/>
      <c r="E604" s="249"/>
    </row>
    <row r="605" spans="2:5" s="275" customFormat="1" x14ac:dyDescent="0.2">
      <c r="B605" s="278"/>
      <c r="E605" s="249"/>
    </row>
    <row r="606" spans="2:5" s="275" customFormat="1" x14ac:dyDescent="0.2">
      <c r="B606" s="278"/>
      <c r="E606" s="249"/>
    </row>
    <row r="607" spans="2:5" s="275" customFormat="1" x14ac:dyDescent="0.2">
      <c r="B607" s="278"/>
      <c r="E607" s="249"/>
    </row>
    <row r="608" spans="2:5" s="275" customFormat="1" x14ac:dyDescent="0.2">
      <c r="B608" s="278"/>
      <c r="E608" s="249"/>
    </row>
    <row r="609" spans="2:5" s="275" customFormat="1" x14ac:dyDescent="0.2">
      <c r="B609" s="278"/>
      <c r="E609" s="249"/>
    </row>
    <row r="610" spans="2:5" s="275" customFormat="1" x14ac:dyDescent="0.2">
      <c r="B610" s="278"/>
      <c r="E610" s="249"/>
    </row>
    <row r="611" spans="2:5" s="275" customFormat="1" x14ac:dyDescent="0.2">
      <c r="B611" s="278"/>
      <c r="E611" s="249"/>
    </row>
    <row r="612" spans="2:5" s="275" customFormat="1" x14ac:dyDescent="0.2">
      <c r="B612" s="278"/>
      <c r="E612" s="249"/>
    </row>
    <row r="613" spans="2:5" s="275" customFormat="1" x14ac:dyDescent="0.2">
      <c r="B613" s="278"/>
      <c r="E613" s="249"/>
    </row>
    <row r="614" spans="2:5" s="275" customFormat="1" x14ac:dyDescent="0.2">
      <c r="B614" s="278"/>
      <c r="E614" s="249"/>
    </row>
    <row r="615" spans="2:5" s="275" customFormat="1" x14ac:dyDescent="0.2">
      <c r="B615" s="278"/>
      <c r="E615" s="249"/>
    </row>
    <row r="616" spans="2:5" s="275" customFormat="1" x14ac:dyDescent="0.2">
      <c r="B616" s="278"/>
      <c r="E616" s="249"/>
    </row>
    <row r="617" spans="2:5" s="275" customFormat="1" x14ac:dyDescent="0.2">
      <c r="B617" s="278"/>
      <c r="E617" s="249"/>
    </row>
    <row r="618" spans="2:5" s="275" customFormat="1" x14ac:dyDescent="0.2">
      <c r="B618" s="278"/>
      <c r="E618" s="249"/>
    </row>
    <row r="619" spans="2:5" s="275" customFormat="1" x14ac:dyDescent="0.2">
      <c r="B619" s="278"/>
      <c r="E619" s="249"/>
    </row>
    <row r="620" spans="2:5" s="275" customFormat="1" x14ac:dyDescent="0.2">
      <c r="B620" s="278"/>
      <c r="E620" s="249"/>
    </row>
    <row r="621" spans="2:5" s="275" customFormat="1" x14ac:dyDescent="0.2">
      <c r="B621" s="278"/>
      <c r="E621" s="249"/>
    </row>
    <row r="622" spans="2:5" s="275" customFormat="1" x14ac:dyDescent="0.2">
      <c r="B622" s="278"/>
      <c r="E622" s="249"/>
    </row>
    <row r="623" spans="2:5" s="275" customFormat="1" x14ac:dyDescent="0.2">
      <c r="B623" s="278"/>
      <c r="E623" s="249"/>
    </row>
    <row r="624" spans="2:5" s="275" customFormat="1" x14ac:dyDescent="0.2">
      <c r="B624" s="278"/>
      <c r="E624" s="249"/>
    </row>
    <row r="625" spans="2:5" s="275" customFormat="1" x14ac:dyDescent="0.2">
      <c r="B625" s="278"/>
      <c r="E625" s="249"/>
    </row>
    <row r="626" spans="2:5" s="275" customFormat="1" x14ac:dyDescent="0.2">
      <c r="B626" s="278"/>
      <c r="E626" s="249"/>
    </row>
    <row r="627" spans="2:5" s="275" customFormat="1" x14ac:dyDescent="0.2">
      <c r="B627" s="278"/>
      <c r="E627" s="249"/>
    </row>
    <row r="628" spans="2:5" s="275" customFormat="1" x14ac:dyDescent="0.2">
      <c r="B628" s="278"/>
      <c r="E628" s="249"/>
    </row>
    <row r="629" spans="2:5" s="275" customFormat="1" x14ac:dyDescent="0.2">
      <c r="B629" s="278"/>
      <c r="E629" s="249"/>
    </row>
    <row r="630" spans="2:5" s="275" customFormat="1" x14ac:dyDescent="0.2">
      <c r="B630" s="278"/>
      <c r="E630" s="249"/>
    </row>
    <row r="631" spans="2:5" s="275" customFormat="1" x14ac:dyDescent="0.2">
      <c r="B631" s="278"/>
      <c r="E631" s="249"/>
    </row>
    <row r="632" spans="2:5" s="275" customFormat="1" x14ac:dyDescent="0.2">
      <c r="B632" s="278"/>
      <c r="E632" s="249"/>
    </row>
    <row r="633" spans="2:5" s="275" customFormat="1" x14ac:dyDescent="0.2">
      <c r="B633" s="278"/>
      <c r="E633" s="249"/>
    </row>
    <row r="634" spans="2:5" s="275" customFormat="1" x14ac:dyDescent="0.2">
      <c r="B634" s="278"/>
      <c r="E634" s="249"/>
    </row>
    <row r="635" spans="2:5" s="275" customFormat="1" x14ac:dyDescent="0.2">
      <c r="B635" s="278"/>
      <c r="E635" s="249"/>
    </row>
    <row r="636" spans="2:5" s="275" customFormat="1" x14ac:dyDescent="0.2">
      <c r="B636" s="278"/>
      <c r="E636" s="249"/>
    </row>
    <row r="637" spans="2:5" s="275" customFormat="1" x14ac:dyDescent="0.2">
      <c r="B637" s="278"/>
      <c r="E637" s="249"/>
    </row>
    <row r="638" spans="2:5" s="275" customFormat="1" x14ac:dyDescent="0.2">
      <c r="B638" s="278"/>
      <c r="E638" s="249"/>
    </row>
    <row r="639" spans="2:5" s="275" customFormat="1" x14ac:dyDescent="0.2">
      <c r="B639" s="278"/>
      <c r="E639" s="249"/>
    </row>
    <row r="640" spans="2:5" s="275" customFormat="1" x14ac:dyDescent="0.2">
      <c r="B640" s="278"/>
      <c r="E640" s="249"/>
    </row>
    <row r="641" spans="2:5" s="275" customFormat="1" x14ac:dyDescent="0.2">
      <c r="B641" s="278"/>
      <c r="E641" s="249"/>
    </row>
    <row r="642" spans="2:5" s="275" customFormat="1" x14ac:dyDescent="0.2">
      <c r="B642" s="278"/>
      <c r="E642" s="249"/>
    </row>
    <row r="643" spans="2:5" s="275" customFormat="1" x14ac:dyDescent="0.2">
      <c r="B643" s="278"/>
      <c r="E643" s="249"/>
    </row>
    <row r="644" spans="2:5" s="275" customFormat="1" x14ac:dyDescent="0.2">
      <c r="B644" s="278"/>
      <c r="E644" s="249"/>
    </row>
    <row r="645" spans="2:5" s="275" customFormat="1" x14ac:dyDescent="0.2">
      <c r="B645" s="278"/>
      <c r="E645" s="249"/>
    </row>
    <row r="646" spans="2:5" s="275" customFormat="1" x14ac:dyDescent="0.2">
      <c r="B646" s="278"/>
      <c r="E646" s="249"/>
    </row>
    <row r="647" spans="2:5" s="275" customFormat="1" x14ac:dyDescent="0.2">
      <c r="B647" s="278"/>
      <c r="E647" s="249"/>
    </row>
    <row r="648" spans="2:5" s="275" customFormat="1" x14ac:dyDescent="0.2">
      <c r="B648" s="278"/>
      <c r="E648" s="249"/>
    </row>
    <row r="649" spans="2:5" s="275" customFormat="1" x14ac:dyDescent="0.2">
      <c r="B649" s="278"/>
      <c r="E649" s="249"/>
    </row>
    <row r="650" spans="2:5" s="275" customFormat="1" x14ac:dyDescent="0.2">
      <c r="B650" s="278"/>
      <c r="E650" s="249"/>
    </row>
    <row r="651" spans="2:5" s="275" customFormat="1" x14ac:dyDescent="0.2">
      <c r="B651" s="278"/>
      <c r="E651" s="249"/>
    </row>
    <row r="652" spans="2:5" s="275" customFormat="1" x14ac:dyDescent="0.2">
      <c r="B652" s="278"/>
      <c r="E652" s="249"/>
    </row>
    <row r="653" spans="2:5" s="275" customFormat="1" x14ac:dyDescent="0.2">
      <c r="B653" s="278"/>
      <c r="E653" s="249"/>
    </row>
    <row r="654" spans="2:5" s="275" customFormat="1" x14ac:dyDescent="0.2">
      <c r="B654" s="278"/>
      <c r="E654" s="249"/>
    </row>
    <row r="655" spans="2:5" s="275" customFormat="1" x14ac:dyDescent="0.2">
      <c r="B655" s="278"/>
      <c r="E655" s="249"/>
    </row>
    <row r="656" spans="2:5" s="275" customFormat="1" x14ac:dyDescent="0.2">
      <c r="B656" s="278"/>
      <c r="E656" s="249"/>
    </row>
    <row r="657" spans="2:5" s="275" customFormat="1" x14ac:dyDescent="0.2">
      <c r="B657" s="278"/>
      <c r="E657" s="249"/>
    </row>
    <row r="658" spans="2:5" s="275" customFormat="1" x14ac:dyDescent="0.2">
      <c r="B658" s="278"/>
      <c r="E658" s="249"/>
    </row>
    <row r="659" spans="2:5" s="275" customFormat="1" x14ac:dyDescent="0.2">
      <c r="B659" s="278"/>
      <c r="E659" s="249"/>
    </row>
    <row r="660" spans="2:5" s="275" customFormat="1" x14ac:dyDescent="0.2">
      <c r="B660" s="278"/>
      <c r="E660" s="249"/>
    </row>
    <row r="661" spans="2:5" s="275" customFormat="1" x14ac:dyDescent="0.2">
      <c r="B661" s="278"/>
      <c r="E661" s="249"/>
    </row>
    <row r="662" spans="2:5" s="275" customFormat="1" x14ac:dyDescent="0.2">
      <c r="B662" s="278"/>
      <c r="E662" s="249"/>
    </row>
    <row r="663" spans="2:5" s="275" customFormat="1" x14ac:dyDescent="0.2">
      <c r="B663" s="278"/>
      <c r="E663" s="249"/>
    </row>
    <row r="664" spans="2:5" s="275" customFormat="1" x14ac:dyDescent="0.2">
      <c r="B664" s="278"/>
      <c r="E664" s="249"/>
    </row>
    <row r="665" spans="2:5" s="275" customFormat="1" x14ac:dyDescent="0.2">
      <c r="B665" s="278"/>
      <c r="E665" s="249"/>
    </row>
    <row r="666" spans="2:5" s="275" customFormat="1" x14ac:dyDescent="0.2">
      <c r="B666" s="278"/>
      <c r="E666" s="249"/>
    </row>
    <row r="667" spans="2:5" s="275" customFormat="1" x14ac:dyDescent="0.2">
      <c r="B667" s="278"/>
      <c r="E667" s="249"/>
    </row>
    <row r="668" spans="2:5" s="275" customFormat="1" x14ac:dyDescent="0.2">
      <c r="B668" s="278"/>
      <c r="E668" s="249"/>
    </row>
    <row r="669" spans="2:5" s="275" customFormat="1" x14ac:dyDescent="0.2">
      <c r="B669" s="278"/>
      <c r="E669" s="249"/>
    </row>
    <row r="670" spans="2:5" s="275" customFormat="1" x14ac:dyDescent="0.2">
      <c r="B670" s="278"/>
      <c r="E670" s="249"/>
    </row>
    <row r="671" spans="2:5" s="275" customFormat="1" x14ac:dyDescent="0.2">
      <c r="B671" s="278"/>
      <c r="E671" s="249"/>
    </row>
    <row r="672" spans="2:5" s="275" customFormat="1" x14ac:dyDescent="0.2">
      <c r="B672" s="278"/>
      <c r="E672" s="249"/>
    </row>
    <row r="673" spans="2:5" s="275" customFormat="1" x14ac:dyDescent="0.2">
      <c r="B673" s="278"/>
      <c r="E673" s="249"/>
    </row>
    <row r="674" spans="2:5" s="275" customFormat="1" x14ac:dyDescent="0.2">
      <c r="B674" s="278"/>
      <c r="E674" s="249"/>
    </row>
    <row r="675" spans="2:5" s="275" customFormat="1" x14ac:dyDescent="0.2">
      <c r="B675" s="278"/>
      <c r="E675" s="249"/>
    </row>
    <row r="676" spans="2:5" s="275" customFormat="1" x14ac:dyDescent="0.2">
      <c r="B676" s="278"/>
      <c r="E676" s="249"/>
    </row>
    <row r="677" spans="2:5" s="275" customFormat="1" x14ac:dyDescent="0.2">
      <c r="B677" s="278"/>
      <c r="E677" s="249"/>
    </row>
    <row r="678" spans="2:5" s="275" customFormat="1" x14ac:dyDescent="0.2">
      <c r="B678" s="278"/>
      <c r="E678" s="249"/>
    </row>
    <row r="679" spans="2:5" s="275" customFormat="1" x14ac:dyDescent="0.2">
      <c r="B679" s="278"/>
      <c r="E679" s="249"/>
    </row>
    <row r="680" spans="2:5" s="275" customFormat="1" x14ac:dyDescent="0.2">
      <c r="B680" s="278"/>
      <c r="E680" s="249"/>
    </row>
    <row r="681" spans="2:5" s="275" customFormat="1" x14ac:dyDescent="0.2">
      <c r="B681" s="278"/>
      <c r="E681" s="249"/>
    </row>
    <row r="682" spans="2:5" s="275" customFormat="1" x14ac:dyDescent="0.2">
      <c r="B682" s="278"/>
      <c r="E682" s="249"/>
    </row>
    <row r="683" spans="2:5" s="275" customFormat="1" x14ac:dyDescent="0.2">
      <c r="B683" s="278"/>
      <c r="E683" s="249"/>
    </row>
    <row r="684" spans="2:5" s="275" customFormat="1" x14ac:dyDescent="0.2">
      <c r="B684" s="278"/>
      <c r="E684" s="249"/>
    </row>
    <row r="685" spans="2:5" s="275" customFormat="1" x14ac:dyDescent="0.2">
      <c r="B685" s="278"/>
      <c r="E685" s="249"/>
    </row>
    <row r="686" spans="2:5" s="275" customFormat="1" x14ac:dyDescent="0.2">
      <c r="B686" s="278"/>
      <c r="E686" s="249"/>
    </row>
    <row r="687" spans="2:5" s="275" customFormat="1" x14ac:dyDescent="0.2">
      <c r="B687" s="278"/>
      <c r="E687" s="249"/>
    </row>
    <row r="688" spans="2:5" s="275" customFormat="1" x14ac:dyDescent="0.2">
      <c r="B688" s="278"/>
      <c r="E688" s="249"/>
    </row>
    <row r="689" spans="2:5" s="275" customFormat="1" x14ac:dyDescent="0.2">
      <c r="B689" s="278"/>
      <c r="E689" s="249"/>
    </row>
    <row r="690" spans="2:5" s="275" customFormat="1" x14ac:dyDescent="0.2">
      <c r="B690" s="278"/>
      <c r="E690" s="249"/>
    </row>
    <row r="691" spans="2:5" s="275" customFormat="1" x14ac:dyDescent="0.2">
      <c r="B691" s="278"/>
      <c r="E691" s="249"/>
    </row>
    <row r="692" spans="2:5" s="275" customFormat="1" x14ac:dyDescent="0.2">
      <c r="B692" s="278"/>
      <c r="E692" s="249"/>
    </row>
    <row r="693" spans="2:5" s="275" customFormat="1" x14ac:dyDescent="0.2">
      <c r="B693" s="278"/>
      <c r="E693" s="249"/>
    </row>
    <row r="694" spans="2:5" s="275" customFormat="1" x14ac:dyDescent="0.2">
      <c r="B694" s="278"/>
      <c r="E694" s="249"/>
    </row>
    <row r="695" spans="2:5" s="275" customFormat="1" x14ac:dyDescent="0.2">
      <c r="B695" s="278"/>
      <c r="E695" s="249"/>
    </row>
    <row r="696" spans="2:5" s="275" customFormat="1" x14ac:dyDescent="0.2">
      <c r="B696" s="278"/>
      <c r="E696" s="249"/>
    </row>
    <row r="697" spans="2:5" s="275" customFormat="1" x14ac:dyDescent="0.2">
      <c r="B697" s="278"/>
      <c r="E697" s="249"/>
    </row>
    <row r="698" spans="2:5" s="275" customFormat="1" x14ac:dyDescent="0.2">
      <c r="B698" s="278"/>
      <c r="E698" s="249"/>
    </row>
    <row r="699" spans="2:5" s="275" customFormat="1" x14ac:dyDescent="0.2">
      <c r="B699" s="278"/>
      <c r="E699" s="249"/>
    </row>
    <row r="700" spans="2:5" s="275" customFormat="1" x14ac:dyDescent="0.2">
      <c r="B700" s="278"/>
      <c r="E700" s="249"/>
    </row>
    <row r="701" spans="2:5" s="275" customFormat="1" x14ac:dyDescent="0.2">
      <c r="B701" s="278"/>
      <c r="E701" s="249"/>
    </row>
    <row r="702" spans="2:5" s="275" customFormat="1" x14ac:dyDescent="0.2">
      <c r="B702" s="278"/>
      <c r="E702" s="249"/>
    </row>
    <row r="703" spans="2:5" s="275" customFormat="1" x14ac:dyDescent="0.2">
      <c r="B703" s="278"/>
      <c r="E703" s="249"/>
    </row>
    <row r="704" spans="2:5" s="275" customFormat="1" x14ac:dyDescent="0.2">
      <c r="B704" s="278"/>
      <c r="E704" s="249"/>
    </row>
    <row r="705" spans="2:5" s="275" customFormat="1" x14ac:dyDescent="0.2">
      <c r="B705" s="278"/>
      <c r="E705" s="249"/>
    </row>
    <row r="706" spans="2:5" s="275" customFormat="1" x14ac:dyDescent="0.2">
      <c r="B706" s="278"/>
      <c r="E706" s="249"/>
    </row>
    <row r="707" spans="2:5" s="275" customFormat="1" x14ac:dyDescent="0.2">
      <c r="B707" s="278"/>
      <c r="E707" s="249"/>
    </row>
    <row r="708" spans="2:5" s="275" customFormat="1" x14ac:dyDescent="0.2">
      <c r="B708" s="278"/>
      <c r="E708" s="249"/>
    </row>
    <row r="709" spans="2:5" s="275" customFormat="1" x14ac:dyDescent="0.2">
      <c r="B709" s="278"/>
      <c r="E709" s="249"/>
    </row>
    <row r="710" spans="2:5" s="275" customFormat="1" x14ac:dyDescent="0.2">
      <c r="B710" s="278"/>
      <c r="E710" s="249"/>
    </row>
    <row r="711" spans="2:5" s="275" customFormat="1" x14ac:dyDescent="0.2">
      <c r="B711" s="278"/>
      <c r="E711" s="249"/>
    </row>
    <row r="712" spans="2:5" s="275" customFormat="1" x14ac:dyDescent="0.2">
      <c r="B712" s="278"/>
      <c r="E712" s="249"/>
    </row>
    <row r="713" spans="2:5" s="275" customFormat="1" x14ac:dyDescent="0.2">
      <c r="B713" s="278"/>
      <c r="E713" s="249"/>
    </row>
    <row r="714" spans="2:5" s="275" customFormat="1" x14ac:dyDescent="0.2">
      <c r="B714" s="278"/>
      <c r="E714" s="249"/>
    </row>
    <row r="715" spans="2:5" s="275" customFormat="1" x14ac:dyDescent="0.2">
      <c r="B715" s="278"/>
      <c r="E715" s="249"/>
    </row>
    <row r="716" spans="2:5" s="275" customFormat="1" x14ac:dyDescent="0.2">
      <c r="B716" s="278"/>
      <c r="E716" s="249"/>
    </row>
    <row r="717" spans="2:5" s="275" customFormat="1" x14ac:dyDescent="0.2">
      <c r="B717" s="278"/>
      <c r="E717" s="249"/>
    </row>
    <row r="718" spans="2:5" s="275" customFormat="1" x14ac:dyDescent="0.2">
      <c r="B718" s="278"/>
      <c r="E718" s="249"/>
    </row>
    <row r="719" spans="2:5" s="275" customFormat="1" x14ac:dyDescent="0.2">
      <c r="B719" s="278"/>
      <c r="E719" s="249"/>
    </row>
    <row r="720" spans="2:5" s="275" customFormat="1" x14ac:dyDescent="0.2">
      <c r="B720" s="278"/>
      <c r="E720" s="249"/>
    </row>
    <row r="721" spans="2:5" s="275" customFormat="1" x14ac:dyDescent="0.2">
      <c r="B721" s="278"/>
      <c r="E721" s="249"/>
    </row>
    <row r="722" spans="2:5" s="275" customFormat="1" x14ac:dyDescent="0.2">
      <c r="B722" s="278"/>
      <c r="E722" s="249"/>
    </row>
    <row r="723" spans="2:5" s="275" customFormat="1" x14ac:dyDescent="0.2">
      <c r="B723" s="278"/>
      <c r="E723" s="249"/>
    </row>
    <row r="724" spans="2:5" s="275" customFormat="1" x14ac:dyDescent="0.2">
      <c r="B724" s="278"/>
      <c r="E724" s="249"/>
    </row>
    <row r="725" spans="2:5" s="275" customFormat="1" x14ac:dyDescent="0.2">
      <c r="B725" s="278"/>
      <c r="E725" s="249"/>
    </row>
    <row r="726" spans="2:5" s="275" customFormat="1" x14ac:dyDescent="0.2">
      <c r="B726" s="278"/>
      <c r="E726" s="249"/>
    </row>
    <row r="727" spans="2:5" s="275" customFormat="1" x14ac:dyDescent="0.2">
      <c r="B727" s="278"/>
      <c r="E727" s="249"/>
    </row>
    <row r="728" spans="2:5" s="275" customFormat="1" x14ac:dyDescent="0.2">
      <c r="B728" s="278"/>
      <c r="E728" s="249"/>
    </row>
    <row r="729" spans="2:5" s="275" customFormat="1" x14ac:dyDescent="0.2">
      <c r="B729" s="278"/>
      <c r="E729" s="249"/>
    </row>
    <row r="730" spans="2:5" s="275" customFormat="1" x14ac:dyDescent="0.2">
      <c r="B730" s="278"/>
      <c r="E730" s="249"/>
    </row>
    <row r="731" spans="2:5" s="275" customFormat="1" x14ac:dyDescent="0.2">
      <c r="B731" s="278"/>
      <c r="E731" s="249"/>
    </row>
    <row r="732" spans="2:5" s="275" customFormat="1" x14ac:dyDescent="0.2">
      <c r="B732" s="278"/>
      <c r="E732" s="249"/>
    </row>
    <row r="733" spans="2:5" s="275" customFormat="1" x14ac:dyDescent="0.2">
      <c r="B733" s="278"/>
      <c r="E733" s="249"/>
    </row>
    <row r="734" spans="2:5" s="275" customFormat="1" x14ac:dyDescent="0.2">
      <c r="B734" s="278"/>
      <c r="E734" s="249"/>
    </row>
    <row r="735" spans="2:5" s="275" customFormat="1" x14ac:dyDescent="0.2">
      <c r="B735" s="278"/>
      <c r="E735" s="249"/>
    </row>
    <row r="736" spans="2:5" s="275" customFormat="1" x14ac:dyDescent="0.2">
      <c r="B736" s="278"/>
      <c r="E736" s="249"/>
    </row>
    <row r="737" spans="2:5" s="275" customFormat="1" x14ac:dyDescent="0.2">
      <c r="B737" s="278"/>
      <c r="E737" s="249"/>
    </row>
    <row r="738" spans="2:5" s="275" customFormat="1" x14ac:dyDescent="0.2">
      <c r="B738" s="278"/>
      <c r="E738" s="249"/>
    </row>
    <row r="739" spans="2:5" s="275" customFormat="1" x14ac:dyDescent="0.2">
      <c r="B739" s="278"/>
      <c r="E739" s="249"/>
    </row>
    <row r="740" spans="2:5" s="275" customFormat="1" x14ac:dyDescent="0.2">
      <c r="B740" s="278"/>
      <c r="E740" s="249"/>
    </row>
    <row r="741" spans="2:5" s="275" customFormat="1" x14ac:dyDescent="0.2">
      <c r="B741" s="278"/>
      <c r="E741" s="249"/>
    </row>
    <row r="742" spans="2:5" s="275" customFormat="1" x14ac:dyDescent="0.2">
      <c r="B742" s="278"/>
      <c r="E742" s="249"/>
    </row>
    <row r="743" spans="2:5" s="275" customFormat="1" x14ac:dyDescent="0.2">
      <c r="B743" s="278"/>
      <c r="E743" s="249"/>
    </row>
    <row r="744" spans="2:5" s="275" customFormat="1" x14ac:dyDescent="0.2">
      <c r="B744" s="278"/>
      <c r="E744" s="249"/>
    </row>
    <row r="745" spans="2:5" s="275" customFormat="1" x14ac:dyDescent="0.2">
      <c r="B745" s="278"/>
      <c r="E745" s="249"/>
    </row>
    <row r="746" spans="2:5" s="275" customFormat="1" x14ac:dyDescent="0.2">
      <c r="B746" s="278"/>
      <c r="E746" s="249"/>
    </row>
    <row r="747" spans="2:5" s="275" customFormat="1" x14ac:dyDescent="0.2">
      <c r="B747" s="278"/>
      <c r="E747" s="249"/>
    </row>
    <row r="748" spans="2:5" s="275" customFormat="1" x14ac:dyDescent="0.2">
      <c r="B748" s="278"/>
      <c r="E748" s="249"/>
    </row>
    <row r="749" spans="2:5" s="275" customFormat="1" x14ac:dyDescent="0.2">
      <c r="B749" s="278"/>
      <c r="E749" s="249"/>
    </row>
    <row r="750" spans="2:5" s="275" customFormat="1" x14ac:dyDescent="0.2">
      <c r="B750" s="278"/>
      <c r="E750" s="249"/>
    </row>
    <row r="751" spans="2:5" s="275" customFormat="1" x14ac:dyDescent="0.2">
      <c r="B751" s="278"/>
      <c r="E751" s="249"/>
    </row>
    <row r="752" spans="2:5" s="275" customFormat="1" x14ac:dyDescent="0.2">
      <c r="B752" s="278"/>
      <c r="E752" s="249"/>
    </row>
    <row r="753" spans="2:5" s="275" customFormat="1" x14ac:dyDescent="0.2">
      <c r="B753" s="278"/>
      <c r="E753" s="249"/>
    </row>
    <row r="754" spans="2:5" s="275" customFormat="1" x14ac:dyDescent="0.2">
      <c r="B754" s="278"/>
      <c r="E754" s="249"/>
    </row>
    <row r="755" spans="2:5" s="275" customFormat="1" x14ac:dyDescent="0.2">
      <c r="B755" s="278"/>
      <c r="E755" s="249"/>
    </row>
    <row r="756" spans="2:5" s="275" customFormat="1" x14ac:dyDescent="0.2">
      <c r="B756" s="278"/>
      <c r="E756" s="249"/>
    </row>
    <row r="757" spans="2:5" s="275" customFormat="1" x14ac:dyDescent="0.2">
      <c r="B757" s="278"/>
      <c r="E757" s="249"/>
    </row>
    <row r="758" spans="2:5" s="275" customFormat="1" x14ac:dyDescent="0.2">
      <c r="B758" s="278"/>
      <c r="E758" s="249"/>
    </row>
    <row r="759" spans="2:5" s="275" customFormat="1" x14ac:dyDescent="0.2">
      <c r="B759" s="278"/>
      <c r="E759" s="249"/>
    </row>
    <row r="760" spans="2:5" s="275" customFormat="1" x14ac:dyDescent="0.2">
      <c r="B760" s="278"/>
      <c r="E760" s="249"/>
    </row>
    <row r="761" spans="2:5" s="275" customFormat="1" x14ac:dyDescent="0.2">
      <c r="B761" s="278"/>
      <c r="E761" s="249"/>
    </row>
    <row r="762" spans="2:5" s="275" customFormat="1" x14ac:dyDescent="0.2">
      <c r="B762" s="278"/>
      <c r="E762" s="249"/>
    </row>
    <row r="763" spans="2:5" s="275" customFormat="1" x14ac:dyDescent="0.2">
      <c r="B763" s="278"/>
      <c r="E763" s="249"/>
    </row>
    <row r="764" spans="2:5" s="275" customFormat="1" x14ac:dyDescent="0.2">
      <c r="B764" s="278"/>
      <c r="E764" s="249"/>
    </row>
    <row r="765" spans="2:5" s="275" customFormat="1" x14ac:dyDescent="0.2">
      <c r="B765" s="278"/>
      <c r="E765" s="249"/>
    </row>
    <row r="766" spans="2:5" s="275" customFormat="1" x14ac:dyDescent="0.2">
      <c r="B766" s="278"/>
      <c r="E766" s="249"/>
    </row>
    <row r="767" spans="2:5" s="275" customFormat="1" x14ac:dyDescent="0.2">
      <c r="B767" s="278"/>
      <c r="E767" s="249"/>
    </row>
    <row r="768" spans="2:5" s="275" customFormat="1" x14ac:dyDescent="0.2">
      <c r="B768" s="278"/>
      <c r="E768" s="249"/>
    </row>
    <row r="769" spans="2:5" s="275" customFormat="1" x14ac:dyDescent="0.2">
      <c r="B769" s="278"/>
      <c r="E769" s="249"/>
    </row>
    <row r="770" spans="2:5" s="275" customFormat="1" x14ac:dyDescent="0.2">
      <c r="B770" s="278"/>
      <c r="E770" s="249"/>
    </row>
    <row r="771" spans="2:5" s="275" customFormat="1" x14ac:dyDescent="0.2">
      <c r="B771" s="278"/>
      <c r="E771" s="249"/>
    </row>
    <row r="772" spans="2:5" s="275" customFormat="1" x14ac:dyDescent="0.2">
      <c r="B772" s="278"/>
      <c r="E772" s="249"/>
    </row>
    <row r="773" spans="2:5" s="275" customFormat="1" x14ac:dyDescent="0.2">
      <c r="B773" s="278"/>
      <c r="E773" s="249"/>
    </row>
    <row r="774" spans="2:5" s="275" customFormat="1" x14ac:dyDescent="0.2">
      <c r="B774" s="278"/>
      <c r="E774" s="249"/>
    </row>
    <row r="775" spans="2:5" s="275" customFormat="1" x14ac:dyDescent="0.2">
      <c r="B775" s="278"/>
      <c r="E775" s="249"/>
    </row>
    <row r="776" spans="2:5" s="275" customFormat="1" x14ac:dyDescent="0.2">
      <c r="B776" s="278"/>
      <c r="E776" s="249"/>
    </row>
    <row r="777" spans="2:5" s="275" customFormat="1" x14ac:dyDescent="0.2">
      <c r="B777" s="278"/>
      <c r="E777" s="249"/>
    </row>
    <row r="778" spans="2:5" s="275" customFormat="1" x14ac:dyDescent="0.2">
      <c r="B778" s="278"/>
      <c r="E778" s="249"/>
    </row>
    <row r="779" spans="2:5" s="275" customFormat="1" x14ac:dyDescent="0.2">
      <c r="B779" s="278"/>
      <c r="E779" s="249"/>
    </row>
    <row r="780" spans="2:5" s="275" customFormat="1" x14ac:dyDescent="0.2">
      <c r="B780" s="278"/>
      <c r="E780" s="249"/>
    </row>
    <row r="781" spans="2:5" s="275" customFormat="1" x14ac:dyDescent="0.2">
      <c r="B781" s="278"/>
      <c r="E781" s="249"/>
    </row>
    <row r="782" spans="2:5" s="275" customFormat="1" x14ac:dyDescent="0.2">
      <c r="B782" s="278"/>
      <c r="E782" s="249"/>
    </row>
    <row r="783" spans="2:5" s="275" customFormat="1" x14ac:dyDescent="0.2">
      <c r="B783" s="278"/>
      <c r="E783" s="249"/>
    </row>
    <row r="784" spans="2:5" s="275" customFormat="1" x14ac:dyDescent="0.2">
      <c r="B784" s="278"/>
      <c r="E784" s="249"/>
    </row>
    <row r="785" spans="2:5" s="275" customFormat="1" x14ac:dyDescent="0.2">
      <c r="B785" s="278"/>
      <c r="E785" s="249"/>
    </row>
    <row r="786" spans="2:5" s="275" customFormat="1" x14ac:dyDescent="0.2">
      <c r="B786" s="278"/>
      <c r="E786" s="249"/>
    </row>
    <row r="787" spans="2:5" s="275" customFormat="1" x14ac:dyDescent="0.2">
      <c r="B787" s="278"/>
      <c r="E787" s="249"/>
    </row>
    <row r="788" spans="2:5" s="275" customFormat="1" x14ac:dyDescent="0.2">
      <c r="B788" s="278"/>
      <c r="E788" s="249"/>
    </row>
    <row r="789" spans="2:5" s="275" customFormat="1" x14ac:dyDescent="0.2">
      <c r="B789" s="278"/>
      <c r="E789" s="249"/>
    </row>
    <row r="790" spans="2:5" s="275" customFormat="1" x14ac:dyDescent="0.2">
      <c r="B790" s="278"/>
      <c r="E790" s="249"/>
    </row>
    <row r="791" spans="2:5" s="275" customFormat="1" x14ac:dyDescent="0.2">
      <c r="B791" s="278"/>
      <c r="E791" s="249"/>
    </row>
    <row r="792" spans="2:5" s="275" customFormat="1" x14ac:dyDescent="0.2">
      <c r="B792" s="278"/>
      <c r="E792" s="249"/>
    </row>
    <row r="793" spans="2:5" s="275" customFormat="1" x14ac:dyDescent="0.2">
      <c r="B793" s="278"/>
      <c r="E793" s="249"/>
    </row>
    <row r="794" spans="2:5" s="275" customFormat="1" x14ac:dyDescent="0.2">
      <c r="B794" s="278"/>
      <c r="E794" s="249"/>
    </row>
    <row r="795" spans="2:5" s="275" customFormat="1" x14ac:dyDescent="0.2">
      <c r="B795" s="278"/>
      <c r="E795" s="249"/>
    </row>
    <row r="796" spans="2:5" s="275" customFormat="1" x14ac:dyDescent="0.2">
      <c r="B796" s="278"/>
      <c r="E796" s="249"/>
    </row>
    <row r="797" spans="2:5" s="275" customFormat="1" x14ac:dyDescent="0.2">
      <c r="B797" s="278"/>
      <c r="E797" s="249"/>
    </row>
    <row r="798" spans="2:5" s="275" customFormat="1" x14ac:dyDescent="0.2">
      <c r="B798" s="278"/>
      <c r="E798" s="249"/>
    </row>
    <row r="799" spans="2:5" s="275" customFormat="1" x14ac:dyDescent="0.2">
      <c r="B799" s="278"/>
      <c r="E799" s="249"/>
    </row>
    <row r="800" spans="2:5" s="275" customFormat="1" x14ac:dyDescent="0.2">
      <c r="B800" s="278"/>
      <c r="E800" s="249"/>
    </row>
    <row r="801" spans="2:5" s="275" customFormat="1" x14ac:dyDescent="0.2">
      <c r="B801" s="278"/>
      <c r="E801" s="249"/>
    </row>
    <row r="802" spans="2:5" s="275" customFormat="1" x14ac:dyDescent="0.2">
      <c r="B802" s="278"/>
      <c r="E802" s="249"/>
    </row>
    <row r="803" spans="2:5" s="275" customFormat="1" x14ac:dyDescent="0.2">
      <c r="B803" s="278"/>
      <c r="E803" s="249"/>
    </row>
    <row r="804" spans="2:5" s="275" customFormat="1" x14ac:dyDescent="0.2">
      <c r="B804" s="278"/>
      <c r="E804" s="249"/>
    </row>
    <row r="805" spans="2:5" s="275" customFormat="1" x14ac:dyDescent="0.2">
      <c r="B805" s="278"/>
      <c r="E805" s="249"/>
    </row>
    <row r="806" spans="2:5" s="275" customFormat="1" x14ac:dyDescent="0.2">
      <c r="B806" s="278"/>
      <c r="E806" s="249"/>
    </row>
    <row r="807" spans="2:5" s="275" customFormat="1" x14ac:dyDescent="0.2">
      <c r="B807" s="278"/>
      <c r="E807" s="249"/>
    </row>
    <row r="808" spans="2:5" s="275" customFormat="1" x14ac:dyDescent="0.2">
      <c r="B808" s="278"/>
      <c r="E808" s="249"/>
    </row>
    <row r="809" spans="2:5" s="275" customFormat="1" x14ac:dyDescent="0.2">
      <c r="B809" s="278"/>
      <c r="E809" s="249"/>
    </row>
    <row r="810" spans="2:5" s="275" customFormat="1" x14ac:dyDescent="0.2">
      <c r="B810" s="278"/>
      <c r="E810" s="249"/>
    </row>
    <row r="811" spans="2:5" s="275" customFormat="1" x14ac:dyDescent="0.2">
      <c r="B811" s="278"/>
      <c r="E811" s="249"/>
    </row>
    <row r="812" spans="2:5" s="275" customFormat="1" x14ac:dyDescent="0.2">
      <c r="B812" s="278"/>
      <c r="E812" s="249"/>
    </row>
    <row r="813" spans="2:5" s="275" customFormat="1" x14ac:dyDescent="0.2">
      <c r="B813" s="278"/>
      <c r="E813" s="249"/>
    </row>
    <row r="814" spans="2:5" s="275" customFormat="1" x14ac:dyDescent="0.2">
      <c r="B814" s="278"/>
      <c r="E814" s="249"/>
    </row>
    <row r="815" spans="2:5" s="275" customFormat="1" x14ac:dyDescent="0.2">
      <c r="B815" s="278"/>
      <c r="E815" s="249"/>
    </row>
    <row r="816" spans="2:5" s="275" customFormat="1" x14ac:dyDescent="0.2">
      <c r="B816" s="278"/>
      <c r="E816" s="249"/>
    </row>
    <row r="817" spans="2:5" s="275" customFormat="1" x14ac:dyDescent="0.2">
      <c r="B817" s="278"/>
      <c r="E817" s="249"/>
    </row>
    <row r="818" spans="2:5" s="275" customFormat="1" x14ac:dyDescent="0.2">
      <c r="B818" s="278"/>
      <c r="E818" s="249"/>
    </row>
    <row r="819" spans="2:5" s="275" customFormat="1" x14ac:dyDescent="0.2">
      <c r="B819" s="278"/>
      <c r="E819" s="249"/>
    </row>
    <row r="820" spans="2:5" s="275" customFormat="1" x14ac:dyDescent="0.2">
      <c r="B820" s="278"/>
      <c r="E820" s="249"/>
    </row>
    <row r="821" spans="2:5" s="275" customFormat="1" x14ac:dyDescent="0.2">
      <c r="B821" s="278"/>
      <c r="E821" s="249"/>
    </row>
    <row r="822" spans="2:5" s="275" customFormat="1" x14ac:dyDescent="0.2">
      <c r="B822" s="278"/>
      <c r="E822" s="249"/>
    </row>
    <row r="823" spans="2:5" s="275" customFormat="1" x14ac:dyDescent="0.2">
      <c r="B823" s="278"/>
      <c r="E823" s="249"/>
    </row>
    <row r="824" spans="2:5" s="275" customFormat="1" x14ac:dyDescent="0.2">
      <c r="B824" s="278"/>
      <c r="E824" s="249"/>
    </row>
    <row r="825" spans="2:5" s="275" customFormat="1" x14ac:dyDescent="0.2">
      <c r="B825" s="278"/>
      <c r="E825" s="249"/>
    </row>
    <row r="826" spans="2:5" s="275" customFormat="1" x14ac:dyDescent="0.2">
      <c r="B826" s="278"/>
      <c r="E826" s="249"/>
    </row>
    <row r="827" spans="2:5" s="275" customFormat="1" x14ac:dyDescent="0.2">
      <c r="B827" s="278"/>
      <c r="E827" s="249"/>
    </row>
    <row r="828" spans="2:5" s="275" customFormat="1" x14ac:dyDescent="0.2">
      <c r="B828" s="278"/>
      <c r="E828" s="249"/>
    </row>
    <row r="829" spans="2:5" s="275" customFormat="1" x14ac:dyDescent="0.2">
      <c r="B829" s="278"/>
      <c r="E829" s="249"/>
    </row>
    <row r="830" spans="2:5" s="275" customFormat="1" x14ac:dyDescent="0.2">
      <c r="B830" s="278"/>
      <c r="E830" s="249"/>
    </row>
    <row r="831" spans="2:5" s="275" customFormat="1" x14ac:dyDescent="0.2">
      <c r="B831" s="278"/>
      <c r="E831" s="249"/>
    </row>
    <row r="832" spans="2:5" s="275" customFormat="1" x14ac:dyDescent="0.2">
      <c r="B832" s="278"/>
      <c r="E832" s="249"/>
    </row>
    <row r="833" spans="2:5" s="275" customFormat="1" x14ac:dyDescent="0.2">
      <c r="B833" s="278"/>
      <c r="E833" s="249"/>
    </row>
    <row r="834" spans="2:5" s="275" customFormat="1" x14ac:dyDescent="0.2">
      <c r="B834" s="278"/>
      <c r="E834" s="249"/>
    </row>
    <row r="835" spans="2:5" s="275" customFormat="1" x14ac:dyDescent="0.2">
      <c r="B835" s="278"/>
      <c r="E835" s="249"/>
    </row>
    <row r="836" spans="2:5" s="275" customFormat="1" x14ac:dyDescent="0.2">
      <c r="B836" s="278"/>
      <c r="E836" s="249"/>
    </row>
    <row r="837" spans="2:5" s="275" customFormat="1" x14ac:dyDescent="0.2">
      <c r="B837" s="278"/>
      <c r="E837" s="249"/>
    </row>
    <row r="838" spans="2:5" s="275" customFormat="1" x14ac:dyDescent="0.2">
      <c r="B838" s="278"/>
      <c r="E838" s="249"/>
    </row>
    <row r="839" spans="2:5" s="275" customFormat="1" x14ac:dyDescent="0.2">
      <c r="B839" s="278"/>
      <c r="E839" s="249"/>
    </row>
    <row r="840" spans="2:5" s="275" customFormat="1" x14ac:dyDescent="0.2">
      <c r="B840" s="278"/>
      <c r="E840" s="249"/>
    </row>
    <row r="841" spans="2:5" s="275" customFormat="1" x14ac:dyDescent="0.2">
      <c r="B841" s="278"/>
      <c r="E841" s="249"/>
    </row>
    <row r="842" spans="2:5" s="275" customFormat="1" x14ac:dyDescent="0.2">
      <c r="B842" s="278"/>
      <c r="E842" s="249"/>
    </row>
    <row r="843" spans="2:5" s="275" customFormat="1" x14ac:dyDescent="0.2">
      <c r="B843" s="278"/>
      <c r="E843" s="249"/>
    </row>
    <row r="844" spans="2:5" s="275" customFormat="1" x14ac:dyDescent="0.2">
      <c r="B844" s="278"/>
      <c r="E844" s="249"/>
    </row>
    <row r="845" spans="2:5" s="275" customFormat="1" x14ac:dyDescent="0.2">
      <c r="B845" s="278"/>
      <c r="E845" s="249"/>
    </row>
    <row r="846" spans="2:5" s="275" customFormat="1" x14ac:dyDescent="0.2">
      <c r="B846" s="278"/>
      <c r="E846" s="249"/>
    </row>
    <row r="847" spans="2:5" s="275" customFormat="1" x14ac:dyDescent="0.2">
      <c r="B847" s="278"/>
      <c r="E847" s="249"/>
    </row>
    <row r="848" spans="2:5" s="275" customFormat="1" x14ac:dyDescent="0.2">
      <c r="B848" s="278"/>
      <c r="E848" s="249"/>
    </row>
    <row r="849" spans="2:5" s="275" customFormat="1" x14ac:dyDescent="0.2">
      <c r="B849" s="278"/>
      <c r="E849" s="249"/>
    </row>
    <row r="850" spans="2:5" s="275" customFormat="1" x14ac:dyDescent="0.2">
      <c r="B850" s="278"/>
      <c r="E850" s="249"/>
    </row>
    <row r="851" spans="2:5" s="275" customFormat="1" x14ac:dyDescent="0.2">
      <c r="B851" s="278"/>
      <c r="E851" s="249"/>
    </row>
    <row r="852" spans="2:5" s="275" customFormat="1" x14ac:dyDescent="0.2">
      <c r="B852" s="278"/>
      <c r="E852" s="249"/>
    </row>
    <row r="853" spans="2:5" s="275" customFormat="1" x14ac:dyDescent="0.2">
      <c r="B853" s="278"/>
      <c r="E853" s="249"/>
    </row>
    <row r="854" spans="2:5" s="275" customFormat="1" x14ac:dyDescent="0.2">
      <c r="B854" s="278"/>
      <c r="E854" s="249"/>
    </row>
    <row r="855" spans="2:5" s="275" customFormat="1" x14ac:dyDescent="0.2">
      <c r="B855" s="278"/>
      <c r="E855" s="249"/>
    </row>
    <row r="856" spans="2:5" s="275" customFormat="1" x14ac:dyDescent="0.2">
      <c r="B856" s="278"/>
      <c r="E856" s="249"/>
    </row>
    <row r="857" spans="2:5" s="275" customFormat="1" x14ac:dyDescent="0.2">
      <c r="B857" s="278"/>
      <c r="E857" s="249"/>
    </row>
    <row r="858" spans="2:5" s="275" customFormat="1" x14ac:dyDescent="0.2">
      <c r="B858" s="278"/>
      <c r="E858" s="249"/>
    </row>
    <row r="859" spans="2:5" s="275" customFormat="1" x14ac:dyDescent="0.2">
      <c r="B859" s="278"/>
      <c r="E859" s="249"/>
    </row>
    <row r="860" spans="2:5" s="275" customFormat="1" x14ac:dyDescent="0.2">
      <c r="B860" s="278"/>
      <c r="E860" s="249"/>
    </row>
    <row r="861" spans="2:5" s="275" customFormat="1" x14ac:dyDescent="0.2">
      <c r="B861" s="278"/>
      <c r="E861" s="249"/>
    </row>
    <row r="862" spans="2:5" s="275" customFormat="1" x14ac:dyDescent="0.2">
      <c r="B862" s="278"/>
      <c r="E862" s="249"/>
    </row>
    <row r="863" spans="2:5" s="275" customFormat="1" x14ac:dyDescent="0.2">
      <c r="B863" s="278"/>
      <c r="E863" s="249"/>
    </row>
    <row r="864" spans="2:5" s="275" customFormat="1" x14ac:dyDescent="0.2">
      <c r="B864" s="278"/>
      <c r="E864" s="249"/>
    </row>
    <row r="865" spans="2:5" s="275" customFormat="1" x14ac:dyDescent="0.2">
      <c r="B865" s="278"/>
      <c r="E865" s="249"/>
    </row>
    <row r="866" spans="2:5" s="275" customFormat="1" x14ac:dyDescent="0.2">
      <c r="B866" s="278"/>
      <c r="E866" s="249"/>
    </row>
    <row r="867" spans="2:5" s="275" customFormat="1" x14ac:dyDescent="0.2">
      <c r="B867" s="278"/>
      <c r="E867" s="249"/>
    </row>
    <row r="868" spans="2:5" s="275" customFormat="1" x14ac:dyDescent="0.2">
      <c r="B868" s="278"/>
      <c r="E868" s="249"/>
    </row>
    <row r="869" spans="2:5" s="275" customFormat="1" x14ac:dyDescent="0.2">
      <c r="B869" s="278"/>
      <c r="E869" s="249"/>
    </row>
    <row r="870" spans="2:5" s="275" customFormat="1" x14ac:dyDescent="0.2">
      <c r="B870" s="278"/>
      <c r="E870" s="249"/>
    </row>
    <row r="871" spans="2:5" s="275" customFormat="1" x14ac:dyDescent="0.2">
      <c r="B871" s="278"/>
      <c r="E871" s="249"/>
    </row>
    <row r="872" spans="2:5" s="275" customFormat="1" x14ac:dyDescent="0.2">
      <c r="B872" s="278"/>
      <c r="E872" s="249"/>
    </row>
    <row r="873" spans="2:5" s="275" customFormat="1" x14ac:dyDescent="0.2">
      <c r="B873" s="278"/>
      <c r="E873" s="249"/>
    </row>
    <row r="874" spans="2:5" s="275" customFormat="1" x14ac:dyDescent="0.2">
      <c r="B874" s="278"/>
      <c r="E874" s="249"/>
    </row>
    <row r="875" spans="2:5" s="275" customFormat="1" x14ac:dyDescent="0.2">
      <c r="B875" s="278"/>
      <c r="E875" s="249"/>
    </row>
    <row r="876" spans="2:5" s="275" customFormat="1" x14ac:dyDescent="0.2">
      <c r="B876" s="278"/>
      <c r="E876" s="249"/>
    </row>
    <row r="877" spans="2:5" s="275" customFormat="1" x14ac:dyDescent="0.2">
      <c r="B877" s="278"/>
      <c r="E877" s="249"/>
    </row>
    <row r="878" spans="2:5" s="275" customFormat="1" x14ac:dyDescent="0.2">
      <c r="B878" s="278"/>
      <c r="E878" s="249"/>
    </row>
    <row r="879" spans="2:5" s="275" customFormat="1" x14ac:dyDescent="0.2">
      <c r="B879" s="278"/>
      <c r="E879" s="249"/>
    </row>
    <row r="880" spans="2:5" s="275" customFormat="1" x14ac:dyDescent="0.2">
      <c r="B880" s="278"/>
      <c r="E880" s="249"/>
    </row>
    <row r="881" spans="2:5" s="275" customFormat="1" x14ac:dyDescent="0.2">
      <c r="B881" s="278"/>
      <c r="E881" s="249"/>
    </row>
    <row r="882" spans="2:5" s="275" customFormat="1" x14ac:dyDescent="0.2">
      <c r="B882" s="278"/>
      <c r="E882" s="249"/>
    </row>
    <row r="883" spans="2:5" s="275" customFormat="1" x14ac:dyDescent="0.2">
      <c r="B883" s="278"/>
      <c r="E883" s="249"/>
    </row>
    <row r="884" spans="2:5" s="275" customFormat="1" x14ac:dyDescent="0.2">
      <c r="B884" s="278"/>
      <c r="E884" s="249"/>
    </row>
    <row r="885" spans="2:5" s="275" customFormat="1" x14ac:dyDescent="0.2">
      <c r="B885" s="278"/>
      <c r="E885" s="249"/>
    </row>
    <row r="886" spans="2:5" s="275" customFormat="1" x14ac:dyDescent="0.2">
      <c r="B886" s="278"/>
      <c r="E886" s="249"/>
    </row>
    <row r="887" spans="2:5" s="275" customFormat="1" x14ac:dyDescent="0.2">
      <c r="B887" s="278"/>
      <c r="E887" s="249"/>
    </row>
    <row r="888" spans="2:5" s="275" customFormat="1" x14ac:dyDescent="0.2">
      <c r="B888" s="278"/>
      <c r="E888" s="249"/>
    </row>
    <row r="889" spans="2:5" s="275" customFormat="1" x14ac:dyDescent="0.2">
      <c r="B889" s="278"/>
      <c r="E889" s="249"/>
    </row>
    <row r="890" spans="2:5" s="275" customFormat="1" x14ac:dyDescent="0.2">
      <c r="B890" s="278"/>
      <c r="E890" s="249"/>
    </row>
    <row r="891" spans="2:5" s="275" customFormat="1" x14ac:dyDescent="0.2">
      <c r="B891" s="278"/>
      <c r="E891" s="249"/>
    </row>
    <row r="892" spans="2:5" s="275" customFormat="1" x14ac:dyDescent="0.2">
      <c r="B892" s="278"/>
      <c r="E892" s="249"/>
    </row>
    <row r="893" spans="2:5" s="275" customFormat="1" x14ac:dyDescent="0.2">
      <c r="B893" s="278"/>
      <c r="E893" s="249"/>
    </row>
    <row r="894" spans="2:5" s="275" customFormat="1" x14ac:dyDescent="0.2">
      <c r="B894" s="278"/>
      <c r="E894" s="249"/>
    </row>
    <row r="895" spans="2:5" s="275" customFormat="1" x14ac:dyDescent="0.2">
      <c r="B895" s="278"/>
      <c r="E895" s="249"/>
    </row>
    <row r="896" spans="2:5" s="275" customFormat="1" x14ac:dyDescent="0.2">
      <c r="B896" s="278"/>
      <c r="E896" s="249"/>
    </row>
    <row r="897" spans="2:5" s="275" customFormat="1" x14ac:dyDescent="0.2">
      <c r="B897" s="278"/>
      <c r="E897" s="249"/>
    </row>
    <row r="898" spans="2:5" s="275" customFormat="1" x14ac:dyDescent="0.2">
      <c r="B898" s="278"/>
      <c r="E898" s="249"/>
    </row>
    <row r="899" spans="2:5" s="275" customFormat="1" x14ac:dyDescent="0.2">
      <c r="B899" s="278"/>
      <c r="E899" s="249"/>
    </row>
    <row r="900" spans="2:5" s="275" customFormat="1" x14ac:dyDescent="0.2">
      <c r="B900" s="278"/>
      <c r="E900" s="249"/>
    </row>
    <row r="901" spans="2:5" s="275" customFormat="1" x14ac:dyDescent="0.2">
      <c r="B901" s="278"/>
      <c r="E901" s="249"/>
    </row>
    <row r="902" spans="2:5" s="275" customFormat="1" x14ac:dyDescent="0.2">
      <c r="B902" s="278"/>
      <c r="E902" s="249"/>
    </row>
    <row r="903" spans="2:5" s="275" customFormat="1" x14ac:dyDescent="0.2">
      <c r="B903" s="278"/>
      <c r="E903" s="249"/>
    </row>
    <row r="904" spans="2:5" s="275" customFormat="1" x14ac:dyDescent="0.2">
      <c r="B904" s="278"/>
      <c r="E904" s="249"/>
    </row>
    <row r="905" spans="2:5" s="275" customFormat="1" x14ac:dyDescent="0.2">
      <c r="B905" s="278"/>
      <c r="E905" s="249"/>
    </row>
    <row r="906" spans="2:5" s="275" customFormat="1" x14ac:dyDescent="0.2">
      <c r="B906" s="278"/>
      <c r="E906" s="249"/>
    </row>
    <row r="907" spans="2:5" s="275" customFormat="1" x14ac:dyDescent="0.2">
      <c r="B907" s="278"/>
      <c r="E907" s="249"/>
    </row>
    <row r="908" spans="2:5" s="275" customFormat="1" x14ac:dyDescent="0.2">
      <c r="B908" s="278"/>
      <c r="E908" s="249"/>
    </row>
    <row r="909" spans="2:5" s="275" customFormat="1" x14ac:dyDescent="0.2">
      <c r="B909" s="278"/>
      <c r="E909" s="249"/>
    </row>
    <row r="910" spans="2:5" s="275" customFormat="1" x14ac:dyDescent="0.2">
      <c r="B910" s="278"/>
      <c r="E910" s="249"/>
    </row>
    <row r="911" spans="2:5" s="275" customFormat="1" x14ac:dyDescent="0.2">
      <c r="B911" s="278"/>
      <c r="E911" s="249"/>
    </row>
    <row r="912" spans="2:5" s="275" customFormat="1" x14ac:dyDescent="0.2">
      <c r="B912" s="278"/>
      <c r="E912" s="249"/>
    </row>
    <row r="913" spans="2:5" s="275" customFormat="1" x14ac:dyDescent="0.2">
      <c r="B913" s="278"/>
      <c r="E913" s="249"/>
    </row>
    <row r="914" spans="2:5" s="275" customFormat="1" x14ac:dyDescent="0.2">
      <c r="B914" s="278"/>
      <c r="E914" s="249"/>
    </row>
    <row r="915" spans="2:5" s="275" customFormat="1" x14ac:dyDescent="0.2">
      <c r="B915" s="278"/>
      <c r="E915" s="249"/>
    </row>
    <row r="916" spans="2:5" s="275" customFormat="1" x14ac:dyDescent="0.2">
      <c r="B916" s="278"/>
      <c r="E916" s="249"/>
    </row>
    <row r="917" spans="2:5" s="275" customFormat="1" x14ac:dyDescent="0.2">
      <c r="B917" s="278"/>
      <c r="E917" s="249"/>
    </row>
    <row r="918" spans="2:5" s="275" customFormat="1" x14ac:dyDescent="0.2">
      <c r="B918" s="278"/>
      <c r="E918" s="249"/>
    </row>
    <row r="919" spans="2:5" s="275" customFormat="1" x14ac:dyDescent="0.2">
      <c r="B919" s="278"/>
      <c r="E919" s="249"/>
    </row>
    <row r="920" spans="2:5" s="275" customFormat="1" x14ac:dyDescent="0.2">
      <c r="B920" s="278"/>
      <c r="E920" s="249"/>
    </row>
    <row r="921" spans="2:5" s="275" customFormat="1" x14ac:dyDescent="0.2">
      <c r="B921" s="278"/>
      <c r="E921" s="249"/>
    </row>
    <row r="922" spans="2:5" s="275" customFormat="1" x14ac:dyDescent="0.2">
      <c r="B922" s="278"/>
      <c r="E922" s="249"/>
    </row>
    <row r="923" spans="2:5" s="275" customFormat="1" x14ac:dyDescent="0.2">
      <c r="B923" s="278"/>
      <c r="E923" s="249"/>
    </row>
    <row r="924" spans="2:5" s="275" customFormat="1" x14ac:dyDescent="0.2">
      <c r="B924" s="278"/>
      <c r="E924" s="249"/>
    </row>
    <row r="925" spans="2:5" s="275" customFormat="1" x14ac:dyDescent="0.2">
      <c r="B925" s="278"/>
      <c r="E925" s="249"/>
    </row>
    <row r="926" spans="2:5" s="275" customFormat="1" x14ac:dyDescent="0.2">
      <c r="B926" s="278"/>
      <c r="E926" s="249"/>
    </row>
    <row r="927" spans="2:5" s="275" customFormat="1" x14ac:dyDescent="0.2">
      <c r="B927" s="278"/>
      <c r="E927" s="249"/>
    </row>
    <row r="928" spans="2:5" s="275" customFormat="1" x14ac:dyDescent="0.2">
      <c r="B928" s="278"/>
      <c r="E928" s="249"/>
    </row>
    <row r="929" spans="2:5" s="275" customFormat="1" x14ac:dyDescent="0.2">
      <c r="B929" s="278"/>
      <c r="E929" s="249"/>
    </row>
    <row r="930" spans="2:5" s="275" customFormat="1" x14ac:dyDescent="0.2">
      <c r="B930" s="278"/>
      <c r="E930" s="249"/>
    </row>
    <row r="931" spans="2:5" s="275" customFormat="1" x14ac:dyDescent="0.2">
      <c r="B931" s="278"/>
      <c r="E931" s="249"/>
    </row>
    <row r="932" spans="2:5" s="275" customFormat="1" x14ac:dyDescent="0.2">
      <c r="B932" s="278"/>
      <c r="E932" s="249"/>
    </row>
    <row r="933" spans="2:5" s="275" customFormat="1" x14ac:dyDescent="0.2">
      <c r="B933" s="278"/>
      <c r="E933" s="249"/>
    </row>
    <row r="934" spans="2:5" s="275" customFormat="1" x14ac:dyDescent="0.2">
      <c r="B934" s="278"/>
      <c r="E934" s="249"/>
    </row>
    <row r="935" spans="2:5" s="275" customFormat="1" x14ac:dyDescent="0.2">
      <c r="B935" s="278"/>
      <c r="E935" s="249"/>
    </row>
    <row r="936" spans="2:5" s="275" customFormat="1" x14ac:dyDescent="0.2">
      <c r="B936" s="278"/>
      <c r="E936" s="249"/>
    </row>
    <row r="937" spans="2:5" s="275" customFormat="1" x14ac:dyDescent="0.2">
      <c r="B937" s="278"/>
      <c r="E937" s="249"/>
    </row>
    <row r="938" spans="2:5" s="275" customFormat="1" x14ac:dyDescent="0.2">
      <c r="B938" s="278"/>
      <c r="E938" s="249"/>
    </row>
    <row r="939" spans="2:5" s="275" customFormat="1" x14ac:dyDescent="0.2">
      <c r="B939" s="278"/>
      <c r="E939" s="249"/>
    </row>
    <row r="940" spans="2:5" s="275" customFormat="1" x14ac:dyDescent="0.2">
      <c r="B940" s="278"/>
      <c r="E940" s="249"/>
    </row>
    <row r="941" spans="2:5" s="275" customFormat="1" x14ac:dyDescent="0.2">
      <c r="B941" s="278"/>
      <c r="E941" s="249"/>
    </row>
    <row r="942" spans="2:5" s="275" customFormat="1" x14ac:dyDescent="0.2">
      <c r="B942" s="278"/>
      <c r="E942" s="249"/>
    </row>
    <row r="943" spans="2:5" s="275" customFormat="1" x14ac:dyDescent="0.2">
      <c r="B943" s="278"/>
      <c r="E943" s="249"/>
    </row>
    <row r="944" spans="2:5" s="275" customFormat="1" x14ac:dyDescent="0.2">
      <c r="B944" s="278"/>
      <c r="E944" s="249"/>
    </row>
    <row r="945" spans="2:5" s="275" customFormat="1" x14ac:dyDescent="0.2">
      <c r="B945" s="278"/>
      <c r="E945" s="249"/>
    </row>
    <row r="946" spans="2:5" s="275" customFormat="1" x14ac:dyDescent="0.2">
      <c r="B946" s="278"/>
      <c r="E946" s="249"/>
    </row>
    <row r="947" spans="2:5" s="275" customFormat="1" x14ac:dyDescent="0.2">
      <c r="B947" s="278"/>
      <c r="E947" s="249"/>
    </row>
    <row r="948" spans="2:5" s="275" customFormat="1" x14ac:dyDescent="0.2">
      <c r="B948" s="278"/>
      <c r="E948" s="249"/>
    </row>
    <row r="949" spans="2:5" s="275" customFormat="1" x14ac:dyDescent="0.2">
      <c r="B949" s="278"/>
      <c r="E949" s="249"/>
    </row>
    <row r="950" spans="2:5" s="275" customFormat="1" x14ac:dyDescent="0.2">
      <c r="B950" s="278"/>
      <c r="E950" s="249"/>
    </row>
    <row r="951" spans="2:5" s="275" customFormat="1" x14ac:dyDescent="0.2">
      <c r="B951" s="278"/>
      <c r="E951" s="249"/>
    </row>
    <row r="952" spans="2:5" s="275" customFormat="1" x14ac:dyDescent="0.2">
      <c r="B952" s="278"/>
      <c r="E952" s="249"/>
    </row>
    <row r="953" spans="2:5" s="275" customFormat="1" x14ac:dyDescent="0.2">
      <c r="B953" s="278"/>
      <c r="E953" s="249"/>
    </row>
    <row r="954" spans="2:5" s="275" customFormat="1" x14ac:dyDescent="0.2">
      <c r="B954" s="278"/>
      <c r="E954" s="249"/>
    </row>
    <row r="955" spans="2:5" s="275" customFormat="1" x14ac:dyDescent="0.2">
      <c r="B955" s="278"/>
      <c r="E955" s="249"/>
    </row>
    <row r="956" spans="2:5" s="275" customFormat="1" x14ac:dyDescent="0.2">
      <c r="B956" s="278"/>
      <c r="E956" s="249"/>
    </row>
    <row r="957" spans="2:5" s="275" customFormat="1" x14ac:dyDescent="0.2">
      <c r="B957" s="278"/>
      <c r="E957" s="249"/>
    </row>
    <row r="958" spans="2:5" s="275" customFormat="1" x14ac:dyDescent="0.2">
      <c r="B958" s="278"/>
      <c r="E958" s="249"/>
    </row>
    <row r="959" spans="2:5" s="275" customFormat="1" x14ac:dyDescent="0.2">
      <c r="B959" s="278"/>
      <c r="E959" s="249"/>
    </row>
    <row r="960" spans="2:5" s="275" customFormat="1" x14ac:dyDescent="0.2">
      <c r="B960" s="278"/>
      <c r="E960" s="249"/>
    </row>
    <row r="961" spans="2:5" s="275" customFormat="1" x14ac:dyDescent="0.2">
      <c r="B961" s="278"/>
      <c r="E961" s="249"/>
    </row>
    <row r="962" spans="2:5" s="275" customFormat="1" x14ac:dyDescent="0.2">
      <c r="B962" s="278"/>
      <c r="E962" s="249"/>
    </row>
    <row r="963" spans="2:5" s="275" customFormat="1" x14ac:dyDescent="0.2">
      <c r="B963" s="278"/>
      <c r="E963" s="249"/>
    </row>
    <row r="964" spans="2:5" s="275" customFormat="1" x14ac:dyDescent="0.2">
      <c r="B964" s="278"/>
      <c r="E964" s="249"/>
    </row>
    <row r="965" spans="2:5" s="275" customFormat="1" x14ac:dyDescent="0.2">
      <c r="B965" s="278"/>
      <c r="E965" s="249"/>
    </row>
    <row r="966" spans="2:5" s="275" customFormat="1" x14ac:dyDescent="0.2">
      <c r="B966" s="278"/>
      <c r="E966" s="249"/>
    </row>
    <row r="967" spans="2:5" s="275" customFormat="1" x14ac:dyDescent="0.2">
      <c r="B967" s="278"/>
      <c r="E967" s="249"/>
    </row>
    <row r="968" spans="2:5" s="275" customFormat="1" x14ac:dyDescent="0.2">
      <c r="B968" s="278"/>
      <c r="E968" s="249"/>
    </row>
    <row r="969" spans="2:5" s="275" customFormat="1" x14ac:dyDescent="0.2">
      <c r="B969" s="278"/>
      <c r="E969" s="249"/>
    </row>
    <row r="970" spans="2:5" s="275" customFormat="1" x14ac:dyDescent="0.2">
      <c r="B970" s="278"/>
      <c r="E970" s="249"/>
    </row>
    <row r="971" spans="2:5" s="275" customFormat="1" x14ac:dyDescent="0.2">
      <c r="B971" s="278"/>
      <c r="E971" s="249"/>
    </row>
    <row r="972" spans="2:5" s="275" customFormat="1" x14ac:dyDescent="0.2">
      <c r="B972" s="278"/>
      <c r="E972" s="249"/>
    </row>
    <row r="973" spans="2:5" s="275" customFormat="1" x14ac:dyDescent="0.2">
      <c r="B973" s="278"/>
      <c r="E973" s="249"/>
    </row>
    <row r="974" spans="2:5" s="275" customFormat="1" x14ac:dyDescent="0.2">
      <c r="B974" s="278"/>
      <c r="E974" s="249"/>
    </row>
    <row r="975" spans="2:5" s="275" customFormat="1" x14ac:dyDescent="0.2">
      <c r="B975" s="278"/>
      <c r="E975" s="249"/>
    </row>
    <row r="976" spans="2:5" s="275" customFormat="1" x14ac:dyDescent="0.2">
      <c r="B976" s="278"/>
      <c r="E976" s="249"/>
    </row>
    <row r="977" spans="2:5" s="275" customFormat="1" x14ac:dyDescent="0.2">
      <c r="B977" s="278"/>
      <c r="E977" s="249"/>
    </row>
    <row r="978" spans="2:5" s="275" customFormat="1" x14ac:dyDescent="0.2">
      <c r="B978" s="278"/>
      <c r="E978" s="249"/>
    </row>
    <row r="979" spans="2:5" s="275" customFormat="1" x14ac:dyDescent="0.2">
      <c r="B979" s="278"/>
      <c r="E979" s="249"/>
    </row>
    <row r="980" spans="2:5" s="275" customFormat="1" x14ac:dyDescent="0.2">
      <c r="B980" s="278"/>
      <c r="E980" s="249"/>
    </row>
    <row r="981" spans="2:5" s="275" customFormat="1" x14ac:dyDescent="0.2">
      <c r="B981" s="278"/>
      <c r="E981" s="249"/>
    </row>
    <row r="982" spans="2:5" s="275" customFormat="1" x14ac:dyDescent="0.2">
      <c r="B982" s="278"/>
      <c r="E982" s="249"/>
    </row>
    <row r="983" spans="2:5" s="275" customFormat="1" x14ac:dyDescent="0.2">
      <c r="B983" s="278"/>
      <c r="E983" s="249"/>
    </row>
    <row r="984" spans="2:5" s="275" customFormat="1" x14ac:dyDescent="0.2">
      <c r="B984" s="278"/>
      <c r="E984" s="249"/>
    </row>
    <row r="985" spans="2:5" s="275" customFormat="1" x14ac:dyDescent="0.2">
      <c r="B985" s="278"/>
      <c r="E985" s="249"/>
    </row>
    <row r="986" spans="2:5" s="275" customFormat="1" x14ac:dyDescent="0.2">
      <c r="B986" s="278"/>
      <c r="E986" s="249"/>
    </row>
    <row r="987" spans="2:5" s="275" customFormat="1" x14ac:dyDescent="0.2">
      <c r="B987" s="278"/>
      <c r="E987" s="249"/>
    </row>
    <row r="988" spans="2:5" s="275" customFormat="1" x14ac:dyDescent="0.2">
      <c r="B988" s="278"/>
      <c r="E988" s="249"/>
    </row>
    <row r="989" spans="2:5" s="275" customFormat="1" x14ac:dyDescent="0.2">
      <c r="B989" s="278"/>
      <c r="E989" s="249"/>
    </row>
    <row r="990" spans="2:5" s="275" customFormat="1" x14ac:dyDescent="0.2">
      <c r="B990" s="278"/>
      <c r="E990" s="249"/>
    </row>
    <row r="991" spans="2:5" s="275" customFormat="1" x14ac:dyDescent="0.2">
      <c r="B991" s="278"/>
      <c r="E991" s="249"/>
    </row>
    <row r="992" spans="2:5" s="275" customFormat="1" x14ac:dyDescent="0.2">
      <c r="B992" s="278"/>
      <c r="E992" s="249"/>
    </row>
    <row r="993" spans="2:5" s="275" customFormat="1" x14ac:dyDescent="0.2">
      <c r="B993" s="278"/>
      <c r="E993" s="249"/>
    </row>
    <row r="994" spans="2:5" s="275" customFormat="1" x14ac:dyDescent="0.2">
      <c r="B994" s="278"/>
      <c r="E994" s="249"/>
    </row>
    <row r="995" spans="2:5" s="275" customFormat="1" x14ac:dyDescent="0.2">
      <c r="B995" s="278"/>
      <c r="E995" s="249"/>
    </row>
    <row r="996" spans="2:5" s="275" customFormat="1" x14ac:dyDescent="0.2">
      <c r="B996" s="278"/>
      <c r="E996" s="249"/>
    </row>
    <row r="997" spans="2:5" s="275" customFormat="1" x14ac:dyDescent="0.2">
      <c r="B997" s="278"/>
      <c r="E997" s="249"/>
    </row>
    <row r="998" spans="2:5" s="275" customFormat="1" x14ac:dyDescent="0.2">
      <c r="B998" s="278"/>
      <c r="E998" s="249"/>
    </row>
    <row r="999" spans="2:5" s="275" customFormat="1" x14ac:dyDescent="0.2">
      <c r="B999" s="278"/>
      <c r="E999" s="249"/>
    </row>
    <row r="1000" spans="2:5" s="275" customFormat="1" x14ac:dyDescent="0.2">
      <c r="B1000" s="278"/>
      <c r="E1000" s="249"/>
    </row>
    <row r="1001" spans="2:5" s="275" customFormat="1" x14ac:dyDescent="0.2">
      <c r="B1001" s="278"/>
      <c r="E1001" s="249"/>
    </row>
    <row r="1002" spans="2:5" s="275" customFormat="1" x14ac:dyDescent="0.2">
      <c r="B1002" s="278"/>
      <c r="E1002" s="249"/>
    </row>
    <row r="1003" spans="2:5" s="275" customFormat="1" x14ac:dyDescent="0.2">
      <c r="B1003" s="278"/>
      <c r="E1003" s="249"/>
    </row>
    <row r="1004" spans="2:5" s="275" customFormat="1" x14ac:dyDescent="0.2">
      <c r="B1004" s="278"/>
      <c r="E1004" s="249"/>
    </row>
    <row r="1005" spans="2:5" s="275" customFormat="1" x14ac:dyDescent="0.2">
      <c r="B1005" s="278"/>
      <c r="E1005" s="249"/>
    </row>
    <row r="1006" spans="2:5" s="275" customFormat="1" x14ac:dyDescent="0.2">
      <c r="B1006" s="278"/>
      <c r="E1006" s="249"/>
    </row>
    <row r="1007" spans="2:5" s="275" customFormat="1" x14ac:dyDescent="0.2">
      <c r="B1007" s="278"/>
      <c r="E1007" s="249"/>
    </row>
    <row r="1008" spans="2:5" s="275" customFormat="1" x14ac:dyDescent="0.2">
      <c r="B1008" s="278"/>
      <c r="E1008" s="249"/>
    </row>
    <row r="1009" spans="2:5" s="275" customFormat="1" x14ac:dyDescent="0.2">
      <c r="B1009" s="278"/>
      <c r="E1009" s="249"/>
    </row>
    <row r="1010" spans="2:5" s="275" customFormat="1" x14ac:dyDescent="0.2">
      <c r="B1010" s="278"/>
      <c r="E1010" s="249"/>
    </row>
    <row r="1011" spans="2:5" s="275" customFormat="1" x14ac:dyDescent="0.2">
      <c r="B1011" s="278"/>
      <c r="E1011" s="249"/>
    </row>
    <row r="1012" spans="2:5" s="275" customFormat="1" x14ac:dyDescent="0.2">
      <c r="B1012" s="278"/>
      <c r="E1012" s="249"/>
    </row>
    <row r="1013" spans="2:5" s="275" customFormat="1" x14ac:dyDescent="0.2">
      <c r="B1013" s="278"/>
      <c r="E1013" s="249"/>
    </row>
    <row r="1014" spans="2:5" s="275" customFormat="1" x14ac:dyDescent="0.2">
      <c r="B1014" s="278"/>
      <c r="E1014" s="249"/>
    </row>
    <row r="1015" spans="2:5" s="275" customFormat="1" x14ac:dyDescent="0.2">
      <c r="B1015" s="278"/>
      <c r="E1015" s="249"/>
    </row>
    <row r="1016" spans="2:5" s="275" customFormat="1" x14ac:dyDescent="0.2">
      <c r="B1016" s="278"/>
      <c r="E1016" s="249"/>
    </row>
    <row r="1017" spans="2:5" s="275" customFormat="1" x14ac:dyDescent="0.2">
      <c r="B1017" s="278"/>
      <c r="E1017" s="249"/>
    </row>
    <row r="1018" spans="2:5" s="275" customFormat="1" x14ac:dyDescent="0.2">
      <c r="B1018" s="278"/>
      <c r="E1018" s="249"/>
    </row>
    <row r="1019" spans="2:5" s="275" customFormat="1" x14ac:dyDescent="0.2">
      <c r="B1019" s="278"/>
      <c r="E1019" s="249"/>
    </row>
    <row r="1020" spans="2:5" s="275" customFormat="1" x14ac:dyDescent="0.2">
      <c r="B1020" s="278"/>
      <c r="E1020" s="249"/>
    </row>
    <row r="1021" spans="2:5" s="275" customFormat="1" x14ac:dyDescent="0.2">
      <c r="B1021" s="278"/>
      <c r="E1021" s="249"/>
    </row>
    <row r="1022" spans="2:5" s="275" customFormat="1" x14ac:dyDescent="0.2">
      <c r="B1022" s="278"/>
      <c r="E1022" s="249"/>
    </row>
    <row r="1023" spans="2:5" s="275" customFormat="1" x14ac:dyDescent="0.2">
      <c r="B1023" s="278"/>
      <c r="E1023" s="249"/>
    </row>
    <row r="1024" spans="2:5" s="275" customFormat="1" x14ac:dyDescent="0.2">
      <c r="B1024" s="278"/>
      <c r="E1024" s="249"/>
    </row>
    <row r="1025" spans="2:5" s="275" customFormat="1" x14ac:dyDescent="0.2">
      <c r="B1025" s="278"/>
      <c r="E1025" s="249"/>
    </row>
    <row r="1026" spans="2:5" s="275" customFormat="1" x14ac:dyDescent="0.2">
      <c r="B1026" s="278"/>
      <c r="E1026" s="249"/>
    </row>
    <row r="1027" spans="2:5" s="275" customFormat="1" x14ac:dyDescent="0.2">
      <c r="B1027" s="278"/>
      <c r="E1027" s="249"/>
    </row>
    <row r="1028" spans="2:5" s="275" customFormat="1" x14ac:dyDescent="0.2">
      <c r="B1028" s="278"/>
      <c r="E1028" s="249"/>
    </row>
    <row r="1029" spans="2:5" s="275" customFormat="1" x14ac:dyDescent="0.2">
      <c r="B1029" s="278"/>
      <c r="E1029" s="249"/>
    </row>
    <row r="1030" spans="2:5" s="275" customFormat="1" x14ac:dyDescent="0.2">
      <c r="B1030" s="278"/>
      <c r="E1030" s="249"/>
    </row>
    <row r="1031" spans="2:5" s="275" customFormat="1" x14ac:dyDescent="0.2">
      <c r="B1031" s="278"/>
      <c r="E1031" s="249"/>
    </row>
    <row r="1032" spans="2:5" s="275" customFormat="1" x14ac:dyDescent="0.2">
      <c r="B1032" s="278"/>
      <c r="E1032" s="249"/>
    </row>
    <row r="1033" spans="2:5" s="275" customFormat="1" x14ac:dyDescent="0.2">
      <c r="B1033" s="278"/>
      <c r="E1033" s="249"/>
    </row>
    <row r="1034" spans="2:5" s="275" customFormat="1" x14ac:dyDescent="0.2">
      <c r="B1034" s="278"/>
      <c r="E1034" s="249"/>
    </row>
    <row r="1035" spans="2:5" s="275" customFormat="1" x14ac:dyDescent="0.2">
      <c r="B1035" s="278"/>
      <c r="E1035" s="249"/>
    </row>
    <row r="1036" spans="2:5" s="275" customFormat="1" x14ac:dyDescent="0.2">
      <c r="B1036" s="278"/>
      <c r="E1036" s="249"/>
    </row>
    <row r="1037" spans="2:5" s="275" customFormat="1" x14ac:dyDescent="0.2">
      <c r="B1037" s="278"/>
      <c r="E1037" s="249"/>
    </row>
    <row r="1038" spans="2:5" s="275" customFormat="1" x14ac:dyDescent="0.2">
      <c r="B1038" s="278"/>
      <c r="E1038" s="249"/>
    </row>
    <row r="1039" spans="2:5" s="275" customFormat="1" x14ac:dyDescent="0.2">
      <c r="B1039" s="278"/>
      <c r="E1039" s="249"/>
    </row>
    <row r="1040" spans="2:5" s="275" customFormat="1" x14ac:dyDescent="0.2">
      <c r="B1040" s="278"/>
      <c r="E1040" s="249"/>
    </row>
    <row r="1041" spans="2:5" s="275" customFormat="1" x14ac:dyDescent="0.2">
      <c r="B1041" s="278"/>
      <c r="E1041" s="249"/>
    </row>
    <row r="1042" spans="2:5" s="275" customFormat="1" x14ac:dyDescent="0.2">
      <c r="B1042" s="278"/>
      <c r="E1042" s="249"/>
    </row>
    <row r="1043" spans="2:5" s="275" customFormat="1" x14ac:dyDescent="0.2">
      <c r="B1043" s="278"/>
      <c r="E1043" s="249"/>
    </row>
    <row r="1044" spans="2:5" s="275" customFormat="1" x14ac:dyDescent="0.2">
      <c r="B1044" s="278"/>
      <c r="E1044" s="249"/>
    </row>
    <row r="1045" spans="2:5" s="275" customFormat="1" x14ac:dyDescent="0.2">
      <c r="B1045" s="278"/>
      <c r="E1045" s="249"/>
    </row>
    <row r="1046" spans="2:5" s="275" customFormat="1" x14ac:dyDescent="0.2">
      <c r="B1046" s="278"/>
      <c r="E1046" s="249"/>
    </row>
    <row r="1047" spans="2:5" s="275" customFormat="1" x14ac:dyDescent="0.2">
      <c r="B1047" s="278"/>
      <c r="E1047" s="249"/>
    </row>
    <row r="1048" spans="2:5" s="275" customFormat="1" x14ac:dyDescent="0.2">
      <c r="B1048" s="278"/>
      <c r="E1048" s="249"/>
    </row>
    <row r="1049" spans="2:5" s="275" customFormat="1" x14ac:dyDescent="0.2">
      <c r="B1049" s="278"/>
      <c r="E1049" s="249"/>
    </row>
    <row r="1050" spans="2:5" s="275" customFormat="1" x14ac:dyDescent="0.2">
      <c r="B1050" s="278"/>
      <c r="E1050" s="249"/>
    </row>
    <row r="1051" spans="2:5" s="275" customFormat="1" x14ac:dyDescent="0.2">
      <c r="B1051" s="278"/>
      <c r="E1051" s="249"/>
    </row>
    <row r="1052" spans="2:5" s="275" customFormat="1" x14ac:dyDescent="0.2">
      <c r="B1052" s="278"/>
      <c r="E1052" s="249"/>
    </row>
    <row r="1053" spans="2:5" s="275" customFormat="1" x14ac:dyDescent="0.2">
      <c r="B1053" s="278"/>
      <c r="E1053" s="249"/>
    </row>
    <row r="1054" spans="2:5" s="275" customFormat="1" x14ac:dyDescent="0.2">
      <c r="B1054" s="278"/>
      <c r="E1054" s="249"/>
    </row>
    <row r="1055" spans="2:5" s="275" customFormat="1" x14ac:dyDescent="0.2">
      <c r="B1055" s="278"/>
      <c r="E1055" s="249"/>
    </row>
    <row r="1056" spans="2:5" s="275" customFormat="1" x14ac:dyDescent="0.2">
      <c r="B1056" s="278"/>
      <c r="E1056" s="249"/>
    </row>
    <row r="1057" spans="2:5" s="275" customFormat="1" x14ac:dyDescent="0.2">
      <c r="B1057" s="278"/>
      <c r="E1057" s="249"/>
    </row>
    <row r="1058" spans="2:5" s="275" customFormat="1" x14ac:dyDescent="0.2">
      <c r="B1058" s="278"/>
      <c r="E1058" s="249"/>
    </row>
    <row r="1059" spans="2:5" s="275" customFormat="1" x14ac:dyDescent="0.2">
      <c r="B1059" s="278"/>
      <c r="E1059" s="249"/>
    </row>
    <row r="1060" spans="2:5" s="275" customFormat="1" x14ac:dyDescent="0.2">
      <c r="B1060" s="278"/>
      <c r="E1060" s="249"/>
    </row>
    <row r="1061" spans="2:5" s="275" customFormat="1" x14ac:dyDescent="0.2">
      <c r="B1061" s="278"/>
      <c r="E1061" s="249"/>
    </row>
    <row r="1062" spans="2:5" s="275" customFormat="1" x14ac:dyDescent="0.2">
      <c r="B1062" s="278"/>
      <c r="E1062" s="249"/>
    </row>
    <row r="1063" spans="2:5" s="275" customFormat="1" x14ac:dyDescent="0.2">
      <c r="B1063" s="278"/>
      <c r="E1063" s="249"/>
    </row>
    <row r="1064" spans="2:5" s="275" customFormat="1" x14ac:dyDescent="0.2">
      <c r="B1064" s="278"/>
      <c r="E1064" s="249"/>
    </row>
    <row r="1065" spans="2:5" s="275" customFormat="1" x14ac:dyDescent="0.2">
      <c r="B1065" s="278"/>
      <c r="E1065" s="249"/>
    </row>
    <row r="1066" spans="2:5" s="275" customFormat="1" x14ac:dyDescent="0.2">
      <c r="B1066" s="278"/>
      <c r="E1066" s="249"/>
    </row>
    <row r="1067" spans="2:5" s="275" customFormat="1" x14ac:dyDescent="0.2">
      <c r="B1067" s="278"/>
      <c r="E1067" s="249"/>
    </row>
    <row r="1068" spans="2:5" s="275" customFormat="1" x14ac:dyDescent="0.2">
      <c r="B1068" s="278"/>
      <c r="E1068" s="249"/>
    </row>
    <row r="1069" spans="2:5" s="275" customFormat="1" x14ac:dyDescent="0.2">
      <c r="B1069" s="278"/>
      <c r="E1069" s="249"/>
    </row>
    <row r="1070" spans="2:5" s="275" customFormat="1" x14ac:dyDescent="0.2">
      <c r="B1070" s="278"/>
      <c r="E1070" s="249"/>
    </row>
    <row r="1071" spans="2:5" s="275" customFormat="1" x14ac:dyDescent="0.2">
      <c r="B1071" s="278"/>
      <c r="E1071" s="249"/>
    </row>
    <row r="1072" spans="2:5" s="275" customFormat="1" x14ac:dyDescent="0.2">
      <c r="B1072" s="278"/>
      <c r="E1072" s="249"/>
    </row>
    <row r="1073" spans="2:5" s="275" customFormat="1" x14ac:dyDescent="0.2">
      <c r="B1073" s="278"/>
      <c r="E1073" s="249"/>
    </row>
    <row r="1074" spans="2:5" s="275" customFormat="1" x14ac:dyDescent="0.2">
      <c r="B1074" s="278"/>
      <c r="E1074" s="249"/>
    </row>
    <row r="1075" spans="2:5" s="275" customFormat="1" x14ac:dyDescent="0.2">
      <c r="B1075" s="278"/>
      <c r="E1075" s="249"/>
    </row>
    <row r="1076" spans="2:5" s="275" customFormat="1" x14ac:dyDescent="0.2">
      <c r="B1076" s="278"/>
      <c r="E1076" s="249"/>
    </row>
    <row r="1077" spans="2:5" s="275" customFormat="1" x14ac:dyDescent="0.2">
      <c r="B1077" s="278"/>
      <c r="E1077" s="249"/>
    </row>
    <row r="1078" spans="2:5" s="275" customFormat="1" x14ac:dyDescent="0.2">
      <c r="B1078" s="278"/>
      <c r="E1078" s="249"/>
    </row>
    <row r="1079" spans="2:5" s="275" customFormat="1" x14ac:dyDescent="0.2">
      <c r="B1079" s="278"/>
      <c r="E1079" s="249"/>
    </row>
    <row r="1080" spans="2:5" s="275" customFormat="1" x14ac:dyDescent="0.2">
      <c r="B1080" s="278"/>
      <c r="E1080" s="249"/>
    </row>
    <row r="1081" spans="2:5" s="275" customFormat="1" x14ac:dyDescent="0.2">
      <c r="B1081" s="278"/>
      <c r="E1081" s="249"/>
    </row>
    <row r="1082" spans="2:5" s="275" customFormat="1" x14ac:dyDescent="0.2">
      <c r="B1082" s="278"/>
      <c r="E1082" s="249"/>
    </row>
    <row r="1083" spans="2:5" s="275" customFormat="1" x14ac:dyDescent="0.2">
      <c r="B1083" s="278"/>
      <c r="E1083" s="249"/>
    </row>
    <row r="1084" spans="2:5" s="275" customFormat="1" x14ac:dyDescent="0.2">
      <c r="B1084" s="278"/>
      <c r="E1084" s="249"/>
    </row>
    <row r="1085" spans="2:5" s="275" customFormat="1" x14ac:dyDescent="0.2">
      <c r="B1085" s="278"/>
      <c r="E1085" s="249"/>
    </row>
    <row r="1086" spans="2:5" s="275" customFormat="1" x14ac:dyDescent="0.2">
      <c r="B1086" s="278"/>
      <c r="E1086" s="249"/>
    </row>
    <row r="1087" spans="2:5" s="275" customFormat="1" x14ac:dyDescent="0.2">
      <c r="B1087" s="278"/>
      <c r="E1087" s="249"/>
    </row>
    <row r="1088" spans="2:5" s="275" customFormat="1" x14ac:dyDescent="0.2">
      <c r="B1088" s="278"/>
      <c r="E1088" s="249"/>
    </row>
    <row r="1089" spans="2:5" s="275" customFormat="1" x14ac:dyDescent="0.2">
      <c r="B1089" s="278"/>
      <c r="E1089" s="249"/>
    </row>
    <row r="1090" spans="2:5" s="275" customFormat="1" x14ac:dyDescent="0.2">
      <c r="B1090" s="278"/>
      <c r="E1090" s="249"/>
    </row>
    <row r="1091" spans="2:5" s="275" customFormat="1" x14ac:dyDescent="0.2">
      <c r="B1091" s="278"/>
      <c r="E1091" s="249"/>
    </row>
    <row r="1092" spans="2:5" s="275" customFormat="1" x14ac:dyDescent="0.2">
      <c r="B1092" s="278"/>
      <c r="E1092" s="249"/>
    </row>
    <row r="1093" spans="2:5" s="275" customFormat="1" x14ac:dyDescent="0.2">
      <c r="B1093" s="278"/>
      <c r="E1093" s="249"/>
    </row>
    <row r="1094" spans="2:5" s="275" customFormat="1" x14ac:dyDescent="0.2">
      <c r="B1094" s="278"/>
      <c r="E1094" s="249"/>
    </row>
    <row r="1095" spans="2:5" s="275" customFormat="1" x14ac:dyDescent="0.2">
      <c r="B1095" s="278"/>
      <c r="E1095" s="249"/>
    </row>
    <row r="1096" spans="2:5" s="275" customFormat="1" x14ac:dyDescent="0.2">
      <c r="B1096" s="278"/>
      <c r="E1096" s="249"/>
    </row>
    <row r="1097" spans="2:5" s="275" customFormat="1" x14ac:dyDescent="0.2">
      <c r="B1097" s="278"/>
      <c r="E1097" s="249"/>
    </row>
    <row r="1098" spans="2:5" s="275" customFormat="1" x14ac:dyDescent="0.2">
      <c r="B1098" s="278"/>
      <c r="E1098" s="249"/>
    </row>
    <row r="1099" spans="2:5" s="275" customFormat="1" x14ac:dyDescent="0.2">
      <c r="B1099" s="278"/>
      <c r="E1099" s="249"/>
    </row>
    <row r="1100" spans="2:5" s="275" customFormat="1" x14ac:dyDescent="0.2">
      <c r="B1100" s="278"/>
      <c r="E1100" s="249"/>
    </row>
    <row r="1101" spans="2:5" s="275" customFormat="1" x14ac:dyDescent="0.2">
      <c r="B1101" s="278"/>
      <c r="E1101" s="249"/>
    </row>
    <row r="1102" spans="2:5" s="275" customFormat="1" x14ac:dyDescent="0.2">
      <c r="B1102" s="278"/>
      <c r="E1102" s="249"/>
    </row>
    <row r="1103" spans="2:5" s="275" customFormat="1" x14ac:dyDescent="0.2">
      <c r="B1103" s="278"/>
      <c r="E1103" s="249"/>
    </row>
    <row r="1104" spans="2:5" s="275" customFormat="1" x14ac:dyDescent="0.2">
      <c r="B1104" s="278"/>
      <c r="E1104" s="249"/>
    </row>
    <row r="1105" spans="2:5" s="275" customFormat="1" x14ac:dyDescent="0.2">
      <c r="B1105" s="278"/>
      <c r="E1105" s="249"/>
    </row>
    <row r="1106" spans="2:5" s="275" customFormat="1" x14ac:dyDescent="0.2">
      <c r="B1106" s="278"/>
      <c r="E1106" s="249"/>
    </row>
    <row r="1107" spans="2:5" s="275" customFormat="1" x14ac:dyDescent="0.2">
      <c r="B1107" s="278"/>
      <c r="E1107" s="249"/>
    </row>
    <row r="1108" spans="2:5" s="275" customFormat="1" x14ac:dyDescent="0.2">
      <c r="B1108" s="278"/>
      <c r="E1108" s="249"/>
    </row>
    <row r="1109" spans="2:5" s="275" customFormat="1" x14ac:dyDescent="0.2">
      <c r="B1109" s="278"/>
      <c r="E1109" s="249"/>
    </row>
    <row r="1110" spans="2:5" s="275" customFormat="1" x14ac:dyDescent="0.2">
      <c r="B1110" s="278"/>
      <c r="E1110" s="249"/>
    </row>
    <row r="1111" spans="2:5" s="275" customFormat="1" x14ac:dyDescent="0.2">
      <c r="B1111" s="278"/>
      <c r="E1111" s="249"/>
    </row>
    <row r="1112" spans="2:5" s="275" customFormat="1" x14ac:dyDescent="0.2">
      <c r="B1112" s="278"/>
      <c r="E1112" s="249"/>
    </row>
    <row r="1113" spans="2:5" s="275" customFormat="1" x14ac:dyDescent="0.2">
      <c r="B1113" s="278"/>
      <c r="E1113" s="249"/>
    </row>
    <row r="1114" spans="2:5" s="275" customFormat="1" x14ac:dyDescent="0.2">
      <c r="B1114" s="278"/>
      <c r="E1114" s="249"/>
    </row>
    <row r="1115" spans="2:5" s="275" customFormat="1" x14ac:dyDescent="0.2">
      <c r="B1115" s="278"/>
      <c r="E1115" s="249"/>
    </row>
    <row r="1116" spans="2:5" s="275" customFormat="1" x14ac:dyDescent="0.2">
      <c r="B1116" s="278"/>
      <c r="E1116" s="249"/>
    </row>
    <row r="1117" spans="2:5" s="275" customFormat="1" x14ac:dyDescent="0.2">
      <c r="B1117" s="278"/>
      <c r="E1117" s="249"/>
    </row>
    <row r="1118" spans="2:5" s="275" customFormat="1" x14ac:dyDescent="0.2">
      <c r="B1118" s="278"/>
      <c r="E1118" s="249"/>
    </row>
    <row r="1119" spans="2:5" s="275" customFormat="1" x14ac:dyDescent="0.2">
      <c r="B1119" s="278"/>
      <c r="E1119" s="249"/>
    </row>
    <row r="1120" spans="2:5" s="275" customFormat="1" x14ac:dyDescent="0.2">
      <c r="B1120" s="278"/>
      <c r="E1120" s="249"/>
    </row>
    <row r="1121" spans="2:5" s="275" customFormat="1" x14ac:dyDescent="0.2">
      <c r="B1121" s="278"/>
      <c r="E1121" s="249"/>
    </row>
    <row r="1122" spans="2:5" s="275" customFormat="1" x14ac:dyDescent="0.2">
      <c r="B1122" s="278"/>
      <c r="E1122" s="249"/>
    </row>
    <row r="1123" spans="2:5" s="275" customFormat="1" x14ac:dyDescent="0.2">
      <c r="B1123" s="278"/>
      <c r="E1123" s="249"/>
    </row>
    <row r="1124" spans="2:5" s="275" customFormat="1" x14ac:dyDescent="0.2">
      <c r="B1124" s="278"/>
      <c r="E1124" s="249"/>
    </row>
    <row r="1125" spans="2:5" s="275" customFormat="1" x14ac:dyDescent="0.2">
      <c r="B1125" s="278"/>
      <c r="E1125" s="249"/>
    </row>
    <row r="1126" spans="2:5" s="275" customFormat="1" x14ac:dyDescent="0.2">
      <c r="B1126" s="278"/>
      <c r="E1126" s="249"/>
    </row>
    <row r="1127" spans="2:5" s="275" customFormat="1" x14ac:dyDescent="0.2">
      <c r="B1127" s="278"/>
      <c r="E1127" s="249"/>
    </row>
    <row r="1128" spans="2:5" s="275" customFormat="1" x14ac:dyDescent="0.2">
      <c r="B1128" s="278"/>
      <c r="E1128" s="249"/>
    </row>
    <row r="1129" spans="2:5" s="275" customFormat="1" x14ac:dyDescent="0.2">
      <c r="B1129" s="278"/>
      <c r="E1129" s="249"/>
    </row>
    <row r="1130" spans="2:5" s="275" customFormat="1" x14ac:dyDescent="0.2">
      <c r="B1130" s="278"/>
      <c r="E1130" s="249"/>
    </row>
    <row r="1131" spans="2:5" s="275" customFormat="1" x14ac:dyDescent="0.2">
      <c r="B1131" s="278"/>
      <c r="E1131" s="249"/>
    </row>
    <row r="1132" spans="2:5" s="275" customFormat="1" x14ac:dyDescent="0.2">
      <c r="B1132" s="278"/>
      <c r="E1132" s="249"/>
    </row>
    <row r="1133" spans="2:5" s="275" customFormat="1" x14ac:dyDescent="0.2">
      <c r="B1133" s="278"/>
      <c r="E1133" s="249"/>
    </row>
    <row r="1134" spans="2:5" s="275" customFormat="1" x14ac:dyDescent="0.2">
      <c r="B1134" s="278"/>
      <c r="E1134" s="249"/>
    </row>
    <row r="1135" spans="2:5" s="275" customFormat="1" x14ac:dyDescent="0.2">
      <c r="B1135" s="278"/>
      <c r="E1135" s="249"/>
    </row>
    <row r="1136" spans="2:5" s="275" customFormat="1" x14ac:dyDescent="0.2">
      <c r="B1136" s="278"/>
      <c r="E1136" s="249"/>
    </row>
    <row r="1137" spans="2:5" s="275" customFormat="1" x14ac:dyDescent="0.2">
      <c r="B1137" s="278"/>
      <c r="E1137" s="249"/>
    </row>
    <row r="1138" spans="2:5" s="275" customFormat="1" x14ac:dyDescent="0.2">
      <c r="B1138" s="278"/>
      <c r="E1138" s="249"/>
    </row>
    <row r="1139" spans="2:5" s="275" customFormat="1" x14ac:dyDescent="0.2">
      <c r="B1139" s="278"/>
      <c r="E1139" s="249"/>
    </row>
    <row r="1140" spans="2:5" s="275" customFormat="1" x14ac:dyDescent="0.2">
      <c r="B1140" s="278"/>
      <c r="E1140" s="249"/>
    </row>
    <row r="1141" spans="2:5" s="275" customFormat="1" x14ac:dyDescent="0.2">
      <c r="B1141" s="278"/>
      <c r="E1141" s="249"/>
    </row>
    <row r="1142" spans="2:5" s="275" customFormat="1" x14ac:dyDescent="0.2">
      <c r="B1142" s="278"/>
      <c r="E1142" s="249"/>
    </row>
    <row r="1143" spans="2:5" s="275" customFormat="1" x14ac:dyDescent="0.2">
      <c r="B1143" s="278"/>
      <c r="E1143" s="249"/>
    </row>
    <row r="1144" spans="2:5" s="275" customFormat="1" x14ac:dyDescent="0.2">
      <c r="B1144" s="278"/>
      <c r="E1144" s="249"/>
    </row>
    <row r="1145" spans="2:5" s="275" customFormat="1" x14ac:dyDescent="0.2">
      <c r="B1145" s="278"/>
      <c r="E1145" s="249"/>
    </row>
    <row r="1146" spans="2:5" s="275" customFormat="1" x14ac:dyDescent="0.2">
      <c r="B1146" s="278"/>
      <c r="E1146" s="249"/>
    </row>
    <row r="1147" spans="2:5" s="275" customFormat="1" x14ac:dyDescent="0.2">
      <c r="B1147" s="278"/>
      <c r="E1147" s="249"/>
    </row>
    <row r="1148" spans="2:5" s="275" customFormat="1" x14ac:dyDescent="0.2">
      <c r="B1148" s="278"/>
      <c r="E1148" s="249"/>
    </row>
    <row r="1149" spans="2:5" s="275" customFormat="1" x14ac:dyDescent="0.2">
      <c r="B1149" s="278"/>
      <c r="E1149" s="249"/>
    </row>
    <row r="1150" spans="2:5" s="275" customFormat="1" x14ac:dyDescent="0.2">
      <c r="B1150" s="278"/>
      <c r="E1150" s="249"/>
    </row>
    <row r="1151" spans="2:5" s="275" customFormat="1" x14ac:dyDescent="0.2">
      <c r="B1151" s="278"/>
      <c r="E1151" s="249"/>
    </row>
    <row r="1152" spans="2:5" s="275" customFormat="1" x14ac:dyDescent="0.2">
      <c r="B1152" s="278"/>
      <c r="E1152" s="249"/>
    </row>
    <row r="1153" spans="2:5" s="275" customFormat="1" x14ac:dyDescent="0.2">
      <c r="B1153" s="278"/>
      <c r="E1153" s="249"/>
    </row>
    <row r="1154" spans="2:5" s="275" customFormat="1" x14ac:dyDescent="0.2">
      <c r="B1154" s="278"/>
      <c r="E1154" s="249"/>
    </row>
    <row r="1155" spans="2:5" s="275" customFormat="1" x14ac:dyDescent="0.2">
      <c r="B1155" s="278"/>
      <c r="E1155" s="249"/>
    </row>
    <row r="1156" spans="2:5" s="275" customFormat="1" x14ac:dyDescent="0.2">
      <c r="B1156" s="278"/>
      <c r="E1156" s="249"/>
    </row>
    <row r="1157" spans="2:5" s="275" customFormat="1" x14ac:dyDescent="0.2">
      <c r="B1157" s="278"/>
      <c r="E1157" s="249"/>
    </row>
    <row r="1158" spans="2:5" s="275" customFormat="1" x14ac:dyDescent="0.2">
      <c r="B1158" s="278"/>
      <c r="E1158" s="249"/>
    </row>
    <row r="1159" spans="2:5" s="275" customFormat="1" x14ac:dyDescent="0.2">
      <c r="B1159" s="278"/>
      <c r="E1159" s="249"/>
    </row>
    <row r="1160" spans="2:5" s="275" customFormat="1" x14ac:dyDescent="0.2">
      <c r="B1160" s="278"/>
      <c r="E1160" s="249"/>
    </row>
    <row r="1161" spans="2:5" s="275" customFormat="1" x14ac:dyDescent="0.2">
      <c r="B1161" s="278"/>
      <c r="E1161" s="249"/>
    </row>
    <row r="1162" spans="2:5" s="275" customFormat="1" x14ac:dyDescent="0.2">
      <c r="B1162" s="278"/>
      <c r="E1162" s="249"/>
    </row>
    <row r="1163" spans="2:5" s="275" customFormat="1" x14ac:dyDescent="0.2">
      <c r="B1163" s="278"/>
      <c r="E1163" s="249"/>
    </row>
    <row r="1164" spans="2:5" s="275" customFormat="1" x14ac:dyDescent="0.2">
      <c r="B1164" s="278"/>
      <c r="E1164" s="249"/>
    </row>
    <row r="1165" spans="2:5" s="275" customFormat="1" x14ac:dyDescent="0.2">
      <c r="B1165" s="278"/>
      <c r="E1165" s="249"/>
    </row>
    <row r="1166" spans="2:5" s="275" customFormat="1" x14ac:dyDescent="0.2">
      <c r="B1166" s="278"/>
      <c r="E1166" s="249"/>
    </row>
    <row r="1167" spans="2:5" s="275" customFormat="1" x14ac:dyDescent="0.2">
      <c r="B1167" s="278"/>
      <c r="E1167" s="249"/>
    </row>
    <row r="1168" spans="2:5" s="275" customFormat="1" x14ac:dyDescent="0.2">
      <c r="B1168" s="278"/>
      <c r="E1168" s="249"/>
    </row>
    <row r="1169" spans="2:5" s="275" customFormat="1" x14ac:dyDescent="0.2">
      <c r="B1169" s="278"/>
      <c r="E1169" s="249"/>
    </row>
    <row r="1170" spans="2:5" s="275" customFormat="1" x14ac:dyDescent="0.2">
      <c r="B1170" s="278"/>
      <c r="E1170" s="249"/>
    </row>
    <row r="1171" spans="2:5" s="275" customFormat="1" x14ac:dyDescent="0.2">
      <c r="B1171" s="278"/>
      <c r="E1171" s="249"/>
    </row>
    <row r="1172" spans="2:5" s="275" customFormat="1" x14ac:dyDescent="0.2">
      <c r="B1172" s="278"/>
      <c r="E1172" s="249"/>
    </row>
    <row r="1173" spans="2:5" s="275" customFormat="1" x14ac:dyDescent="0.2">
      <c r="B1173" s="278"/>
      <c r="E1173" s="249"/>
    </row>
    <row r="1174" spans="2:5" s="275" customFormat="1" x14ac:dyDescent="0.2">
      <c r="B1174" s="278"/>
      <c r="E1174" s="249"/>
    </row>
    <row r="1175" spans="2:5" s="275" customFormat="1" x14ac:dyDescent="0.2">
      <c r="B1175" s="278"/>
      <c r="E1175" s="249"/>
    </row>
    <row r="1176" spans="2:5" s="275" customFormat="1" x14ac:dyDescent="0.2">
      <c r="B1176" s="278"/>
      <c r="E1176" s="249"/>
    </row>
    <row r="1177" spans="2:5" s="275" customFormat="1" x14ac:dyDescent="0.2">
      <c r="B1177" s="278"/>
      <c r="E1177" s="249"/>
    </row>
    <row r="1178" spans="2:5" s="275" customFormat="1" x14ac:dyDescent="0.2">
      <c r="B1178" s="278"/>
      <c r="E1178" s="249"/>
    </row>
    <row r="1179" spans="2:5" s="275" customFormat="1" x14ac:dyDescent="0.2">
      <c r="B1179" s="278"/>
      <c r="E1179" s="249"/>
    </row>
    <row r="1180" spans="2:5" s="275" customFormat="1" x14ac:dyDescent="0.2">
      <c r="B1180" s="278"/>
      <c r="E1180" s="249"/>
    </row>
    <row r="1181" spans="2:5" s="275" customFormat="1" x14ac:dyDescent="0.2">
      <c r="B1181" s="278"/>
      <c r="E1181" s="249"/>
    </row>
    <row r="1182" spans="2:5" s="275" customFormat="1" x14ac:dyDescent="0.2">
      <c r="B1182" s="278"/>
      <c r="E1182" s="249"/>
    </row>
    <row r="1183" spans="2:5" s="275" customFormat="1" x14ac:dyDescent="0.2">
      <c r="B1183" s="278"/>
      <c r="E1183" s="249"/>
    </row>
    <row r="1184" spans="2:5" s="275" customFormat="1" x14ac:dyDescent="0.2">
      <c r="B1184" s="278"/>
      <c r="E1184" s="249"/>
    </row>
    <row r="1185" spans="2:7" s="275" customFormat="1" x14ac:dyDescent="0.2">
      <c r="B1185" s="278"/>
      <c r="E1185" s="249"/>
    </row>
    <row r="1186" spans="2:7" s="275" customFormat="1" x14ac:dyDescent="0.2">
      <c r="B1186" s="278"/>
      <c r="E1186" s="249"/>
    </row>
    <row r="1187" spans="2:7" s="275" customFormat="1" x14ac:dyDescent="0.2">
      <c r="B1187" s="278"/>
      <c r="E1187" s="249"/>
    </row>
    <row r="1188" spans="2:7" s="275" customFormat="1" x14ac:dyDescent="0.2">
      <c r="B1188" s="278"/>
      <c r="E1188" s="249"/>
    </row>
    <row r="1189" spans="2:7" s="275" customFormat="1" x14ac:dyDescent="0.2">
      <c r="B1189" s="278"/>
      <c r="E1189" s="249"/>
    </row>
    <row r="1190" spans="2:7" s="275" customFormat="1" x14ac:dyDescent="0.2">
      <c r="B1190" s="278"/>
      <c r="E1190" s="249"/>
    </row>
    <row r="1191" spans="2:7" s="275" customFormat="1" x14ac:dyDescent="0.2">
      <c r="B1191" s="278"/>
      <c r="E1191" s="249"/>
    </row>
    <row r="1192" spans="2:7" s="275" customFormat="1" x14ac:dyDescent="0.2">
      <c r="B1192" s="278"/>
      <c r="E1192" s="249"/>
    </row>
    <row r="1193" spans="2:7" s="275" customFormat="1" x14ac:dyDescent="0.2">
      <c r="B1193" s="278"/>
      <c r="E1193" s="249"/>
    </row>
    <row r="1194" spans="2:7" s="275" customFormat="1" x14ac:dyDescent="0.2">
      <c r="B1194" s="278"/>
      <c r="E1194" s="249"/>
    </row>
    <row r="1195" spans="2:7" s="275" customFormat="1" x14ac:dyDescent="0.2">
      <c r="B1195" s="278"/>
      <c r="E1195" s="249"/>
    </row>
    <row r="1196" spans="2:7" s="275" customFormat="1" x14ac:dyDescent="0.2">
      <c r="B1196" s="278"/>
      <c r="E1196" s="249"/>
    </row>
    <row r="1197" spans="2:7" s="275" customFormat="1" x14ac:dyDescent="0.2">
      <c r="B1197" s="278"/>
      <c r="E1197" s="249"/>
    </row>
    <row r="1198" spans="2:7" s="275" customFormat="1" x14ac:dyDescent="0.2">
      <c r="B1198" s="278"/>
      <c r="E1198" s="249"/>
      <c r="G1198" s="3"/>
    </row>
    <row r="1199" spans="2:7" s="275" customFormat="1" x14ac:dyDescent="0.2">
      <c r="B1199" s="278"/>
      <c r="E1199" s="249"/>
      <c r="G1199" s="3"/>
    </row>
  </sheetData>
  <mergeCells count="22">
    <mergeCell ref="B1:G1"/>
    <mergeCell ref="F2:F5"/>
    <mergeCell ref="F314:F317"/>
    <mergeCell ref="E361:E364"/>
    <mergeCell ref="B363:B364"/>
    <mergeCell ref="C363:C364"/>
    <mergeCell ref="C316:C317"/>
    <mergeCell ref="D363:D364"/>
    <mergeCell ref="B361:D362"/>
    <mergeCell ref="B316:B317"/>
    <mergeCell ref="E314:E317"/>
    <mergeCell ref="F361:F364"/>
    <mergeCell ref="G2:G5"/>
    <mergeCell ref="G314:G317"/>
    <mergeCell ref="G361:G364"/>
    <mergeCell ref="B2:D3"/>
    <mergeCell ref="B4:B5"/>
    <mergeCell ref="D316:D317"/>
    <mergeCell ref="C4:C5"/>
    <mergeCell ref="D4:D5"/>
    <mergeCell ref="E2:E5"/>
    <mergeCell ref="B314:D315"/>
  </mergeCells>
  <phoneticPr fontId="2" type="noConversion"/>
  <pageMargins left="0.23622047244094491" right="0" top="0.19685039370078741" bottom="0.31496062992125984" header="0.31496062992125984" footer="0.31496062992125984"/>
  <pageSetup paperSize="9" scale="10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E164-AA45-4856-97B0-3C167FEC0842}">
  <sheetPr codeName="Sheet13"/>
  <dimension ref="A1:Q1874"/>
  <sheetViews>
    <sheetView showWhiteSpace="0" zoomScale="80" zoomScaleNormal="80" zoomScaleSheetLayoutView="90" workbookViewId="0"/>
  </sheetViews>
  <sheetFormatPr defaultRowHeight="12.75" x14ac:dyDescent="0.2"/>
  <cols>
    <col min="1" max="1" width="1.140625" style="3" customWidth="1"/>
    <col min="2" max="2" width="5.28515625" style="2" customWidth="1"/>
    <col min="3" max="3" width="4.140625" style="3" customWidth="1"/>
    <col min="4" max="4" width="3.42578125" style="3" customWidth="1"/>
    <col min="5" max="5" width="3" style="3" customWidth="1"/>
    <col min="6" max="6" width="5.5703125" style="4" customWidth="1"/>
    <col min="7" max="7" width="5" style="4" customWidth="1"/>
    <col min="8" max="8" width="37" style="3" customWidth="1"/>
    <col min="9" max="10" width="13.85546875" style="5" customWidth="1"/>
    <col min="11" max="11" width="8.7109375" style="5" customWidth="1"/>
    <col min="12" max="13" width="14.42578125" style="5" customWidth="1"/>
    <col min="14" max="14" width="7" style="5" customWidth="1"/>
    <col min="15" max="15" width="14.28515625" style="5" customWidth="1"/>
    <col min="16" max="16" width="12.85546875" style="3" customWidth="1"/>
    <col min="17" max="17" width="9.140625" style="3" customWidth="1"/>
    <col min="18" max="18" width="12.140625" style="3" customWidth="1"/>
    <col min="19" max="19" width="12.7109375" style="3" customWidth="1"/>
    <col min="20" max="20" width="13.140625" style="3" customWidth="1"/>
    <col min="21" max="21" width="11.7109375" style="3" customWidth="1"/>
    <col min="22" max="22" width="9.140625" style="3" customWidth="1"/>
    <col min="23" max="16384" width="9.140625" style="3"/>
  </cols>
  <sheetData>
    <row r="1" spans="1:17" ht="55.5" customHeight="1" x14ac:dyDescent="0.4">
      <c r="B1" s="479" t="s">
        <v>37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</row>
    <row r="2" spans="1:17" ht="13.5" customHeight="1" x14ac:dyDescent="0.35">
      <c r="B2" s="461" t="s">
        <v>437</v>
      </c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3"/>
      <c r="O2" s="466" t="s">
        <v>717</v>
      </c>
      <c r="P2" s="466" t="s">
        <v>712</v>
      </c>
      <c r="Q2" s="468" t="s">
        <v>711</v>
      </c>
    </row>
    <row r="3" spans="1:17" ht="19.5" customHeight="1" x14ac:dyDescent="0.2">
      <c r="B3" s="478"/>
      <c r="C3" s="475" t="s">
        <v>111</v>
      </c>
      <c r="D3" s="475" t="s">
        <v>112</v>
      </c>
      <c r="E3" s="475"/>
      <c r="F3" s="475" t="s">
        <v>113</v>
      </c>
      <c r="G3" s="477" t="s">
        <v>114</v>
      </c>
      <c r="H3" s="476" t="s">
        <v>115</v>
      </c>
      <c r="I3" s="471" t="s">
        <v>713</v>
      </c>
      <c r="J3" s="471" t="s">
        <v>714</v>
      </c>
      <c r="K3" s="472" t="s">
        <v>711</v>
      </c>
      <c r="L3" s="471" t="s">
        <v>715</v>
      </c>
      <c r="M3" s="471" t="s">
        <v>716</v>
      </c>
      <c r="N3" s="451" t="s">
        <v>711</v>
      </c>
      <c r="O3" s="467"/>
      <c r="P3" s="467"/>
      <c r="Q3" s="469"/>
    </row>
    <row r="4" spans="1:17" ht="15.75" customHeight="1" x14ac:dyDescent="0.2">
      <c r="B4" s="478"/>
      <c r="C4" s="475"/>
      <c r="D4" s="475"/>
      <c r="E4" s="475"/>
      <c r="F4" s="475"/>
      <c r="G4" s="477"/>
      <c r="H4" s="476"/>
      <c r="I4" s="471"/>
      <c r="J4" s="471"/>
      <c r="K4" s="473"/>
      <c r="L4" s="471"/>
      <c r="M4" s="471"/>
      <c r="N4" s="452"/>
      <c r="O4" s="467"/>
      <c r="P4" s="467"/>
      <c r="Q4" s="469"/>
    </row>
    <row r="5" spans="1:17" ht="11.25" customHeight="1" x14ac:dyDescent="0.2">
      <c r="B5" s="478"/>
      <c r="C5" s="475"/>
      <c r="D5" s="475"/>
      <c r="E5" s="475"/>
      <c r="F5" s="475"/>
      <c r="G5" s="477"/>
      <c r="H5" s="476"/>
      <c r="I5" s="471"/>
      <c r="J5" s="471"/>
      <c r="K5" s="473"/>
      <c r="L5" s="471"/>
      <c r="M5" s="471"/>
      <c r="N5" s="452"/>
      <c r="O5" s="467"/>
      <c r="P5" s="467"/>
      <c r="Q5" s="469"/>
    </row>
    <row r="6" spans="1:17" ht="9.75" customHeight="1" x14ac:dyDescent="0.2">
      <c r="B6" s="478"/>
      <c r="C6" s="475"/>
      <c r="D6" s="475"/>
      <c r="E6" s="475"/>
      <c r="F6" s="475"/>
      <c r="G6" s="477"/>
      <c r="H6" s="476"/>
      <c r="I6" s="471"/>
      <c r="J6" s="471"/>
      <c r="K6" s="474"/>
      <c r="L6" s="471"/>
      <c r="M6" s="471"/>
      <c r="N6" s="452"/>
      <c r="O6" s="467"/>
      <c r="P6" s="467"/>
      <c r="Q6" s="470"/>
    </row>
    <row r="7" spans="1:17" ht="21.75" customHeight="1" x14ac:dyDescent="0.2">
      <c r="A7" s="3" t="s">
        <v>505</v>
      </c>
      <c r="B7" s="6">
        <v>1</v>
      </c>
      <c r="C7" s="464" t="s">
        <v>37</v>
      </c>
      <c r="D7" s="465"/>
      <c r="E7" s="465"/>
      <c r="F7" s="465"/>
      <c r="G7" s="465"/>
      <c r="H7" s="465"/>
      <c r="I7" s="7">
        <f>I8+I29+I44+I62+I63+I64+I65+I74+I77</f>
        <v>1476370</v>
      </c>
      <c r="J7" s="7">
        <f>J8+J29+J44+J62+J63+J64+J65+J74+J77</f>
        <v>418853.28</v>
      </c>
      <c r="K7" s="354">
        <f>J7/I7*100</f>
        <v>28.370481654327843</v>
      </c>
      <c r="L7" s="7">
        <f>L77+L74+L65+L44+L29+L8</f>
        <v>4084170</v>
      </c>
      <c r="M7" s="7">
        <f>M77+M74+M65+M44+M29+M8</f>
        <v>35889</v>
      </c>
      <c r="N7" s="354">
        <f t="shared" ref="N7:N61" si="0">M7/L7*100</f>
        <v>0.87873423486289748</v>
      </c>
      <c r="O7" s="8">
        <f t="shared" ref="O7:P38" si="1">I7+L7</f>
        <v>5560540</v>
      </c>
      <c r="P7" s="8">
        <f t="shared" si="1"/>
        <v>454742.28</v>
      </c>
      <c r="Q7" s="354">
        <f>P7/O7*100</f>
        <v>8.1780237171210004</v>
      </c>
    </row>
    <row r="8" spans="1:17" ht="15" x14ac:dyDescent="0.2">
      <c r="B8" s="6">
        <f>B7+1</f>
        <v>2</v>
      </c>
      <c r="C8" s="9">
        <v>1</v>
      </c>
      <c r="D8" s="459" t="s">
        <v>187</v>
      </c>
      <c r="E8" s="460"/>
      <c r="F8" s="460"/>
      <c r="G8" s="460"/>
      <c r="H8" s="460"/>
      <c r="I8" s="10">
        <f>I9+I16+I19+I22</f>
        <v>238700</v>
      </c>
      <c r="J8" s="10">
        <f>J9+J16+J19+J22</f>
        <v>121471</v>
      </c>
      <c r="K8" s="354">
        <f>J8/I8*100</f>
        <v>50.888563049853374</v>
      </c>
      <c r="L8" s="10"/>
      <c r="M8" s="10"/>
      <c r="N8" s="354"/>
      <c r="O8" s="11">
        <f t="shared" si="1"/>
        <v>238700</v>
      </c>
      <c r="P8" s="11">
        <f t="shared" si="1"/>
        <v>121471</v>
      </c>
      <c r="Q8" s="354">
        <f t="shared" ref="Q8:Q72" si="2">P8/O8*100</f>
        <v>50.888563049853374</v>
      </c>
    </row>
    <row r="9" spans="1:17" ht="15" x14ac:dyDescent="0.25">
      <c r="B9" s="6">
        <f>B8+1</f>
        <v>3</v>
      </c>
      <c r="C9" s="27"/>
      <c r="D9" s="27">
        <v>1</v>
      </c>
      <c r="E9" s="457" t="s">
        <v>201</v>
      </c>
      <c r="F9" s="458"/>
      <c r="G9" s="458"/>
      <c r="H9" s="458"/>
      <c r="I9" s="28">
        <f>I10</f>
        <v>44000</v>
      </c>
      <c r="J9" s="28">
        <f>J10</f>
        <v>24679</v>
      </c>
      <c r="K9" s="354">
        <f t="shared" ref="K9:K73" si="3">J9/I9*100</f>
        <v>56.088636363636368</v>
      </c>
      <c r="L9" s="28"/>
      <c r="M9" s="28"/>
      <c r="N9" s="354"/>
      <c r="O9" s="29">
        <f t="shared" si="1"/>
        <v>44000</v>
      </c>
      <c r="P9" s="29">
        <f t="shared" si="1"/>
        <v>24679</v>
      </c>
      <c r="Q9" s="354">
        <f t="shared" si="2"/>
        <v>56.088636363636368</v>
      </c>
    </row>
    <row r="10" spans="1:17" x14ac:dyDescent="0.2">
      <c r="B10" s="6">
        <f t="shared" ref="B10:B77" si="4">B9+1</f>
        <v>4</v>
      </c>
      <c r="C10" s="12"/>
      <c r="D10" s="12"/>
      <c r="E10" s="12"/>
      <c r="F10" s="13" t="s">
        <v>73</v>
      </c>
      <c r="G10" s="14">
        <v>630</v>
      </c>
      <c r="H10" s="12" t="s">
        <v>118</v>
      </c>
      <c r="I10" s="15">
        <f>SUM(I11:I15)</f>
        <v>44000</v>
      </c>
      <c r="J10" s="15">
        <f>SUM(J11:J15)</f>
        <v>24679</v>
      </c>
      <c r="K10" s="354">
        <f t="shared" si="3"/>
        <v>56.088636363636368</v>
      </c>
      <c r="L10" s="15"/>
      <c r="M10" s="15"/>
      <c r="N10" s="354"/>
      <c r="O10" s="16">
        <f t="shared" si="1"/>
        <v>44000</v>
      </c>
      <c r="P10" s="16">
        <f t="shared" si="1"/>
        <v>24679</v>
      </c>
      <c r="Q10" s="354">
        <f t="shared" si="2"/>
        <v>56.088636363636368</v>
      </c>
    </row>
    <row r="11" spans="1:17" x14ac:dyDescent="0.2">
      <c r="B11" s="6">
        <f t="shared" si="4"/>
        <v>5</v>
      </c>
      <c r="C11" s="17"/>
      <c r="D11" s="17"/>
      <c r="E11" s="17"/>
      <c r="F11" s="18"/>
      <c r="G11" s="19">
        <v>631</v>
      </c>
      <c r="H11" s="17" t="s">
        <v>124</v>
      </c>
      <c r="I11" s="20">
        <f>8000+10000</f>
        <v>18000</v>
      </c>
      <c r="J11" s="20">
        <v>14030</v>
      </c>
      <c r="K11" s="354">
        <f t="shared" si="3"/>
        <v>77.944444444444443</v>
      </c>
      <c r="L11" s="20"/>
      <c r="M11" s="20"/>
      <c r="N11" s="354"/>
      <c r="O11" s="21">
        <f t="shared" si="1"/>
        <v>18000</v>
      </c>
      <c r="P11" s="21">
        <f t="shared" si="1"/>
        <v>14030</v>
      </c>
      <c r="Q11" s="354">
        <f t="shared" si="2"/>
        <v>77.944444444444443</v>
      </c>
    </row>
    <row r="12" spans="1:17" x14ac:dyDescent="0.2">
      <c r="B12" s="6">
        <f t="shared" si="4"/>
        <v>6</v>
      </c>
      <c r="C12" s="17"/>
      <c r="D12" s="17"/>
      <c r="E12" s="17"/>
      <c r="F12" s="18"/>
      <c r="G12" s="19">
        <v>633</v>
      </c>
      <c r="H12" s="17" t="s">
        <v>122</v>
      </c>
      <c r="I12" s="20">
        <v>15000</v>
      </c>
      <c r="J12" s="20">
        <v>6524</v>
      </c>
      <c r="K12" s="354">
        <f t="shared" si="3"/>
        <v>43.493333333333332</v>
      </c>
      <c r="L12" s="20"/>
      <c r="M12" s="20"/>
      <c r="N12" s="354"/>
      <c r="O12" s="21">
        <f t="shared" si="1"/>
        <v>15000</v>
      </c>
      <c r="P12" s="21">
        <f t="shared" si="1"/>
        <v>6524</v>
      </c>
      <c r="Q12" s="354">
        <f t="shared" si="2"/>
        <v>43.493333333333332</v>
      </c>
    </row>
    <row r="13" spans="1:17" x14ac:dyDescent="0.2">
      <c r="B13" s="6">
        <f t="shared" si="4"/>
        <v>7</v>
      </c>
      <c r="C13" s="17"/>
      <c r="D13" s="17"/>
      <c r="E13" s="17"/>
      <c r="F13" s="18"/>
      <c r="G13" s="19">
        <v>634</v>
      </c>
      <c r="H13" s="17" t="s">
        <v>129</v>
      </c>
      <c r="I13" s="20">
        <v>500</v>
      </c>
      <c r="J13" s="20">
        <v>240</v>
      </c>
      <c r="K13" s="354">
        <f t="shared" si="3"/>
        <v>48</v>
      </c>
      <c r="L13" s="20"/>
      <c r="M13" s="20"/>
      <c r="N13" s="354"/>
      <c r="O13" s="21">
        <f t="shared" si="1"/>
        <v>500</v>
      </c>
      <c r="P13" s="21">
        <f t="shared" si="1"/>
        <v>240</v>
      </c>
      <c r="Q13" s="354">
        <f t="shared" si="2"/>
        <v>48</v>
      </c>
    </row>
    <row r="14" spans="1:17" x14ac:dyDescent="0.2">
      <c r="B14" s="6">
        <f t="shared" si="4"/>
        <v>8</v>
      </c>
      <c r="C14" s="17"/>
      <c r="D14" s="17"/>
      <c r="E14" s="17"/>
      <c r="F14" s="18"/>
      <c r="G14" s="19">
        <v>636</v>
      </c>
      <c r="H14" s="17" t="s">
        <v>123</v>
      </c>
      <c r="I14" s="20">
        <v>500</v>
      </c>
      <c r="J14" s="20">
        <v>0</v>
      </c>
      <c r="K14" s="354">
        <f t="shared" si="3"/>
        <v>0</v>
      </c>
      <c r="L14" s="20"/>
      <c r="M14" s="20"/>
      <c r="N14" s="354"/>
      <c r="O14" s="21">
        <f t="shared" si="1"/>
        <v>500</v>
      </c>
      <c r="P14" s="21">
        <f t="shared" si="1"/>
        <v>0</v>
      </c>
      <c r="Q14" s="354">
        <f t="shared" si="2"/>
        <v>0</v>
      </c>
    </row>
    <row r="15" spans="1:17" x14ac:dyDescent="0.2">
      <c r="B15" s="6">
        <f t="shared" si="4"/>
        <v>9</v>
      </c>
      <c r="C15" s="17"/>
      <c r="D15" s="17"/>
      <c r="E15" s="17"/>
      <c r="F15" s="18"/>
      <c r="G15" s="19">
        <v>637</v>
      </c>
      <c r="H15" s="17" t="s">
        <v>119</v>
      </c>
      <c r="I15" s="20">
        <v>10000</v>
      </c>
      <c r="J15" s="20">
        <v>3885</v>
      </c>
      <c r="K15" s="354">
        <f t="shared" si="3"/>
        <v>38.85</v>
      </c>
      <c r="L15" s="20"/>
      <c r="M15" s="20"/>
      <c r="N15" s="354"/>
      <c r="O15" s="21">
        <f t="shared" si="1"/>
        <v>10000</v>
      </c>
      <c r="P15" s="21">
        <f t="shared" si="1"/>
        <v>3885</v>
      </c>
      <c r="Q15" s="354">
        <f t="shared" si="2"/>
        <v>38.85</v>
      </c>
    </row>
    <row r="16" spans="1:17" ht="15" x14ac:dyDescent="0.25">
      <c r="B16" s="6">
        <f t="shared" si="4"/>
        <v>10</v>
      </c>
      <c r="C16" s="27"/>
      <c r="D16" s="27">
        <v>2</v>
      </c>
      <c r="E16" s="457" t="s">
        <v>229</v>
      </c>
      <c r="F16" s="458"/>
      <c r="G16" s="458"/>
      <c r="H16" s="458"/>
      <c r="I16" s="28">
        <f>I17</f>
        <v>3000</v>
      </c>
      <c r="J16" s="28">
        <f>J17</f>
        <v>1129</v>
      </c>
      <c r="K16" s="354">
        <f t="shared" si="3"/>
        <v>37.633333333333333</v>
      </c>
      <c r="L16" s="28"/>
      <c r="M16" s="28"/>
      <c r="N16" s="354"/>
      <c r="O16" s="29">
        <f t="shared" si="1"/>
        <v>3000</v>
      </c>
      <c r="P16" s="29">
        <f t="shared" si="1"/>
        <v>1129</v>
      </c>
      <c r="Q16" s="354">
        <f t="shared" si="2"/>
        <v>37.633333333333333</v>
      </c>
    </row>
    <row r="17" spans="2:17" x14ac:dyDescent="0.2">
      <c r="B17" s="6">
        <f t="shared" si="4"/>
        <v>11</v>
      </c>
      <c r="C17" s="12"/>
      <c r="D17" s="12"/>
      <c r="E17" s="12"/>
      <c r="F17" s="13" t="s">
        <v>73</v>
      </c>
      <c r="G17" s="14">
        <v>630</v>
      </c>
      <c r="H17" s="12" t="s">
        <v>118</v>
      </c>
      <c r="I17" s="15">
        <f>I18</f>
        <v>3000</v>
      </c>
      <c r="J17" s="15">
        <f>J18</f>
        <v>1129</v>
      </c>
      <c r="K17" s="354">
        <f t="shared" si="3"/>
        <v>37.633333333333333</v>
      </c>
      <c r="L17" s="15"/>
      <c r="M17" s="15"/>
      <c r="N17" s="354"/>
      <c r="O17" s="16">
        <f t="shared" si="1"/>
        <v>3000</v>
      </c>
      <c r="P17" s="16">
        <f t="shared" si="1"/>
        <v>1129</v>
      </c>
      <c r="Q17" s="354">
        <f t="shared" si="2"/>
        <v>37.633333333333333</v>
      </c>
    </row>
    <row r="18" spans="2:17" x14ac:dyDescent="0.2">
      <c r="B18" s="6">
        <f t="shared" si="4"/>
        <v>12</v>
      </c>
      <c r="C18" s="17"/>
      <c r="D18" s="17"/>
      <c r="E18" s="17"/>
      <c r="F18" s="18"/>
      <c r="G18" s="19">
        <v>633</v>
      </c>
      <c r="H18" s="17" t="s">
        <v>122</v>
      </c>
      <c r="I18" s="20">
        <v>3000</v>
      </c>
      <c r="J18" s="20">
        <v>1129</v>
      </c>
      <c r="K18" s="354">
        <f t="shared" si="3"/>
        <v>37.633333333333333</v>
      </c>
      <c r="L18" s="20"/>
      <c r="M18" s="20"/>
      <c r="N18" s="354"/>
      <c r="O18" s="21">
        <f t="shared" si="1"/>
        <v>3000</v>
      </c>
      <c r="P18" s="21">
        <f t="shared" si="1"/>
        <v>1129</v>
      </c>
      <c r="Q18" s="354">
        <f t="shared" si="2"/>
        <v>37.633333333333333</v>
      </c>
    </row>
    <row r="19" spans="2:17" ht="15" x14ac:dyDescent="0.25">
      <c r="B19" s="6">
        <f t="shared" si="4"/>
        <v>13</v>
      </c>
      <c r="C19" s="27"/>
      <c r="D19" s="27">
        <v>3</v>
      </c>
      <c r="E19" s="457" t="s">
        <v>230</v>
      </c>
      <c r="F19" s="458"/>
      <c r="G19" s="458"/>
      <c r="H19" s="458"/>
      <c r="I19" s="28">
        <f>I20</f>
        <v>3000</v>
      </c>
      <c r="J19" s="28">
        <f>J20</f>
        <v>258</v>
      </c>
      <c r="K19" s="354">
        <f t="shared" si="3"/>
        <v>8.6</v>
      </c>
      <c r="L19" s="28"/>
      <c r="M19" s="28"/>
      <c r="N19" s="354"/>
      <c r="O19" s="29">
        <f t="shared" si="1"/>
        <v>3000</v>
      </c>
      <c r="P19" s="29">
        <f t="shared" si="1"/>
        <v>258</v>
      </c>
      <c r="Q19" s="354">
        <f t="shared" si="2"/>
        <v>8.6</v>
      </c>
    </row>
    <row r="20" spans="2:17" x14ac:dyDescent="0.2">
      <c r="B20" s="6">
        <f t="shared" si="4"/>
        <v>14</v>
      </c>
      <c r="C20" s="12"/>
      <c r="D20" s="12"/>
      <c r="E20" s="12"/>
      <c r="F20" s="13" t="s">
        <v>73</v>
      </c>
      <c r="G20" s="14">
        <v>630</v>
      </c>
      <c r="H20" s="12" t="s">
        <v>118</v>
      </c>
      <c r="I20" s="15">
        <f>I21</f>
        <v>3000</v>
      </c>
      <c r="J20" s="15">
        <f>J21</f>
        <v>258</v>
      </c>
      <c r="K20" s="354">
        <f t="shared" si="3"/>
        <v>8.6</v>
      </c>
      <c r="L20" s="15"/>
      <c r="M20" s="15"/>
      <c r="N20" s="354"/>
      <c r="O20" s="16">
        <f t="shared" si="1"/>
        <v>3000</v>
      </c>
      <c r="P20" s="16">
        <f t="shared" si="1"/>
        <v>258</v>
      </c>
      <c r="Q20" s="354">
        <f t="shared" si="2"/>
        <v>8.6</v>
      </c>
    </row>
    <row r="21" spans="2:17" x14ac:dyDescent="0.2">
      <c r="B21" s="6">
        <f t="shared" si="4"/>
        <v>15</v>
      </c>
      <c r="C21" s="17"/>
      <c r="D21" s="17"/>
      <c r="E21" s="17"/>
      <c r="F21" s="18"/>
      <c r="G21" s="19">
        <v>633</v>
      </c>
      <c r="H21" s="17" t="s">
        <v>122</v>
      </c>
      <c r="I21" s="20">
        <v>3000</v>
      </c>
      <c r="J21" s="20">
        <v>258</v>
      </c>
      <c r="K21" s="354">
        <f t="shared" si="3"/>
        <v>8.6</v>
      </c>
      <c r="L21" s="20"/>
      <c r="M21" s="20"/>
      <c r="N21" s="354"/>
      <c r="O21" s="21">
        <f t="shared" si="1"/>
        <v>3000</v>
      </c>
      <c r="P21" s="21">
        <f t="shared" si="1"/>
        <v>258</v>
      </c>
      <c r="Q21" s="354">
        <f t="shared" si="2"/>
        <v>8.6</v>
      </c>
    </row>
    <row r="22" spans="2:17" ht="15" x14ac:dyDescent="0.25">
      <c r="B22" s="6">
        <f t="shared" si="4"/>
        <v>16</v>
      </c>
      <c r="C22" s="27"/>
      <c r="D22" s="27">
        <v>4</v>
      </c>
      <c r="E22" s="457" t="s">
        <v>186</v>
      </c>
      <c r="F22" s="458"/>
      <c r="G22" s="458"/>
      <c r="H22" s="458"/>
      <c r="I22" s="28">
        <f>I23+I24+I28</f>
        <v>188700</v>
      </c>
      <c r="J22" s="28">
        <f>J23+J24+J28</f>
        <v>95405</v>
      </c>
      <c r="K22" s="354">
        <f t="shared" si="3"/>
        <v>50.55908850026497</v>
      </c>
      <c r="L22" s="28"/>
      <c r="M22" s="28"/>
      <c r="N22" s="354"/>
      <c r="O22" s="29">
        <f t="shared" si="1"/>
        <v>188700</v>
      </c>
      <c r="P22" s="29">
        <f t="shared" si="1"/>
        <v>95405</v>
      </c>
      <c r="Q22" s="354">
        <f t="shared" si="2"/>
        <v>50.55908850026497</v>
      </c>
    </row>
    <row r="23" spans="2:17" x14ac:dyDescent="0.2">
      <c r="B23" s="6">
        <f t="shared" si="4"/>
        <v>17</v>
      </c>
      <c r="C23" s="12"/>
      <c r="D23" s="12"/>
      <c r="E23" s="12"/>
      <c r="F23" s="13" t="s">
        <v>73</v>
      </c>
      <c r="G23" s="14">
        <v>620</v>
      </c>
      <c r="H23" s="12" t="s">
        <v>121</v>
      </c>
      <c r="I23" s="15">
        <v>42200</v>
      </c>
      <c r="J23" s="15">
        <v>26198</v>
      </c>
      <c r="K23" s="354">
        <f t="shared" si="3"/>
        <v>62.080568720379148</v>
      </c>
      <c r="L23" s="15"/>
      <c r="M23" s="15"/>
      <c r="N23" s="354"/>
      <c r="O23" s="16">
        <f t="shared" si="1"/>
        <v>42200</v>
      </c>
      <c r="P23" s="16">
        <f t="shared" si="1"/>
        <v>26198</v>
      </c>
      <c r="Q23" s="354">
        <f t="shared" si="2"/>
        <v>62.080568720379148</v>
      </c>
    </row>
    <row r="24" spans="2:17" x14ac:dyDescent="0.2">
      <c r="B24" s="6">
        <f t="shared" si="4"/>
        <v>18</v>
      </c>
      <c r="C24" s="12"/>
      <c r="D24" s="12"/>
      <c r="E24" s="12"/>
      <c r="F24" s="13" t="s">
        <v>73</v>
      </c>
      <c r="G24" s="14">
        <v>630</v>
      </c>
      <c r="H24" s="12" t="s">
        <v>118</v>
      </c>
      <c r="I24" s="15">
        <f>SUM(I25:I27)</f>
        <v>146000</v>
      </c>
      <c r="J24" s="15">
        <f>SUM(J25:J27)</f>
        <v>69080</v>
      </c>
      <c r="K24" s="354">
        <f t="shared" si="3"/>
        <v>47.315068493150683</v>
      </c>
      <c r="L24" s="15"/>
      <c r="M24" s="15"/>
      <c r="N24" s="354"/>
      <c r="O24" s="16">
        <f t="shared" si="1"/>
        <v>146000</v>
      </c>
      <c r="P24" s="16">
        <f t="shared" si="1"/>
        <v>69080</v>
      </c>
      <c r="Q24" s="354">
        <f t="shared" si="2"/>
        <v>47.315068493150683</v>
      </c>
    </row>
    <row r="25" spans="2:17" x14ac:dyDescent="0.2">
      <c r="B25" s="6">
        <f t="shared" si="4"/>
        <v>19</v>
      </c>
      <c r="C25" s="17"/>
      <c r="D25" s="17"/>
      <c r="E25" s="17"/>
      <c r="F25" s="18"/>
      <c r="G25" s="19">
        <v>632</v>
      </c>
      <c r="H25" s="17" t="s">
        <v>131</v>
      </c>
      <c r="I25" s="20">
        <v>15000</v>
      </c>
      <c r="J25" s="20">
        <v>3753</v>
      </c>
      <c r="K25" s="354">
        <f t="shared" si="3"/>
        <v>25.019999999999996</v>
      </c>
      <c r="L25" s="20"/>
      <c r="M25" s="20"/>
      <c r="N25" s="354"/>
      <c r="O25" s="21">
        <f t="shared" si="1"/>
        <v>15000</v>
      </c>
      <c r="P25" s="21">
        <f t="shared" si="1"/>
        <v>3753</v>
      </c>
      <c r="Q25" s="354">
        <f t="shared" si="2"/>
        <v>25.019999999999996</v>
      </c>
    </row>
    <row r="26" spans="2:17" x14ac:dyDescent="0.2">
      <c r="B26" s="6">
        <f t="shared" si="4"/>
        <v>20</v>
      </c>
      <c r="C26" s="17"/>
      <c r="D26" s="17"/>
      <c r="E26" s="17"/>
      <c r="F26" s="18"/>
      <c r="G26" s="19">
        <v>633</v>
      </c>
      <c r="H26" s="17" t="s">
        <v>122</v>
      </c>
      <c r="I26" s="20">
        <v>3000</v>
      </c>
      <c r="J26" s="20">
        <v>203</v>
      </c>
      <c r="K26" s="354">
        <f t="shared" si="3"/>
        <v>6.7666666666666666</v>
      </c>
      <c r="L26" s="20"/>
      <c r="M26" s="20"/>
      <c r="N26" s="354"/>
      <c r="O26" s="21">
        <f t="shared" si="1"/>
        <v>3000</v>
      </c>
      <c r="P26" s="21">
        <f t="shared" si="1"/>
        <v>203</v>
      </c>
      <c r="Q26" s="354">
        <f t="shared" si="2"/>
        <v>6.7666666666666666</v>
      </c>
    </row>
    <row r="27" spans="2:17" x14ac:dyDescent="0.2">
      <c r="B27" s="6">
        <f t="shared" si="4"/>
        <v>21</v>
      </c>
      <c r="C27" s="17"/>
      <c r="D27" s="17"/>
      <c r="E27" s="17"/>
      <c r="F27" s="18"/>
      <c r="G27" s="19">
        <v>637</v>
      </c>
      <c r="H27" s="17" t="s">
        <v>119</v>
      </c>
      <c r="I27" s="20">
        <v>128000</v>
      </c>
      <c r="J27" s="20">
        <v>65124</v>
      </c>
      <c r="K27" s="354">
        <f t="shared" si="3"/>
        <v>50.878124999999997</v>
      </c>
      <c r="L27" s="20"/>
      <c r="M27" s="20"/>
      <c r="N27" s="354"/>
      <c r="O27" s="21">
        <f t="shared" si="1"/>
        <v>128000</v>
      </c>
      <c r="P27" s="21">
        <f t="shared" si="1"/>
        <v>65124</v>
      </c>
      <c r="Q27" s="354">
        <f t="shared" si="2"/>
        <v>50.878124999999997</v>
      </c>
    </row>
    <row r="28" spans="2:17" x14ac:dyDescent="0.2">
      <c r="B28" s="6">
        <f t="shared" si="4"/>
        <v>22</v>
      </c>
      <c r="C28" s="12"/>
      <c r="D28" s="12"/>
      <c r="E28" s="12"/>
      <c r="F28" s="13" t="s">
        <v>73</v>
      </c>
      <c r="G28" s="14">
        <v>640</v>
      </c>
      <c r="H28" s="12" t="s">
        <v>126</v>
      </c>
      <c r="I28" s="15">
        <v>500</v>
      </c>
      <c r="J28" s="15">
        <v>127</v>
      </c>
      <c r="K28" s="354">
        <f t="shared" si="3"/>
        <v>25.4</v>
      </c>
      <c r="L28" s="15"/>
      <c r="M28" s="15"/>
      <c r="N28" s="354"/>
      <c r="O28" s="16">
        <f t="shared" si="1"/>
        <v>500</v>
      </c>
      <c r="P28" s="16">
        <f t="shared" si="1"/>
        <v>127</v>
      </c>
      <c r="Q28" s="354">
        <f t="shared" si="2"/>
        <v>25.4</v>
      </c>
    </row>
    <row r="29" spans="2:17" ht="15" x14ac:dyDescent="0.2">
      <c r="B29" s="6">
        <f t="shared" si="4"/>
        <v>23</v>
      </c>
      <c r="C29" s="9">
        <v>2</v>
      </c>
      <c r="D29" s="459" t="s">
        <v>200</v>
      </c>
      <c r="E29" s="460"/>
      <c r="F29" s="460"/>
      <c r="G29" s="460"/>
      <c r="H29" s="460"/>
      <c r="I29" s="10">
        <f>I30+I31</f>
        <v>214700</v>
      </c>
      <c r="J29" s="10">
        <f>J30+J31</f>
        <v>56431</v>
      </c>
      <c r="K29" s="354">
        <f t="shared" si="3"/>
        <v>26.283651606893336</v>
      </c>
      <c r="L29" s="10">
        <f>L36</f>
        <v>224420</v>
      </c>
      <c r="M29" s="10">
        <f>M36</f>
        <v>20159</v>
      </c>
      <c r="N29" s="354">
        <f t="shared" si="0"/>
        <v>8.9827109883254614</v>
      </c>
      <c r="O29" s="31">
        <f t="shared" si="1"/>
        <v>439120</v>
      </c>
      <c r="P29" s="31">
        <f t="shared" si="1"/>
        <v>76590</v>
      </c>
      <c r="Q29" s="354">
        <f t="shared" si="2"/>
        <v>17.441701584988159</v>
      </c>
    </row>
    <row r="30" spans="2:17" x14ac:dyDescent="0.2">
      <c r="B30" s="6">
        <f t="shared" si="4"/>
        <v>24</v>
      </c>
      <c r="C30" s="12"/>
      <c r="D30" s="12"/>
      <c r="E30" s="12"/>
      <c r="F30" s="13" t="s">
        <v>199</v>
      </c>
      <c r="G30" s="14">
        <v>620</v>
      </c>
      <c r="H30" s="12" t="s">
        <v>121</v>
      </c>
      <c r="I30" s="15">
        <v>1000</v>
      </c>
      <c r="J30" s="15">
        <v>0</v>
      </c>
      <c r="K30" s="354">
        <f t="shared" si="3"/>
        <v>0</v>
      </c>
      <c r="L30" s="15"/>
      <c r="M30" s="15"/>
      <c r="N30" s="354"/>
      <c r="O30" s="16">
        <f t="shared" si="1"/>
        <v>1000</v>
      </c>
      <c r="P30" s="16">
        <f t="shared" si="1"/>
        <v>0</v>
      </c>
      <c r="Q30" s="354">
        <f t="shared" si="2"/>
        <v>0</v>
      </c>
    </row>
    <row r="31" spans="2:17" x14ac:dyDescent="0.2">
      <c r="B31" s="6">
        <f t="shared" si="4"/>
        <v>25</v>
      </c>
      <c r="C31" s="12"/>
      <c r="D31" s="12"/>
      <c r="E31" s="12"/>
      <c r="F31" s="13" t="s">
        <v>199</v>
      </c>
      <c r="G31" s="14">
        <v>630</v>
      </c>
      <c r="H31" s="12" t="s">
        <v>118</v>
      </c>
      <c r="I31" s="15">
        <f>SUM(I32:I35)</f>
        <v>213700</v>
      </c>
      <c r="J31" s="15">
        <f>SUM(J32:J35)</f>
        <v>56431</v>
      </c>
      <c r="K31" s="354">
        <f t="shared" si="3"/>
        <v>26.406644829199809</v>
      </c>
      <c r="L31" s="15"/>
      <c r="M31" s="15"/>
      <c r="N31" s="354"/>
      <c r="O31" s="16">
        <f t="shared" si="1"/>
        <v>213700</v>
      </c>
      <c r="P31" s="16">
        <f t="shared" si="1"/>
        <v>56431</v>
      </c>
      <c r="Q31" s="354">
        <f t="shared" si="2"/>
        <v>26.406644829199809</v>
      </c>
    </row>
    <row r="32" spans="2:17" x14ac:dyDescent="0.2">
      <c r="B32" s="6">
        <f t="shared" si="4"/>
        <v>26</v>
      </c>
      <c r="C32" s="17"/>
      <c r="D32" s="17"/>
      <c r="E32" s="17"/>
      <c r="F32" s="18"/>
      <c r="G32" s="19">
        <v>631</v>
      </c>
      <c r="H32" s="17" t="s">
        <v>124</v>
      </c>
      <c r="I32" s="20">
        <v>1000</v>
      </c>
      <c r="J32" s="20">
        <v>0</v>
      </c>
      <c r="K32" s="354">
        <f t="shared" si="3"/>
        <v>0</v>
      </c>
      <c r="L32" s="20"/>
      <c r="M32" s="20"/>
      <c r="N32" s="354"/>
      <c r="O32" s="21">
        <f t="shared" si="1"/>
        <v>1000</v>
      </c>
      <c r="P32" s="21">
        <f t="shared" si="1"/>
        <v>0</v>
      </c>
      <c r="Q32" s="354">
        <f t="shared" si="2"/>
        <v>0</v>
      </c>
    </row>
    <row r="33" spans="2:17" x14ac:dyDescent="0.2">
      <c r="B33" s="6">
        <f t="shared" si="4"/>
        <v>27</v>
      </c>
      <c r="C33" s="17"/>
      <c r="D33" s="17"/>
      <c r="E33" s="17"/>
      <c r="F33" s="18"/>
      <c r="G33" s="19">
        <v>633</v>
      </c>
      <c r="H33" s="17" t="s">
        <v>122</v>
      </c>
      <c r="I33" s="20">
        <v>11000</v>
      </c>
      <c r="J33" s="20">
        <v>4566</v>
      </c>
      <c r="K33" s="354">
        <f t="shared" si="3"/>
        <v>41.509090909090908</v>
      </c>
      <c r="L33" s="20"/>
      <c r="M33" s="20"/>
      <c r="N33" s="354"/>
      <c r="O33" s="21">
        <f t="shared" si="1"/>
        <v>11000</v>
      </c>
      <c r="P33" s="21">
        <f t="shared" si="1"/>
        <v>4566</v>
      </c>
      <c r="Q33" s="354">
        <f t="shared" si="2"/>
        <v>41.509090909090908</v>
      </c>
    </row>
    <row r="34" spans="2:17" x14ac:dyDescent="0.2">
      <c r="B34" s="6">
        <f t="shared" si="4"/>
        <v>28</v>
      </c>
      <c r="C34" s="17"/>
      <c r="D34" s="17"/>
      <c r="E34" s="17"/>
      <c r="F34" s="18"/>
      <c r="G34" s="19">
        <v>635</v>
      </c>
      <c r="H34" s="17" t="s">
        <v>130</v>
      </c>
      <c r="I34" s="20">
        <v>17000</v>
      </c>
      <c r="J34" s="20">
        <v>5453</v>
      </c>
      <c r="K34" s="354">
        <f t="shared" si="3"/>
        <v>32.076470588235296</v>
      </c>
      <c r="L34" s="20"/>
      <c r="M34" s="20"/>
      <c r="N34" s="354"/>
      <c r="O34" s="21">
        <f t="shared" si="1"/>
        <v>17000</v>
      </c>
      <c r="P34" s="21">
        <f t="shared" si="1"/>
        <v>5453</v>
      </c>
      <c r="Q34" s="354">
        <f t="shared" si="2"/>
        <v>32.076470588235296</v>
      </c>
    </row>
    <row r="35" spans="2:17" x14ac:dyDescent="0.2">
      <c r="B35" s="6">
        <f t="shared" si="4"/>
        <v>29</v>
      </c>
      <c r="C35" s="17"/>
      <c r="D35" s="17"/>
      <c r="E35" s="17"/>
      <c r="F35" s="18"/>
      <c r="G35" s="19">
        <v>637</v>
      </c>
      <c r="H35" s="17" t="s">
        <v>119</v>
      </c>
      <c r="I35" s="20">
        <v>184700</v>
      </c>
      <c r="J35" s="20">
        <v>46412</v>
      </c>
      <c r="K35" s="354">
        <f t="shared" si="3"/>
        <v>25.128316188413645</v>
      </c>
      <c r="L35" s="20"/>
      <c r="M35" s="20"/>
      <c r="N35" s="354"/>
      <c r="O35" s="21">
        <f t="shared" si="1"/>
        <v>184700</v>
      </c>
      <c r="P35" s="21">
        <f t="shared" si="1"/>
        <v>46412</v>
      </c>
      <c r="Q35" s="354">
        <f t="shared" si="2"/>
        <v>25.128316188413645</v>
      </c>
    </row>
    <row r="36" spans="2:17" x14ac:dyDescent="0.2">
      <c r="B36" s="6">
        <f t="shared" si="4"/>
        <v>30</v>
      </c>
      <c r="C36" s="12"/>
      <c r="D36" s="12"/>
      <c r="E36" s="12"/>
      <c r="F36" s="13" t="s">
        <v>199</v>
      </c>
      <c r="G36" s="14">
        <v>710</v>
      </c>
      <c r="H36" s="12" t="s">
        <v>172</v>
      </c>
      <c r="I36" s="15"/>
      <c r="J36" s="15"/>
      <c r="K36" s="354"/>
      <c r="L36" s="15">
        <f>L37+L42+L39</f>
        <v>224420</v>
      </c>
      <c r="M36" s="15">
        <f>M37+M42+M39</f>
        <v>20159</v>
      </c>
      <c r="N36" s="354">
        <f t="shared" si="0"/>
        <v>8.9827109883254614</v>
      </c>
      <c r="O36" s="16">
        <f t="shared" si="1"/>
        <v>224420</v>
      </c>
      <c r="P36" s="16">
        <f t="shared" si="1"/>
        <v>20159</v>
      </c>
      <c r="Q36" s="354">
        <f t="shared" si="2"/>
        <v>8.9827109883254614</v>
      </c>
    </row>
    <row r="37" spans="2:17" x14ac:dyDescent="0.2">
      <c r="B37" s="6">
        <f t="shared" si="4"/>
        <v>31</v>
      </c>
      <c r="C37" s="17"/>
      <c r="D37" s="17"/>
      <c r="E37" s="17"/>
      <c r="F37" s="18"/>
      <c r="G37" s="19">
        <v>711</v>
      </c>
      <c r="H37" s="17" t="s">
        <v>206</v>
      </c>
      <c r="I37" s="20"/>
      <c r="J37" s="20"/>
      <c r="K37" s="354"/>
      <c r="L37" s="20">
        <f>L38</f>
        <v>50000</v>
      </c>
      <c r="M37" s="20">
        <f>M38</f>
        <v>2500</v>
      </c>
      <c r="N37" s="354">
        <f t="shared" si="0"/>
        <v>5</v>
      </c>
      <c r="O37" s="21">
        <f t="shared" si="1"/>
        <v>50000</v>
      </c>
      <c r="P37" s="21">
        <f t="shared" si="1"/>
        <v>2500</v>
      </c>
      <c r="Q37" s="354">
        <f t="shared" si="2"/>
        <v>5</v>
      </c>
    </row>
    <row r="38" spans="2:17" s="38" customFormat="1" ht="24" x14ac:dyDescent="0.2">
      <c r="B38" s="6">
        <f t="shared" si="4"/>
        <v>32</v>
      </c>
      <c r="C38" s="32"/>
      <c r="D38" s="32"/>
      <c r="E38" s="32"/>
      <c r="F38" s="33"/>
      <c r="G38" s="33"/>
      <c r="H38" s="34" t="s">
        <v>324</v>
      </c>
      <c r="I38" s="35"/>
      <c r="J38" s="35"/>
      <c r="K38" s="354"/>
      <c r="L38" s="35">
        <v>50000</v>
      </c>
      <c r="M38" s="35">
        <v>2500</v>
      </c>
      <c r="N38" s="354">
        <f t="shared" si="0"/>
        <v>5</v>
      </c>
      <c r="O38" s="37">
        <f t="shared" si="1"/>
        <v>50000</v>
      </c>
      <c r="P38" s="37">
        <f t="shared" si="1"/>
        <v>2500</v>
      </c>
      <c r="Q38" s="354">
        <f t="shared" si="2"/>
        <v>5</v>
      </c>
    </row>
    <row r="39" spans="2:17" x14ac:dyDescent="0.2">
      <c r="B39" s="6">
        <f t="shared" si="4"/>
        <v>33</v>
      </c>
      <c r="C39" s="17"/>
      <c r="D39" s="17"/>
      <c r="E39" s="17"/>
      <c r="F39" s="18"/>
      <c r="G39" s="19">
        <v>713</v>
      </c>
      <c r="H39" s="135" t="s">
        <v>215</v>
      </c>
      <c r="I39" s="20"/>
      <c r="J39" s="20"/>
      <c r="K39" s="354"/>
      <c r="L39" s="20">
        <f>L40+L41</f>
        <v>8000</v>
      </c>
      <c r="M39" s="20">
        <f>M40+M41</f>
        <v>3497</v>
      </c>
      <c r="N39" s="354">
        <f t="shared" si="0"/>
        <v>43.712499999999999</v>
      </c>
      <c r="O39" s="21">
        <f t="shared" ref="O39:P77" si="5">I39+L39</f>
        <v>8000</v>
      </c>
      <c r="P39" s="21">
        <f t="shared" si="5"/>
        <v>3497</v>
      </c>
      <c r="Q39" s="354">
        <f t="shared" si="2"/>
        <v>43.712499999999999</v>
      </c>
    </row>
    <row r="40" spans="2:17" x14ac:dyDescent="0.2">
      <c r="B40" s="6">
        <f t="shared" si="4"/>
        <v>34</v>
      </c>
      <c r="C40" s="22"/>
      <c r="D40" s="22"/>
      <c r="E40" s="22"/>
      <c r="F40" s="23"/>
      <c r="G40" s="23"/>
      <c r="H40" s="1" t="s">
        <v>520</v>
      </c>
      <c r="I40" s="24"/>
      <c r="J40" s="24"/>
      <c r="K40" s="354"/>
      <c r="L40" s="24">
        <v>3500</v>
      </c>
      <c r="M40" s="24">
        <v>3497</v>
      </c>
      <c r="N40" s="354">
        <f t="shared" si="0"/>
        <v>99.914285714285711</v>
      </c>
      <c r="O40" s="26">
        <f t="shared" si="5"/>
        <v>3500</v>
      </c>
      <c r="P40" s="26">
        <f t="shared" si="5"/>
        <v>3497</v>
      </c>
      <c r="Q40" s="354">
        <f t="shared" si="2"/>
        <v>99.914285714285711</v>
      </c>
    </row>
    <row r="41" spans="2:17" x14ac:dyDescent="0.2">
      <c r="B41" s="6"/>
      <c r="C41" s="22"/>
      <c r="D41" s="22"/>
      <c r="E41" s="22"/>
      <c r="F41" s="23"/>
      <c r="G41" s="23"/>
      <c r="H41" s="1" t="s">
        <v>691</v>
      </c>
      <c r="I41" s="24"/>
      <c r="J41" s="24"/>
      <c r="K41" s="354"/>
      <c r="L41" s="24">
        <v>4500</v>
      </c>
      <c r="M41" s="24"/>
      <c r="N41" s="354">
        <f t="shared" si="0"/>
        <v>0</v>
      </c>
      <c r="O41" s="26">
        <f t="shared" si="5"/>
        <v>4500</v>
      </c>
      <c r="P41" s="26">
        <f t="shared" si="5"/>
        <v>0</v>
      </c>
      <c r="Q41" s="354">
        <f t="shared" si="2"/>
        <v>0</v>
      </c>
    </row>
    <row r="42" spans="2:17" x14ac:dyDescent="0.2">
      <c r="B42" s="6">
        <f>B40+1</f>
        <v>35</v>
      </c>
      <c r="C42" s="17"/>
      <c r="D42" s="17"/>
      <c r="E42" s="17"/>
      <c r="F42" s="18"/>
      <c r="G42" s="19">
        <v>716</v>
      </c>
      <c r="H42" s="17" t="s">
        <v>212</v>
      </c>
      <c r="I42" s="20"/>
      <c r="J42" s="20"/>
      <c r="K42" s="354"/>
      <c r="L42" s="20">
        <f>SUM(L43:L43)</f>
        <v>166420</v>
      </c>
      <c r="M42" s="20">
        <f>SUM(M43:M43)</f>
        <v>14162</v>
      </c>
      <c r="N42" s="354">
        <f t="shared" si="0"/>
        <v>8.509794495853864</v>
      </c>
      <c r="O42" s="21">
        <f t="shared" si="5"/>
        <v>166420</v>
      </c>
      <c r="P42" s="21">
        <f t="shared" si="5"/>
        <v>14162</v>
      </c>
      <c r="Q42" s="354">
        <f t="shared" si="2"/>
        <v>8.509794495853864</v>
      </c>
    </row>
    <row r="43" spans="2:17" ht="12" customHeight="1" x14ac:dyDescent="0.2">
      <c r="B43" s="6">
        <f t="shared" si="4"/>
        <v>36</v>
      </c>
      <c r="C43" s="22"/>
      <c r="D43" s="22"/>
      <c r="E43" s="22"/>
      <c r="F43" s="23"/>
      <c r="G43" s="23"/>
      <c r="H43" s="1" t="s">
        <v>294</v>
      </c>
      <c r="I43" s="24"/>
      <c r="J43" s="24"/>
      <c r="K43" s="354"/>
      <c r="L43" s="24">
        <f>70920+100000-4500</f>
        <v>166420</v>
      </c>
      <c r="M43" s="24">
        <v>14162</v>
      </c>
      <c r="N43" s="354">
        <f t="shared" si="0"/>
        <v>8.509794495853864</v>
      </c>
      <c r="O43" s="26">
        <f t="shared" si="5"/>
        <v>166420</v>
      </c>
      <c r="P43" s="26">
        <f t="shared" si="5"/>
        <v>14162</v>
      </c>
      <c r="Q43" s="354">
        <f t="shared" si="2"/>
        <v>8.509794495853864</v>
      </c>
    </row>
    <row r="44" spans="2:17" ht="15" x14ac:dyDescent="0.2">
      <c r="B44" s="6">
        <f t="shared" si="4"/>
        <v>37</v>
      </c>
      <c r="C44" s="9">
        <v>3</v>
      </c>
      <c r="D44" s="459" t="s">
        <v>133</v>
      </c>
      <c r="E44" s="460"/>
      <c r="F44" s="460"/>
      <c r="G44" s="460"/>
      <c r="H44" s="460"/>
      <c r="I44" s="10">
        <f>I46+I45</f>
        <v>814070</v>
      </c>
      <c r="J44" s="10">
        <f>J46+J45</f>
        <v>52155</v>
      </c>
      <c r="K44" s="354">
        <f t="shared" si="3"/>
        <v>6.4066972127703998</v>
      </c>
      <c r="L44" s="10">
        <f>L51</f>
        <v>3859750</v>
      </c>
      <c r="M44" s="10">
        <f>M51</f>
        <v>15730</v>
      </c>
      <c r="N44" s="354">
        <f t="shared" si="0"/>
        <v>0.40753934840339395</v>
      </c>
      <c r="O44" s="31">
        <f t="shared" si="5"/>
        <v>4673820</v>
      </c>
      <c r="P44" s="31">
        <f t="shared" si="5"/>
        <v>67885</v>
      </c>
      <c r="Q44" s="354">
        <f t="shared" si="2"/>
        <v>1.4524521697455186</v>
      </c>
    </row>
    <row r="45" spans="2:17" x14ac:dyDescent="0.2">
      <c r="B45" s="6">
        <f t="shared" si="4"/>
        <v>38</v>
      </c>
      <c r="C45" s="12"/>
      <c r="D45" s="12"/>
      <c r="E45" s="12"/>
      <c r="F45" s="13" t="s">
        <v>199</v>
      </c>
      <c r="G45" s="14">
        <v>620</v>
      </c>
      <c r="H45" s="12" t="s">
        <v>121</v>
      </c>
      <c r="I45" s="15">
        <v>4900</v>
      </c>
      <c r="J45" s="15">
        <v>3248</v>
      </c>
      <c r="K45" s="354">
        <f t="shared" si="3"/>
        <v>66.285714285714278</v>
      </c>
      <c r="L45" s="15"/>
      <c r="M45" s="15"/>
      <c r="N45" s="354"/>
      <c r="O45" s="16">
        <f t="shared" si="5"/>
        <v>4900</v>
      </c>
      <c r="P45" s="16">
        <f t="shared" si="5"/>
        <v>3248</v>
      </c>
      <c r="Q45" s="354">
        <f t="shared" si="2"/>
        <v>66.285714285714278</v>
      </c>
    </row>
    <row r="46" spans="2:17" x14ac:dyDescent="0.2">
      <c r="B46" s="6">
        <f t="shared" si="4"/>
        <v>39</v>
      </c>
      <c r="C46" s="12"/>
      <c r="D46" s="12"/>
      <c r="E46" s="12"/>
      <c r="F46" s="13" t="s">
        <v>73</v>
      </c>
      <c r="G46" s="14">
        <v>630</v>
      </c>
      <c r="H46" s="12" t="s">
        <v>118</v>
      </c>
      <c r="I46" s="15">
        <f>I47+I48+I49+I50</f>
        <v>809170</v>
      </c>
      <c r="J46" s="15">
        <f>J47+J48+J49+J50</f>
        <v>48907</v>
      </c>
      <c r="K46" s="354">
        <f t="shared" si="3"/>
        <v>6.0440945660368035</v>
      </c>
      <c r="L46" s="15"/>
      <c r="M46" s="15"/>
      <c r="N46" s="354"/>
      <c r="O46" s="16">
        <f t="shared" si="5"/>
        <v>809170</v>
      </c>
      <c r="P46" s="16">
        <f t="shared" si="5"/>
        <v>48907</v>
      </c>
      <c r="Q46" s="354">
        <f t="shared" si="2"/>
        <v>6.0440945660368035</v>
      </c>
    </row>
    <row r="47" spans="2:17" x14ac:dyDescent="0.2">
      <c r="B47" s="6">
        <f t="shared" si="4"/>
        <v>40</v>
      </c>
      <c r="C47" s="17"/>
      <c r="D47" s="17"/>
      <c r="E47" s="17"/>
      <c r="F47" s="18"/>
      <c r="G47" s="19">
        <v>637</v>
      </c>
      <c r="H47" s="17" t="s">
        <v>119</v>
      </c>
      <c r="I47" s="20">
        <f>75000+22000-5000</f>
        <v>92000</v>
      </c>
      <c r="J47" s="20">
        <f>48907-J48</f>
        <v>47868</v>
      </c>
      <c r="K47" s="354">
        <f t="shared" si="3"/>
        <v>52.030434782608694</v>
      </c>
      <c r="L47" s="20"/>
      <c r="M47" s="20"/>
      <c r="N47" s="354"/>
      <c r="O47" s="21">
        <f t="shared" si="5"/>
        <v>92000</v>
      </c>
      <c r="P47" s="21">
        <f t="shared" si="5"/>
        <v>47868</v>
      </c>
      <c r="Q47" s="354">
        <f t="shared" si="2"/>
        <v>52.030434782608694</v>
      </c>
    </row>
    <row r="48" spans="2:17" x14ac:dyDescent="0.2">
      <c r="B48" s="6">
        <f t="shared" si="4"/>
        <v>41</v>
      </c>
      <c r="C48" s="17"/>
      <c r="D48" s="17"/>
      <c r="E48" s="17"/>
      <c r="F48" s="18"/>
      <c r="G48" s="19">
        <v>600</v>
      </c>
      <c r="H48" s="17" t="s">
        <v>656</v>
      </c>
      <c r="I48" s="20">
        <v>52500</v>
      </c>
      <c r="J48" s="20">
        <v>1039</v>
      </c>
      <c r="K48" s="354">
        <f t="shared" si="3"/>
        <v>1.9790476190476192</v>
      </c>
      <c r="L48" s="20"/>
      <c r="M48" s="20"/>
      <c r="N48" s="354"/>
      <c r="O48" s="21">
        <f t="shared" si="5"/>
        <v>52500</v>
      </c>
      <c r="P48" s="21">
        <f t="shared" si="5"/>
        <v>1039</v>
      </c>
      <c r="Q48" s="354">
        <f t="shared" si="2"/>
        <v>1.9790476190476192</v>
      </c>
    </row>
    <row r="49" spans="2:17" x14ac:dyDescent="0.2">
      <c r="B49" s="6">
        <f t="shared" si="4"/>
        <v>42</v>
      </c>
      <c r="C49" s="17"/>
      <c r="D49" s="17"/>
      <c r="E49" s="17"/>
      <c r="F49" s="18"/>
      <c r="G49" s="19">
        <v>600</v>
      </c>
      <c r="H49" s="17" t="s">
        <v>657</v>
      </c>
      <c r="I49" s="20">
        <v>4192</v>
      </c>
      <c r="J49" s="20">
        <v>0</v>
      </c>
      <c r="K49" s="354">
        <f t="shared" si="3"/>
        <v>0</v>
      </c>
      <c r="L49" s="20"/>
      <c r="M49" s="20"/>
      <c r="N49" s="354"/>
      <c r="O49" s="21">
        <f t="shared" si="5"/>
        <v>4192</v>
      </c>
      <c r="P49" s="21">
        <f t="shared" si="5"/>
        <v>0</v>
      </c>
      <c r="Q49" s="354">
        <f t="shared" si="2"/>
        <v>0</v>
      </c>
    </row>
    <row r="50" spans="2:17" ht="36" x14ac:dyDescent="0.2">
      <c r="B50" s="6"/>
      <c r="C50" s="17"/>
      <c r="D50" s="17"/>
      <c r="E50" s="17"/>
      <c r="F50" s="18"/>
      <c r="G50" s="19">
        <v>600</v>
      </c>
      <c r="H50" s="322" t="s">
        <v>694</v>
      </c>
      <c r="I50" s="20">
        <v>660478</v>
      </c>
      <c r="J50" s="20">
        <v>0</v>
      </c>
      <c r="K50" s="354">
        <f t="shared" si="3"/>
        <v>0</v>
      </c>
      <c r="L50" s="20"/>
      <c r="M50" s="20"/>
      <c r="N50" s="354"/>
      <c r="O50" s="21">
        <f t="shared" si="5"/>
        <v>660478</v>
      </c>
      <c r="P50" s="21">
        <f t="shared" si="5"/>
        <v>0</v>
      </c>
      <c r="Q50" s="354">
        <f t="shared" si="2"/>
        <v>0</v>
      </c>
    </row>
    <row r="51" spans="2:17" x14ac:dyDescent="0.2">
      <c r="B51" s="6">
        <f>B49+1</f>
        <v>43</v>
      </c>
      <c r="C51" s="12"/>
      <c r="D51" s="12"/>
      <c r="E51" s="12"/>
      <c r="F51" s="13" t="s">
        <v>73</v>
      </c>
      <c r="G51" s="14">
        <v>710</v>
      </c>
      <c r="H51" s="12" t="s">
        <v>172</v>
      </c>
      <c r="I51" s="15"/>
      <c r="J51" s="15"/>
      <c r="K51" s="354"/>
      <c r="L51" s="15">
        <f>L54+L58+L52</f>
        <v>3859750</v>
      </c>
      <c r="M51" s="15">
        <f>M54+M58+M52</f>
        <v>15730</v>
      </c>
      <c r="N51" s="354">
        <f t="shared" si="0"/>
        <v>0.40753934840339395</v>
      </c>
      <c r="O51" s="16">
        <f t="shared" si="5"/>
        <v>3859750</v>
      </c>
      <c r="P51" s="16">
        <f t="shared" si="5"/>
        <v>15730</v>
      </c>
      <c r="Q51" s="354">
        <f t="shared" si="2"/>
        <v>0.40753934840339395</v>
      </c>
    </row>
    <row r="52" spans="2:17" x14ac:dyDescent="0.2">
      <c r="B52" s="6"/>
      <c r="C52" s="12"/>
      <c r="D52" s="12"/>
      <c r="E52" s="12"/>
      <c r="F52" s="13"/>
      <c r="G52" s="19">
        <v>711</v>
      </c>
      <c r="H52" s="135" t="s">
        <v>206</v>
      </c>
      <c r="I52" s="20"/>
      <c r="J52" s="20"/>
      <c r="K52" s="354"/>
      <c r="L52" s="20">
        <f>L53</f>
        <v>2584050</v>
      </c>
      <c r="M52" s="20">
        <f>M53</f>
        <v>0</v>
      </c>
      <c r="N52" s="354">
        <f t="shared" si="0"/>
        <v>0</v>
      </c>
      <c r="O52" s="21">
        <f t="shared" si="5"/>
        <v>2584050</v>
      </c>
      <c r="P52" s="21">
        <f t="shared" si="5"/>
        <v>0</v>
      </c>
      <c r="Q52" s="354">
        <f t="shared" si="2"/>
        <v>0</v>
      </c>
    </row>
    <row r="53" spans="2:17" x14ac:dyDescent="0.2">
      <c r="B53" s="6"/>
      <c r="C53" s="12"/>
      <c r="D53" s="12"/>
      <c r="E53" s="12"/>
      <c r="F53" s="13"/>
      <c r="G53" s="23"/>
      <c r="H53" s="1" t="s">
        <v>706</v>
      </c>
      <c r="I53" s="24"/>
      <c r="J53" s="24"/>
      <c r="K53" s="354"/>
      <c r="L53" s="24">
        <v>2584050</v>
      </c>
      <c r="M53" s="24">
        <v>0</v>
      </c>
      <c r="N53" s="354">
        <f t="shared" si="0"/>
        <v>0</v>
      </c>
      <c r="O53" s="26">
        <f t="shared" si="5"/>
        <v>2584050</v>
      </c>
      <c r="P53" s="26">
        <f t="shared" si="5"/>
        <v>0</v>
      </c>
      <c r="Q53" s="354">
        <f t="shared" si="2"/>
        <v>0</v>
      </c>
    </row>
    <row r="54" spans="2:17" x14ac:dyDescent="0.2">
      <c r="B54" s="6">
        <f>B51+1</f>
        <v>44</v>
      </c>
      <c r="C54" s="17"/>
      <c r="D54" s="17"/>
      <c r="E54" s="17"/>
      <c r="F54" s="18"/>
      <c r="G54" s="19">
        <v>716</v>
      </c>
      <c r="H54" s="17" t="s">
        <v>212</v>
      </c>
      <c r="I54" s="20"/>
      <c r="J54" s="20"/>
      <c r="K54" s="354"/>
      <c r="L54" s="20">
        <f>SUM(L55:L57)</f>
        <v>173409</v>
      </c>
      <c r="M54" s="20">
        <f>SUM(M56:M57)</f>
        <v>15730</v>
      </c>
      <c r="N54" s="354">
        <f t="shared" si="0"/>
        <v>9.0710401420918174</v>
      </c>
      <c r="O54" s="21">
        <f t="shared" si="5"/>
        <v>173409</v>
      </c>
      <c r="P54" s="21">
        <f t="shared" si="5"/>
        <v>15730</v>
      </c>
      <c r="Q54" s="354">
        <f t="shared" si="2"/>
        <v>9.0710401420918174</v>
      </c>
    </row>
    <row r="55" spans="2:17" x14ac:dyDescent="0.2">
      <c r="B55" s="6">
        <f t="shared" si="4"/>
        <v>45</v>
      </c>
      <c r="C55" s="22"/>
      <c r="D55" s="22"/>
      <c r="E55" s="22"/>
      <c r="F55" s="23"/>
      <c r="G55" s="23"/>
      <c r="H55" s="1" t="s">
        <v>379</v>
      </c>
      <c r="I55" s="24"/>
      <c r="J55" s="24"/>
      <c r="K55" s="354"/>
      <c r="L55" s="24">
        <f>250000-97850-10741</f>
        <v>141409</v>
      </c>
      <c r="M55" s="24">
        <v>0</v>
      </c>
      <c r="N55" s="354">
        <f t="shared" si="0"/>
        <v>0</v>
      </c>
      <c r="O55" s="26">
        <f t="shared" si="5"/>
        <v>141409</v>
      </c>
      <c r="P55" s="26">
        <f t="shared" si="5"/>
        <v>0</v>
      </c>
      <c r="Q55" s="354">
        <f t="shared" si="2"/>
        <v>0</v>
      </c>
    </row>
    <row r="56" spans="2:17" x14ac:dyDescent="0.2">
      <c r="B56" s="6">
        <f t="shared" si="4"/>
        <v>46</v>
      </c>
      <c r="C56" s="294"/>
      <c r="D56" s="295"/>
      <c r="E56" s="295"/>
      <c r="F56" s="296"/>
      <c r="G56" s="296"/>
      <c r="H56" s="297" t="s">
        <v>378</v>
      </c>
      <c r="I56" s="298"/>
      <c r="J56" s="298"/>
      <c r="K56" s="354"/>
      <c r="L56" s="24">
        <f>5000+1000</f>
        <v>6000</v>
      </c>
      <c r="M56" s="24">
        <v>2010</v>
      </c>
      <c r="N56" s="354">
        <f t="shared" si="0"/>
        <v>33.5</v>
      </c>
      <c r="O56" s="26">
        <f t="shared" si="5"/>
        <v>6000</v>
      </c>
      <c r="P56" s="26">
        <f t="shared" si="5"/>
        <v>2010</v>
      </c>
      <c r="Q56" s="354">
        <f t="shared" si="2"/>
        <v>33.5</v>
      </c>
    </row>
    <row r="57" spans="2:17" x14ac:dyDescent="0.2">
      <c r="B57" s="6">
        <f t="shared" si="4"/>
        <v>47</v>
      </c>
      <c r="C57" s="294"/>
      <c r="D57" s="295"/>
      <c r="E57" s="295"/>
      <c r="F57" s="296"/>
      <c r="G57" s="296"/>
      <c r="H57" s="297" t="s">
        <v>571</v>
      </c>
      <c r="I57" s="298"/>
      <c r="J57" s="298"/>
      <c r="K57" s="354"/>
      <c r="L57" s="24">
        <v>26000</v>
      </c>
      <c r="M57" s="24">
        <v>13720</v>
      </c>
      <c r="N57" s="354">
        <f t="shared" si="0"/>
        <v>52.769230769230766</v>
      </c>
      <c r="O57" s="26">
        <f t="shared" si="5"/>
        <v>26000</v>
      </c>
      <c r="P57" s="26">
        <f t="shared" si="5"/>
        <v>13720</v>
      </c>
      <c r="Q57" s="354">
        <f t="shared" si="2"/>
        <v>52.769230769230766</v>
      </c>
    </row>
    <row r="58" spans="2:17" x14ac:dyDescent="0.2">
      <c r="B58" s="6">
        <f t="shared" si="4"/>
        <v>48</v>
      </c>
      <c r="C58" s="134"/>
      <c r="D58" s="135"/>
      <c r="E58" s="135"/>
      <c r="F58" s="136"/>
      <c r="G58" s="137">
        <v>717</v>
      </c>
      <c r="H58" s="135" t="s">
        <v>179</v>
      </c>
      <c r="I58" s="271"/>
      <c r="J58" s="271"/>
      <c r="K58" s="354"/>
      <c r="L58" s="20">
        <f>SUM(L59:L61)</f>
        <v>1102291</v>
      </c>
      <c r="M58" s="20">
        <f>SUM(M59:M61)</f>
        <v>0</v>
      </c>
      <c r="N58" s="354">
        <f t="shared" si="0"/>
        <v>0</v>
      </c>
      <c r="O58" s="21">
        <f t="shared" si="5"/>
        <v>1102291</v>
      </c>
      <c r="P58" s="21">
        <f t="shared" si="5"/>
        <v>0</v>
      </c>
      <c r="Q58" s="354">
        <f t="shared" si="2"/>
        <v>0</v>
      </c>
    </row>
    <row r="59" spans="2:17" x14ac:dyDescent="0.2">
      <c r="B59" s="6">
        <f t="shared" si="4"/>
        <v>49</v>
      </c>
      <c r="C59" s="292"/>
      <c r="D59" s="196"/>
      <c r="E59" s="196"/>
      <c r="F59" s="273"/>
      <c r="G59" s="273"/>
      <c r="H59" s="140" t="s">
        <v>78</v>
      </c>
      <c r="I59" s="274"/>
      <c r="J59" s="274"/>
      <c r="K59" s="354"/>
      <c r="L59" s="24">
        <f>1410000-78200-75200+21188-6000-43500-15000-147400+14000+24189-23010-1950</f>
        <v>1079117</v>
      </c>
      <c r="M59" s="24">
        <v>0</v>
      </c>
      <c r="N59" s="354">
        <f t="shared" si="0"/>
        <v>0</v>
      </c>
      <c r="O59" s="26">
        <f t="shared" si="5"/>
        <v>1079117</v>
      </c>
      <c r="P59" s="26">
        <f t="shared" si="5"/>
        <v>0</v>
      </c>
      <c r="Q59" s="354">
        <f t="shared" si="2"/>
        <v>0</v>
      </c>
    </row>
    <row r="60" spans="2:17" x14ac:dyDescent="0.2">
      <c r="B60" s="6">
        <f t="shared" si="4"/>
        <v>50</v>
      </c>
      <c r="C60" s="292"/>
      <c r="D60" s="196"/>
      <c r="E60" s="196"/>
      <c r="F60" s="273"/>
      <c r="G60" s="273"/>
      <c r="H60" s="140" t="s">
        <v>544</v>
      </c>
      <c r="I60" s="274"/>
      <c r="J60" s="274"/>
      <c r="K60" s="354"/>
      <c r="L60" s="281">
        <f>23174-5000</f>
        <v>18174</v>
      </c>
      <c r="M60" s="281">
        <v>0</v>
      </c>
      <c r="N60" s="354">
        <f t="shared" si="0"/>
        <v>0</v>
      </c>
      <c r="O60" s="26">
        <f t="shared" si="5"/>
        <v>18174</v>
      </c>
      <c r="P60" s="26">
        <f t="shared" si="5"/>
        <v>0</v>
      </c>
      <c r="Q60" s="354">
        <f t="shared" si="2"/>
        <v>0</v>
      </c>
    </row>
    <row r="61" spans="2:17" x14ac:dyDescent="0.2">
      <c r="B61" s="6">
        <f t="shared" si="4"/>
        <v>51</v>
      </c>
      <c r="C61" s="292"/>
      <c r="D61" s="196"/>
      <c r="E61" s="196"/>
      <c r="F61" s="273"/>
      <c r="G61" s="273"/>
      <c r="H61" s="140" t="s">
        <v>727</v>
      </c>
      <c r="I61" s="274"/>
      <c r="J61" s="274"/>
      <c r="K61" s="354"/>
      <c r="L61" s="281">
        <v>5000</v>
      </c>
      <c r="M61" s="281">
        <v>0</v>
      </c>
      <c r="N61" s="354">
        <f t="shared" si="0"/>
        <v>0</v>
      </c>
      <c r="O61" s="26">
        <f t="shared" si="5"/>
        <v>5000</v>
      </c>
      <c r="P61" s="26">
        <f t="shared" si="5"/>
        <v>0</v>
      </c>
      <c r="Q61" s="354">
        <f t="shared" si="2"/>
        <v>0</v>
      </c>
    </row>
    <row r="62" spans="2:17" ht="15" x14ac:dyDescent="0.2">
      <c r="B62" s="6">
        <f t="shared" si="4"/>
        <v>52</v>
      </c>
      <c r="C62" s="290">
        <v>4</v>
      </c>
      <c r="D62" s="485" t="s">
        <v>386</v>
      </c>
      <c r="E62" s="486"/>
      <c r="F62" s="486"/>
      <c r="G62" s="486"/>
      <c r="H62" s="487"/>
      <c r="I62" s="291">
        <v>0</v>
      </c>
      <c r="J62" s="291">
        <v>0</v>
      </c>
      <c r="K62" s="354"/>
      <c r="L62" s="10"/>
      <c r="M62" s="10"/>
      <c r="N62" s="354"/>
      <c r="O62" s="31">
        <f t="shared" si="5"/>
        <v>0</v>
      </c>
      <c r="P62" s="31">
        <f t="shared" si="5"/>
        <v>0</v>
      </c>
      <c r="Q62" s="354"/>
    </row>
    <row r="63" spans="2:17" ht="15" x14ac:dyDescent="0.2">
      <c r="B63" s="6">
        <f t="shared" si="4"/>
        <v>53</v>
      </c>
      <c r="C63" s="40">
        <v>5</v>
      </c>
      <c r="D63" s="490" t="s">
        <v>387</v>
      </c>
      <c r="E63" s="491"/>
      <c r="F63" s="491"/>
      <c r="G63" s="491"/>
      <c r="H63" s="492"/>
      <c r="I63" s="10">
        <v>0</v>
      </c>
      <c r="J63" s="10">
        <v>0</v>
      </c>
      <c r="K63" s="354"/>
      <c r="L63" s="10"/>
      <c r="M63" s="10"/>
      <c r="N63" s="354"/>
      <c r="O63" s="31">
        <f t="shared" si="5"/>
        <v>0</v>
      </c>
      <c r="P63" s="31">
        <f t="shared" si="5"/>
        <v>0</v>
      </c>
      <c r="Q63" s="354"/>
    </row>
    <row r="64" spans="2:17" ht="15" x14ac:dyDescent="0.2">
      <c r="B64" s="6">
        <f t="shared" si="4"/>
        <v>54</v>
      </c>
      <c r="C64" s="40">
        <v>6</v>
      </c>
      <c r="D64" s="490" t="s">
        <v>388</v>
      </c>
      <c r="E64" s="491"/>
      <c r="F64" s="491"/>
      <c r="G64" s="491"/>
      <c r="H64" s="492"/>
      <c r="I64" s="10">
        <v>0</v>
      </c>
      <c r="J64" s="10">
        <v>0</v>
      </c>
      <c r="K64" s="354"/>
      <c r="L64" s="10"/>
      <c r="M64" s="10"/>
      <c r="N64" s="354"/>
      <c r="O64" s="31">
        <f t="shared" si="5"/>
        <v>0</v>
      </c>
      <c r="P64" s="31">
        <f t="shared" si="5"/>
        <v>0</v>
      </c>
      <c r="Q64" s="354"/>
    </row>
    <row r="65" spans="2:17" ht="15" x14ac:dyDescent="0.2">
      <c r="B65" s="6">
        <f t="shared" si="4"/>
        <v>55</v>
      </c>
      <c r="C65" s="9">
        <v>7</v>
      </c>
      <c r="D65" s="488" t="s">
        <v>242</v>
      </c>
      <c r="E65" s="489"/>
      <c r="F65" s="489"/>
      <c r="G65" s="489"/>
      <c r="H65" s="489"/>
      <c r="I65" s="10">
        <f>I66+I67+I72</f>
        <v>192400</v>
      </c>
      <c r="J65" s="10">
        <f>J66+J67+J72+J71</f>
        <v>172215.28</v>
      </c>
      <c r="K65" s="354">
        <f t="shared" si="3"/>
        <v>89.508981288981289</v>
      </c>
      <c r="L65" s="10"/>
      <c r="M65" s="10"/>
      <c r="N65" s="354"/>
      <c r="O65" s="31">
        <f t="shared" si="5"/>
        <v>192400</v>
      </c>
      <c r="P65" s="31">
        <f t="shared" si="5"/>
        <v>172215.28</v>
      </c>
      <c r="Q65" s="354">
        <f t="shared" si="2"/>
        <v>89.508981288981289</v>
      </c>
    </row>
    <row r="66" spans="2:17" x14ac:dyDescent="0.2">
      <c r="B66" s="6">
        <f t="shared" si="4"/>
        <v>56</v>
      </c>
      <c r="C66" s="12"/>
      <c r="D66" s="12"/>
      <c r="E66" s="12"/>
      <c r="F66" s="13" t="s">
        <v>73</v>
      </c>
      <c r="G66" s="14">
        <v>620</v>
      </c>
      <c r="H66" s="12" t="s">
        <v>121</v>
      </c>
      <c r="I66" s="15">
        <v>2000</v>
      </c>
      <c r="J66" s="15">
        <v>706</v>
      </c>
      <c r="K66" s="354">
        <f t="shared" si="3"/>
        <v>35.299999999999997</v>
      </c>
      <c r="L66" s="15"/>
      <c r="M66" s="15"/>
      <c r="N66" s="354"/>
      <c r="O66" s="16">
        <f t="shared" si="5"/>
        <v>2000</v>
      </c>
      <c r="P66" s="16">
        <f t="shared" si="5"/>
        <v>706</v>
      </c>
      <c r="Q66" s="354">
        <f t="shared" si="2"/>
        <v>35.299999999999997</v>
      </c>
    </row>
    <row r="67" spans="2:17" x14ac:dyDescent="0.2">
      <c r="B67" s="6">
        <f t="shared" si="4"/>
        <v>57</v>
      </c>
      <c r="C67" s="12"/>
      <c r="D67" s="12"/>
      <c r="E67" s="12"/>
      <c r="F67" s="13" t="s">
        <v>73</v>
      </c>
      <c r="G67" s="14">
        <v>630</v>
      </c>
      <c r="H67" s="12" t="s">
        <v>118</v>
      </c>
      <c r="I67" s="15">
        <f>SUM(I68:I70)</f>
        <v>173400</v>
      </c>
      <c r="J67" s="15">
        <f>SUM(J68:J70)</f>
        <v>165781.28</v>
      </c>
      <c r="K67" s="354">
        <f t="shared" si="3"/>
        <v>95.606274509803924</v>
      </c>
      <c r="L67" s="15"/>
      <c r="M67" s="15"/>
      <c r="N67" s="354"/>
      <c r="O67" s="16">
        <f t="shared" si="5"/>
        <v>173400</v>
      </c>
      <c r="P67" s="16">
        <f t="shared" si="5"/>
        <v>165781.28</v>
      </c>
      <c r="Q67" s="354">
        <f t="shared" si="2"/>
        <v>95.606274509803924</v>
      </c>
    </row>
    <row r="68" spans="2:17" x14ac:dyDescent="0.2">
      <c r="B68" s="6">
        <f t="shared" si="4"/>
        <v>58</v>
      </c>
      <c r="C68" s="17"/>
      <c r="D68" s="17"/>
      <c r="E68" s="17"/>
      <c r="F68" s="18"/>
      <c r="G68" s="19">
        <v>632</v>
      </c>
      <c r="H68" s="17" t="s">
        <v>131</v>
      </c>
      <c r="I68" s="20">
        <v>155000</v>
      </c>
      <c r="J68" s="20">
        <v>154999.28</v>
      </c>
      <c r="K68" s="354">
        <f t="shared" si="3"/>
        <v>99.999535483870972</v>
      </c>
      <c r="L68" s="20"/>
      <c r="M68" s="20"/>
      <c r="N68" s="354"/>
      <c r="O68" s="21">
        <f t="shared" si="5"/>
        <v>155000</v>
      </c>
      <c r="P68" s="21">
        <f t="shared" si="5"/>
        <v>154999.28</v>
      </c>
      <c r="Q68" s="354">
        <f t="shared" si="2"/>
        <v>99.999535483870972</v>
      </c>
    </row>
    <row r="69" spans="2:17" x14ac:dyDescent="0.2">
      <c r="B69" s="6">
        <f t="shared" si="4"/>
        <v>59</v>
      </c>
      <c r="C69" s="17"/>
      <c r="D69" s="17"/>
      <c r="E69" s="17"/>
      <c r="F69" s="18"/>
      <c r="G69" s="19">
        <v>633</v>
      </c>
      <c r="H69" s="17" t="s">
        <v>122</v>
      </c>
      <c r="I69" s="20">
        <v>5000</v>
      </c>
      <c r="J69" s="20">
        <v>27</v>
      </c>
      <c r="K69" s="354">
        <f t="shared" si="3"/>
        <v>0.54</v>
      </c>
      <c r="L69" s="20"/>
      <c r="M69" s="20"/>
      <c r="N69" s="354"/>
      <c r="O69" s="21">
        <f t="shared" si="5"/>
        <v>5000</v>
      </c>
      <c r="P69" s="21">
        <f t="shared" si="5"/>
        <v>27</v>
      </c>
      <c r="Q69" s="354">
        <f t="shared" si="2"/>
        <v>0.54</v>
      </c>
    </row>
    <row r="70" spans="2:17" x14ac:dyDescent="0.2">
      <c r="B70" s="6">
        <f t="shared" si="4"/>
        <v>60</v>
      </c>
      <c r="C70" s="17"/>
      <c r="D70" s="17"/>
      <c r="E70" s="17"/>
      <c r="F70" s="18"/>
      <c r="G70" s="19">
        <v>637</v>
      </c>
      <c r="H70" s="17" t="s">
        <v>119</v>
      </c>
      <c r="I70" s="20">
        <v>13400</v>
      </c>
      <c r="J70" s="20">
        <v>10755</v>
      </c>
      <c r="K70" s="354">
        <f t="shared" si="3"/>
        <v>80.261194029850742</v>
      </c>
      <c r="L70" s="20"/>
      <c r="M70" s="20"/>
      <c r="N70" s="354"/>
      <c r="O70" s="21">
        <f t="shared" si="5"/>
        <v>13400</v>
      </c>
      <c r="P70" s="21">
        <f t="shared" si="5"/>
        <v>10755</v>
      </c>
      <c r="Q70" s="354">
        <f t="shared" si="2"/>
        <v>80.261194029850742</v>
      </c>
    </row>
    <row r="71" spans="2:17" x14ac:dyDescent="0.2">
      <c r="B71" s="6"/>
      <c r="C71" s="17"/>
      <c r="D71" s="17"/>
      <c r="E71" s="17"/>
      <c r="F71" s="18"/>
      <c r="G71" s="14">
        <v>640</v>
      </c>
      <c r="H71" s="12" t="s">
        <v>126</v>
      </c>
      <c r="I71" s="15">
        <v>0</v>
      </c>
      <c r="J71" s="15">
        <v>42</v>
      </c>
      <c r="K71" s="375">
        <v>0</v>
      </c>
      <c r="L71" s="15"/>
      <c r="M71" s="15"/>
      <c r="N71" s="375"/>
      <c r="O71" s="16">
        <f t="shared" si="5"/>
        <v>0</v>
      </c>
      <c r="P71" s="16">
        <f t="shared" si="5"/>
        <v>42</v>
      </c>
      <c r="Q71" s="375">
        <v>0</v>
      </c>
    </row>
    <row r="72" spans="2:17" x14ac:dyDescent="0.2">
      <c r="B72" s="6">
        <f>B70+1</f>
        <v>61</v>
      </c>
      <c r="C72" s="12"/>
      <c r="D72" s="12"/>
      <c r="E72" s="12"/>
      <c r="F72" s="13" t="s">
        <v>241</v>
      </c>
      <c r="G72" s="14">
        <v>630</v>
      </c>
      <c r="H72" s="12" t="s">
        <v>118</v>
      </c>
      <c r="I72" s="15">
        <f>I73</f>
        <v>17000</v>
      </c>
      <c r="J72" s="15">
        <f>J73</f>
        <v>5686</v>
      </c>
      <c r="K72" s="354">
        <f t="shared" si="3"/>
        <v>33.44705882352941</v>
      </c>
      <c r="L72" s="15"/>
      <c r="M72" s="15"/>
      <c r="N72" s="354"/>
      <c r="O72" s="16">
        <f t="shared" si="5"/>
        <v>17000</v>
      </c>
      <c r="P72" s="16">
        <f t="shared" si="5"/>
        <v>5686</v>
      </c>
      <c r="Q72" s="354">
        <f t="shared" si="2"/>
        <v>33.44705882352941</v>
      </c>
    </row>
    <row r="73" spans="2:17" x14ac:dyDescent="0.2">
      <c r="B73" s="6">
        <f t="shared" si="4"/>
        <v>62</v>
      </c>
      <c r="C73" s="17"/>
      <c r="D73" s="17"/>
      <c r="E73" s="17"/>
      <c r="F73" s="18"/>
      <c r="G73" s="19">
        <v>637</v>
      </c>
      <c r="H73" s="17" t="s">
        <v>119</v>
      </c>
      <c r="I73" s="20">
        <v>17000</v>
      </c>
      <c r="J73" s="20">
        <v>5686</v>
      </c>
      <c r="K73" s="354">
        <f t="shared" si="3"/>
        <v>33.44705882352941</v>
      </c>
      <c r="L73" s="20"/>
      <c r="M73" s="20"/>
      <c r="N73" s="354"/>
      <c r="O73" s="21">
        <f t="shared" si="5"/>
        <v>17000</v>
      </c>
      <c r="P73" s="21">
        <f t="shared" si="5"/>
        <v>5686</v>
      </c>
      <c r="Q73" s="354">
        <f t="shared" ref="Q73:Q76" si="6">P73/O73*100</f>
        <v>33.44705882352941</v>
      </c>
    </row>
    <row r="74" spans="2:17" ht="15" x14ac:dyDescent="0.2">
      <c r="B74" s="6">
        <f t="shared" si="4"/>
        <v>63</v>
      </c>
      <c r="C74" s="9">
        <v>8</v>
      </c>
      <c r="D74" s="459" t="s">
        <v>259</v>
      </c>
      <c r="E74" s="460"/>
      <c r="F74" s="460"/>
      <c r="G74" s="460"/>
      <c r="H74" s="460"/>
      <c r="I74" s="10">
        <f>I75</f>
        <v>16500</v>
      </c>
      <c r="J74" s="10">
        <f>J75</f>
        <v>16442</v>
      </c>
      <c r="K74" s="354">
        <f t="shared" ref="K74:K76" si="7">J74/I74*100</f>
        <v>99.648484848484856</v>
      </c>
      <c r="L74" s="10"/>
      <c r="M74" s="10"/>
      <c r="N74" s="354"/>
      <c r="O74" s="31">
        <f t="shared" si="5"/>
        <v>16500</v>
      </c>
      <c r="P74" s="31">
        <f t="shared" si="5"/>
        <v>16442</v>
      </c>
      <c r="Q74" s="354">
        <f t="shared" si="6"/>
        <v>99.648484848484856</v>
      </c>
    </row>
    <row r="75" spans="2:17" x14ac:dyDescent="0.2">
      <c r="B75" s="6">
        <f t="shared" si="4"/>
        <v>64</v>
      </c>
      <c r="C75" s="12"/>
      <c r="D75" s="12"/>
      <c r="E75" s="12"/>
      <c r="F75" s="13" t="s">
        <v>73</v>
      </c>
      <c r="G75" s="14">
        <v>640</v>
      </c>
      <c r="H75" s="12" t="s">
        <v>126</v>
      </c>
      <c r="I75" s="15">
        <f>I76</f>
        <v>16500</v>
      </c>
      <c r="J75" s="15">
        <f>J76</f>
        <v>16442</v>
      </c>
      <c r="K75" s="354">
        <f t="shared" si="7"/>
        <v>99.648484848484856</v>
      </c>
      <c r="L75" s="15"/>
      <c r="M75" s="15"/>
      <c r="N75" s="354"/>
      <c r="O75" s="16">
        <f t="shared" si="5"/>
        <v>16500</v>
      </c>
      <c r="P75" s="16">
        <f t="shared" si="5"/>
        <v>16442</v>
      </c>
      <c r="Q75" s="354">
        <f t="shared" si="6"/>
        <v>99.648484848484856</v>
      </c>
    </row>
    <row r="76" spans="2:17" x14ac:dyDescent="0.2">
      <c r="B76" s="6">
        <f t="shared" si="4"/>
        <v>65</v>
      </c>
      <c r="C76" s="17"/>
      <c r="D76" s="17"/>
      <c r="E76" s="17"/>
      <c r="F76" s="18"/>
      <c r="G76" s="19">
        <v>642</v>
      </c>
      <c r="H76" s="17" t="s">
        <v>127</v>
      </c>
      <c r="I76" s="20">
        <v>16500</v>
      </c>
      <c r="J76" s="20">
        <v>16442</v>
      </c>
      <c r="K76" s="354">
        <f t="shared" si="7"/>
        <v>99.648484848484856</v>
      </c>
      <c r="L76" s="20"/>
      <c r="M76" s="20"/>
      <c r="N76" s="354"/>
      <c r="O76" s="21">
        <f t="shared" si="5"/>
        <v>16500</v>
      </c>
      <c r="P76" s="21">
        <f t="shared" si="5"/>
        <v>16442</v>
      </c>
      <c r="Q76" s="354">
        <f t="shared" si="6"/>
        <v>99.648484848484856</v>
      </c>
    </row>
    <row r="77" spans="2:17" ht="15" x14ac:dyDescent="0.2">
      <c r="B77" s="41">
        <f t="shared" si="4"/>
        <v>66</v>
      </c>
      <c r="C77" s="42">
        <v>9</v>
      </c>
      <c r="D77" s="483" t="s">
        <v>175</v>
      </c>
      <c r="E77" s="484"/>
      <c r="F77" s="484"/>
      <c r="G77" s="484"/>
      <c r="H77" s="484"/>
      <c r="I77" s="43">
        <v>0</v>
      </c>
      <c r="J77" s="43">
        <v>139</v>
      </c>
      <c r="K77" s="354"/>
      <c r="L77" s="43"/>
      <c r="M77" s="43"/>
      <c r="N77" s="354"/>
      <c r="O77" s="44">
        <f t="shared" si="5"/>
        <v>0</v>
      </c>
      <c r="P77" s="44">
        <f t="shared" si="5"/>
        <v>139</v>
      </c>
      <c r="Q77" s="354"/>
    </row>
    <row r="78" spans="2:17" s="275" customFormat="1" x14ac:dyDescent="0.2">
      <c r="B78" s="276"/>
      <c r="F78" s="277"/>
      <c r="G78" s="277"/>
      <c r="I78" s="249"/>
      <c r="J78" s="249"/>
      <c r="K78" s="5"/>
      <c r="L78" s="249"/>
      <c r="M78" s="249"/>
      <c r="N78" s="5"/>
      <c r="O78" s="249"/>
    </row>
    <row r="79" spans="2:17" s="275" customFormat="1" x14ac:dyDescent="0.2">
      <c r="B79" s="276"/>
      <c r="F79" s="277"/>
      <c r="G79" s="277"/>
      <c r="I79" s="249"/>
      <c r="J79" s="249"/>
      <c r="K79" s="5"/>
      <c r="L79" s="249"/>
      <c r="M79" s="249"/>
      <c r="N79" s="5"/>
      <c r="O79" s="249"/>
    </row>
    <row r="80" spans="2:17" s="275" customFormat="1" ht="27.75" x14ac:dyDescent="0.4">
      <c r="B80" s="481" t="s">
        <v>15</v>
      </c>
      <c r="C80" s="482"/>
      <c r="D80" s="482"/>
      <c r="E80" s="482"/>
      <c r="F80" s="482"/>
      <c r="G80" s="482"/>
      <c r="H80" s="482"/>
      <c r="I80" s="482"/>
      <c r="J80" s="482"/>
      <c r="K80" s="482"/>
      <c r="L80" s="482"/>
      <c r="M80" s="482"/>
      <c r="N80" s="482"/>
      <c r="O80" s="482"/>
      <c r="P80" s="3"/>
      <c r="Q80" s="3"/>
    </row>
    <row r="81" spans="2:17" s="275" customFormat="1" ht="15" x14ac:dyDescent="0.35">
      <c r="B81" s="461" t="s">
        <v>437</v>
      </c>
      <c r="C81" s="462"/>
      <c r="D81" s="462"/>
      <c r="E81" s="462"/>
      <c r="F81" s="462"/>
      <c r="G81" s="462"/>
      <c r="H81" s="462"/>
      <c r="I81" s="462"/>
      <c r="J81" s="462"/>
      <c r="K81" s="462"/>
      <c r="L81" s="462"/>
      <c r="M81" s="462"/>
      <c r="N81" s="463"/>
      <c r="O81" s="466" t="s">
        <v>717</v>
      </c>
      <c r="P81" s="466" t="s">
        <v>712</v>
      </c>
      <c r="Q81" s="468" t="s">
        <v>711</v>
      </c>
    </row>
    <row r="82" spans="2:17" s="275" customFormat="1" x14ac:dyDescent="0.2">
      <c r="B82" s="478"/>
      <c r="C82" s="475" t="s">
        <v>111</v>
      </c>
      <c r="D82" s="475" t="s">
        <v>112</v>
      </c>
      <c r="E82" s="475"/>
      <c r="F82" s="475" t="s">
        <v>113</v>
      </c>
      <c r="G82" s="477" t="s">
        <v>114</v>
      </c>
      <c r="H82" s="476" t="s">
        <v>115</v>
      </c>
      <c r="I82" s="471" t="s">
        <v>713</v>
      </c>
      <c r="J82" s="471" t="s">
        <v>714</v>
      </c>
      <c r="K82" s="472" t="s">
        <v>711</v>
      </c>
      <c r="L82" s="471" t="s">
        <v>715</v>
      </c>
      <c r="M82" s="471" t="s">
        <v>716</v>
      </c>
      <c r="N82" s="451" t="s">
        <v>711</v>
      </c>
      <c r="O82" s="467"/>
      <c r="P82" s="467"/>
      <c r="Q82" s="469"/>
    </row>
    <row r="83" spans="2:17" s="275" customFormat="1" x14ac:dyDescent="0.2">
      <c r="B83" s="478"/>
      <c r="C83" s="475"/>
      <c r="D83" s="475"/>
      <c r="E83" s="475"/>
      <c r="F83" s="475"/>
      <c r="G83" s="477"/>
      <c r="H83" s="476"/>
      <c r="I83" s="471"/>
      <c r="J83" s="471"/>
      <c r="K83" s="473"/>
      <c r="L83" s="471"/>
      <c r="M83" s="471"/>
      <c r="N83" s="452"/>
      <c r="O83" s="467"/>
      <c r="P83" s="467"/>
      <c r="Q83" s="469"/>
    </row>
    <row r="84" spans="2:17" s="275" customFormat="1" x14ac:dyDescent="0.2">
      <c r="B84" s="478"/>
      <c r="C84" s="475"/>
      <c r="D84" s="475"/>
      <c r="E84" s="475"/>
      <c r="F84" s="475"/>
      <c r="G84" s="477"/>
      <c r="H84" s="476"/>
      <c r="I84" s="471"/>
      <c r="J84" s="471"/>
      <c r="K84" s="473"/>
      <c r="L84" s="471"/>
      <c r="M84" s="471"/>
      <c r="N84" s="452"/>
      <c r="O84" s="467"/>
      <c r="P84" s="467"/>
      <c r="Q84" s="469"/>
    </row>
    <row r="85" spans="2:17" s="275" customFormat="1" x14ac:dyDescent="0.2">
      <c r="B85" s="478"/>
      <c r="C85" s="475"/>
      <c r="D85" s="475"/>
      <c r="E85" s="475"/>
      <c r="F85" s="475"/>
      <c r="G85" s="477"/>
      <c r="H85" s="476"/>
      <c r="I85" s="471"/>
      <c r="J85" s="471"/>
      <c r="K85" s="474"/>
      <c r="L85" s="471"/>
      <c r="M85" s="471"/>
      <c r="N85" s="452"/>
      <c r="O85" s="467"/>
      <c r="P85" s="467"/>
      <c r="Q85" s="470"/>
    </row>
    <row r="86" spans="2:17" s="275" customFormat="1" ht="15.75" x14ac:dyDescent="0.2">
      <c r="B86" s="6">
        <v>1</v>
      </c>
      <c r="C86" s="464" t="s">
        <v>15</v>
      </c>
      <c r="D86" s="494"/>
      <c r="E86" s="494"/>
      <c r="F86" s="494"/>
      <c r="G86" s="494"/>
      <c r="H86" s="494"/>
      <c r="I86" s="7">
        <f>I87+I96</f>
        <v>176500</v>
      </c>
      <c r="J86" s="7">
        <f>J87+J96</f>
        <v>71394</v>
      </c>
      <c r="K86" s="354">
        <f t="shared" ref="K86:K100" si="8">J86/I86*100</f>
        <v>40.44985835694051</v>
      </c>
      <c r="L86" s="7"/>
      <c r="M86" s="7"/>
      <c r="N86" s="354"/>
      <c r="O86" s="8">
        <f t="shared" ref="O86:O100" si="9">I86+L86</f>
        <v>176500</v>
      </c>
      <c r="P86" s="8">
        <f t="shared" ref="P86:P100" si="10">J86+M86</f>
        <v>71394</v>
      </c>
      <c r="Q86" s="354">
        <f t="shared" ref="Q86:Q100" si="11">P86/O86*100</f>
        <v>40.44985835694051</v>
      </c>
    </row>
    <row r="87" spans="2:17" s="275" customFormat="1" ht="15" x14ac:dyDescent="0.2">
      <c r="B87" s="6">
        <f t="shared" ref="B87:B100" si="12">B86+1</f>
        <v>2</v>
      </c>
      <c r="C87" s="9">
        <v>1</v>
      </c>
      <c r="D87" s="459" t="s">
        <v>192</v>
      </c>
      <c r="E87" s="493"/>
      <c r="F87" s="493"/>
      <c r="G87" s="493"/>
      <c r="H87" s="493"/>
      <c r="I87" s="10">
        <f>I88+I90+I93+I94</f>
        <v>131500</v>
      </c>
      <c r="J87" s="10">
        <f>J88+J90+J93+J94</f>
        <v>29724</v>
      </c>
      <c r="K87" s="354">
        <f t="shared" si="8"/>
        <v>22.603802281368822</v>
      </c>
      <c r="L87" s="10"/>
      <c r="M87" s="10"/>
      <c r="N87" s="354"/>
      <c r="O87" s="31">
        <f t="shared" si="9"/>
        <v>131500</v>
      </c>
      <c r="P87" s="31">
        <f t="shared" si="10"/>
        <v>29724</v>
      </c>
      <c r="Q87" s="354">
        <f t="shared" si="11"/>
        <v>22.603802281368822</v>
      </c>
    </row>
    <row r="88" spans="2:17" s="275" customFormat="1" x14ac:dyDescent="0.2">
      <c r="B88" s="6">
        <f t="shared" si="12"/>
        <v>3</v>
      </c>
      <c r="C88" s="12"/>
      <c r="D88" s="12"/>
      <c r="E88" s="12"/>
      <c r="F88" s="13" t="s">
        <v>73</v>
      </c>
      <c r="G88" s="14">
        <v>630</v>
      </c>
      <c r="H88" s="12" t="s">
        <v>348</v>
      </c>
      <c r="I88" s="15">
        <f>I89</f>
        <v>20000</v>
      </c>
      <c r="J88" s="15">
        <f>J89</f>
        <v>8678</v>
      </c>
      <c r="K88" s="354">
        <f t="shared" si="8"/>
        <v>43.39</v>
      </c>
      <c r="L88" s="15"/>
      <c r="M88" s="15"/>
      <c r="N88" s="370"/>
      <c r="O88" s="16">
        <f t="shared" si="9"/>
        <v>20000</v>
      </c>
      <c r="P88" s="16">
        <f t="shared" si="10"/>
        <v>8678</v>
      </c>
      <c r="Q88" s="354">
        <f t="shared" si="11"/>
        <v>43.39</v>
      </c>
    </row>
    <row r="89" spans="2:17" s="275" customFormat="1" x14ac:dyDescent="0.2">
      <c r="B89" s="6">
        <f t="shared" si="12"/>
        <v>4</v>
      </c>
      <c r="C89" s="17"/>
      <c r="D89" s="17"/>
      <c r="E89" s="17"/>
      <c r="F89" s="18"/>
      <c r="G89" s="19">
        <v>637</v>
      </c>
      <c r="H89" s="17" t="s">
        <v>119</v>
      </c>
      <c r="I89" s="20">
        <v>20000</v>
      </c>
      <c r="J89" s="20">
        <v>8678</v>
      </c>
      <c r="K89" s="354">
        <f t="shared" si="8"/>
        <v>43.39</v>
      </c>
      <c r="L89" s="20"/>
      <c r="M89" s="20"/>
      <c r="N89" s="20"/>
      <c r="O89" s="21">
        <f t="shared" si="9"/>
        <v>20000</v>
      </c>
      <c r="P89" s="21">
        <f t="shared" si="10"/>
        <v>8678</v>
      </c>
      <c r="Q89" s="354">
        <f t="shared" si="11"/>
        <v>43.39</v>
      </c>
    </row>
    <row r="90" spans="2:17" s="275" customFormat="1" x14ac:dyDescent="0.2">
      <c r="B90" s="6">
        <f t="shared" si="12"/>
        <v>5</v>
      </c>
      <c r="C90" s="17"/>
      <c r="D90" s="17"/>
      <c r="E90" s="17"/>
      <c r="F90" s="13" t="s">
        <v>239</v>
      </c>
      <c r="G90" s="14">
        <v>630</v>
      </c>
      <c r="H90" s="12" t="s">
        <v>118</v>
      </c>
      <c r="I90" s="15">
        <f>I92+I91</f>
        <v>28500</v>
      </c>
      <c r="J90" s="15">
        <f>J92+J91</f>
        <v>2680</v>
      </c>
      <c r="K90" s="354">
        <f t="shared" si="8"/>
        <v>9.4035087719298254</v>
      </c>
      <c r="L90" s="15"/>
      <c r="M90" s="15"/>
      <c r="N90" s="15"/>
      <c r="O90" s="16">
        <f t="shared" si="9"/>
        <v>28500</v>
      </c>
      <c r="P90" s="16">
        <f t="shared" si="10"/>
        <v>2680</v>
      </c>
      <c r="Q90" s="354">
        <f t="shared" si="11"/>
        <v>9.4035087719298254</v>
      </c>
    </row>
    <row r="91" spans="2:17" s="275" customFormat="1" x14ac:dyDescent="0.2">
      <c r="B91" s="6">
        <f t="shared" si="12"/>
        <v>6</v>
      </c>
      <c r="C91" s="17"/>
      <c r="D91" s="17"/>
      <c r="E91" s="17"/>
      <c r="F91" s="13"/>
      <c r="G91" s="19">
        <v>633</v>
      </c>
      <c r="H91" s="17" t="s">
        <v>677</v>
      </c>
      <c r="I91" s="20">
        <v>5500</v>
      </c>
      <c r="J91" s="20">
        <v>0</v>
      </c>
      <c r="K91" s="354">
        <f t="shared" si="8"/>
        <v>0</v>
      </c>
      <c r="L91" s="20"/>
      <c r="M91" s="20"/>
      <c r="N91" s="20"/>
      <c r="O91" s="21">
        <f t="shared" si="9"/>
        <v>5500</v>
      </c>
      <c r="P91" s="21">
        <f t="shared" si="10"/>
        <v>0</v>
      </c>
      <c r="Q91" s="354">
        <f t="shared" si="11"/>
        <v>0</v>
      </c>
    </row>
    <row r="92" spans="2:17" s="275" customFormat="1" x14ac:dyDescent="0.2">
      <c r="B92" s="6">
        <f t="shared" si="12"/>
        <v>7</v>
      </c>
      <c r="C92" s="17"/>
      <c r="D92" s="17"/>
      <c r="E92" s="17"/>
      <c r="F92" s="18"/>
      <c r="G92" s="19">
        <v>637</v>
      </c>
      <c r="H92" s="17" t="s">
        <v>339</v>
      </c>
      <c r="I92" s="20">
        <v>23000</v>
      </c>
      <c r="J92" s="20">
        <v>2680</v>
      </c>
      <c r="K92" s="354">
        <f t="shared" si="8"/>
        <v>11.652173913043478</v>
      </c>
      <c r="L92" s="20"/>
      <c r="M92" s="20"/>
      <c r="N92" s="20"/>
      <c r="O92" s="21">
        <f t="shared" si="9"/>
        <v>23000</v>
      </c>
      <c r="P92" s="21">
        <f t="shared" si="10"/>
        <v>2680</v>
      </c>
      <c r="Q92" s="354">
        <f t="shared" si="11"/>
        <v>11.652173913043478</v>
      </c>
    </row>
    <row r="93" spans="2:17" s="275" customFormat="1" x14ac:dyDescent="0.2">
      <c r="B93" s="6">
        <f t="shared" si="12"/>
        <v>8</v>
      </c>
      <c r="C93" s="12"/>
      <c r="D93" s="12"/>
      <c r="E93" s="12"/>
      <c r="F93" s="13" t="s">
        <v>74</v>
      </c>
      <c r="G93" s="14">
        <v>600</v>
      </c>
      <c r="H93" s="12" t="s">
        <v>340</v>
      </c>
      <c r="I93" s="15">
        <v>28000</v>
      </c>
      <c r="J93" s="15">
        <v>4183</v>
      </c>
      <c r="K93" s="354">
        <f t="shared" si="8"/>
        <v>14.939285714285713</v>
      </c>
      <c r="L93" s="15"/>
      <c r="M93" s="15"/>
      <c r="N93" s="15"/>
      <c r="O93" s="16">
        <f t="shared" si="9"/>
        <v>28000</v>
      </c>
      <c r="P93" s="16">
        <f t="shared" si="10"/>
        <v>4183</v>
      </c>
      <c r="Q93" s="354">
        <f t="shared" si="11"/>
        <v>14.939285714285713</v>
      </c>
    </row>
    <row r="94" spans="2:17" s="275" customFormat="1" x14ac:dyDescent="0.2">
      <c r="B94" s="6">
        <f t="shared" si="12"/>
        <v>9</v>
      </c>
      <c r="C94" s="12"/>
      <c r="D94" s="12"/>
      <c r="E94" s="12"/>
      <c r="F94" s="13" t="s">
        <v>214</v>
      </c>
      <c r="G94" s="14">
        <v>630</v>
      </c>
      <c r="H94" s="12" t="s">
        <v>349</v>
      </c>
      <c r="I94" s="15">
        <f>I95</f>
        <v>55000</v>
      </c>
      <c r="J94" s="15">
        <f>J95</f>
        <v>14183</v>
      </c>
      <c r="K94" s="354">
        <f t="shared" si="8"/>
        <v>25.787272727272725</v>
      </c>
      <c r="L94" s="15"/>
      <c r="M94" s="15"/>
      <c r="N94" s="15"/>
      <c r="O94" s="16">
        <f t="shared" si="9"/>
        <v>55000</v>
      </c>
      <c r="P94" s="16">
        <f t="shared" si="10"/>
        <v>14183</v>
      </c>
      <c r="Q94" s="354">
        <f t="shared" si="11"/>
        <v>25.787272727272725</v>
      </c>
    </row>
    <row r="95" spans="2:17" s="275" customFormat="1" x14ac:dyDescent="0.2">
      <c r="B95" s="6">
        <f t="shared" si="12"/>
        <v>10</v>
      </c>
      <c r="C95" s="12"/>
      <c r="D95" s="12"/>
      <c r="E95" s="12"/>
      <c r="F95" s="18"/>
      <c r="G95" s="19">
        <v>637</v>
      </c>
      <c r="H95" s="17" t="s">
        <v>119</v>
      </c>
      <c r="I95" s="20">
        <v>55000</v>
      </c>
      <c r="J95" s="20">
        <v>14183</v>
      </c>
      <c r="K95" s="354">
        <f t="shared" si="8"/>
        <v>25.787272727272725</v>
      </c>
      <c r="L95" s="15"/>
      <c r="M95" s="15"/>
      <c r="N95" s="15"/>
      <c r="O95" s="16">
        <f t="shared" si="9"/>
        <v>55000</v>
      </c>
      <c r="P95" s="16">
        <f t="shared" si="10"/>
        <v>14183</v>
      </c>
      <c r="Q95" s="354">
        <f t="shared" si="11"/>
        <v>25.787272727272725</v>
      </c>
    </row>
    <row r="96" spans="2:17" s="275" customFormat="1" ht="15" x14ac:dyDescent="0.2">
      <c r="B96" s="6">
        <f t="shared" si="12"/>
        <v>11</v>
      </c>
      <c r="C96" s="9">
        <v>2</v>
      </c>
      <c r="D96" s="459" t="s">
        <v>240</v>
      </c>
      <c r="E96" s="493"/>
      <c r="F96" s="493"/>
      <c r="G96" s="493"/>
      <c r="H96" s="493"/>
      <c r="I96" s="10">
        <f>I97+I99</f>
        <v>45000</v>
      </c>
      <c r="J96" s="10">
        <f>J97+J99</f>
        <v>41670</v>
      </c>
      <c r="K96" s="354">
        <f t="shared" si="8"/>
        <v>92.600000000000009</v>
      </c>
      <c r="L96" s="10"/>
      <c r="M96" s="10"/>
      <c r="N96" s="302"/>
      <c r="O96" s="31">
        <f t="shared" si="9"/>
        <v>45000</v>
      </c>
      <c r="P96" s="31">
        <f t="shared" si="10"/>
        <v>41670</v>
      </c>
      <c r="Q96" s="354">
        <f t="shared" si="11"/>
        <v>92.600000000000009</v>
      </c>
    </row>
    <row r="97" spans="2:17" s="275" customFormat="1" x14ac:dyDescent="0.2">
      <c r="B97" s="6">
        <f t="shared" si="12"/>
        <v>12</v>
      </c>
      <c r="C97" s="12"/>
      <c r="D97" s="12"/>
      <c r="E97" s="12"/>
      <c r="F97" s="13" t="s">
        <v>239</v>
      </c>
      <c r="G97" s="14">
        <v>630</v>
      </c>
      <c r="H97" s="12" t="s">
        <v>118</v>
      </c>
      <c r="I97" s="15">
        <f>I98</f>
        <v>5000</v>
      </c>
      <c r="J97" s="15">
        <f>J98</f>
        <v>1670</v>
      </c>
      <c r="K97" s="354">
        <f t="shared" si="8"/>
        <v>33.4</v>
      </c>
      <c r="L97" s="15"/>
      <c r="M97" s="15"/>
      <c r="N97" s="15"/>
      <c r="O97" s="16">
        <f t="shared" si="9"/>
        <v>5000</v>
      </c>
      <c r="P97" s="16">
        <f t="shared" si="10"/>
        <v>1670</v>
      </c>
      <c r="Q97" s="354">
        <f t="shared" si="11"/>
        <v>33.4</v>
      </c>
    </row>
    <row r="98" spans="2:17" s="275" customFormat="1" x14ac:dyDescent="0.2">
      <c r="B98" s="6">
        <f t="shared" si="12"/>
        <v>13</v>
      </c>
      <c r="C98" s="17"/>
      <c r="D98" s="17"/>
      <c r="E98" s="17"/>
      <c r="F98" s="18"/>
      <c r="G98" s="19">
        <v>637</v>
      </c>
      <c r="H98" s="17" t="s">
        <v>119</v>
      </c>
      <c r="I98" s="20">
        <v>5000</v>
      </c>
      <c r="J98" s="20">
        <v>1670</v>
      </c>
      <c r="K98" s="354">
        <f t="shared" si="8"/>
        <v>33.4</v>
      </c>
      <c r="L98" s="20"/>
      <c r="M98" s="20"/>
      <c r="N98" s="20"/>
      <c r="O98" s="21">
        <f t="shared" si="9"/>
        <v>5000</v>
      </c>
      <c r="P98" s="21">
        <f t="shared" si="10"/>
        <v>1670</v>
      </c>
      <c r="Q98" s="354">
        <f t="shared" si="11"/>
        <v>33.4</v>
      </c>
    </row>
    <row r="99" spans="2:17" s="275" customFormat="1" x14ac:dyDescent="0.2">
      <c r="B99" s="6">
        <f t="shared" si="12"/>
        <v>14</v>
      </c>
      <c r="C99" s="12"/>
      <c r="D99" s="12"/>
      <c r="E99" s="12"/>
      <c r="F99" s="13" t="s">
        <v>239</v>
      </c>
      <c r="G99" s="14">
        <v>640</v>
      </c>
      <c r="H99" s="12" t="s">
        <v>126</v>
      </c>
      <c r="I99" s="15">
        <f>I100</f>
        <v>40000</v>
      </c>
      <c r="J99" s="15">
        <f>J100</f>
        <v>40000</v>
      </c>
      <c r="K99" s="354">
        <f t="shared" si="8"/>
        <v>100</v>
      </c>
      <c r="L99" s="15"/>
      <c r="M99" s="15"/>
      <c r="N99" s="15"/>
      <c r="O99" s="16">
        <f t="shared" si="9"/>
        <v>40000</v>
      </c>
      <c r="P99" s="16">
        <f t="shared" si="10"/>
        <v>40000</v>
      </c>
      <c r="Q99" s="354">
        <f t="shared" si="11"/>
        <v>100</v>
      </c>
    </row>
    <row r="100" spans="2:17" s="275" customFormat="1" x14ac:dyDescent="0.2">
      <c r="B100" s="6">
        <f t="shared" si="12"/>
        <v>15</v>
      </c>
      <c r="C100" s="46"/>
      <c r="D100" s="46"/>
      <c r="E100" s="46"/>
      <c r="F100" s="47"/>
      <c r="G100" s="47"/>
      <c r="H100" s="48" t="s">
        <v>325</v>
      </c>
      <c r="I100" s="49">
        <v>40000</v>
      </c>
      <c r="J100" s="49">
        <v>40000</v>
      </c>
      <c r="K100" s="354">
        <f t="shared" si="8"/>
        <v>100</v>
      </c>
      <c r="L100" s="50"/>
      <c r="M100" s="50"/>
      <c r="N100" s="50"/>
      <c r="O100" s="51">
        <f t="shared" si="9"/>
        <v>40000</v>
      </c>
      <c r="P100" s="51">
        <f t="shared" si="10"/>
        <v>40000</v>
      </c>
      <c r="Q100" s="354">
        <f t="shared" si="11"/>
        <v>100</v>
      </c>
    </row>
    <row r="101" spans="2:17" s="275" customFormat="1" x14ac:dyDescent="0.2">
      <c r="B101" s="276"/>
      <c r="F101" s="277"/>
      <c r="G101" s="277"/>
      <c r="I101" s="249"/>
      <c r="J101" s="249"/>
      <c r="K101" s="5"/>
      <c r="L101" s="249"/>
      <c r="M101" s="249"/>
      <c r="N101" s="5"/>
      <c r="O101" s="249"/>
    </row>
    <row r="102" spans="2:17" s="275" customFormat="1" x14ac:dyDescent="0.2">
      <c r="B102" s="276"/>
      <c r="F102" s="277"/>
      <c r="G102" s="277"/>
      <c r="I102" s="249"/>
      <c r="J102" s="249"/>
      <c r="K102" s="5"/>
      <c r="L102" s="249"/>
      <c r="M102" s="249"/>
      <c r="N102" s="5"/>
      <c r="O102" s="249"/>
    </row>
    <row r="103" spans="2:17" s="275" customFormat="1" ht="27.75" x14ac:dyDescent="0.4">
      <c r="B103" s="496" t="s">
        <v>16</v>
      </c>
      <c r="C103" s="497"/>
      <c r="D103" s="497"/>
      <c r="E103" s="497"/>
      <c r="F103" s="497"/>
      <c r="G103" s="497"/>
      <c r="H103" s="497"/>
      <c r="I103" s="497"/>
      <c r="J103" s="497"/>
      <c r="K103" s="497"/>
      <c r="L103" s="497"/>
      <c r="M103" s="497"/>
      <c r="N103" s="497"/>
      <c r="O103" s="497"/>
      <c r="P103" s="3"/>
      <c r="Q103" s="3"/>
    </row>
    <row r="104" spans="2:17" s="275" customFormat="1" ht="15" x14ac:dyDescent="0.35">
      <c r="B104" s="461" t="s">
        <v>437</v>
      </c>
      <c r="C104" s="462"/>
      <c r="D104" s="462"/>
      <c r="E104" s="462"/>
      <c r="F104" s="462"/>
      <c r="G104" s="462"/>
      <c r="H104" s="462"/>
      <c r="I104" s="462"/>
      <c r="J104" s="462"/>
      <c r="K104" s="462"/>
      <c r="L104" s="462"/>
      <c r="M104" s="462"/>
      <c r="N104" s="463"/>
      <c r="O104" s="466" t="s">
        <v>717</v>
      </c>
      <c r="P104" s="466" t="s">
        <v>712</v>
      </c>
      <c r="Q104" s="468" t="s">
        <v>711</v>
      </c>
    </row>
    <row r="105" spans="2:17" s="275" customFormat="1" x14ac:dyDescent="0.2">
      <c r="B105" s="478"/>
      <c r="C105" s="475" t="s">
        <v>111</v>
      </c>
      <c r="D105" s="475" t="s">
        <v>112</v>
      </c>
      <c r="E105" s="475"/>
      <c r="F105" s="475" t="s">
        <v>113</v>
      </c>
      <c r="G105" s="477" t="s">
        <v>114</v>
      </c>
      <c r="H105" s="476" t="s">
        <v>115</v>
      </c>
      <c r="I105" s="471" t="s">
        <v>713</v>
      </c>
      <c r="J105" s="471" t="s">
        <v>714</v>
      </c>
      <c r="K105" s="472" t="s">
        <v>711</v>
      </c>
      <c r="L105" s="471" t="s">
        <v>715</v>
      </c>
      <c r="M105" s="471" t="s">
        <v>716</v>
      </c>
      <c r="N105" s="451" t="s">
        <v>711</v>
      </c>
      <c r="O105" s="467"/>
      <c r="P105" s="467"/>
      <c r="Q105" s="469"/>
    </row>
    <row r="106" spans="2:17" s="275" customFormat="1" x14ac:dyDescent="0.2">
      <c r="B106" s="478"/>
      <c r="C106" s="475"/>
      <c r="D106" s="475"/>
      <c r="E106" s="475"/>
      <c r="F106" s="475"/>
      <c r="G106" s="477"/>
      <c r="H106" s="476"/>
      <c r="I106" s="471"/>
      <c r="J106" s="471"/>
      <c r="K106" s="473"/>
      <c r="L106" s="471"/>
      <c r="M106" s="471"/>
      <c r="N106" s="452"/>
      <c r="O106" s="467"/>
      <c r="P106" s="467"/>
      <c r="Q106" s="469"/>
    </row>
    <row r="107" spans="2:17" s="275" customFormat="1" x14ac:dyDescent="0.2">
      <c r="B107" s="478"/>
      <c r="C107" s="475"/>
      <c r="D107" s="475"/>
      <c r="E107" s="475"/>
      <c r="F107" s="475"/>
      <c r="G107" s="477"/>
      <c r="H107" s="476"/>
      <c r="I107" s="471"/>
      <c r="J107" s="471"/>
      <c r="K107" s="473"/>
      <c r="L107" s="471"/>
      <c r="M107" s="471"/>
      <c r="N107" s="452"/>
      <c r="O107" s="467"/>
      <c r="P107" s="467"/>
      <c r="Q107" s="469"/>
    </row>
    <row r="108" spans="2:17" s="275" customFormat="1" x14ac:dyDescent="0.2">
      <c r="B108" s="478"/>
      <c r="C108" s="475"/>
      <c r="D108" s="475"/>
      <c r="E108" s="475"/>
      <c r="F108" s="475"/>
      <c r="G108" s="477"/>
      <c r="H108" s="476"/>
      <c r="I108" s="471"/>
      <c r="J108" s="471"/>
      <c r="K108" s="474"/>
      <c r="L108" s="471"/>
      <c r="M108" s="471"/>
      <c r="N108" s="452"/>
      <c r="O108" s="467"/>
      <c r="P108" s="467"/>
      <c r="Q108" s="470"/>
    </row>
    <row r="109" spans="2:17" s="275" customFormat="1" ht="15.75" x14ac:dyDescent="0.2">
      <c r="B109" s="6">
        <v>1</v>
      </c>
      <c r="C109" s="464" t="s">
        <v>16</v>
      </c>
      <c r="D109" s="465"/>
      <c r="E109" s="465"/>
      <c r="F109" s="465"/>
      <c r="G109" s="465"/>
      <c r="H109" s="465"/>
      <c r="I109" s="7">
        <f>I110+I113+I132+I136+I163+I181+I186+I198</f>
        <v>7548825</v>
      </c>
      <c r="J109" s="7">
        <f>J110+J113+J132+J136+J163+J181+J186+J198</f>
        <v>3638158</v>
      </c>
      <c r="K109" s="354">
        <f t="shared" ref="K109:K120" si="13">J109/I109*100</f>
        <v>48.195023728858466</v>
      </c>
      <c r="L109" s="7">
        <f>L198+L186+L181+L163+L136+L132+L113+L110</f>
        <v>6666493</v>
      </c>
      <c r="M109" s="7">
        <f>M198+M186+M181+M163+M136+M132+M113+M110</f>
        <v>200380</v>
      </c>
      <c r="N109" s="354">
        <f>M109/L109*100</f>
        <v>3.0057783005247285</v>
      </c>
      <c r="O109" s="8">
        <f t="shared" ref="O109:O140" si="14">I109+L109</f>
        <v>14215318</v>
      </c>
      <c r="P109" s="8">
        <f t="shared" ref="P109:P140" si="15">J109+M109</f>
        <v>3838538</v>
      </c>
      <c r="Q109" s="354">
        <f t="shared" ref="Q109:Q140" si="16">P109/O109*100</f>
        <v>27.002828920183141</v>
      </c>
    </row>
    <row r="110" spans="2:17" s="275" customFormat="1" ht="15" x14ac:dyDescent="0.2">
      <c r="B110" s="6">
        <f t="shared" ref="B110:B141" si="17">B109+1</f>
        <v>2</v>
      </c>
      <c r="C110" s="9">
        <v>1</v>
      </c>
      <c r="D110" s="459" t="s">
        <v>140</v>
      </c>
      <c r="E110" s="460"/>
      <c r="F110" s="460"/>
      <c r="G110" s="460"/>
      <c r="H110" s="460"/>
      <c r="I110" s="10">
        <f>I111</f>
        <v>150000</v>
      </c>
      <c r="J110" s="10">
        <f>J111</f>
        <v>52246</v>
      </c>
      <c r="K110" s="354">
        <f t="shared" si="13"/>
        <v>34.830666666666666</v>
      </c>
      <c r="L110" s="10"/>
      <c r="M110" s="10"/>
      <c r="N110" s="354"/>
      <c r="O110" s="31">
        <f t="shared" si="14"/>
        <v>150000</v>
      </c>
      <c r="P110" s="31">
        <f t="shared" si="15"/>
        <v>52246</v>
      </c>
      <c r="Q110" s="354">
        <f t="shared" si="16"/>
        <v>34.830666666666666</v>
      </c>
    </row>
    <row r="111" spans="2:17" s="275" customFormat="1" x14ac:dyDescent="0.2">
      <c r="B111" s="6">
        <f t="shared" si="17"/>
        <v>3</v>
      </c>
      <c r="C111" s="12"/>
      <c r="D111" s="12"/>
      <c r="E111" s="12"/>
      <c r="F111" s="13" t="s">
        <v>73</v>
      </c>
      <c r="G111" s="14">
        <v>630</v>
      </c>
      <c r="H111" s="12" t="s">
        <v>118</v>
      </c>
      <c r="I111" s="15">
        <f>I112</f>
        <v>150000</v>
      </c>
      <c r="J111" s="15">
        <f>J112</f>
        <v>52246</v>
      </c>
      <c r="K111" s="354">
        <f t="shared" si="13"/>
        <v>34.830666666666666</v>
      </c>
      <c r="L111" s="15"/>
      <c r="M111" s="15"/>
      <c r="N111" s="354"/>
      <c r="O111" s="16">
        <f t="shared" si="14"/>
        <v>150000</v>
      </c>
      <c r="P111" s="16">
        <f t="shared" si="15"/>
        <v>52246</v>
      </c>
      <c r="Q111" s="354">
        <f t="shared" si="16"/>
        <v>34.830666666666666</v>
      </c>
    </row>
    <row r="112" spans="2:17" s="275" customFormat="1" x14ac:dyDescent="0.2">
      <c r="B112" s="6">
        <f t="shared" si="17"/>
        <v>4</v>
      </c>
      <c r="C112" s="17"/>
      <c r="D112" s="17"/>
      <c r="E112" s="17"/>
      <c r="F112" s="18"/>
      <c r="G112" s="19">
        <v>637</v>
      </c>
      <c r="H112" s="17" t="s">
        <v>119</v>
      </c>
      <c r="I112" s="20">
        <v>150000</v>
      </c>
      <c r="J112" s="20">
        <v>52246</v>
      </c>
      <c r="K112" s="354">
        <f t="shared" si="13"/>
        <v>34.830666666666666</v>
      </c>
      <c r="L112" s="20"/>
      <c r="M112" s="20"/>
      <c r="N112" s="354"/>
      <c r="O112" s="21">
        <f t="shared" si="14"/>
        <v>150000</v>
      </c>
      <c r="P112" s="21">
        <f t="shared" si="15"/>
        <v>52246</v>
      </c>
      <c r="Q112" s="354">
        <f t="shared" si="16"/>
        <v>34.830666666666666</v>
      </c>
    </row>
    <row r="113" spans="2:17" s="275" customFormat="1" ht="15" x14ac:dyDescent="0.2">
      <c r="B113" s="6">
        <f t="shared" si="17"/>
        <v>5</v>
      </c>
      <c r="C113" s="9">
        <v>2</v>
      </c>
      <c r="D113" s="459" t="s">
        <v>139</v>
      </c>
      <c r="E113" s="460"/>
      <c r="F113" s="460"/>
      <c r="G113" s="460"/>
      <c r="H113" s="460"/>
      <c r="I113" s="10">
        <f>I114+I117+I124</f>
        <v>123810</v>
      </c>
      <c r="J113" s="10">
        <f>J114+J117+J124</f>
        <v>45481</v>
      </c>
      <c r="K113" s="354">
        <f t="shared" si="13"/>
        <v>36.734512559567079</v>
      </c>
      <c r="L113" s="10">
        <f>L114+L117+L124</f>
        <v>670500</v>
      </c>
      <c r="M113" s="10">
        <f>M114+M117+M124</f>
        <v>160331</v>
      </c>
      <c r="N113" s="354">
        <f>M113/L113*100</f>
        <v>23.912155108128264</v>
      </c>
      <c r="O113" s="31">
        <f t="shared" si="14"/>
        <v>794310</v>
      </c>
      <c r="P113" s="31">
        <f t="shared" si="15"/>
        <v>205812</v>
      </c>
      <c r="Q113" s="354">
        <f t="shared" si="16"/>
        <v>25.910790497412851</v>
      </c>
    </row>
    <row r="114" spans="2:17" s="275" customFormat="1" ht="15" x14ac:dyDescent="0.25">
      <c r="B114" s="6">
        <f t="shared" si="17"/>
        <v>6</v>
      </c>
      <c r="C114" s="27"/>
      <c r="D114" s="27">
        <v>1</v>
      </c>
      <c r="E114" s="457" t="s">
        <v>145</v>
      </c>
      <c r="F114" s="458"/>
      <c r="G114" s="458"/>
      <c r="H114" s="458"/>
      <c r="I114" s="28">
        <f>I115</f>
        <v>14850</v>
      </c>
      <c r="J114" s="28">
        <f>J115</f>
        <v>5825</v>
      </c>
      <c r="K114" s="354">
        <f t="shared" si="13"/>
        <v>39.225589225589225</v>
      </c>
      <c r="L114" s="28"/>
      <c r="M114" s="28"/>
      <c r="N114" s="354"/>
      <c r="O114" s="29">
        <f t="shared" si="14"/>
        <v>14850</v>
      </c>
      <c r="P114" s="29">
        <f t="shared" si="15"/>
        <v>5825</v>
      </c>
      <c r="Q114" s="354">
        <f t="shared" si="16"/>
        <v>39.225589225589225</v>
      </c>
    </row>
    <row r="115" spans="2:17" s="275" customFormat="1" x14ac:dyDescent="0.2">
      <c r="B115" s="6">
        <f t="shared" si="17"/>
        <v>7</v>
      </c>
      <c r="C115" s="12"/>
      <c r="D115" s="12"/>
      <c r="E115" s="12"/>
      <c r="F115" s="13" t="s">
        <v>73</v>
      </c>
      <c r="G115" s="14">
        <v>630</v>
      </c>
      <c r="H115" s="12" t="s">
        <v>118</v>
      </c>
      <c r="I115" s="15">
        <f>I116</f>
        <v>14850</v>
      </c>
      <c r="J115" s="15">
        <f>J116</f>
        <v>5825</v>
      </c>
      <c r="K115" s="354">
        <f t="shared" si="13"/>
        <v>39.225589225589225</v>
      </c>
      <c r="L115" s="15"/>
      <c r="M115" s="15"/>
      <c r="N115" s="354"/>
      <c r="O115" s="16">
        <f t="shared" si="14"/>
        <v>14850</v>
      </c>
      <c r="P115" s="16">
        <f t="shared" si="15"/>
        <v>5825</v>
      </c>
      <c r="Q115" s="354">
        <f t="shared" si="16"/>
        <v>39.225589225589225</v>
      </c>
    </row>
    <row r="116" spans="2:17" s="275" customFormat="1" x14ac:dyDescent="0.2">
      <c r="B116" s="6">
        <f t="shared" si="17"/>
        <v>8</v>
      </c>
      <c r="C116" s="17"/>
      <c r="D116" s="17"/>
      <c r="E116" s="17"/>
      <c r="F116" s="18"/>
      <c r="G116" s="19">
        <v>637</v>
      </c>
      <c r="H116" s="17" t="s">
        <v>119</v>
      </c>
      <c r="I116" s="20">
        <v>14850</v>
      </c>
      <c r="J116" s="20">
        <v>5825</v>
      </c>
      <c r="K116" s="354">
        <f t="shared" si="13"/>
        <v>39.225589225589225</v>
      </c>
      <c r="L116" s="20"/>
      <c r="M116" s="20"/>
      <c r="N116" s="354"/>
      <c r="O116" s="21">
        <f t="shared" si="14"/>
        <v>14850</v>
      </c>
      <c r="P116" s="21">
        <f t="shared" si="15"/>
        <v>5825</v>
      </c>
      <c r="Q116" s="354">
        <f t="shared" si="16"/>
        <v>39.225589225589225</v>
      </c>
    </row>
    <row r="117" spans="2:17" s="275" customFormat="1" ht="15" x14ac:dyDescent="0.25">
      <c r="B117" s="6">
        <f t="shared" si="17"/>
        <v>9</v>
      </c>
      <c r="C117" s="27"/>
      <c r="D117" s="27">
        <v>2</v>
      </c>
      <c r="E117" s="457" t="s">
        <v>138</v>
      </c>
      <c r="F117" s="458"/>
      <c r="G117" s="458"/>
      <c r="H117" s="458"/>
      <c r="I117" s="28">
        <f>I118</f>
        <v>32760</v>
      </c>
      <c r="J117" s="28">
        <f>J118</f>
        <v>12462</v>
      </c>
      <c r="K117" s="354">
        <f t="shared" si="13"/>
        <v>38.040293040293037</v>
      </c>
      <c r="L117" s="28">
        <f>L121</f>
        <v>100</v>
      </c>
      <c r="M117" s="28">
        <f>M121</f>
        <v>11</v>
      </c>
      <c r="N117" s="354">
        <f>M117/L117*100</f>
        <v>11</v>
      </c>
      <c r="O117" s="29">
        <f t="shared" si="14"/>
        <v>32860</v>
      </c>
      <c r="P117" s="29">
        <f t="shared" si="15"/>
        <v>12473</v>
      </c>
      <c r="Q117" s="354">
        <f t="shared" si="16"/>
        <v>37.958003651856359</v>
      </c>
    </row>
    <row r="118" spans="2:17" s="275" customFormat="1" x14ac:dyDescent="0.2">
      <c r="B118" s="6">
        <f t="shared" si="17"/>
        <v>10</v>
      </c>
      <c r="C118" s="12"/>
      <c r="D118" s="12"/>
      <c r="E118" s="12"/>
      <c r="F118" s="13" t="s">
        <v>73</v>
      </c>
      <c r="G118" s="14">
        <v>630</v>
      </c>
      <c r="H118" s="12" t="s">
        <v>118</v>
      </c>
      <c r="I118" s="15">
        <f>I119+I120</f>
        <v>32760</v>
      </c>
      <c r="J118" s="15">
        <f>J119+J120</f>
        <v>12462</v>
      </c>
      <c r="K118" s="354">
        <f t="shared" si="13"/>
        <v>38.040293040293037</v>
      </c>
      <c r="L118" s="15"/>
      <c r="M118" s="15"/>
      <c r="N118" s="354"/>
      <c r="O118" s="16">
        <f t="shared" si="14"/>
        <v>32760</v>
      </c>
      <c r="P118" s="16">
        <f t="shared" si="15"/>
        <v>12462</v>
      </c>
      <c r="Q118" s="354">
        <f t="shared" si="16"/>
        <v>38.040293040293037</v>
      </c>
    </row>
    <row r="119" spans="2:17" s="275" customFormat="1" x14ac:dyDescent="0.2">
      <c r="B119" s="6">
        <f t="shared" si="17"/>
        <v>11</v>
      </c>
      <c r="C119" s="17"/>
      <c r="D119" s="17"/>
      <c r="E119" s="17"/>
      <c r="F119" s="18"/>
      <c r="G119" s="19">
        <v>636</v>
      </c>
      <c r="H119" s="17" t="s">
        <v>123</v>
      </c>
      <c r="I119" s="20">
        <v>9410</v>
      </c>
      <c r="J119" s="20">
        <v>4704</v>
      </c>
      <c r="K119" s="354">
        <f t="shared" si="13"/>
        <v>49.9893730074389</v>
      </c>
      <c r="L119" s="20"/>
      <c r="M119" s="20"/>
      <c r="N119" s="354"/>
      <c r="O119" s="21">
        <f t="shared" si="14"/>
        <v>9410</v>
      </c>
      <c r="P119" s="21">
        <f t="shared" si="15"/>
        <v>4704</v>
      </c>
      <c r="Q119" s="354">
        <f t="shared" si="16"/>
        <v>49.9893730074389</v>
      </c>
    </row>
    <row r="120" spans="2:17" s="275" customFormat="1" x14ac:dyDescent="0.2">
      <c r="B120" s="6">
        <f t="shared" si="17"/>
        <v>12</v>
      </c>
      <c r="C120" s="17"/>
      <c r="D120" s="17"/>
      <c r="E120" s="17"/>
      <c r="F120" s="18"/>
      <c r="G120" s="19">
        <v>637</v>
      </c>
      <c r="H120" s="17" t="s">
        <v>119</v>
      </c>
      <c r="I120" s="20">
        <f>18850+4500</f>
        <v>23350</v>
      </c>
      <c r="J120" s="20">
        <v>7758</v>
      </c>
      <c r="K120" s="354">
        <f t="shared" si="13"/>
        <v>33.224839400428266</v>
      </c>
      <c r="L120" s="20"/>
      <c r="M120" s="20"/>
      <c r="N120" s="354"/>
      <c r="O120" s="21">
        <f t="shared" si="14"/>
        <v>23350</v>
      </c>
      <c r="P120" s="21">
        <f t="shared" si="15"/>
        <v>7758</v>
      </c>
      <c r="Q120" s="354">
        <f t="shared" si="16"/>
        <v>33.224839400428266</v>
      </c>
    </row>
    <row r="121" spans="2:17" s="275" customFormat="1" x14ac:dyDescent="0.2">
      <c r="B121" s="6">
        <f t="shared" si="17"/>
        <v>13</v>
      </c>
      <c r="C121" s="12"/>
      <c r="D121" s="12"/>
      <c r="E121" s="12"/>
      <c r="F121" s="13" t="s">
        <v>73</v>
      </c>
      <c r="G121" s="14">
        <v>710</v>
      </c>
      <c r="H121" s="12" t="s">
        <v>172</v>
      </c>
      <c r="I121" s="15"/>
      <c r="J121" s="15"/>
      <c r="K121" s="354"/>
      <c r="L121" s="15">
        <f>L122</f>
        <v>100</v>
      </c>
      <c r="M121" s="15">
        <f>M122</f>
        <v>11</v>
      </c>
      <c r="N121" s="354">
        <f>M121/L121*100</f>
        <v>11</v>
      </c>
      <c r="O121" s="16">
        <f t="shared" si="14"/>
        <v>100</v>
      </c>
      <c r="P121" s="16">
        <f t="shared" si="15"/>
        <v>11</v>
      </c>
      <c r="Q121" s="354">
        <f t="shared" si="16"/>
        <v>11</v>
      </c>
    </row>
    <row r="122" spans="2:17" s="275" customFormat="1" x14ac:dyDescent="0.2">
      <c r="B122" s="6">
        <f t="shared" si="17"/>
        <v>14</v>
      </c>
      <c r="C122" s="17"/>
      <c r="D122" s="17"/>
      <c r="E122" s="17"/>
      <c r="F122" s="18"/>
      <c r="G122" s="19">
        <v>712</v>
      </c>
      <c r="H122" s="17" t="s">
        <v>57</v>
      </c>
      <c r="I122" s="20"/>
      <c r="J122" s="20"/>
      <c r="K122" s="354"/>
      <c r="L122" s="20">
        <f>L123</f>
        <v>100</v>
      </c>
      <c r="M122" s="20">
        <f>M123</f>
        <v>11</v>
      </c>
      <c r="N122" s="354">
        <f>M122/L122*100</f>
        <v>11</v>
      </c>
      <c r="O122" s="21">
        <f t="shared" si="14"/>
        <v>100</v>
      </c>
      <c r="P122" s="21">
        <f t="shared" si="15"/>
        <v>11</v>
      </c>
      <c r="Q122" s="354">
        <f t="shared" si="16"/>
        <v>11</v>
      </c>
    </row>
    <row r="123" spans="2:17" s="275" customFormat="1" x14ac:dyDescent="0.2">
      <c r="B123" s="6">
        <f t="shared" si="17"/>
        <v>15</v>
      </c>
      <c r="C123" s="22"/>
      <c r="D123" s="22"/>
      <c r="E123" s="1"/>
      <c r="F123" s="23"/>
      <c r="G123" s="23"/>
      <c r="H123" s="1" t="s">
        <v>326</v>
      </c>
      <c r="I123" s="24"/>
      <c r="J123" s="24"/>
      <c r="K123" s="354"/>
      <c r="L123" s="24">
        <v>100</v>
      </c>
      <c r="M123" s="24">
        <v>11</v>
      </c>
      <c r="N123" s="354">
        <f>M123/L123*100</f>
        <v>11</v>
      </c>
      <c r="O123" s="26">
        <f t="shared" si="14"/>
        <v>100</v>
      </c>
      <c r="P123" s="26">
        <f t="shared" si="15"/>
        <v>11</v>
      </c>
      <c r="Q123" s="354">
        <f t="shared" si="16"/>
        <v>11</v>
      </c>
    </row>
    <row r="124" spans="2:17" s="275" customFormat="1" ht="15" x14ac:dyDescent="0.25">
      <c r="B124" s="6">
        <f t="shared" si="17"/>
        <v>16</v>
      </c>
      <c r="C124" s="27"/>
      <c r="D124" s="27">
        <v>3</v>
      </c>
      <c r="E124" s="457" t="s">
        <v>204</v>
      </c>
      <c r="F124" s="495"/>
      <c r="G124" s="495"/>
      <c r="H124" s="495"/>
      <c r="I124" s="28">
        <f>I125</f>
        <v>76200</v>
      </c>
      <c r="J124" s="28">
        <f>J125</f>
        <v>27194</v>
      </c>
      <c r="K124" s="354">
        <f>J124/I124*100</f>
        <v>35.687664041994751</v>
      </c>
      <c r="L124" s="28">
        <f>L128</f>
        <v>670400</v>
      </c>
      <c r="M124" s="28">
        <f>M128</f>
        <v>160320</v>
      </c>
      <c r="N124" s="354">
        <f>M124/L124*100</f>
        <v>23.914081145584724</v>
      </c>
      <c r="O124" s="29">
        <f t="shared" si="14"/>
        <v>746600</v>
      </c>
      <c r="P124" s="29">
        <f t="shared" si="15"/>
        <v>187514</v>
      </c>
      <c r="Q124" s="354">
        <f t="shared" si="16"/>
        <v>25.115724618269486</v>
      </c>
    </row>
    <row r="125" spans="2:17" s="275" customFormat="1" x14ac:dyDescent="0.2">
      <c r="B125" s="6">
        <f t="shared" si="17"/>
        <v>17</v>
      </c>
      <c r="C125" s="12"/>
      <c r="D125" s="12"/>
      <c r="E125" s="12"/>
      <c r="F125" s="13" t="s">
        <v>73</v>
      </c>
      <c r="G125" s="14">
        <v>630</v>
      </c>
      <c r="H125" s="12" t="s">
        <v>118</v>
      </c>
      <c r="I125" s="15">
        <f>I126+I127</f>
        <v>76200</v>
      </c>
      <c r="J125" s="15">
        <f>J126+J127</f>
        <v>27194</v>
      </c>
      <c r="K125" s="354">
        <f>J125/I125*100</f>
        <v>35.687664041994751</v>
      </c>
      <c r="L125" s="15"/>
      <c r="M125" s="15"/>
      <c r="N125" s="354"/>
      <c r="O125" s="16">
        <f t="shared" si="14"/>
        <v>76200</v>
      </c>
      <c r="P125" s="16">
        <f t="shared" si="15"/>
        <v>27194</v>
      </c>
      <c r="Q125" s="354">
        <f t="shared" si="16"/>
        <v>35.687664041994751</v>
      </c>
    </row>
    <row r="126" spans="2:17" s="275" customFormat="1" x14ac:dyDescent="0.2">
      <c r="B126" s="6">
        <f t="shared" si="17"/>
        <v>18</v>
      </c>
      <c r="C126" s="17"/>
      <c r="D126" s="17"/>
      <c r="E126" s="17"/>
      <c r="F126" s="18"/>
      <c r="G126" s="19">
        <v>636</v>
      </c>
      <c r="H126" s="17" t="s">
        <v>123</v>
      </c>
      <c r="I126" s="20">
        <v>55100</v>
      </c>
      <c r="J126" s="20">
        <v>23870</v>
      </c>
      <c r="K126" s="354">
        <f>J126/I126*100</f>
        <v>43.321234119782218</v>
      </c>
      <c r="L126" s="20"/>
      <c r="M126" s="20"/>
      <c r="N126" s="354"/>
      <c r="O126" s="21">
        <f t="shared" si="14"/>
        <v>55100</v>
      </c>
      <c r="P126" s="21">
        <f t="shared" si="15"/>
        <v>23870</v>
      </c>
      <c r="Q126" s="354">
        <f t="shared" si="16"/>
        <v>43.321234119782218</v>
      </c>
    </row>
    <row r="127" spans="2:17" s="275" customFormat="1" x14ac:dyDescent="0.2">
      <c r="B127" s="6">
        <f t="shared" si="17"/>
        <v>19</v>
      </c>
      <c r="C127" s="17"/>
      <c r="D127" s="17"/>
      <c r="E127" s="17"/>
      <c r="F127" s="18"/>
      <c r="G127" s="19">
        <v>637</v>
      </c>
      <c r="H127" s="17" t="s">
        <v>119</v>
      </c>
      <c r="I127" s="20">
        <f>19900+1200</f>
        <v>21100</v>
      </c>
      <c r="J127" s="20">
        <v>3324</v>
      </c>
      <c r="K127" s="354">
        <f>J127/I127*100</f>
        <v>15.753554502369669</v>
      </c>
      <c r="L127" s="20"/>
      <c r="M127" s="20"/>
      <c r="N127" s="354"/>
      <c r="O127" s="21">
        <f t="shared" si="14"/>
        <v>21100</v>
      </c>
      <c r="P127" s="21">
        <f t="shared" si="15"/>
        <v>3324</v>
      </c>
      <c r="Q127" s="354">
        <f t="shared" si="16"/>
        <v>15.753554502369669</v>
      </c>
    </row>
    <row r="128" spans="2:17" s="275" customFormat="1" x14ac:dyDescent="0.2">
      <c r="B128" s="6">
        <f t="shared" si="17"/>
        <v>20</v>
      </c>
      <c r="C128" s="12"/>
      <c r="D128" s="12"/>
      <c r="E128" s="12"/>
      <c r="F128" s="13" t="s">
        <v>73</v>
      </c>
      <c r="G128" s="14">
        <v>710</v>
      </c>
      <c r="H128" s="12" t="s">
        <v>172</v>
      </c>
      <c r="I128" s="15"/>
      <c r="J128" s="15"/>
      <c r="K128" s="354"/>
      <c r="L128" s="15">
        <f>L129</f>
        <v>670400</v>
      </c>
      <c r="M128" s="15">
        <f>M129</f>
        <v>160320</v>
      </c>
      <c r="N128" s="354">
        <f>M128/L128*100</f>
        <v>23.914081145584724</v>
      </c>
      <c r="O128" s="16">
        <f t="shared" si="14"/>
        <v>670400</v>
      </c>
      <c r="P128" s="16">
        <f t="shared" si="15"/>
        <v>160320</v>
      </c>
      <c r="Q128" s="354">
        <f t="shared" si="16"/>
        <v>23.914081145584724</v>
      </c>
    </row>
    <row r="129" spans="2:17" s="275" customFormat="1" x14ac:dyDescent="0.2">
      <c r="B129" s="6">
        <f t="shared" si="17"/>
        <v>21</v>
      </c>
      <c r="C129" s="17"/>
      <c r="D129" s="17"/>
      <c r="E129" s="17"/>
      <c r="F129" s="18"/>
      <c r="G129" s="19">
        <v>711</v>
      </c>
      <c r="H129" s="17" t="s">
        <v>206</v>
      </c>
      <c r="I129" s="20"/>
      <c r="J129" s="20"/>
      <c r="K129" s="354"/>
      <c r="L129" s="20">
        <f>L130+L131</f>
        <v>670400</v>
      </c>
      <c r="M129" s="20">
        <f>M130+M131</f>
        <v>160320</v>
      </c>
      <c r="N129" s="354">
        <f>M129/L129*100</f>
        <v>23.914081145584724</v>
      </c>
      <c r="O129" s="21">
        <f t="shared" si="14"/>
        <v>670400</v>
      </c>
      <c r="P129" s="21">
        <f t="shared" si="15"/>
        <v>160320</v>
      </c>
      <c r="Q129" s="354">
        <f t="shared" si="16"/>
        <v>23.914081145584724</v>
      </c>
    </row>
    <row r="130" spans="2:17" s="275" customFormat="1" x14ac:dyDescent="0.2">
      <c r="B130" s="6">
        <f t="shared" si="17"/>
        <v>22</v>
      </c>
      <c r="C130" s="22"/>
      <c r="D130" s="22"/>
      <c r="E130" s="1"/>
      <c r="F130" s="23"/>
      <c r="G130" s="23"/>
      <c r="H130" s="1" t="s">
        <v>327</v>
      </c>
      <c r="I130" s="24"/>
      <c r="J130" s="24"/>
      <c r="K130" s="354"/>
      <c r="L130" s="24">
        <f>681400-6000-30000</f>
        <v>645400</v>
      </c>
      <c r="M130" s="24">
        <v>160320</v>
      </c>
      <c r="N130" s="354">
        <f>M130/L130*100</f>
        <v>24.840409048651999</v>
      </c>
      <c r="O130" s="26">
        <f t="shared" si="14"/>
        <v>645400</v>
      </c>
      <c r="P130" s="26">
        <f t="shared" si="15"/>
        <v>160320</v>
      </c>
      <c r="Q130" s="354">
        <f t="shared" si="16"/>
        <v>24.840409048651999</v>
      </c>
    </row>
    <row r="131" spans="2:17" s="275" customFormat="1" x14ac:dyDescent="0.2">
      <c r="B131" s="6">
        <f t="shared" si="17"/>
        <v>23</v>
      </c>
      <c r="C131" s="22"/>
      <c r="D131" s="22"/>
      <c r="E131" s="1"/>
      <c r="F131" s="23"/>
      <c r="G131" s="23"/>
      <c r="H131" s="1" t="s">
        <v>452</v>
      </c>
      <c r="I131" s="24"/>
      <c r="J131" s="24"/>
      <c r="K131" s="354"/>
      <c r="L131" s="24">
        <v>25000</v>
      </c>
      <c r="M131" s="24">
        <v>0</v>
      </c>
      <c r="N131" s="354">
        <f>M131/L131*100</f>
        <v>0</v>
      </c>
      <c r="O131" s="26">
        <f t="shared" si="14"/>
        <v>25000</v>
      </c>
      <c r="P131" s="26">
        <f t="shared" si="15"/>
        <v>0</v>
      </c>
      <c r="Q131" s="354">
        <f t="shared" si="16"/>
        <v>0</v>
      </c>
    </row>
    <row r="132" spans="2:17" s="275" customFormat="1" ht="15" x14ac:dyDescent="0.2">
      <c r="B132" s="6">
        <f t="shared" si="17"/>
        <v>24</v>
      </c>
      <c r="C132" s="9">
        <v>3</v>
      </c>
      <c r="D132" s="459" t="s">
        <v>146</v>
      </c>
      <c r="E132" s="460"/>
      <c r="F132" s="460"/>
      <c r="G132" s="460"/>
      <c r="H132" s="460"/>
      <c r="I132" s="10">
        <f>I133</f>
        <v>10000</v>
      </c>
      <c r="J132" s="10">
        <f>J133</f>
        <v>4672</v>
      </c>
      <c r="K132" s="354">
        <f t="shared" ref="K132:K141" si="18">J132/I132*100</f>
        <v>46.72</v>
      </c>
      <c r="L132" s="10"/>
      <c r="M132" s="10"/>
      <c r="N132" s="354"/>
      <c r="O132" s="31">
        <f t="shared" si="14"/>
        <v>10000</v>
      </c>
      <c r="P132" s="31">
        <f t="shared" si="15"/>
        <v>4672</v>
      </c>
      <c r="Q132" s="354">
        <f t="shared" si="16"/>
        <v>46.72</v>
      </c>
    </row>
    <row r="133" spans="2:17" s="275" customFormat="1" x14ac:dyDescent="0.2">
      <c r="B133" s="6">
        <f t="shared" si="17"/>
        <v>25</v>
      </c>
      <c r="C133" s="12"/>
      <c r="D133" s="12"/>
      <c r="E133" s="12"/>
      <c r="F133" s="13"/>
      <c r="G133" s="14">
        <v>630</v>
      </c>
      <c r="H133" s="12" t="s">
        <v>118</v>
      </c>
      <c r="I133" s="15">
        <f>I134+I135</f>
        <v>10000</v>
      </c>
      <c r="J133" s="15">
        <f>J134+J135</f>
        <v>4672</v>
      </c>
      <c r="K133" s="354">
        <f t="shared" si="18"/>
        <v>46.72</v>
      </c>
      <c r="L133" s="15"/>
      <c r="M133" s="15"/>
      <c r="N133" s="354"/>
      <c r="O133" s="16">
        <f t="shared" si="14"/>
        <v>10000</v>
      </c>
      <c r="P133" s="16">
        <f t="shared" si="15"/>
        <v>4672</v>
      </c>
      <c r="Q133" s="354">
        <f t="shared" si="16"/>
        <v>46.72</v>
      </c>
    </row>
    <row r="134" spans="2:17" s="275" customFormat="1" x14ac:dyDescent="0.2">
      <c r="B134" s="6">
        <f t="shared" si="17"/>
        <v>26</v>
      </c>
      <c r="C134" s="17"/>
      <c r="D134" s="17"/>
      <c r="E134" s="17"/>
      <c r="F134" s="13" t="s">
        <v>73</v>
      </c>
      <c r="G134" s="19">
        <v>633</v>
      </c>
      <c r="H134" s="17" t="s">
        <v>122</v>
      </c>
      <c r="I134" s="20">
        <v>2000</v>
      </c>
      <c r="J134" s="20">
        <v>0</v>
      </c>
      <c r="K134" s="354">
        <f t="shared" si="18"/>
        <v>0</v>
      </c>
      <c r="L134" s="20"/>
      <c r="M134" s="20"/>
      <c r="N134" s="354"/>
      <c r="O134" s="21">
        <f t="shared" si="14"/>
        <v>2000</v>
      </c>
      <c r="P134" s="21">
        <f t="shared" si="15"/>
        <v>0</v>
      </c>
      <c r="Q134" s="354">
        <f t="shared" si="16"/>
        <v>0</v>
      </c>
    </row>
    <row r="135" spans="2:17" s="275" customFormat="1" x14ac:dyDescent="0.2">
      <c r="B135" s="6">
        <f t="shared" si="17"/>
        <v>27</v>
      </c>
      <c r="C135" s="17"/>
      <c r="D135" s="17"/>
      <c r="E135" s="17"/>
      <c r="F135" s="13" t="s">
        <v>402</v>
      </c>
      <c r="G135" s="19">
        <v>637</v>
      </c>
      <c r="H135" s="17" t="s">
        <v>119</v>
      </c>
      <c r="I135" s="20">
        <v>8000</v>
      </c>
      <c r="J135" s="20">
        <v>4672</v>
      </c>
      <c r="K135" s="354">
        <f t="shared" si="18"/>
        <v>58.4</v>
      </c>
      <c r="L135" s="20"/>
      <c r="M135" s="20"/>
      <c r="N135" s="354"/>
      <c r="O135" s="21">
        <f t="shared" si="14"/>
        <v>8000</v>
      </c>
      <c r="P135" s="21">
        <f t="shared" si="15"/>
        <v>4672</v>
      </c>
      <c r="Q135" s="354">
        <f t="shared" si="16"/>
        <v>58.4</v>
      </c>
    </row>
    <row r="136" spans="2:17" s="275" customFormat="1" ht="15" x14ac:dyDescent="0.2">
      <c r="B136" s="6">
        <f t="shared" si="17"/>
        <v>28</v>
      </c>
      <c r="C136" s="9">
        <v>4</v>
      </c>
      <c r="D136" s="459" t="s">
        <v>188</v>
      </c>
      <c r="E136" s="460"/>
      <c r="F136" s="460"/>
      <c r="G136" s="460"/>
      <c r="H136" s="460"/>
      <c r="I136" s="10">
        <f>I137</f>
        <v>262500</v>
      </c>
      <c r="J136" s="10">
        <f>J137</f>
        <v>93933</v>
      </c>
      <c r="K136" s="354">
        <f t="shared" si="18"/>
        <v>35.783999999999999</v>
      </c>
      <c r="L136" s="10">
        <f>L142</f>
        <v>5858993</v>
      </c>
      <c r="M136" s="10">
        <f>M142</f>
        <v>19727</v>
      </c>
      <c r="N136" s="354">
        <f>M136/L136*100</f>
        <v>0.33669608412230567</v>
      </c>
      <c r="O136" s="31">
        <f t="shared" si="14"/>
        <v>6121493</v>
      </c>
      <c r="P136" s="31">
        <f t="shared" si="15"/>
        <v>113660</v>
      </c>
      <c r="Q136" s="354">
        <f t="shared" si="16"/>
        <v>1.8567365837059684</v>
      </c>
    </row>
    <row r="137" spans="2:17" s="275" customFormat="1" x14ac:dyDescent="0.2">
      <c r="B137" s="6">
        <f t="shared" si="17"/>
        <v>29</v>
      </c>
      <c r="C137" s="12"/>
      <c r="D137" s="12"/>
      <c r="E137" s="12"/>
      <c r="F137" s="13" t="s">
        <v>150</v>
      </c>
      <c r="G137" s="14">
        <v>630</v>
      </c>
      <c r="H137" s="12" t="s">
        <v>118</v>
      </c>
      <c r="I137" s="15">
        <f>SUM(I138:I141)</f>
        <v>262500</v>
      </c>
      <c r="J137" s="15">
        <f>SUM(J138:J141)</f>
        <v>93933</v>
      </c>
      <c r="K137" s="354">
        <f t="shared" si="18"/>
        <v>35.783999999999999</v>
      </c>
      <c r="L137" s="15"/>
      <c r="M137" s="15"/>
      <c r="N137" s="354"/>
      <c r="O137" s="16">
        <f t="shared" si="14"/>
        <v>262500</v>
      </c>
      <c r="P137" s="16">
        <f t="shared" si="15"/>
        <v>93933</v>
      </c>
      <c r="Q137" s="354">
        <f t="shared" si="16"/>
        <v>35.783999999999999</v>
      </c>
    </row>
    <row r="138" spans="2:17" s="275" customFormat="1" x14ac:dyDescent="0.2">
      <c r="B138" s="6">
        <f t="shared" si="17"/>
        <v>30</v>
      </c>
      <c r="C138" s="17"/>
      <c r="D138" s="17"/>
      <c r="E138" s="17"/>
      <c r="F138" s="18"/>
      <c r="G138" s="19">
        <v>632</v>
      </c>
      <c r="H138" s="17" t="s">
        <v>131</v>
      </c>
      <c r="I138" s="20">
        <v>63000</v>
      </c>
      <c r="J138" s="20">
        <v>31961</v>
      </c>
      <c r="K138" s="354">
        <f t="shared" si="18"/>
        <v>50.731746031746027</v>
      </c>
      <c r="L138" s="20"/>
      <c r="M138" s="20"/>
      <c r="N138" s="354"/>
      <c r="O138" s="21">
        <f t="shared" si="14"/>
        <v>63000</v>
      </c>
      <c r="P138" s="21">
        <f t="shared" si="15"/>
        <v>31961</v>
      </c>
      <c r="Q138" s="354">
        <f t="shared" si="16"/>
        <v>50.731746031746027</v>
      </c>
    </row>
    <row r="139" spans="2:17" s="275" customFormat="1" x14ac:dyDescent="0.2">
      <c r="B139" s="6">
        <f t="shared" si="17"/>
        <v>31</v>
      </c>
      <c r="C139" s="17"/>
      <c r="D139" s="17"/>
      <c r="E139" s="17"/>
      <c r="F139" s="18"/>
      <c r="G139" s="19">
        <v>633</v>
      </c>
      <c r="H139" s="17" t="s">
        <v>122</v>
      </c>
      <c r="I139" s="20">
        <v>32500</v>
      </c>
      <c r="J139" s="20">
        <v>3193</v>
      </c>
      <c r="K139" s="354">
        <f t="shared" si="18"/>
        <v>9.8246153846153845</v>
      </c>
      <c r="L139" s="20"/>
      <c r="M139" s="20"/>
      <c r="N139" s="354"/>
      <c r="O139" s="21">
        <f t="shared" si="14"/>
        <v>32500</v>
      </c>
      <c r="P139" s="21">
        <f t="shared" si="15"/>
        <v>3193</v>
      </c>
      <c r="Q139" s="354">
        <f t="shared" si="16"/>
        <v>9.8246153846153845</v>
      </c>
    </row>
    <row r="140" spans="2:17" s="275" customFormat="1" x14ac:dyDescent="0.2">
      <c r="B140" s="6">
        <f t="shared" si="17"/>
        <v>32</v>
      </c>
      <c r="C140" s="17"/>
      <c r="D140" s="17"/>
      <c r="E140" s="17"/>
      <c r="F140" s="18"/>
      <c r="G140" s="19">
        <v>635</v>
      </c>
      <c r="H140" s="17" t="s">
        <v>130</v>
      </c>
      <c r="I140" s="20">
        <v>81000</v>
      </c>
      <c r="J140" s="20">
        <f>21999+1</f>
        <v>22000</v>
      </c>
      <c r="K140" s="354">
        <f t="shared" si="18"/>
        <v>27.160493827160494</v>
      </c>
      <c r="L140" s="20"/>
      <c r="M140" s="20"/>
      <c r="N140" s="354"/>
      <c r="O140" s="21">
        <f t="shared" si="14"/>
        <v>81000</v>
      </c>
      <c r="P140" s="21">
        <f t="shared" si="15"/>
        <v>22000</v>
      </c>
      <c r="Q140" s="354">
        <f t="shared" si="16"/>
        <v>27.160493827160494</v>
      </c>
    </row>
    <row r="141" spans="2:17" s="275" customFormat="1" x14ac:dyDescent="0.2">
      <c r="B141" s="6">
        <f t="shared" si="17"/>
        <v>33</v>
      </c>
      <c r="C141" s="17"/>
      <c r="D141" s="17"/>
      <c r="E141" s="17"/>
      <c r="F141" s="18"/>
      <c r="G141" s="19">
        <v>637</v>
      </c>
      <c r="H141" s="17" t="s">
        <v>119</v>
      </c>
      <c r="I141" s="20">
        <v>86000</v>
      </c>
      <c r="J141" s="20">
        <v>36779</v>
      </c>
      <c r="K141" s="354">
        <f t="shared" si="18"/>
        <v>42.766279069767442</v>
      </c>
      <c r="L141" s="20"/>
      <c r="M141" s="20"/>
      <c r="N141" s="354"/>
      <c r="O141" s="21">
        <f t="shared" ref="O141:O172" si="19">I141+L141</f>
        <v>86000</v>
      </c>
      <c r="P141" s="21">
        <f t="shared" ref="P141:P172" si="20">J141+M141</f>
        <v>36779</v>
      </c>
      <c r="Q141" s="354">
        <f t="shared" ref="Q141:Q172" si="21">P141/O141*100</f>
        <v>42.766279069767442</v>
      </c>
    </row>
    <row r="142" spans="2:17" s="275" customFormat="1" x14ac:dyDescent="0.2">
      <c r="B142" s="6">
        <f t="shared" ref="B142:B173" si="22">B141+1</f>
        <v>34</v>
      </c>
      <c r="C142" s="12"/>
      <c r="D142" s="12"/>
      <c r="E142" s="12"/>
      <c r="F142" s="13" t="s">
        <v>189</v>
      </c>
      <c r="G142" s="14">
        <v>710</v>
      </c>
      <c r="H142" s="12" t="s">
        <v>172</v>
      </c>
      <c r="I142" s="15"/>
      <c r="J142" s="15"/>
      <c r="K142" s="354"/>
      <c r="L142" s="15">
        <f>L145+L149+L161+L143</f>
        <v>5858993</v>
      </c>
      <c r="M142" s="15">
        <f>M145+M149+M161+M143</f>
        <v>19727</v>
      </c>
      <c r="N142" s="354">
        <f t="shared" ref="N142:N163" si="23">M142/L142*100</f>
        <v>0.33669608412230567</v>
      </c>
      <c r="O142" s="16">
        <f t="shared" si="19"/>
        <v>5858993</v>
      </c>
      <c r="P142" s="16">
        <f t="shared" si="20"/>
        <v>19727</v>
      </c>
      <c r="Q142" s="354">
        <f t="shared" si="21"/>
        <v>0.33669608412230567</v>
      </c>
    </row>
    <row r="143" spans="2:17" s="275" customFormat="1" x14ac:dyDescent="0.2">
      <c r="B143" s="6">
        <f t="shared" si="22"/>
        <v>35</v>
      </c>
      <c r="C143" s="12"/>
      <c r="D143" s="12"/>
      <c r="E143" s="12"/>
      <c r="F143" s="13"/>
      <c r="G143" s="73">
        <v>713</v>
      </c>
      <c r="H143" s="71" t="s">
        <v>215</v>
      </c>
      <c r="I143" s="15"/>
      <c r="J143" s="15"/>
      <c r="K143" s="354"/>
      <c r="L143" s="20">
        <f>L144</f>
        <v>202897</v>
      </c>
      <c r="M143" s="20">
        <f>M144</f>
        <v>0</v>
      </c>
      <c r="N143" s="354">
        <f t="shared" si="23"/>
        <v>0</v>
      </c>
      <c r="O143" s="21">
        <f t="shared" si="19"/>
        <v>202897</v>
      </c>
      <c r="P143" s="21">
        <f t="shared" si="20"/>
        <v>0</v>
      </c>
      <c r="Q143" s="354">
        <f t="shared" si="21"/>
        <v>0</v>
      </c>
    </row>
    <row r="144" spans="2:17" s="275" customFormat="1" x14ac:dyDescent="0.2">
      <c r="B144" s="6">
        <f t="shared" si="22"/>
        <v>36</v>
      </c>
      <c r="C144" s="12"/>
      <c r="D144" s="12"/>
      <c r="E144" s="12"/>
      <c r="F144" s="13"/>
      <c r="G144" s="82"/>
      <c r="H144" s="80" t="s">
        <v>678</v>
      </c>
      <c r="I144" s="15"/>
      <c r="J144" s="15"/>
      <c r="K144" s="354"/>
      <c r="L144" s="24">
        <v>202897</v>
      </c>
      <c r="M144" s="24">
        <v>0</v>
      </c>
      <c r="N144" s="354">
        <f t="shared" si="23"/>
        <v>0</v>
      </c>
      <c r="O144" s="26">
        <f t="shared" si="19"/>
        <v>202897</v>
      </c>
      <c r="P144" s="26">
        <f t="shared" si="20"/>
        <v>0</v>
      </c>
      <c r="Q144" s="354">
        <f t="shared" si="21"/>
        <v>0</v>
      </c>
    </row>
    <row r="145" spans="2:17" s="275" customFormat="1" x14ac:dyDescent="0.2">
      <c r="B145" s="6">
        <f t="shared" si="22"/>
        <v>37</v>
      </c>
      <c r="C145" s="17"/>
      <c r="D145" s="17"/>
      <c r="E145" s="17"/>
      <c r="F145" s="18"/>
      <c r="G145" s="19">
        <v>716</v>
      </c>
      <c r="H145" s="17" t="s">
        <v>212</v>
      </c>
      <c r="I145" s="20"/>
      <c r="J145" s="20"/>
      <c r="K145" s="354"/>
      <c r="L145" s="20">
        <f>SUM(L146:L148)</f>
        <v>51200</v>
      </c>
      <c r="M145" s="20">
        <f>SUM(M146:M148)</f>
        <v>6035</v>
      </c>
      <c r="N145" s="354">
        <f t="shared" si="23"/>
        <v>11.787109375</v>
      </c>
      <c r="O145" s="21">
        <f t="shared" si="19"/>
        <v>51200</v>
      </c>
      <c r="P145" s="21">
        <f t="shared" si="20"/>
        <v>6035</v>
      </c>
      <c r="Q145" s="354">
        <f t="shared" si="21"/>
        <v>11.787109375</v>
      </c>
    </row>
    <row r="146" spans="2:17" s="275" customFormat="1" x14ac:dyDescent="0.2">
      <c r="B146" s="6">
        <f t="shared" si="22"/>
        <v>38</v>
      </c>
      <c r="C146" s="32"/>
      <c r="D146" s="32"/>
      <c r="E146" s="59"/>
      <c r="F146" s="33"/>
      <c r="G146" s="33"/>
      <c r="H146" s="59" t="s">
        <v>619</v>
      </c>
      <c r="I146" s="35"/>
      <c r="J146" s="35"/>
      <c r="K146" s="354"/>
      <c r="L146" s="35">
        <v>40000</v>
      </c>
      <c r="M146" s="35">
        <v>802</v>
      </c>
      <c r="N146" s="354">
        <f t="shared" si="23"/>
        <v>2.0049999999999999</v>
      </c>
      <c r="O146" s="37">
        <f t="shared" si="19"/>
        <v>40000</v>
      </c>
      <c r="P146" s="37">
        <f t="shared" si="20"/>
        <v>802</v>
      </c>
      <c r="Q146" s="354">
        <f t="shared" si="21"/>
        <v>2.0049999999999999</v>
      </c>
    </row>
    <row r="147" spans="2:17" s="275" customFormat="1" x14ac:dyDescent="0.2">
      <c r="B147" s="6">
        <f t="shared" si="22"/>
        <v>39</v>
      </c>
      <c r="C147" s="32"/>
      <c r="D147" s="32"/>
      <c r="E147" s="59"/>
      <c r="F147" s="33"/>
      <c r="G147" s="33"/>
      <c r="H147" s="34" t="s">
        <v>426</v>
      </c>
      <c r="I147" s="35"/>
      <c r="J147" s="35"/>
      <c r="K147" s="354"/>
      <c r="L147" s="35">
        <v>10000</v>
      </c>
      <c r="M147" s="35">
        <v>4052</v>
      </c>
      <c r="N147" s="354">
        <f t="shared" si="23"/>
        <v>40.520000000000003</v>
      </c>
      <c r="O147" s="37">
        <f t="shared" si="19"/>
        <v>10000</v>
      </c>
      <c r="P147" s="37">
        <f t="shared" si="20"/>
        <v>4052</v>
      </c>
      <c r="Q147" s="354">
        <f t="shared" si="21"/>
        <v>40.520000000000003</v>
      </c>
    </row>
    <row r="148" spans="2:17" s="275" customFormat="1" ht="24" x14ac:dyDescent="0.2">
      <c r="B148" s="6">
        <f t="shared" si="22"/>
        <v>40</v>
      </c>
      <c r="C148" s="32"/>
      <c r="D148" s="32"/>
      <c r="E148" s="59"/>
      <c r="F148" s="33"/>
      <c r="G148" s="33"/>
      <c r="H148" s="34" t="s">
        <v>658</v>
      </c>
      <c r="I148" s="35"/>
      <c r="J148" s="35"/>
      <c r="K148" s="354"/>
      <c r="L148" s="35">
        <v>1200</v>
      </c>
      <c r="M148" s="35">
        <v>1181</v>
      </c>
      <c r="N148" s="354">
        <f t="shared" si="23"/>
        <v>98.416666666666657</v>
      </c>
      <c r="O148" s="37">
        <f t="shared" si="19"/>
        <v>1200</v>
      </c>
      <c r="P148" s="37">
        <f t="shared" si="20"/>
        <v>1181</v>
      </c>
      <c r="Q148" s="354">
        <f t="shared" si="21"/>
        <v>98.416666666666657</v>
      </c>
    </row>
    <row r="149" spans="2:17" s="275" customFormat="1" x14ac:dyDescent="0.2">
      <c r="B149" s="6">
        <f t="shared" si="22"/>
        <v>41</v>
      </c>
      <c r="C149" s="17"/>
      <c r="D149" s="17"/>
      <c r="E149" s="17"/>
      <c r="F149" s="18"/>
      <c r="G149" s="19">
        <v>717</v>
      </c>
      <c r="H149" s="17" t="s">
        <v>179</v>
      </c>
      <c r="I149" s="20"/>
      <c r="J149" s="20"/>
      <c r="K149" s="354"/>
      <c r="L149" s="20">
        <f>SUM(L150:L160)</f>
        <v>5592896</v>
      </c>
      <c r="M149" s="20">
        <f>SUM(M150:M160)</f>
        <v>13692</v>
      </c>
      <c r="N149" s="354">
        <f t="shared" si="23"/>
        <v>0.24481055968142443</v>
      </c>
      <c r="O149" s="21">
        <f t="shared" si="19"/>
        <v>5592896</v>
      </c>
      <c r="P149" s="21">
        <f t="shared" si="20"/>
        <v>13692</v>
      </c>
      <c r="Q149" s="354">
        <f t="shared" si="21"/>
        <v>0.24481055968142443</v>
      </c>
    </row>
    <row r="150" spans="2:17" s="275" customFormat="1" x14ac:dyDescent="0.2">
      <c r="B150" s="6">
        <f t="shared" si="22"/>
        <v>42</v>
      </c>
      <c r="C150" s="32"/>
      <c r="D150" s="32"/>
      <c r="E150" s="59"/>
      <c r="F150" s="33"/>
      <c r="G150" s="33"/>
      <c r="H150" s="34" t="s">
        <v>594</v>
      </c>
      <c r="I150" s="35"/>
      <c r="J150" s="35"/>
      <c r="K150" s="354"/>
      <c r="L150" s="35">
        <v>20000</v>
      </c>
      <c r="M150" s="35">
        <v>0</v>
      </c>
      <c r="N150" s="354">
        <f t="shared" si="23"/>
        <v>0</v>
      </c>
      <c r="O150" s="37">
        <f t="shared" si="19"/>
        <v>20000</v>
      </c>
      <c r="P150" s="37">
        <f t="shared" si="20"/>
        <v>0</v>
      </c>
      <c r="Q150" s="354">
        <f t="shared" si="21"/>
        <v>0</v>
      </c>
    </row>
    <row r="151" spans="2:17" s="275" customFormat="1" x14ac:dyDescent="0.2">
      <c r="B151" s="6">
        <f t="shared" si="22"/>
        <v>43</v>
      </c>
      <c r="C151" s="32"/>
      <c r="D151" s="32"/>
      <c r="E151" s="59"/>
      <c r="F151" s="33"/>
      <c r="G151" s="33"/>
      <c r="H151" s="34" t="s">
        <v>562</v>
      </c>
      <c r="I151" s="35"/>
      <c r="J151" s="35"/>
      <c r="K151" s="354"/>
      <c r="L151" s="35">
        <f>22000-5200-4800</f>
        <v>12000</v>
      </c>
      <c r="M151" s="35">
        <v>0</v>
      </c>
      <c r="N151" s="354">
        <f t="shared" si="23"/>
        <v>0</v>
      </c>
      <c r="O151" s="37">
        <f t="shared" si="19"/>
        <v>12000</v>
      </c>
      <c r="P151" s="37">
        <f t="shared" si="20"/>
        <v>0</v>
      </c>
      <c r="Q151" s="354">
        <f t="shared" si="21"/>
        <v>0</v>
      </c>
    </row>
    <row r="152" spans="2:17" s="275" customFormat="1" x14ac:dyDescent="0.2">
      <c r="B152" s="6">
        <f t="shared" si="22"/>
        <v>44</v>
      </c>
      <c r="C152" s="32"/>
      <c r="D152" s="32"/>
      <c r="E152" s="59"/>
      <c r="F152" s="33"/>
      <c r="G152" s="33"/>
      <c r="H152" s="34" t="s">
        <v>389</v>
      </c>
      <c r="I152" s="35"/>
      <c r="J152" s="35"/>
      <c r="K152" s="354"/>
      <c r="L152" s="35">
        <f>284000+17000+14000+800</f>
        <v>315800</v>
      </c>
      <c r="M152" s="35">
        <v>0</v>
      </c>
      <c r="N152" s="354">
        <f t="shared" si="23"/>
        <v>0</v>
      </c>
      <c r="O152" s="37">
        <f t="shared" si="19"/>
        <v>315800</v>
      </c>
      <c r="P152" s="37">
        <f t="shared" si="20"/>
        <v>0</v>
      </c>
      <c r="Q152" s="354">
        <f t="shared" si="21"/>
        <v>0</v>
      </c>
    </row>
    <row r="153" spans="2:17" s="275" customFormat="1" x14ac:dyDescent="0.2">
      <c r="B153" s="6">
        <f t="shared" si="22"/>
        <v>45</v>
      </c>
      <c r="C153" s="32"/>
      <c r="D153" s="32"/>
      <c r="E153" s="59"/>
      <c r="F153" s="33"/>
      <c r="G153" s="33"/>
      <c r="H153" s="34" t="s">
        <v>479</v>
      </c>
      <c r="I153" s="35"/>
      <c r="J153" s="35"/>
      <c r="K153" s="354"/>
      <c r="L153" s="35">
        <v>13693</v>
      </c>
      <c r="M153" s="35">
        <v>13692</v>
      </c>
      <c r="N153" s="354">
        <f t="shared" si="23"/>
        <v>99.992696998466371</v>
      </c>
      <c r="O153" s="37">
        <f t="shared" si="19"/>
        <v>13693</v>
      </c>
      <c r="P153" s="37">
        <f t="shared" si="20"/>
        <v>13692</v>
      </c>
      <c r="Q153" s="354">
        <f t="shared" si="21"/>
        <v>99.992696998466371</v>
      </c>
    </row>
    <row r="154" spans="2:17" s="275" customFormat="1" x14ac:dyDescent="0.2">
      <c r="B154" s="6">
        <f t="shared" si="22"/>
        <v>46</v>
      </c>
      <c r="C154" s="32"/>
      <c r="D154" s="32"/>
      <c r="E154" s="59"/>
      <c r="F154" s="33"/>
      <c r="G154" s="33"/>
      <c r="H154" s="34" t="s">
        <v>563</v>
      </c>
      <c r="I154" s="35"/>
      <c r="J154" s="35"/>
      <c r="K154" s="354"/>
      <c r="L154" s="35">
        <f>118000+154000</f>
        <v>272000</v>
      </c>
      <c r="M154" s="35">
        <v>0</v>
      </c>
      <c r="N154" s="354">
        <f t="shared" si="23"/>
        <v>0</v>
      </c>
      <c r="O154" s="37">
        <f t="shared" si="19"/>
        <v>272000</v>
      </c>
      <c r="P154" s="37">
        <f t="shared" si="20"/>
        <v>0</v>
      </c>
      <c r="Q154" s="354">
        <f t="shared" si="21"/>
        <v>0</v>
      </c>
    </row>
    <row r="155" spans="2:17" s="275" customFormat="1" x14ac:dyDescent="0.2">
      <c r="B155" s="6">
        <f t="shared" si="22"/>
        <v>47</v>
      </c>
      <c r="C155" s="32"/>
      <c r="D155" s="32"/>
      <c r="E155" s="59"/>
      <c r="F155" s="33"/>
      <c r="G155" s="33"/>
      <c r="H155" s="34" t="s">
        <v>521</v>
      </c>
      <c r="I155" s="35"/>
      <c r="J155" s="35"/>
      <c r="K155" s="354"/>
      <c r="L155" s="35">
        <v>17000</v>
      </c>
      <c r="M155" s="35">
        <v>0</v>
      </c>
      <c r="N155" s="354">
        <f t="shared" si="23"/>
        <v>0</v>
      </c>
      <c r="O155" s="37">
        <f t="shared" si="19"/>
        <v>17000</v>
      </c>
      <c r="P155" s="37">
        <f t="shared" si="20"/>
        <v>0</v>
      </c>
      <c r="Q155" s="354">
        <f t="shared" si="21"/>
        <v>0</v>
      </c>
    </row>
    <row r="156" spans="2:17" s="275" customFormat="1" x14ac:dyDescent="0.2">
      <c r="B156" s="6">
        <f t="shared" si="22"/>
        <v>48</v>
      </c>
      <c r="C156" s="32"/>
      <c r="D156" s="32"/>
      <c r="E156" s="59"/>
      <c r="F156" s="33"/>
      <c r="G156" s="33"/>
      <c r="H156" s="34" t="s">
        <v>549</v>
      </c>
      <c r="I156" s="35"/>
      <c r="J156" s="35"/>
      <c r="K156" s="354"/>
      <c r="L156" s="35">
        <v>30000</v>
      </c>
      <c r="M156" s="35">
        <v>0</v>
      </c>
      <c r="N156" s="354">
        <f t="shared" si="23"/>
        <v>0</v>
      </c>
      <c r="O156" s="37">
        <f t="shared" si="19"/>
        <v>30000</v>
      </c>
      <c r="P156" s="37">
        <f t="shared" si="20"/>
        <v>0</v>
      </c>
      <c r="Q156" s="354">
        <f t="shared" si="21"/>
        <v>0</v>
      </c>
    </row>
    <row r="157" spans="2:17" s="275" customFormat="1" x14ac:dyDescent="0.2">
      <c r="B157" s="6">
        <f t="shared" si="22"/>
        <v>49</v>
      </c>
      <c r="C157" s="22"/>
      <c r="D157" s="22"/>
      <c r="E157" s="1"/>
      <c r="F157" s="23"/>
      <c r="G157" s="23"/>
      <c r="H157" s="39" t="s">
        <v>545</v>
      </c>
      <c r="I157" s="24"/>
      <c r="J157" s="24"/>
      <c r="K157" s="354"/>
      <c r="L157" s="24">
        <f>3950000+310157+611946</f>
        <v>4872103</v>
      </c>
      <c r="M157" s="24">
        <v>0</v>
      </c>
      <c r="N157" s="354">
        <f t="shared" si="23"/>
        <v>0</v>
      </c>
      <c r="O157" s="26">
        <f t="shared" si="19"/>
        <v>4872103</v>
      </c>
      <c r="P157" s="26">
        <f t="shared" si="20"/>
        <v>0</v>
      </c>
      <c r="Q157" s="354">
        <f t="shared" si="21"/>
        <v>0</v>
      </c>
    </row>
    <row r="158" spans="2:17" s="275" customFormat="1" x14ac:dyDescent="0.2">
      <c r="B158" s="6">
        <f t="shared" si="22"/>
        <v>50</v>
      </c>
      <c r="C158" s="22"/>
      <c r="D158" s="22"/>
      <c r="E158" s="1"/>
      <c r="F158" s="23"/>
      <c r="G158" s="23"/>
      <c r="H158" s="39" t="s">
        <v>517</v>
      </c>
      <c r="I158" s="24"/>
      <c r="J158" s="24"/>
      <c r="K158" s="354"/>
      <c r="L158" s="24">
        <v>13500</v>
      </c>
      <c r="M158" s="24">
        <v>0</v>
      </c>
      <c r="N158" s="354">
        <f t="shared" si="23"/>
        <v>0</v>
      </c>
      <c r="O158" s="26">
        <f t="shared" si="19"/>
        <v>13500</v>
      </c>
      <c r="P158" s="26">
        <f t="shared" si="20"/>
        <v>0</v>
      </c>
      <c r="Q158" s="354">
        <f t="shared" si="21"/>
        <v>0</v>
      </c>
    </row>
    <row r="159" spans="2:17" s="275" customFormat="1" ht="24" x14ac:dyDescent="0.2">
      <c r="B159" s="6">
        <f t="shared" si="22"/>
        <v>51</v>
      </c>
      <c r="C159" s="22"/>
      <c r="D159" s="22"/>
      <c r="E159" s="1"/>
      <c r="F159" s="23"/>
      <c r="G159" s="23"/>
      <c r="H159" s="39" t="s">
        <v>518</v>
      </c>
      <c r="I159" s="24"/>
      <c r="J159" s="24"/>
      <c r="K159" s="354"/>
      <c r="L159" s="24">
        <f>7500+11500</f>
        <v>19000</v>
      </c>
      <c r="M159" s="24">
        <v>0</v>
      </c>
      <c r="N159" s="354">
        <f t="shared" si="23"/>
        <v>0</v>
      </c>
      <c r="O159" s="26">
        <f t="shared" si="19"/>
        <v>19000</v>
      </c>
      <c r="P159" s="26">
        <f t="shared" si="20"/>
        <v>0</v>
      </c>
      <c r="Q159" s="354">
        <f t="shared" si="21"/>
        <v>0</v>
      </c>
    </row>
    <row r="160" spans="2:17" s="275" customFormat="1" x14ac:dyDescent="0.2">
      <c r="B160" s="6">
        <f t="shared" si="22"/>
        <v>52</v>
      </c>
      <c r="C160" s="22"/>
      <c r="D160" s="22"/>
      <c r="E160" s="1"/>
      <c r="F160" s="23"/>
      <c r="G160" s="23"/>
      <c r="H160" s="39" t="s">
        <v>659</v>
      </c>
      <c r="I160" s="24"/>
      <c r="J160" s="24"/>
      <c r="K160" s="354"/>
      <c r="L160" s="24">
        <v>7800</v>
      </c>
      <c r="M160" s="24">
        <v>0</v>
      </c>
      <c r="N160" s="354">
        <f t="shared" si="23"/>
        <v>0</v>
      </c>
      <c r="O160" s="26">
        <f t="shared" si="19"/>
        <v>7800</v>
      </c>
      <c r="P160" s="26">
        <f t="shared" si="20"/>
        <v>0</v>
      </c>
      <c r="Q160" s="354">
        <f t="shared" si="21"/>
        <v>0</v>
      </c>
    </row>
    <row r="161" spans="2:17" s="275" customFormat="1" x14ac:dyDescent="0.2">
      <c r="B161" s="6">
        <f t="shared" si="22"/>
        <v>53</v>
      </c>
      <c r="C161" s="22"/>
      <c r="D161" s="22"/>
      <c r="E161" s="1"/>
      <c r="F161" s="23"/>
      <c r="G161" s="19">
        <v>718</v>
      </c>
      <c r="H161" s="17" t="s">
        <v>660</v>
      </c>
      <c r="I161" s="20"/>
      <c r="J161" s="20"/>
      <c r="K161" s="354"/>
      <c r="L161" s="20">
        <f>L162</f>
        <v>12000</v>
      </c>
      <c r="M161" s="20">
        <f>M162</f>
        <v>0</v>
      </c>
      <c r="N161" s="354">
        <f t="shared" si="23"/>
        <v>0</v>
      </c>
      <c r="O161" s="21">
        <f t="shared" si="19"/>
        <v>12000</v>
      </c>
      <c r="P161" s="21">
        <f t="shared" si="20"/>
        <v>0</v>
      </c>
      <c r="Q161" s="354">
        <f t="shared" si="21"/>
        <v>0</v>
      </c>
    </row>
    <row r="162" spans="2:17" s="275" customFormat="1" ht="24" x14ac:dyDescent="0.2">
      <c r="B162" s="6">
        <f t="shared" si="22"/>
        <v>54</v>
      </c>
      <c r="C162" s="22"/>
      <c r="D162" s="22"/>
      <c r="E162" s="1"/>
      <c r="F162" s="23"/>
      <c r="G162" s="33"/>
      <c r="H162" s="34" t="s">
        <v>679</v>
      </c>
      <c r="I162" s="35"/>
      <c r="J162" s="35"/>
      <c r="K162" s="354"/>
      <c r="L162" s="24">
        <v>12000</v>
      </c>
      <c r="M162" s="24">
        <v>0</v>
      </c>
      <c r="N162" s="354">
        <f t="shared" si="23"/>
        <v>0</v>
      </c>
      <c r="O162" s="26">
        <f t="shared" si="19"/>
        <v>12000</v>
      </c>
      <c r="P162" s="26">
        <f t="shared" si="20"/>
        <v>0</v>
      </c>
      <c r="Q162" s="354">
        <f t="shared" si="21"/>
        <v>0</v>
      </c>
    </row>
    <row r="163" spans="2:17" s="275" customFormat="1" ht="15" x14ac:dyDescent="0.2">
      <c r="B163" s="6">
        <f t="shared" si="22"/>
        <v>55</v>
      </c>
      <c r="C163" s="9">
        <v>5</v>
      </c>
      <c r="D163" s="459" t="s">
        <v>149</v>
      </c>
      <c r="E163" s="460"/>
      <c r="F163" s="460"/>
      <c r="G163" s="460"/>
      <c r="H163" s="460"/>
      <c r="I163" s="10">
        <f>I164+I165+I166+I171+I173+I174</f>
        <v>6399600</v>
      </c>
      <c r="J163" s="10">
        <f>J164+J165+J166+J171+J173+J174</f>
        <v>3172072</v>
      </c>
      <c r="K163" s="354">
        <f t="shared" ref="K163:K174" si="24">J163/I163*100</f>
        <v>49.566722920182507</v>
      </c>
      <c r="L163" s="10">
        <f>L175</f>
        <v>92000</v>
      </c>
      <c r="M163" s="10">
        <f>M175</f>
        <v>20322</v>
      </c>
      <c r="N163" s="354">
        <f t="shared" si="23"/>
        <v>22.089130434782607</v>
      </c>
      <c r="O163" s="31">
        <f t="shared" si="19"/>
        <v>6491600</v>
      </c>
      <c r="P163" s="31">
        <f t="shared" si="20"/>
        <v>3192394</v>
      </c>
      <c r="Q163" s="354">
        <f t="shared" si="21"/>
        <v>49.177306057058352</v>
      </c>
    </row>
    <row r="164" spans="2:17" s="275" customFormat="1" x14ac:dyDescent="0.2">
      <c r="B164" s="6">
        <f t="shared" si="22"/>
        <v>56</v>
      </c>
      <c r="C164" s="12"/>
      <c r="D164" s="12"/>
      <c r="E164" s="12"/>
      <c r="F164" s="13" t="s">
        <v>73</v>
      </c>
      <c r="G164" s="14">
        <v>610</v>
      </c>
      <c r="H164" s="12" t="s">
        <v>128</v>
      </c>
      <c r="I164" s="15">
        <v>3600000</v>
      </c>
      <c r="J164" s="15">
        <v>1852140</v>
      </c>
      <c r="K164" s="354">
        <f t="shared" si="24"/>
        <v>51.448333333333331</v>
      </c>
      <c r="L164" s="15"/>
      <c r="M164" s="15"/>
      <c r="N164" s="354"/>
      <c r="O164" s="16">
        <f t="shared" si="19"/>
        <v>3600000</v>
      </c>
      <c r="P164" s="16">
        <f t="shared" si="20"/>
        <v>1852140</v>
      </c>
      <c r="Q164" s="354">
        <f t="shared" si="21"/>
        <v>51.448333333333331</v>
      </c>
    </row>
    <row r="165" spans="2:17" s="275" customFormat="1" x14ac:dyDescent="0.2">
      <c r="B165" s="6">
        <f t="shared" si="22"/>
        <v>57</v>
      </c>
      <c r="C165" s="12"/>
      <c r="D165" s="12"/>
      <c r="E165" s="12"/>
      <c r="F165" s="13" t="s">
        <v>73</v>
      </c>
      <c r="G165" s="14">
        <v>620</v>
      </c>
      <c r="H165" s="12" t="s">
        <v>121</v>
      </c>
      <c r="I165" s="15">
        <f>1407000-4900</f>
        <v>1402100</v>
      </c>
      <c r="J165" s="15">
        <v>718661</v>
      </c>
      <c r="K165" s="354">
        <f t="shared" si="24"/>
        <v>51.256044504671564</v>
      </c>
      <c r="L165" s="15"/>
      <c r="M165" s="15"/>
      <c r="N165" s="354"/>
      <c r="O165" s="16">
        <f t="shared" si="19"/>
        <v>1402100</v>
      </c>
      <c r="P165" s="16">
        <f t="shared" si="20"/>
        <v>718661</v>
      </c>
      <c r="Q165" s="354">
        <f t="shared" si="21"/>
        <v>51.256044504671564</v>
      </c>
    </row>
    <row r="166" spans="2:17" s="275" customFormat="1" x14ac:dyDescent="0.2">
      <c r="B166" s="6">
        <f t="shared" si="22"/>
        <v>58</v>
      </c>
      <c r="C166" s="12"/>
      <c r="D166" s="12"/>
      <c r="E166" s="12"/>
      <c r="F166" s="13" t="s">
        <v>73</v>
      </c>
      <c r="G166" s="14">
        <v>630</v>
      </c>
      <c r="H166" s="12" t="s">
        <v>118</v>
      </c>
      <c r="I166" s="15">
        <f>SUM(I167:I170)</f>
        <v>751500</v>
      </c>
      <c r="J166" s="15">
        <f>SUM(J167:J170)</f>
        <v>331461</v>
      </c>
      <c r="K166" s="354">
        <f t="shared" si="24"/>
        <v>44.106586826347304</v>
      </c>
      <c r="L166" s="15"/>
      <c r="M166" s="15"/>
      <c r="N166" s="354"/>
      <c r="O166" s="16">
        <f t="shared" si="19"/>
        <v>751500</v>
      </c>
      <c r="P166" s="16">
        <f t="shared" si="20"/>
        <v>331461</v>
      </c>
      <c r="Q166" s="354">
        <f t="shared" si="21"/>
        <v>44.106586826347304</v>
      </c>
    </row>
    <row r="167" spans="2:17" s="275" customFormat="1" x14ac:dyDescent="0.2">
      <c r="B167" s="6">
        <f t="shared" si="22"/>
        <v>59</v>
      </c>
      <c r="C167" s="17"/>
      <c r="D167" s="17"/>
      <c r="E167" s="17"/>
      <c r="F167" s="18"/>
      <c r="G167" s="19">
        <v>632</v>
      </c>
      <c r="H167" s="17" t="s">
        <v>131</v>
      </c>
      <c r="I167" s="20">
        <f>288200+908-8115-5500-19723-15000</f>
        <v>240770</v>
      </c>
      <c r="J167" s="20">
        <v>94542</v>
      </c>
      <c r="K167" s="354">
        <f t="shared" si="24"/>
        <v>39.266519915271836</v>
      </c>
      <c r="L167" s="20"/>
      <c r="M167" s="20"/>
      <c r="N167" s="354"/>
      <c r="O167" s="21">
        <f t="shared" si="19"/>
        <v>240770</v>
      </c>
      <c r="P167" s="21">
        <f t="shared" si="20"/>
        <v>94542</v>
      </c>
      <c r="Q167" s="354">
        <f t="shared" si="21"/>
        <v>39.266519915271836</v>
      </c>
    </row>
    <row r="168" spans="2:17" s="275" customFormat="1" x14ac:dyDescent="0.2">
      <c r="B168" s="6">
        <f t="shared" si="22"/>
        <v>60</v>
      </c>
      <c r="C168" s="17"/>
      <c r="D168" s="17"/>
      <c r="E168" s="17"/>
      <c r="F168" s="18"/>
      <c r="G168" s="19">
        <v>633</v>
      </c>
      <c r="H168" s="17" t="s">
        <v>122</v>
      </c>
      <c r="I168" s="20">
        <v>65000</v>
      </c>
      <c r="J168" s="20">
        <v>16998</v>
      </c>
      <c r="K168" s="354">
        <f t="shared" si="24"/>
        <v>26.150769230769232</v>
      </c>
      <c r="L168" s="20"/>
      <c r="M168" s="20"/>
      <c r="N168" s="354"/>
      <c r="O168" s="21">
        <f t="shared" si="19"/>
        <v>65000</v>
      </c>
      <c r="P168" s="21">
        <f t="shared" si="20"/>
        <v>16998</v>
      </c>
      <c r="Q168" s="354">
        <f t="shared" si="21"/>
        <v>26.150769230769232</v>
      </c>
    </row>
    <row r="169" spans="2:17" s="275" customFormat="1" x14ac:dyDescent="0.2">
      <c r="B169" s="6">
        <f t="shared" si="22"/>
        <v>61</v>
      </c>
      <c r="C169" s="17"/>
      <c r="D169" s="17"/>
      <c r="E169" s="17"/>
      <c r="F169" s="18"/>
      <c r="G169" s="19">
        <v>635</v>
      </c>
      <c r="H169" s="17" t="s">
        <v>130</v>
      </c>
      <c r="I169" s="20">
        <v>99000</v>
      </c>
      <c r="J169" s="20">
        <v>12181</v>
      </c>
      <c r="K169" s="354">
        <f t="shared" si="24"/>
        <v>12.304040404040405</v>
      </c>
      <c r="L169" s="20"/>
      <c r="M169" s="20"/>
      <c r="N169" s="354"/>
      <c r="O169" s="21">
        <f t="shared" si="19"/>
        <v>99000</v>
      </c>
      <c r="P169" s="21">
        <f t="shared" si="20"/>
        <v>12181</v>
      </c>
      <c r="Q169" s="354">
        <f t="shared" si="21"/>
        <v>12.304040404040405</v>
      </c>
    </row>
    <row r="170" spans="2:17" s="275" customFormat="1" x14ac:dyDescent="0.2">
      <c r="B170" s="6">
        <f t="shared" si="22"/>
        <v>62</v>
      </c>
      <c r="C170" s="17"/>
      <c r="D170" s="17"/>
      <c r="E170" s="17"/>
      <c r="F170" s="18"/>
      <c r="G170" s="19">
        <v>637</v>
      </c>
      <c r="H170" s="17" t="s">
        <v>119</v>
      </c>
      <c r="I170" s="20">
        <f>347000-270</f>
        <v>346730</v>
      </c>
      <c r="J170" s="20">
        <v>207740</v>
      </c>
      <c r="K170" s="354">
        <f t="shared" si="24"/>
        <v>59.914054163181731</v>
      </c>
      <c r="L170" s="20"/>
      <c r="M170" s="20"/>
      <c r="N170" s="354"/>
      <c r="O170" s="21">
        <f t="shared" si="19"/>
        <v>346730</v>
      </c>
      <c r="P170" s="21">
        <f t="shared" si="20"/>
        <v>207740</v>
      </c>
      <c r="Q170" s="354">
        <f t="shared" si="21"/>
        <v>59.914054163181731</v>
      </c>
    </row>
    <row r="171" spans="2:17" s="275" customFormat="1" x14ac:dyDescent="0.2">
      <c r="B171" s="6">
        <f t="shared" si="22"/>
        <v>63</v>
      </c>
      <c r="C171" s="12"/>
      <c r="D171" s="12"/>
      <c r="E171" s="12"/>
      <c r="F171" s="13" t="s">
        <v>241</v>
      </c>
      <c r="G171" s="14">
        <v>630</v>
      </c>
      <c r="H171" s="12" t="s">
        <v>118</v>
      </c>
      <c r="I171" s="15">
        <f>I172</f>
        <v>25000</v>
      </c>
      <c r="J171" s="15">
        <f>J172</f>
        <v>13330</v>
      </c>
      <c r="K171" s="354">
        <f t="shared" si="24"/>
        <v>53.32</v>
      </c>
      <c r="L171" s="15"/>
      <c r="M171" s="15"/>
      <c r="N171" s="354"/>
      <c r="O171" s="16">
        <f t="shared" si="19"/>
        <v>25000</v>
      </c>
      <c r="P171" s="16">
        <f t="shared" si="20"/>
        <v>13330</v>
      </c>
      <c r="Q171" s="354">
        <f t="shared" si="21"/>
        <v>53.32</v>
      </c>
    </row>
    <row r="172" spans="2:17" s="275" customFormat="1" x14ac:dyDescent="0.2">
      <c r="B172" s="6">
        <f t="shared" si="22"/>
        <v>64</v>
      </c>
      <c r="C172" s="17"/>
      <c r="D172" s="17"/>
      <c r="E172" s="17"/>
      <c r="F172" s="18"/>
      <c r="G172" s="19">
        <v>637</v>
      </c>
      <c r="H172" s="17" t="s">
        <v>119</v>
      </c>
      <c r="I172" s="20">
        <v>25000</v>
      </c>
      <c r="J172" s="20">
        <v>13330</v>
      </c>
      <c r="K172" s="354">
        <f t="shared" si="24"/>
        <v>53.32</v>
      </c>
      <c r="L172" s="20"/>
      <c r="M172" s="20"/>
      <c r="N172" s="354"/>
      <c r="O172" s="21">
        <f t="shared" si="19"/>
        <v>25000</v>
      </c>
      <c r="P172" s="21">
        <f t="shared" si="20"/>
        <v>13330</v>
      </c>
      <c r="Q172" s="354">
        <f t="shared" si="21"/>
        <v>53.32</v>
      </c>
    </row>
    <row r="173" spans="2:17" s="275" customFormat="1" x14ac:dyDescent="0.2">
      <c r="B173" s="6">
        <f t="shared" si="22"/>
        <v>65</v>
      </c>
      <c r="C173" s="12"/>
      <c r="D173" s="12"/>
      <c r="E173" s="12"/>
      <c r="F173" s="13" t="s">
        <v>205</v>
      </c>
      <c r="G173" s="14">
        <v>650</v>
      </c>
      <c r="H173" s="12" t="s">
        <v>423</v>
      </c>
      <c r="I173" s="15">
        <f>480000-3000</f>
        <v>477000</v>
      </c>
      <c r="J173" s="15">
        <v>192256</v>
      </c>
      <c r="K173" s="354">
        <f t="shared" si="24"/>
        <v>40.305241090146751</v>
      </c>
      <c r="L173" s="15"/>
      <c r="M173" s="15"/>
      <c r="N173" s="354"/>
      <c r="O173" s="16">
        <f t="shared" ref="O173:O202" si="25">I173+L173</f>
        <v>477000</v>
      </c>
      <c r="P173" s="16">
        <f t="shared" ref="P173:P202" si="26">J173+M173</f>
        <v>192256</v>
      </c>
      <c r="Q173" s="354">
        <f t="shared" ref="Q173:Q202" si="27">P173/O173*100</f>
        <v>40.305241090146751</v>
      </c>
    </row>
    <row r="174" spans="2:17" s="275" customFormat="1" x14ac:dyDescent="0.2">
      <c r="B174" s="6">
        <f t="shared" ref="B174:B202" si="28">B173+1</f>
        <v>66</v>
      </c>
      <c r="C174" s="12"/>
      <c r="D174" s="12"/>
      <c r="E174" s="12"/>
      <c r="F174" s="13" t="s">
        <v>73</v>
      </c>
      <c r="G174" s="14">
        <v>640</v>
      </c>
      <c r="H174" s="12" t="s">
        <v>126</v>
      </c>
      <c r="I174" s="15">
        <f>189000-10000-20000-15000</f>
        <v>144000</v>
      </c>
      <c r="J174" s="15">
        <v>64224</v>
      </c>
      <c r="K174" s="354">
        <f t="shared" si="24"/>
        <v>44.6</v>
      </c>
      <c r="L174" s="15"/>
      <c r="M174" s="15"/>
      <c r="N174" s="354"/>
      <c r="O174" s="16">
        <f t="shared" si="25"/>
        <v>144000</v>
      </c>
      <c r="P174" s="16">
        <f t="shared" si="26"/>
        <v>64224</v>
      </c>
      <c r="Q174" s="354">
        <f t="shared" si="27"/>
        <v>44.6</v>
      </c>
    </row>
    <row r="175" spans="2:17" s="275" customFormat="1" x14ac:dyDescent="0.2">
      <c r="B175" s="6">
        <f t="shared" si="28"/>
        <v>67</v>
      </c>
      <c r="C175" s="12"/>
      <c r="D175" s="12"/>
      <c r="E175" s="12"/>
      <c r="F175" s="13" t="s">
        <v>73</v>
      </c>
      <c r="G175" s="14">
        <v>710</v>
      </c>
      <c r="H175" s="12" t="s">
        <v>172</v>
      </c>
      <c r="I175" s="15"/>
      <c r="J175" s="15"/>
      <c r="K175" s="354"/>
      <c r="L175" s="15">
        <f>L178+L176</f>
        <v>92000</v>
      </c>
      <c r="M175" s="15">
        <f>M178+M176</f>
        <v>20322</v>
      </c>
      <c r="N175" s="354">
        <f t="shared" ref="N175:N180" si="29">M175/L175*100</f>
        <v>22.089130434782607</v>
      </c>
      <c r="O175" s="16">
        <f t="shared" si="25"/>
        <v>92000</v>
      </c>
      <c r="P175" s="16">
        <f t="shared" si="26"/>
        <v>20322</v>
      </c>
      <c r="Q175" s="354">
        <f t="shared" si="27"/>
        <v>22.089130434782607</v>
      </c>
    </row>
    <row r="176" spans="2:17" s="275" customFormat="1" x14ac:dyDescent="0.2">
      <c r="B176" s="6">
        <f t="shared" si="28"/>
        <v>68</v>
      </c>
      <c r="C176" s="17"/>
      <c r="D176" s="17"/>
      <c r="E176" s="17"/>
      <c r="F176" s="18"/>
      <c r="G176" s="19">
        <v>713</v>
      </c>
      <c r="H176" s="17" t="s">
        <v>215</v>
      </c>
      <c r="I176" s="20"/>
      <c r="J176" s="20"/>
      <c r="K176" s="354"/>
      <c r="L176" s="20">
        <f>L177</f>
        <v>27000</v>
      </c>
      <c r="M176" s="20">
        <f>M177</f>
        <v>0</v>
      </c>
      <c r="N176" s="354">
        <f t="shared" si="29"/>
        <v>0</v>
      </c>
      <c r="O176" s="21">
        <f t="shared" si="25"/>
        <v>27000</v>
      </c>
      <c r="P176" s="21">
        <f t="shared" si="26"/>
        <v>0</v>
      </c>
      <c r="Q176" s="354">
        <f t="shared" si="27"/>
        <v>0</v>
      </c>
    </row>
    <row r="177" spans="2:17" s="275" customFormat="1" x14ac:dyDescent="0.2">
      <c r="B177" s="6">
        <f t="shared" si="28"/>
        <v>69</v>
      </c>
      <c r="C177" s="22"/>
      <c r="D177" s="22"/>
      <c r="E177" s="1"/>
      <c r="F177" s="23"/>
      <c r="G177" s="23"/>
      <c r="H177" s="1" t="s">
        <v>551</v>
      </c>
      <c r="I177" s="24"/>
      <c r="J177" s="24"/>
      <c r="K177" s="354"/>
      <c r="L177" s="24">
        <v>27000</v>
      </c>
      <c r="M177" s="24">
        <v>0</v>
      </c>
      <c r="N177" s="354">
        <f t="shared" si="29"/>
        <v>0</v>
      </c>
      <c r="O177" s="26">
        <f t="shared" si="25"/>
        <v>27000</v>
      </c>
      <c r="P177" s="26">
        <f t="shared" si="26"/>
        <v>0</v>
      </c>
      <c r="Q177" s="354">
        <f t="shared" si="27"/>
        <v>0</v>
      </c>
    </row>
    <row r="178" spans="2:17" s="275" customFormat="1" x14ac:dyDescent="0.2">
      <c r="B178" s="6">
        <f t="shared" si="28"/>
        <v>70</v>
      </c>
      <c r="C178" s="17"/>
      <c r="D178" s="17"/>
      <c r="E178" s="17"/>
      <c r="F178" s="18"/>
      <c r="G178" s="19">
        <v>717</v>
      </c>
      <c r="H178" s="17" t="s">
        <v>179</v>
      </c>
      <c r="I178" s="20"/>
      <c r="J178" s="20"/>
      <c r="K178" s="354"/>
      <c r="L178" s="20">
        <f>SUM(L179:L180)</f>
        <v>65000</v>
      </c>
      <c r="M178" s="20">
        <f>SUM(M179:M180)</f>
        <v>20322</v>
      </c>
      <c r="N178" s="354">
        <f t="shared" si="29"/>
        <v>31.264615384615386</v>
      </c>
      <c r="O178" s="21">
        <f t="shared" si="25"/>
        <v>65000</v>
      </c>
      <c r="P178" s="21">
        <f t="shared" si="26"/>
        <v>20322</v>
      </c>
      <c r="Q178" s="354">
        <f t="shared" si="27"/>
        <v>31.264615384615386</v>
      </c>
    </row>
    <row r="179" spans="2:17" s="275" customFormat="1" x14ac:dyDescent="0.2">
      <c r="B179" s="6">
        <f t="shared" si="28"/>
        <v>71</v>
      </c>
      <c r="C179" s="22"/>
      <c r="D179" s="22"/>
      <c r="E179" s="1"/>
      <c r="F179" s="23"/>
      <c r="G179" s="23"/>
      <c r="H179" s="1" t="s">
        <v>550</v>
      </c>
      <c r="I179" s="24"/>
      <c r="J179" s="24"/>
      <c r="K179" s="354"/>
      <c r="L179" s="24">
        <v>25000</v>
      </c>
      <c r="M179" s="24">
        <v>20322</v>
      </c>
      <c r="N179" s="354">
        <f t="shared" si="29"/>
        <v>81.288000000000011</v>
      </c>
      <c r="O179" s="26">
        <f t="shared" si="25"/>
        <v>25000</v>
      </c>
      <c r="P179" s="26">
        <f t="shared" si="26"/>
        <v>20322</v>
      </c>
      <c r="Q179" s="354">
        <f t="shared" si="27"/>
        <v>81.288000000000011</v>
      </c>
    </row>
    <row r="180" spans="2:17" s="275" customFormat="1" x14ac:dyDescent="0.2">
      <c r="B180" s="6">
        <f t="shared" si="28"/>
        <v>72</v>
      </c>
      <c r="C180" s="22"/>
      <c r="D180" s="22"/>
      <c r="E180" s="1"/>
      <c r="F180" s="23"/>
      <c r="G180" s="23"/>
      <c r="H180" s="1" t="s">
        <v>516</v>
      </c>
      <c r="I180" s="24"/>
      <c r="J180" s="24"/>
      <c r="K180" s="354"/>
      <c r="L180" s="24">
        <v>40000</v>
      </c>
      <c r="M180" s="24">
        <v>0</v>
      </c>
      <c r="N180" s="354">
        <f t="shared" si="29"/>
        <v>0</v>
      </c>
      <c r="O180" s="26">
        <f t="shared" si="25"/>
        <v>40000</v>
      </c>
      <c r="P180" s="26">
        <f t="shared" si="26"/>
        <v>0</v>
      </c>
      <c r="Q180" s="354">
        <f t="shared" si="27"/>
        <v>0</v>
      </c>
    </row>
    <row r="181" spans="2:17" s="275" customFormat="1" ht="15" x14ac:dyDescent="0.2">
      <c r="B181" s="6">
        <f t="shared" si="28"/>
        <v>73</v>
      </c>
      <c r="C181" s="9">
        <v>6</v>
      </c>
      <c r="D181" s="459" t="s">
        <v>255</v>
      </c>
      <c r="E181" s="460"/>
      <c r="F181" s="460"/>
      <c r="G181" s="460"/>
      <c r="H181" s="460"/>
      <c r="I181" s="10">
        <f>I182+I184</f>
        <v>19500</v>
      </c>
      <c r="J181" s="10">
        <f>J182+J184</f>
        <v>5975</v>
      </c>
      <c r="K181" s="354">
        <f t="shared" ref="K181:K192" si="30">J181/I181*100</f>
        <v>30.641025641025642</v>
      </c>
      <c r="L181" s="10"/>
      <c r="M181" s="10"/>
      <c r="N181" s="354"/>
      <c r="O181" s="31">
        <f t="shared" si="25"/>
        <v>19500</v>
      </c>
      <c r="P181" s="31">
        <f t="shared" si="26"/>
        <v>5975</v>
      </c>
      <c r="Q181" s="354">
        <f t="shared" si="27"/>
        <v>30.641025641025642</v>
      </c>
    </row>
    <row r="182" spans="2:17" s="275" customFormat="1" x14ac:dyDescent="0.2">
      <c r="B182" s="6">
        <f t="shared" si="28"/>
        <v>74</v>
      </c>
      <c r="C182" s="12"/>
      <c r="D182" s="12"/>
      <c r="E182" s="12"/>
      <c r="F182" s="13" t="s">
        <v>73</v>
      </c>
      <c r="G182" s="14">
        <v>630</v>
      </c>
      <c r="H182" s="12" t="s">
        <v>118</v>
      </c>
      <c r="I182" s="15">
        <f>I183</f>
        <v>5500</v>
      </c>
      <c r="J182" s="15">
        <f>J183</f>
        <v>1917</v>
      </c>
      <c r="K182" s="354">
        <f t="shared" si="30"/>
        <v>34.854545454545452</v>
      </c>
      <c r="L182" s="15"/>
      <c r="M182" s="15"/>
      <c r="N182" s="354"/>
      <c r="O182" s="16">
        <f t="shared" si="25"/>
        <v>5500</v>
      </c>
      <c r="P182" s="16">
        <f t="shared" si="26"/>
        <v>1917</v>
      </c>
      <c r="Q182" s="354">
        <f t="shared" si="27"/>
        <v>34.854545454545452</v>
      </c>
    </row>
    <row r="183" spans="2:17" s="275" customFormat="1" x14ac:dyDescent="0.2">
      <c r="B183" s="6">
        <f t="shared" si="28"/>
        <v>75</v>
      </c>
      <c r="C183" s="17"/>
      <c r="D183" s="17"/>
      <c r="E183" s="17"/>
      <c r="F183" s="18"/>
      <c r="G183" s="19">
        <v>631</v>
      </c>
      <c r="H183" s="17" t="s">
        <v>124</v>
      </c>
      <c r="I183" s="20">
        <v>5500</v>
      </c>
      <c r="J183" s="20">
        <v>1917</v>
      </c>
      <c r="K183" s="354">
        <f t="shared" si="30"/>
        <v>34.854545454545452</v>
      </c>
      <c r="L183" s="20"/>
      <c r="M183" s="20"/>
      <c r="N183" s="354"/>
      <c r="O183" s="21">
        <f t="shared" si="25"/>
        <v>5500</v>
      </c>
      <c r="P183" s="21">
        <f t="shared" si="26"/>
        <v>1917</v>
      </c>
      <c r="Q183" s="354">
        <f t="shared" si="27"/>
        <v>34.854545454545452</v>
      </c>
    </row>
    <row r="184" spans="2:17" s="275" customFormat="1" x14ac:dyDescent="0.2">
      <c r="B184" s="6">
        <f t="shared" si="28"/>
        <v>76</v>
      </c>
      <c r="C184" s="12"/>
      <c r="D184" s="12"/>
      <c r="E184" s="12"/>
      <c r="F184" s="13" t="s">
        <v>155</v>
      </c>
      <c r="G184" s="14">
        <v>630</v>
      </c>
      <c r="H184" s="12" t="s">
        <v>118</v>
      </c>
      <c r="I184" s="15">
        <f>I185</f>
        <v>14000</v>
      </c>
      <c r="J184" s="15">
        <f>J185</f>
        <v>4058</v>
      </c>
      <c r="K184" s="354">
        <f t="shared" si="30"/>
        <v>28.985714285714288</v>
      </c>
      <c r="L184" s="15"/>
      <c r="M184" s="15"/>
      <c r="N184" s="354"/>
      <c r="O184" s="16">
        <f t="shared" si="25"/>
        <v>14000</v>
      </c>
      <c r="P184" s="16">
        <f t="shared" si="26"/>
        <v>4058</v>
      </c>
      <c r="Q184" s="354">
        <f t="shared" si="27"/>
        <v>28.985714285714288</v>
      </c>
    </row>
    <row r="185" spans="2:17" s="275" customFormat="1" x14ac:dyDescent="0.2">
      <c r="B185" s="6">
        <f t="shared" si="28"/>
        <v>77</v>
      </c>
      <c r="C185" s="17"/>
      <c r="D185" s="17"/>
      <c r="E185" s="17"/>
      <c r="F185" s="18"/>
      <c r="G185" s="19">
        <v>637</v>
      </c>
      <c r="H185" s="17" t="s">
        <v>119</v>
      </c>
      <c r="I185" s="20">
        <v>14000</v>
      </c>
      <c r="J185" s="20">
        <v>4058</v>
      </c>
      <c r="K185" s="354">
        <f t="shared" si="30"/>
        <v>28.985714285714288</v>
      </c>
      <c r="L185" s="20"/>
      <c r="M185" s="20"/>
      <c r="N185" s="354"/>
      <c r="O185" s="21">
        <f t="shared" si="25"/>
        <v>14000</v>
      </c>
      <c r="P185" s="21">
        <f t="shared" si="26"/>
        <v>4058</v>
      </c>
      <c r="Q185" s="354">
        <f t="shared" si="27"/>
        <v>28.985714285714288</v>
      </c>
    </row>
    <row r="186" spans="2:17" s="275" customFormat="1" ht="15" x14ac:dyDescent="0.2">
      <c r="B186" s="6">
        <f t="shared" si="28"/>
        <v>78</v>
      </c>
      <c r="C186" s="9">
        <v>7</v>
      </c>
      <c r="D186" s="459" t="s">
        <v>132</v>
      </c>
      <c r="E186" s="460"/>
      <c r="F186" s="460"/>
      <c r="G186" s="460"/>
      <c r="H186" s="460"/>
      <c r="I186" s="10">
        <f>I187</f>
        <v>525700</v>
      </c>
      <c r="J186" s="10">
        <f>J187</f>
        <v>240078</v>
      </c>
      <c r="K186" s="354">
        <f t="shared" si="30"/>
        <v>45.668251854669961</v>
      </c>
      <c r="L186" s="10">
        <f>L193</f>
        <v>45000</v>
      </c>
      <c r="M186" s="10">
        <f>M193</f>
        <v>0</v>
      </c>
      <c r="N186" s="354">
        <f>M186/L186*100</f>
        <v>0</v>
      </c>
      <c r="O186" s="31">
        <f t="shared" si="25"/>
        <v>570700</v>
      </c>
      <c r="P186" s="31">
        <f t="shared" si="26"/>
        <v>240078</v>
      </c>
      <c r="Q186" s="354">
        <f t="shared" si="27"/>
        <v>42.067285789381458</v>
      </c>
    </row>
    <row r="187" spans="2:17" s="275" customFormat="1" x14ac:dyDescent="0.2">
      <c r="B187" s="6">
        <f t="shared" si="28"/>
        <v>79</v>
      </c>
      <c r="C187" s="12"/>
      <c r="D187" s="12"/>
      <c r="E187" s="12"/>
      <c r="F187" s="13" t="s">
        <v>73</v>
      </c>
      <c r="G187" s="14">
        <v>630</v>
      </c>
      <c r="H187" s="12" t="s">
        <v>118</v>
      </c>
      <c r="I187" s="15">
        <f>SUM(I188:I192)</f>
        <v>525700</v>
      </c>
      <c r="J187" s="15">
        <f>SUM(J188:J192)</f>
        <v>240078</v>
      </c>
      <c r="K187" s="354">
        <f t="shared" si="30"/>
        <v>45.668251854669961</v>
      </c>
      <c r="L187" s="15"/>
      <c r="M187" s="15"/>
      <c r="N187" s="354"/>
      <c r="O187" s="16">
        <f t="shared" si="25"/>
        <v>525700</v>
      </c>
      <c r="P187" s="16">
        <f t="shared" si="26"/>
        <v>240078</v>
      </c>
      <c r="Q187" s="354">
        <f t="shared" si="27"/>
        <v>45.668251854669961</v>
      </c>
    </row>
    <row r="188" spans="2:17" s="275" customFormat="1" x14ac:dyDescent="0.2">
      <c r="B188" s="6">
        <f t="shared" si="28"/>
        <v>80</v>
      </c>
      <c r="C188" s="17"/>
      <c r="D188" s="17"/>
      <c r="E188" s="17"/>
      <c r="F188" s="18"/>
      <c r="G188" s="19">
        <v>632</v>
      </c>
      <c r="H188" s="17" t="s">
        <v>131</v>
      </c>
      <c r="I188" s="20">
        <v>7800</v>
      </c>
      <c r="J188" s="20">
        <v>947</v>
      </c>
      <c r="K188" s="354">
        <f t="shared" si="30"/>
        <v>12.141025641025641</v>
      </c>
      <c r="L188" s="20"/>
      <c r="M188" s="20"/>
      <c r="N188" s="354"/>
      <c r="O188" s="21">
        <f t="shared" si="25"/>
        <v>7800</v>
      </c>
      <c r="P188" s="21">
        <f t="shared" si="26"/>
        <v>947</v>
      </c>
      <c r="Q188" s="354">
        <f t="shared" si="27"/>
        <v>12.141025641025641</v>
      </c>
    </row>
    <row r="189" spans="2:17" s="275" customFormat="1" x14ac:dyDescent="0.2">
      <c r="B189" s="6">
        <f t="shared" si="28"/>
        <v>81</v>
      </c>
      <c r="C189" s="17"/>
      <c r="D189" s="17"/>
      <c r="E189" s="17"/>
      <c r="F189" s="18"/>
      <c r="G189" s="19">
        <v>633</v>
      </c>
      <c r="H189" s="17" t="s">
        <v>122</v>
      </c>
      <c r="I189" s="20">
        <v>87500</v>
      </c>
      <c r="J189" s="20">
        <v>47209</v>
      </c>
      <c r="K189" s="354">
        <f t="shared" si="30"/>
        <v>53.953142857142858</v>
      </c>
      <c r="L189" s="20"/>
      <c r="M189" s="20"/>
      <c r="N189" s="354"/>
      <c r="O189" s="21">
        <f t="shared" si="25"/>
        <v>87500</v>
      </c>
      <c r="P189" s="21">
        <f t="shared" si="26"/>
        <v>47209</v>
      </c>
      <c r="Q189" s="354">
        <f t="shared" si="27"/>
        <v>53.953142857142858</v>
      </c>
    </row>
    <row r="190" spans="2:17" s="275" customFormat="1" x14ac:dyDescent="0.2">
      <c r="B190" s="6">
        <f t="shared" si="28"/>
        <v>82</v>
      </c>
      <c r="C190" s="17"/>
      <c r="D190" s="17"/>
      <c r="E190" s="17"/>
      <c r="F190" s="18"/>
      <c r="G190" s="19">
        <v>635</v>
      </c>
      <c r="H190" s="17" t="s">
        <v>130</v>
      </c>
      <c r="I190" s="20">
        <v>308800</v>
      </c>
      <c r="J190" s="20">
        <v>152275</v>
      </c>
      <c r="K190" s="354">
        <f t="shared" si="30"/>
        <v>49.311852331606218</v>
      </c>
      <c r="L190" s="20"/>
      <c r="M190" s="20"/>
      <c r="N190" s="354"/>
      <c r="O190" s="21">
        <f t="shared" si="25"/>
        <v>308800</v>
      </c>
      <c r="P190" s="21">
        <f t="shared" si="26"/>
        <v>152275</v>
      </c>
      <c r="Q190" s="354">
        <f t="shared" si="27"/>
        <v>49.311852331606218</v>
      </c>
    </row>
    <row r="191" spans="2:17" s="275" customFormat="1" x14ac:dyDescent="0.2">
      <c r="B191" s="6">
        <f t="shared" si="28"/>
        <v>83</v>
      </c>
      <c r="C191" s="17"/>
      <c r="D191" s="17"/>
      <c r="E191" s="17"/>
      <c r="F191" s="18"/>
      <c r="G191" s="19">
        <v>636</v>
      </c>
      <c r="H191" s="17" t="s">
        <v>123</v>
      </c>
      <c r="I191" s="20">
        <v>46500</v>
      </c>
      <c r="J191" s="20">
        <v>18702</v>
      </c>
      <c r="K191" s="354">
        <f t="shared" si="30"/>
        <v>40.219354838709677</v>
      </c>
      <c r="L191" s="20"/>
      <c r="M191" s="20"/>
      <c r="N191" s="354"/>
      <c r="O191" s="21">
        <f t="shared" si="25"/>
        <v>46500</v>
      </c>
      <c r="P191" s="21">
        <f t="shared" si="26"/>
        <v>18702</v>
      </c>
      <c r="Q191" s="354">
        <f t="shared" si="27"/>
        <v>40.219354838709677</v>
      </c>
    </row>
    <row r="192" spans="2:17" s="275" customFormat="1" x14ac:dyDescent="0.2">
      <c r="B192" s="6">
        <f t="shared" si="28"/>
        <v>84</v>
      </c>
      <c r="C192" s="17"/>
      <c r="D192" s="17"/>
      <c r="E192" s="17"/>
      <c r="F192" s="18"/>
      <c r="G192" s="19">
        <v>637</v>
      </c>
      <c r="H192" s="17" t="s">
        <v>119</v>
      </c>
      <c r="I192" s="20">
        <v>75100</v>
      </c>
      <c r="J192" s="20">
        <v>20945</v>
      </c>
      <c r="K192" s="354">
        <f t="shared" si="30"/>
        <v>27.889480692410118</v>
      </c>
      <c r="L192" s="20"/>
      <c r="M192" s="20"/>
      <c r="N192" s="354"/>
      <c r="O192" s="21">
        <f t="shared" si="25"/>
        <v>75100</v>
      </c>
      <c r="P192" s="21">
        <f t="shared" si="26"/>
        <v>20945</v>
      </c>
      <c r="Q192" s="354">
        <f t="shared" si="27"/>
        <v>27.889480692410118</v>
      </c>
    </row>
    <row r="193" spans="2:17" s="275" customFormat="1" x14ac:dyDescent="0.2">
      <c r="B193" s="6">
        <f t="shared" si="28"/>
        <v>85</v>
      </c>
      <c r="C193" s="12"/>
      <c r="D193" s="12"/>
      <c r="E193" s="12"/>
      <c r="F193" s="13" t="s">
        <v>73</v>
      </c>
      <c r="G193" s="14">
        <v>710</v>
      </c>
      <c r="H193" s="12" t="s">
        <v>172</v>
      </c>
      <c r="I193" s="15"/>
      <c r="J193" s="15"/>
      <c r="K193" s="354"/>
      <c r="L193" s="15">
        <f>L194+L196</f>
        <v>45000</v>
      </c>
      <c r="M193" s="15">
        <f>M194+M196</f>
        <v>0</v>
      </c>
      <c r="N193" s="354">
        <f>M193/L193*100</f>
        <v>0</v>
      </c>
      <c r="O193" s="57">
        <f t="shared" si="25"/>
        <v>45000</v>
      </c>
      <c r="P193" s="57">
        <f t="shared" si="26"/>
        <v>0</v>
      </c>
      <c r="Q193" s="354">
        <f t="shared" si="27"/>
        <v>0</v>
      </c>
    </row>
    <row r="194" spans="2:17" s="275" customFormat="1" x14ac:dyDescent="0.2">
      <c r="B194" s="6">
        <f t="shared" si="28"/>
        <v>86</v>
      </c>
      <c r="C194" s="17"/>
      <c r="D194" s="17"/>
      <c r="E194" s="17"/>
      <c r="F194" s="18"/>
      <c r="G194" s="19">
        <v>711</v>
      </c>
      <c r="H194" s="17" t="s">
        <v>206</v>
      </c>
      <c r="I194" s="20"/>
      <c r="J194" s="20"/>
      <c r="K194" s="354"/>
      <c r="L194" s="20">
        <f>SUM(L195:L195)</f>
        <v>10000</v>
      </c>
      <c r="M194" s="20">
        <f>SUM(M195:M195)</f>
        <v>0</v>
      </c>
      <c r="N194" s="354">
        <f>M194/L194*100</f>
        <v>0</v>
      </c>
      <c r="O194" s="57">
        <f t="shared" si="25"/>
        <v>10000</v>
      </c>
      <c r="P194" s="57">
        <f t="shared" si="26"/>
        <v>0</v>
      </c>
      <c r="Q194" s="354">
        <f t="shared" si="27"/>
        <v>0</v>
      </c>
    </row>
    <row r="195" spans="2:17" s="275" customFormat="1" x14ac:dyDescent="0.2">
      <c r="B195" s="6">
        <f t="shared" si="28"/>
        <v>87</v>
      </c>
      <c r="C195" s="22"/>
      <c r="D195" s="22"/>
      <c r="E195" s="1"/>
      <c r="F195" s="23"/>
      <c r="G195" s="23"/>
      <c r="H195" s="1" t="s">
        <v>328</v>
      </c>
      <c r="I195" s="24"/>
      <c r="J195" s="24"/>
      <c r="K195" s="354"/>
      <c r="L195" s="24">
        <v>10000</v>
      </c>
      <c r="M195" s="24">
        <v>0</v>
      </c>
      <c r="N195" s="354">
        <f>M195/L195*100</f>
        <v>0</v>
      </c>
      <c r="O195" s="26">
        <f t="shared" si="25"/>
        <v>10000</v>
      </c>
      <c r="P195" s="26">
        <f t="shared" si="26"/>
        <v>0</v>
      </c>
      <c r="Q195" s="354">
        <f t="shared" si="27"/>
        <v>0</v>
      </c>
    </row>
    <row r="196" spans="2:17" s="275" customFormat="1" x14ac:dyDescent="0.2">
      <c r="B196" s="6">
        <f t="shared" si="28"/>
        <v>88</v>
      </c>
      <c r="C196" s="17"/>
      <c r="D196" s="17"/>
      <c r="E196" s="134"/>
      <c r="F196" s="136"/>
      <c r="G196" s="137">
        <v>713</v>
      </c>
      <c r="H196" s="135" t="s">
        <v>215</v>
      </c>
      <c r="I196" s="271"/>
      <c r="J196" s="271"/>
      <c r="K196" s="354"/>
      <c r="L196" s="20">
        <f>SUM(L197:L197)</f>
        <v>35000</v>
      </c>
      <c r="M196" s="20">
        <f>SUM(M197:M197)</f>
        <v>0</v>
      </c>
      <c r="N196" s="354">
        <f>M196/L196*100</f>
        <v>0</v>
      </c>
      <c r="O196" s="21">
        <f t="shared" si="25"/>
        <v>35000</v>
      </c>
      <c r="P196" s="21">
        <f t="shared" si="26"/>
        <v>0</v>
      </c>
      <c r="Q196" s="354">
        <f t="shared" si="27"/>
        <v>0</v>
      </c>
    </row>
    <row r="197" spans="2:17" s="275" customFormat="1" x14ac:dyDescent="0.2">
      <c r="B197" s="6">
        <f t="shared" si="28"/>
        <v>89</v>
      </c>
      <c r="C197" s="22"/>
      <c r="D197" s="22"/>
      <c r="E197" s="272"/>
      <c r="F197" s="273"/>
      <c r="G197" s="273"/>
      <c r="H197" s="140" t="s">
        <v>329</v>
      </c>
      <c r="I197" s="274"/>
      <c r="J197" s="274"/>
      <c r="K197" s="354"/>
      <c r="L197" s="24">
        <v>35000</v>
      </c>
      <c r="M197" s="24">
        <v>0</v>
      </c>
      <c r="N197" s="354">
        <f>M197/L197*100</f>
        <v>0</v>
      </c>
      <c r="O197" s="26">
        <f t="shared" si="25"/>
        <v>35000</v>
      </c>
      <c r="P197" s="26">
        <f t="shared" si="26"/>
        <v>0</v>
      </c>
      <c r="Q197" s="354">
        <f t="shared" si="27"/>
        <v>0</v>
      </c>
    </row>
    <row r="198" spans="2:17" s="275" customFormat="1" ht="15" x14ac:dyDescent="0.2">
      <c r="B198" s="6">
        <f t="shared" si="28"/>
        <v>90</v>
      </c>
      <c r="C198" s="9">
        <v>8</v>
      </c>
      <c r="D198" s="459" t="s">
        <v>243</v>
      </c>
      <c r="E198" s="460"/>
      <c r="F198" s="460"/>
      <c r="G198" s="460"/>
      <c r="H198" s="460"/>
      <c r="I198" s="10">
        <f>I199</f>
        <v>57715</v>
      </c>
      <c r="J198" s="10">
        <f>J199</f>
        <v>23701</v>
      </c>
      <c r="K198" s="354">
        <f>J198/I198*100</f>
        <v>41.065580871523863</v>
      </c>
      <c r="L198" s="10"/>
      <c r="M198" s="10"/>
      <c r="N198" s="354"/>
      <c r="O198" s="31">
        <f t="shared" si="25"/>
        <v>57715</v>
      </c>
      <c r="P198" s="31">
        <f t="shared" si="26"/>
        <v>23701</v>
      </c>
      <c r="Q198" s="354">
        <f t="shared" si="27"/>
        <v>41.065580871523863</v>
      </c>
    </row>
    <row r="199" spans="2:17" s="275" customFormat="1" x14ac:dyDescent="0.2">
      <c r="B199" s="6">
        <f t="shared" si="28"/>
        <v>91</v>
      </c>
      <c r="C199" s="12"/>
      <c r="D199" s="12"/>
      <c r="E199" s="12"/>
      <c r="F199" s="13" t="s">
        <v>73</v>
      </c>
      <c r="G199" s="14">
        <v>630</v>
      </c>
      <c r="H199" s="12" t="s">
        <v>118</v>
      </c>
      <c r="I199" s="15">
        <f>I200+I202+I201</f>
        <v>57715</v>
      </c>
      <c r="J199" s="15">
        <f>J200+J202+J201</f>
        <v>23701</v>
      </c>
      <c r="K199" s="354">
        <f>J199/I199*100</f>
        <v>41.065580871523863</v>
      </c>
      <c r="L199" s="15"/>
      <c r="M199" s="15"/>
      <c r="N199" s="354"/>
      <c r="O199" s="16">
        <f t="shared" si="25"/>
        <v>57715</v>
      </c>
      <c r="P199" s="16">
        <f t="shared" si="26"/>
        <v>23701</v>
      </c>
      <c r="Q199" s="354">
        <f t="shared" si="27"/>
        <v>41.065580871523863</v>
      </c>
    </row>
    <row r="200" spans="2:17" s="275" customFormat="1" x14ac:dyDescent="0.2">
      <c r="B200" s="6">
        <f t="shared" si="28"/>
        <v>92</v>
      </c>
      <c r="C200" s="17"/>
      <c r="D200" s="17"/>
      <c r="E200" s="17"/>
      <c r="F200" s="18"/>
      <c r="G200" s="19">
        <v>634</v>
      </c>
      <c r="H200" s="17" t="s">
        <v>129</v>
      </c>
      <c r="I200" s="20">
        <v>50670</v>
      </c>
      <c r="J200" s="20">
        <v>22299</v>
      </c>
      <c r="K200" s="354">
        <f>J200/I200*100</f>
        <v>44.008288928359981</v>
      </c>
      <c r="L200" s="20"/>
      <c r="M200" s="20"/>
      <c r="N200" s="354"/>
      <c r="O200" s="21">
        <f t="shared" si="25"/>
        <v>50670</v>
      </c>
      <c r="P200" s="21">
        <f t="shared" si="26"/>
        <v>22299</v>
      </c>
      <c r="Q200" s="354">
        <f t="shared" si="27"/>
        <v>44.008288928359981</v>
      </c>
    </row>
    <row r="201" spans="2:17" s="275" customFormat="1" x14ac:dyDescent="0.2">
      <c r="B201" s="6">
        <f t="shared" si="28"/>
        <v>93</v>
      </c>
      <c r="C201" s="116"/>
      <c r="D201" s="116"/>
      <c r="E201" s="116"/>
      <c r="F201" s="117"/>
      <c r="G201" s="118">
        <v>636</v>
      </c>
      <c r="H201" s="116" t="s">
        <v>123</v>
      </c>
      <c r="I201" s="119">
        <v>6115</v>
      </c>
      <c r="J201" s="119">
        <v>1030</v>
      </c>
      <c r="K201" s="354">
        <f>J201/I201*100</f>
        <v>16.843826655764513</v>
      </c>
      <c r="L201" s="119"/>
      <c r="M201" s="119"/>
      <c r="N201" s="354"/>
      <c r="O201" s="21">
        <f t="shared" si="25"/>
        <v>6115</v>
      </c>
      <c r="P201" s="21">
        <f t="shared" si="26"/>
        <v>1030</v>
      </c>
      <c r="Q201" s="354">
        <f t="shared" si="27"/>
        <v>16.843826655764513</v>
      </c>
    </row>
    <row r="202" spans="2:17" s="275" customFormat="1" x14ac:dyDescent="0.2">
      <c r="B202" s="6">
        <f t="shared" si="28"/>
        <v>94</v>
      </c>
      <c r="C202" s="256"/>
      <c r="D202" s="256"/>
      <c r="E202" s="256"/>
      <c r="F202" s="257"/>
      <c r="G202" s="258">
        <v>637</v>
      </c>
      <c r="H202" s="256" t="s">
        <v>119</v>
      </c>
      <c r="I202" s="260">
        <v>930</v>
      </c>
      <c r="J202" s="260">
        <v>372</v>
      </c>
      <c r="K202" s="354">
        <f>J202/I202*100</f>
        <v>40</v>
      </c>
      <c r="L202" s="260"/>
      <c r="M202" s="260"/>
      <c r="N202" s="354"/>
      <c r="O202" s="261">
        <f t="shared" si="25"/>
        <v>930</v>
      </c>
      <c r="P202" s="261">
        <f t="shared" si="26"/>
        <v>372</v>
      </c>
      <c r="Q202" s="354">
        <f t="shared" si="27"/>
        <v>40</v>
      </c>
    </row>
    <row r="203" spans="2:17" s="275" customFormat="1" x14ac:dyDescent="0.2">
      <c r="B203" s="276"/>
      <c r="F203" s="277"/>
      <c r="G203" s="277"/>
      <c r="I203" s="249"/>
      <c r="J203" s="249"/>
      <c r="K203" s="5"/>
      <c r="L203" s="249"/>
      <c r="M203" s="249"/>
      <c r="N203" s="5"/>
      <c r="O203" s="249"/>
    </row>
    <row r="204" spans="2:17" s="275" customFormat="1" x14ac:dyDescent="0.2">
      <c r="B204" s="276"/>
      <c r="F204" s="277"/>
      <c r="G204" s="277"/>
      <c r="I204" s="249"/>
      <c r="J204" s="249"/>
      <c r="K204" s="5"/>
      <c r="L204" s="249"/>
      <c r="M204" s="249"/>
      <c r="N204" s="5"/>
      <c r="O204" s="249"/>
    </row>
    <row r="205" spans="2:17" s="275" customFormat="1" x14ac:dyDescent="0.2">
      <c r="B205" s="276"/>
      <c r="F205" s="277"/>
      <c r="G205" s="277"/>
      <c r="I205" s="249"/>
      <c r="J205" s="249"/>
      <c r="K205" s="5"/>
      <c r="L205" s="249"/>
      <c r="M205" s="249"/>
      <c r="N205" s="5"/>
      <c r="O205" s="249"/>
    </row>
    <row r="206" spans="2:17" s="275" customFormat="1" ht="27.75" x14ac:dyDescent="0.4">
      <c r="B206" s="498" t="s">
        <v>17</v>
      </c>
      <c r="C206" s="499"/>
      <c r="D206" s="499"/>
      <c r="E206" s="499"/>
      <c r="F206" s="499"/>
      <c r="G206" s="499"/>
      <c r="H206" s="499"/>
      <c r="I206" s="499"/>
      <c r="J206" s="499"/>
      <c r="K206" s="499"/>
      <c r="L206" s="499"/>
      <c r="M206" s="499"/>
      <c r="N206" s="499"/>
      <c r="O206" s="500"/>
      <c r="P206" s="3"/>
      <c r="Q206" s="3"/>
    </row>
    <row r="207" spans="2:17" s="275" customFormat="1" ht="15" x14ac:dyDescent="0.35">
      <c r="B207" s="461" t="s">
        <v>437</v>
      </c>
      <c r="C207" s="462"/>
      <c r="D207" s="462"/>
      <c r="E207" s="462"/>
      <c r="F207" s="462"/>
      <c r="G207" s="462"/>
      <c r="H207" s="462"/>
      <c r="I207" s="462"/>
      <c r="J207" s="462"/>
      <c r="K207" s="462"/>
      <c r="L207" s="462"/>
      <c r="M207" s="462"/>
      <c r="N207" s="463"/>
      <c r="O207" s="466" t="s">
        <v>717</v>
      </c>
      <c r="P207" s="466" t="s">
        <v>712</v>
      </c>
      <c r="Q207" s="468" t="s">
        <v>711</v>
      </c>
    </row>
    <row r="208" spans="2:17" s="275" customFormat="1" x14ac:dyDescent="0.2">
      <c r="B208" s="478"/>
      <c r="C208" s="475" t="s">
        <v>111</v>
      </c>
      <c r="D208" s="475" t="s">
        <v>112</v>
      </c>
      <c r="E208" s="475"/>
      <c r="F208" s="475" t="s">
        <v>113</v>
      </c>
      <c r="G208" s="477" t="s">
        <v>114</v>
      </c>
      <c r="H208" s="476" t="s">
        <v>115</v>
      </c>
      <c r="I208" s="471" t="s">
        <v>713</v>
      </c>
      <c r="J208" s="471" t="s">
        <v>714</v>
      </c>
      <c r="K208" s="472" t="s">
        <v>711</v>
      </c>
      <c r="L208" s="471" t="s">
        <v>715</v>
      </c>
      <c r="M208" s="471" t="s">
        <v>716</v>
      </c>
      <c r="N208" s="451" t="s">
        <v>711</v>
      </c>
      <c r="O208" s="467"/>
      <c r="P208" s="467"/>
      <c r="Q208" s="469"/>
    </row>
    <row r="209" spans="2:17" s="275" customFormat="1" x14ac:dyDescent="0.2">
      <c r="B209" s="478"/>
      <c r="C209" s="475"/>
      <c r="D209" s="475"/>
      <c r="E209" s="475"/>
      <c r="F209" s="475"/>
      <c r="G209" s="477"/>
      <c r="H209" s="476"/>
      <c r="I209" s="471"/>
      <c r="J209" s="471"/>
      <c r="K209" s="473"/>
      <c r="L209" s="471"/>
      <c r="M209" s="471"/>
      <c r="N209" s="452"/>
      <c r="O209" s="467"/>
      <c r="P209" s="467"/>
      <c r="Q209" s="469"/>
    </row>
    <row r="210" spans="2:17" s="275" customFormat="1" x14ac:dyDescent="0.2">
      <c r="B210" s="478"/>
      <c r="C210" s="475"/>
      <c r="D210" s="475"/>
      <c r="E210" s="475"/>
      <c r="F210" s="475"/>
      <c r="G210" s="477"/>
      <c r="H210" s="476"/>
      <c r="I210" s="471"/>
      <c r="J210" s="471"/>
      <c r="K210" s="473"/>
      <c r="L210" s="471"/>
      <c r="M210" s="471"/>
      <c r="N210" s="452"/>
      <c r="O210" s="467"/>
      <c r="P210" s="467"/>
      <c r="Q210" s="469"/>
    </row>
    <row r="211" spans="2:17" s="275" customFormat="1" x14ac:dyDescent="0.2">
      <c r="B211" s="478"/>
      <c r="C211" s="475"/>
      <c r="D211" s="475"/>
      <c r="E211" s="475"/>
      <c r="F211" s="475"/>
      <c r="G211" s="477"/>
      <c r="H211" s="476"/>
      <c r="I211" s="471"/>
      <c r="J211" s="471"/>
      <c r="K211" s="474"/>
      <c r="L211" s="471"/>
      <c r="M211" s="471"/>
      <c r="N211" s="452"/>
      <c r="O211" s="467"/>
      <c r="P211" s="467"/>
      <c r="Q211" s="470"/>
    </row>
    <row r="212" spans="2:17" s="275" customFormat="1" ht="15.75" x14ac:dyDescent="0.2">
      <c r="B212" s="60">
        <v>1</v>
      </c>
      <c r="C212" s="503" t="s">
        <v>17</v>
      </c>
      <c r="D212" s="504"/>
      <c r="E212" s="504"/>
      <c r="F212" s="504"/>
      <c r="G212" s="504"/>
      <c r="H212" s="504"/>
      <c r="I212" s="61">
        <f>I278+I264+I253+I239+I230+I220+I213</f>
        <v>1042308</v>
      </c>
      <c r="J212" s="61">
        <f>J278+J264+J253+J239+J230+J220+J213</f>
        <v>439359</v>
      </c>
      <c r="K212" s="354">
        <f t="shared" ref="K212:K248" si="31">J212/I212*100</f>
        <v>42.152511541694011</v>
      </c>
      <c r="L212" s="61">
        <f>L278+L264+L253+L239+L230+L220+L213</f>
        <v>634160</v>
      </c>
      <c r="M212" s="61">
        <f>M278+M264+M253+M239+M230+M220+M213</f>
        <v>0</v>
      </c>
      <c r="N212" s="354">
        <f>M212/L212*100</f>
        <v>0</v>
      </c>
      <c r="O212" s="62">
        <f t="shared" ref="O212:O243" si="32">I212+L212</f>
        <v>1676468</v>
      </c>
      <c r="P212" s="62">
        <f t="shared" ref="P212:P243" si="33">J212+M212</f>
        <v>439359</v>
      </c>
      <c r="Q212" s="354">
        <f t="shared" ref="Q212:Q243" si="34">P212/O212*100</f>
        <v>26.207419407945753</v>
      </c>
    </row>
    <row r="213" spans="2:17" s="275" customFormat="1" ht="15" x14ac:dyDescent="0.2">
      <c r="B213" s="60">
        <f t="shared" ref="B213:B244" si="35">B212+1</f>
        <v>2</v>
      </c>
      <c r="C213" s="63">
        <v>1</v>
      </c>
      <c r="D213" s="501" t="s">
        <v>177</v>
      </c>
      <c r="E213" s="502"/>
      <c r="F213" s="502"/>
      <c r="G213" s="502"/>
      <c r="H213" s="502"/>
      <c r="I213" s="64">
        <f>I214+I215+I216+I219</f>
        <v>49110</v>
      </c>
      <c r="J213" s="64">
        <f>J214+J215+J216+J219</f>
        <v>21237</v>
      </c>
      <c r="K213" s="354">
        <f t="shared" si="31"/>
        <v>43.243738546120952</v>
      </c>
      <c r="L213" s="64"/>
      <c r="M213" s="64"/>
      <c r="N213" s="354"/>
      <c r="O213" s="65">
        <f t="shared" si="32"/>
        <v>49110</v>
      </c>
      <c r="P213" s="65">
        <f t="shared" si="33"/>
        <v>21237</v>
      </c>
      <c r="Q213" s="354">
        <f t="shared" si="34"/>
        <v>43.243738546120952</v>
      </c>
    </row>
    <row r="214" spans="2:17" s="275" customFormat="1" x14ac:dyDescent="0.2">
      <c r="B214" s="60">
        <f t="shared" si="35"/>
        <v>3</v>
      </c>
      <c r="C214" s="66"/>
      <c r="D214" s="66"/>
      <c r="E214" s="66"/>
      <c r="F214" s="67" t="s">
        <v>74</v>
      </c>
      <c r="G214" s="68">
        <v>610</v>
      </c>
      <c r="H214" s="66" t="s">
        <v>128</v>
      </c>
      <c r="I214" s="69">
        <v>1000</v>
      </c>
      <c r="J214" s="69">
        <v>0</v>
      </c>
      <c r="K214" s="354">
        <f t="shared" si="31"/>
        <v>0</v>
      </c>
      <c r="L214" s="69"/>
      <c r="M214" s="69"/>
      <c r="N214" s="354"/>
      <c r="O214" s="70">
        <f t="shared" si="32"/>
        <v>1000</v>
      </c>
      <c r="P214" s="70">
        <f t="shared" si="33"/>
        <v>0</v>
      </c>
      <c r="Q214" s="354">
        <f t="shared" si="34"/>
        <v>0</v>
      </c>
    </row>
    <row r="215" spans="2:17" s="275" customFormat="1" x14ac:dyDescent="0.2">
      <c r="B215" s="60">
        <f t="shared" si="35"/>
        <v>4</v>
      </c>
      <c r="C215" s="66"/>
      <c r="D215" s="66"/>
      <c r="E215" s="66"/>
      <c r="F215" s="67" t="s">
        <v>74</v>
      </c>
      <c r="G215" s="68">
        <v>620</v>
      </c>
      <c r="H215" s="66" t="s">
        <v>121</v>
      </c>
      <c r="I215" s="69">
        <v>9550</v>
      </c>
      <c r="J215" s="69">
        <v>3764</v>
      </c>
      <c r="K215" s="354">
        <f t="shared" si="31"/>
        <v>39.413612565445028</v>
      </c>
      <c r="L215" s="69"/>
      <c r="M215" s="69"/>
      <c r="N215" s="354"/>
      <c r="O215" s="70">
        <f t="shared" si="32"/>
        <v>9550</v>
      </c>
      <c r="P215" s="70">
        <f t="shared" si="33"/>
        <v>3764</v>
      </c>
      <c r="Q215" s="354">
        <f t="shared" si="34"/>
        <v>39.413612565445028</v>
      </c>
    </row>
    <row r="216" spans="2:17" s="275" customFormat="1" x14ac:dyDescent="0.2">
      <c r="B216" s="60">
        <f t="shared" si="35"/>
        <v>5</v>
      </c>
      <c r="C216" s="66"/>
      <c r="D216" s="66"/>
      <c r="E216" s="66"/>
      <c r="F216" s="67" t="s">
        <v>74</v>
      </c>
      <c r="G216" s="68">
        <v>630</v>
      </c>
      <c r="H216" s="66" t="s">
        <v>118</v>
      </c>
      <c r="I216" s="69">
        <f>I217+I218</f>
        <v>38460</v>
      </c>
      <c r="J216" s="69">
        <f>J217+J218</f>
        <v>17434</v>
      </c>
      <c r="K216" s="354">
        <f t="shared" si="31"/>
        <v>45.330213208528342</v>
      </c>
      <c r="L216" s="69"/>
      <c r="M216" s="69"/>
      <c r="N216" s="354"/>
      <c r="O216" s="70">
        <f t="shared" si="32"/>
        <v>38460</v>
      </c>
      <c r="P216" s="70">
        <f t="shared" si="33"/>
        <v>17434</v>
      </c>
      <c r="Q216" s="354">
        <f t="shared" si="34"/>
        <v>45.330213208528342</v>
      </c>
    </row>
    <row r="217" spans="2:17" s="275" customFormat="1" x14ac:dyDescent="0.2">
      <c r="B217" s="60">
        <f t="shared" si="35"/>
        <v>6</v>
      </c>
      <c r="C217" s="71"/>
      <c r="D217" s="71"/>
      <c r="E217" s="71"/>
      <c r="F217" s="72"/>
      <c r="G217" s="73">
        <v>633</v>
      </c>
      <c r="H217" s="71" t="s">
        <v>122</v>
      </c>
      <c r="I217" s="74">
        <v>5500</v>
      </c>
      <c r="J217" s="74">
        <v>3214</v>
      </c>
      <c r="K217" s="354">
        <f t="shared" si="31"/>
        <v>58.436363636363645</v>
      </c>
      <c r="L217" s="74"/>
      <c r="M217" s="74"/>
      <c r="N217" s="354"/>
      <c r="O217" s="75">
        <f t="shared" si="32"/>
        <v>5500</v>
      </c>
      <c r="P217" s="75">
        <f t="shared" si="33"/>
        <v>3214</v>
      </c>
      <c r="Q217" s="354">
        <f t="shared" si="34"/>
        <v>58.436363636363645</v>
      </c>
    </row>
    <row r="218" spans="2:17" s="275" customFormat="1" x14ac:dyDescent="0.2">
      <c r="B218" s="60">
        <f t="shared" si="35"/>
        <v>7</v>
      </c>
      <c r="C218" s="71"/>
      <c r="D218" s="71"/>
      <c r="E218" s="71"/>
      <c r="F218" s="72"/>
      <c r="G218" s="73">
        <v>637</v>
      </c>
      <c r="H218" s="71" t="s">
        <v>119</v>
      </c>
      <c r="I218" s="74">
        <f>33000-40</f>
        <v>32960</v>
      </c>
      <c r="J218" s="74">
        <v>14220</v>
      </c>
      <c r="K218" s="354">
        <f t="shared" si="31"/>
        <v>43.143203883495147</v>
      </c>
      <c r="L218" s="74"/>
      <c r="M218" s="74"/>
      <c r="N218" s="354"/>
      <c r="O218" s="75">
        <f t="shared" si="32"/>
        <v>32960</v>
      </c>
      <c r="P218" s="75">
        <f t="shared" si="33"/>
        <v>14220</v>
      </c>
      <c r="Q218" s="354">
        <f t="shared" si="34"/>
        <v>43.143203883495147</v>
      </c>
    </row>
    <row r="219" spans="2:17" s="275" customFormat="1" x14ac:dyDescent="0.2">
      <c r="B219" s="60">
        <f t="shared" si="35"/>
        <v>8</v>
      </c>
      <c r="C219" s="71"/>
      <c r="D219" s="71"/>
      <c r="E219" s="71"/>
      <c r="F219" s="67" t="s">
        <v>74</v>
      </c>
      <c r="G219" s="68">
        <v>640</v>
      </c>
      <c r="H219" s="66" t="s">
        <v>126</v>
      </c>
      <c r="I219" s="69">
        <f>40+60</f>
        <v>100</v>
      </c>
      <c r="J219" s="69">
        <v>39</v>
      </c>
      <c r="K219" s="354">
        <f t="shared" si="31"/>
        <v>39</v>
      </c>
      <c r="L219" s="69"/>
      <c r="M219" s="69"/>
      <c r="N219" s="354"/>
      <c r="O219" s="70">
        <f t="shared" si="32"/>
        <v>100</v>
      </c>
      <c r="P219" s="70">
        <f t="shared" si="33"/>
        <v>39</v>
      </c>
      <c r="Q219" s="354">
        <f t="shared" si="34"/>
        <v>39</v>
      </c>
    </row>
    <row r="220" spans="2:17" s="275" customFormat="1" ht="15" x14ac:dyDescent="0.2">
      <c r="B220" s="60">
        <f t="shared" si="35"/>
        <v>9</v>
      </c>
      <c r="C220" s="63">
        <v>2</v>
      </c>
      <c r="D220" s="501" t="s">
        <v>181</v>
      </c>
      <c r="E220" s="502"/>
      <c r="F220" s="502"/>
      <c r="G220" s="502"/>
      <c r="H220" s="502"/>
      <c r="I220" s="64">
        <f>I221+I222+I223+I229</f>
        <v>207058</v>
      </c>
      <c r="J220" s="64">
        <f>J221+J222+J223+J229</f>
        <v>73001</v>
      </c>
      <c r="K220" s="354">
        <f t="shared" si="31"/>
        <v>35.256304996667595</v>
      </c>
      <c r="L220" s="64"/>
      <c r="M220" s="64"/>
      <c r="N220" s="354"/>
      <c r="O220" s="65">
        <f t="shared" si="32"/>
        <v>207058</v>
      </c>
      <c r="P220" s="65">
        <f t="shared" si="33"/>
        <v>73001</v>
      </c>
      <c r="Q220" s="354">
        <f t="shared" si="34"/>
        <v>35.256304996667595</v>
      </c>
    </row>
    <row r="221" spans="2:17" s="275" customFormat="1" x14ac:dyDescent="0.2">
      <c r="B221" s="60">
        <f t="shared" si="35"/>
        <v>10</v>
      </c>
      <c r="C221" s="66"/>
      <c r="D221" s="66"/>
      <c r="E221" s="66"/>
      <c r="F221" s="67" t="s">
        <v>180</v>
      </c>
      <c r="G221" s="68">
        <v>610</v>
      </c>
      <c r="H221" s="66" t="s">
        <v>128</v>
      </c>
      <c r="I221" s="69">
        <v>109000</v>
      </c>
      <c r="J221" s="69">
        <v>45501</v>
      </c>
      <c r="K221" s="354">
        <f t="shared" si="31"/>
        <v>41.744036697247708</v>
      </c>
      <c r="L221" s="69"/>
      <c r="M221" s="69"/>
      <c r="N221" s="354"/>
      <c r="O221" s="70">
        <f t="shared" si="32"/>
        <v>109000</v>
      </c>
      <c r="P221" s="70">
        <f t="shared" si="33"/>
        <v>45501</v>
      </c>
      <c r="Q221" s="354">
        <f t="shared" si="34"/>
        <v>41.744036697247708</v>
      </c>
    </row>
    <row r="222" spans="2:17" s="275" customFormat="1" x14ac:dyDescent="0.2">
      <c r="B222" s="60">
        <f t="shared" si="35"/>
        <v>11</v>
      </c>
      <c r="C222" s="66"/>
      <c r="D222" s="66"/>
      <c r="E222" s="66"/>
      <c r="F222" s="67" t="s">
        <v>180</v>
      </c>
      <c r="G222" s="68">
        <v>620</v>
      </c>
      <c r="H222" s="66" t="s">
        <v>121</v>
      </c>
      <c r="I222" s="69">
        <v>41900</v>
      </c>
      <c r="J222" s="69">
        <v>18231</v>
      </c>
      <c r="K222" s="354">
        <f t="shared" si="31"/>
        <v>43.510739856801912</v>
      </c>
      <c r="L222" s="69"/>
      <c r="M222" s="69"/>
      <c r="N222" s="354"/>
      <c r="O222" s="70">
        <f t="shared" si="32"/>
        <v>41900</v>
      </c>
      <c r="P222" s="70">
        <f t="shared" si="33"/>
        <v>18231</v>
      </c>
      <c r="Q222" s="354">
        <f t="shared" si="34"/>
        <v>43.510739856801912</v>
      </c>
    </row>
    <row r="223" spans="2:17" s="275" customFormat="1" x14ac:dyDescent="0.2">
      <c r="B223" s="60">
        <f t="shared" si="35"/>
        <v>12</v>
      </c>
      <c r="C223" s="66"/>
      <c r="D223" s="66"/>
      <c r="E223" s="66"/>
      <c r="F223" s="67" t="s">
        <v>180</v>
      </c>
      <c r="G223" s="68">
        <v>630</v>
      </c>
      <c r="H223" s="66" t="s">
        <v>118</v>
      </c>
      <c r="I223" s="69">
        <f>I224+I225+I226+I227+I228</f>
        <v>50458</v>
      </c>
      <c r="J223" s="69">
        <f>J224+J225+J226+J227+J228</f>
        <v>7335</v>
      </c>
      <c r="K223" s="354">
        <f t="shared" si="31"/>
        <v>14.536842522493956</v>
      </c>
      <c r="L223" s="69"/>
      <c r="M223" s="69"/>
      <c r="N223" s="354"/>
      <c r="O223" s="70">
        <f t="shared" si="32"/>
        <v>50458</v>
      </c>
      <c r="P223" s="70">
        <f t="shared" si="33"/>
        <v>7335</v>
      </c>
      <c r="Q223" s="354">
        <f t="shared" si="34"/>
        <v>14.536842522493956</v>
      </c>
    </row>
    <row r="224" spans="2:17" s="275" customFormat="1" x14ac:dyDescent="0.2">
      <c r="B224" s="60">
        <f t="shared" si="35"/>
        <v>13</v>
      </c>
      <c r="C224" s="71"/>
      <c r="D224" s="71"/>
      <c r="E224" s="71"/>
      <c r="F224" s="72"/>
      <c r="G224" s="73">
        <v>631</v>
      </c>
      <c r="H224" s="71" t="s">
        <v>124</v>
      </c>
      <c r="I224" s="74">
        <v>300</v>
      </c>
      <c r="J224" s="74">
        <v>59</v>
      </c>
      <c r="K224" s="354">
        <f t="shared" si="31"/>
        <v>19.666666666666664</v>
      </c>
      <c r="L224" s="74"/>
      <c r="M224" s="74"/>
      <c r="N224" s="354"/>
      <c r="O224" s="75">
        <f t="shared" si="32"/>
        <v>300</v>
      </c>
      <c r="P224" s="75">
        <f t="shared" si="33"/>
        <v>59</v>
      </c>
      <c r="Q224" s="354">
        <f t="shared" si="34"/>
        <v>19.666666666666664</v>
      </c>
    </row>
    <row r="225" spans="2:17" s="275" customFormat="1" x14ac:dyDescent="0.2">
      <c r="B225" s="60">
        <f t="shared" si="35"/>
        <v>14</v>
      </c>
      <c r="C225" s="71"/>
      <c r="D225" s="71"/>
      <c r="E225" s="71"/>
      <c r="F225" s="72"/>
      <c r="G225" s="73">
        <v>632</v>
      </c>
      <c r="H225" s="71" t="s">
        <v>131</v>
      </c>
      <c r="I225" s="74">
        <v>4000</v>
      </c>
      <c r="J225" s="74">
        <v>1864</v>
      </c>
      <c r="K225" s="354">
        <f t="shared" si="31"/>
        <v>46.6</v>
      </c>
      <c r="L225" s="74"/>
      <c r="M225" s="74"/>
      <c r="N225" s="354"/>
      <c r="O225" s="75">
        <f t="shared" si="32"/>
        <v>4000</v>
      </c>
      <c r="P225" s="75">
        <f t="shared" si="33"/>
        <v>1864</v>
      </c>
      <c r="Q225" s="354">
        <f t="shared" si="34"/>
        <v>46.6</v>
      </c>
    </row>
    <row r="226" spans="2:17" s="275" customFormat="1" x14ac:dyDescent="0.2">
      <c r="B226" s="60">
        <f t="shared" si="35"/>
        <v>15</v>
      </c>
      <c r="C226" s="71"/>
      <c r="D226" s="71"/>
      <c r="E226" s="71"/>
      <c r="F226" s="72"/>
      <c r="G226" s="73">
        <v>633</v>
      </c>
      <c r="H226" s="71" t="s">
        <v>122</v>
      </c>
      <c r="I226" s="74">
        <v>10000</v>
      </c>
      <c r="J226" s="74">
        <v>2026</v>
      </c>
      <c r="K226" s="354">
        <f t="shared" si="31"/>
        <v>20.260000000000002</v>
      </c>
      <c r="L226" s="74"/>
      <c r="M226" s="74"/>
      <c r="N226" s="354"/>
      <c r="O226" s="75">
        <f t="shared" si="32"/>
        <v>10000</v>
      </c>
      <c r="P226" s="75">
        <f t="shared" si="33"/>
        <v>2026</v>
      </c>
      <c r="Q226" s="354">
        <f t="shared" si="34"/>
        <v>20.260000000000002</v>
      </c>
    </row>
    <row r="227" spans="2:17" s="275" customFormat="1" x14ac:dyDescent="0.2">
      <c r="B227" s="60">
        <f t="shared" si="35"/>
        <v>16</v>
      </c>
      <c r="C227" s="71"/>
      <c r="D227" s="71"/>
      <c r="E227" s="71"/>
      <c r="F227" s="72"/>
      <c r="G227" s="73">
        <v>635</v>
      </c>
      <c r="H227" s="71" t="s">
        <v>130</v>
      </c>
      <c r="I227" s="74">
        <v>300</v>
      </c>
      <c r="J227" s="74">
        <v>0</v>
      </c>
      <c r="K227" s="354">
        <f t="shared" si="31"/>
        <v>0</v>
      </c>
      <c r="L227" s="74"/>
      <c r="M227" s="74"/>
      <c r="N227" s="354"/>
      <c r="O227" s="75">
        <f t="shared" si="32"/>
        <v>300</v>
      </c>
      <c r="P227" s="75">
        <f t="shared" si="33"/>
        <v>0</v>
      </c>
      <c r="Q227" s="354">
        <f t="shared" si="34"/>
        <v>0</v>
      </c>
    </row>
    <row r="228" spans="2:17" s="275" customFormat="1" x14ac:dyDescent="0.2">
      <c r="B228" s="60">
        <f t="shared" si="35"/>
        <v>17</v>
      </c>
      <c r="C228" s="71"/>
      <c r="D228" s="71"/>
      <c r="E228" s="71"/>
      <c r="F228" s="72"/>
      <c r="G228" s="73">
        <v>637</v>
      </c>
      <c r="H228" s="71" t="s">
        <v>119</v>
      </c>
      <c r="I228" s="74">
        <f>14575+21283</f>
        <v>35858</v>
      </c>
      <c r="J228" s="74">
        <v>3386</v>
      </c>
      <c r="K228" s="354">
        <f t="shared" si="31"/>
        <v>9.4428021640916953</v>
      </c>
      <c r="L228" s="74"/>
      <c r="M228" s="74"/>
      <c r="N228" s="354"/>
      <c r="O228" s="75">
        <f t="shared" si="32"/>
        <v>35858</v>
      </c>
      <c r="P228" s="75">
        <f t="shared" si="33"/>
        <v>3386</v>
      </c>
      <c r="Q228" s="354">
        <f t="shared" si="34"/>
        <v>9.4428021640916953</v>
      </c>
    </row>
    <row r="229" spans="2:17" s="275" customFormat="1" x14ac:dyDescent="0.2">
      <c r="B229" s="60">
        <f t="shared" si="35"/>
        <v>18</v>
      </c>
      <c r="C229" s="66"/>
      <c r="D229" s="66"/>
      <c r="E229" s="66"/>
      <c r="F229" s="67" t="s">
        <v>180</v>
      </c>
      <c r="G229" s="68">
        <v>640</v>
      </c>
      <c r="H229" s="66" t="s">
        <v>126</v>
      </c>
      <c r="I229" s="69">
        <v>5700</v>
      </c>
      <c r="J229" s="69">
        <v>1934</v>
      </c>
      <c r="K229" s="354">
        <f t="shared" si="31"/>
        <v>33.929824561403507</v>
      </c>
      <c r="L229" s="69"/>
      <c r="M229" s="69"/>
      <c r="N229" s="354"/>
      <c r="O229" s="70">
        <f t="shared" si="32"/>
        <v>5700</v>
      </c>
      <c r="P229" s="70">
        <f t="shared" si="33"/>
        <v>1934</v>
      </c>
      <c r="Q229" s="354">
        <f t="shared" si="34"/>
        <v>33.929824561403507</v>
      </c>
    </row>
    <row r="230" spans="2:17" s="275" customFormat="1" ht="15" x14ac:dyDescent="0.2">
      <c r="B230" s="60">
        <f t="shared" si="35"/>
        <v>19</v>
      </c>
      <c r="C230" s="63">
        <v>3</v>
      </c>
      <c r="D230" s="501" t="s">
        <v>167</v>
      </c>
      <c r="E230" s="502"/>
      <c r="F230" s="502"/>
      <c r="G230" s="502"/>
      <c r="H230" s="502"/>
      <c r="I230" s="64">
        <f>I231+I232+I233+I238</f>
        <v>352145</v>
      </c>
      <c r="J230" s="64">
        <f>J231+J232+J233+J238</f>
        <v>179917</v>
      </c>
      <c r="K230" s="354">
        <f t="shared" si="31"/>
        <v>51.091737778471938</v>
      </c>
      <c r="L230" s="64"/>
      <c r="M230" s="64"/>
      <c r="N230" s="354"/>
      <c r="O230" s="65">
        <f t="shared" si="32"/>
        <v>352145</v>
      </c>
      <c r="P230" s="65">
        <f t="shared" si="33"/>
        <v>179917</v>
      </c>
      <c r="Q230" s="354">
        <f t="shared" si="34"/>
        <v>51.091737778471938</v>
      </c>
    </row>
    <row r="231" spans="2:17" s="275" customFormat="1" x14ac:dyDescent="0.2">
      <c r="B231" s="60">
        <f t="shared" si="35"/>
        <v>20</v>
      </c>
      <c r="C231" s="66"/>
      <c r="D231" s="66"/>
      <c r="E231" s="66"/>
      <c r="F231" s="67" t="s">
        <v>73</v>
      </c>
      <c r="G231" s="68">
        <v>610</v>
      </c>
      <c r="H231" s="66" t="s">
        <v>128</v>
      </c>
      <c r="I231" s="69">
        <v>234800</v>
      </c>
      <c r="J231" s="69">
        <v>120436</v>
      </c>
      <c r="K231" s="354">
        <f t="shared" si="31"/>
        <v>51.293015332197612</v>
      </c>
      <c r="L231" s="69"/>
      <c r="M231" s="69"/>
      <c r="N231" s="354"/>
      <c r="O231" s="70">
        <f t="shared" si="32"/>
        <v>234800</v>
      </c>
      <c r="P231" s="70">
        <f t="shared" si="33"/>
        <v>120436</v>
      </c>
      <c r="Q231" s="354">
        <f t="shared" si="34"/>
        <v>51.293015332197612</v>
      </c>
    </row>
    <row r="232" spans="2:17" s="275" customFormat="1" x14ac:dyDescent="0.2">
      <c r="B232" s="60">
        <f t="shared" si="35"/>
        <v>21</v>
      </c>
      <c r="C232" s="66"/>
      <c r="D232" s="66"/>
      <c r="E232" s="66"/>
      <c r="F232" s="67" t="s">
        <v>73</v>
      </c>
      <c r="G232" s="68">
        <v>620</v>
      </c>
      <c r="H232" s="66" t="s">
        <v>121</v>
      </c>
      <c r="I232" s="69">
        <v>89000</v>
      </c>
      <c r="J232" s="69">
        <v>47144</v>
      </c>
      <c r="K232" s="354">
        <f t="shared" si="31"/>
        <v>52.970786516853927</v>
      </c>
      <c r="L232" s="69"/>
      <c r="M232" s="69"/>
      <c r="N232" s="354"/>
      <c r="O232" s="70">
        <f t="shared" si="32"/>
        <v>89000</v>
      </c>
      <c r="P232" s="70">
        <f t="shared" si="33"/>
        <v>47144</v>
      </c>
      <c r="Q232" s="354">
        <f t="shared" si="34"/>
        <v>52.970786516853927</v>
      </c>
    </row>
    <row r="233" spans="2:17" s="275" customFormat="1" x14ac:dyDescent="0.2">
      <c r="B233" s="60">
        <f t="shared" si="35"/>
        <v>22</v>
      </c>
      <c r="C233" s="66"/>
      <c r="D233" s="66"/>
      <c r="E233" s="66"/>
      <c r="F233" s="67" t="s">
        <v>73</v>
      </c>
      <c r="G233" s="68">
        <v>630</v>
      </c>
      <c r="H233" s="66" t="s">
        <v>118</v>
      </c>
      <c r="I233" s="69">
        <f>I234+I235+I236+I237</f>
        <v>17645</v>
      </c>
      <c r="J233" s="69">
        <f>J234+J235+J236+J237</f>
        <v>8067</v>
      </c>
      <c r="K233" s="354">
        <f t="shared" si="31"/>
        <v>45.718333805610655</v>
      </c>
      <c r="L233" s="69"/>
      <c r="M233" s="69"/>
      <c r="N233" s="354"/>
      <c r="O233" s="70">
        <f t="shared" si="32"/>
        <v>17645</v>
      </c>
      <c r="P233" s="70">
        <f t="shared" si="33"/>
        <v>8067</v>
      </c>
      <c r="Q233" s="354">
        <f t="shared" si="34"/>
        <v>45.718333805610655</v>
      </c>
    </row>
    <row r="234" spans="2:17" s="275" customFormat="1" x14ac:dyDescent="0.2">
      <c r="B234" s="60">
        <f t="shared" si="35"/>
        <v>23</v>
      </c>
      <c r="C234" s="71"/>
      <c r="D234" s="71"/>
      <c r="E234" s="71"/>
      <c r="F234" s="72"/>
      <c r="G234" s="73">
        <v>631</v>
      </c>
      <c r="H234" s="71" t="s">
        <v>124</v>
      </c>
      <c r="I234" s="74">
        <v>100</v>
      </c>
      <c r="J234" s="74"/>
      <c r="K234" s="354">
        <f t="shared" si="31"/>
        <v>0</v>
      </c>
      <c r="L234" s="74"/>
      <c r="M234" s="74"/>
      <c r="N234" s="354"/>
      <c r="O234" s="75">
        <f t="shared" si="32"/>
        <v>100</v>
      </c>
      <c r="P234" s="75">
        <f t="shared" si="33"/>
        <v>0</v>
      </c>
      <c r="Q234" s="354">
        <f t="shared" si="34"/>
        <v>0</v>
      </c>
    </row>
    <row r="235" spans="2:17" s="275" customFormat="1" x14ac:dyDescent="0.2">
      <c r="B235" s="60">
        <f t="shared" si="35"/>
        <v>24</v>
      </c>
      <c r="C235" s="71"/>
      <c r="D235" s="71"/>
      <c r="E235" s="71"/>
      <c r="F235" s="72"/>
      <c r="G235" s="73">
        <v>632</v>
      </c>
      <c r="H235" s="71" t="s">
        <v>131</v>
      </c>
      <c r="I235" s="74">
        <v>3000</v>
      </c>
      <c r="J235" s="74">
        <v>713</v>
      </c>
      <c r="K235" s="354">
        <f t="shared" si="31"/>
        <v>23.766666666666666</v>
      </c>
      <c r="L235" s="74"/>
      <c r="M235" s="74"/>
      <c r="N235" s="354"/>
      <c r="O235" s="75">
        <f t="shared" si="32"/>
        <v>3000</v>
      </c>
      <c r="P235" s="75">
        <f t="shared" si="33"/>
        <v>713</v>
      </c>
      <c r="Q235" s="354">
        <f t="shared" si="34"/>
        <v>23.766666666666666</v>
      </c>
    </row>
    <row r="236" spans="2:17" s="275" customFormat="1" x14ac:dyDescent="0.2">
      <c r="B236" s="60">
        <f t="shared" si="35"/>
        <v>25</v>
      </c>
      <c r="C236" s="71"/>
      <c r="D236" s="71"/>
      <c r="E236" s="71"/>
      <c r="F236" s="72"/>
      <c r="G236" s="73">
        <v>633</v>
      </c>
      <c r="H236" s="71" t="s">
        <v>122</v>
      </c>
      <c r="I236" s="74">
        <v>4000</v>
      </c>
      <c r="J236" s="74">
        <v>2472</v>
      </c>
      <c r="K236" s="354">
        <f t="shared" si="31"/>
        <v>61.8</v>
      </c>
      <c r="L236" s="74"/>
      <c r="M236" s="74"/>
      <c r="N236" s="354"/>
      <c r="O236" s="75">
        <f t="shared" si="32"/>
        <v>4000</v>
      </c>
      <c r="P236" s="75">
        <f t="shared" si="33"/>
        <v>2472</v>
      </c>
      <c r="Q236" s="354">
        <f t="shared" si="34"/>
        <v>61.8</v>
      </c>
    </row>
    <row r="237" spans="2:17" s="275" customFormat="1" x14ac:dyDescent="0.2">
      <c r="B237" s="60">
        <f t="shared" si="35"/>
        <v>26</v>
      </c>
      <c r="C237" s="71"/>
      <c r="D237" s="71"/>
      <c r="E237" s="71"/>
      <c r="F237" s="72"/>
      <c r="G237" s="73">
        <v>637</v>
      </c>
      <c r="H237" s="71" t="s">
        <v>119</v>
      </c>
      <c r="I237" s="74">
        <v>10545</v>
      </c>
      <c r="J237" s="74">
        <v>4882</v>
      </c>
      <c r="K237" s="354">
        <f t="shared" si="31"/>
        <v>46.296823138928403</v>
      </c>
      <c r="L237" s="74"/>
      <c r="M237" s="74"/>
      <c r="N237" s="354"/>
      <c r="O237" s="75">
        <f t="shared" si="32"/>
        <v>10545</v>
      </c>
      <c r="P237" s="75">
        <f t="shared" si="33"/>
        <v>4882</v>
      </c>
      <c r="Q237" s="354">
        <f t="shared" si="34"/>
        <v>46.296823138928403</v>
      </c>
    </row>
    <row r="238" spans="2:17" s="275" customFormat="1" x14ac:dyDescent="0.2">
      <c r="B238" s="60">
        <f t="shared" si="35"/>
        <v>27</v>
      </c>
      <c r="C238" s="66"/>
      <c r="D238" s="66"/>
      <c r="E238" s="66"/>
      <c r="F238" s="67" t="s">
        <v>73</v>
      </c>
      <c r="G238" s="68">
        <v>640</v>
      </c>
      <c r="H238" s="66" t="s">
        <v>126</v>
      </c>
      <c r="I238" s="69">
        <v>10700</v>
      </c>
      <c r="J238" s="69">
        <v>4270</v>
      </c>
      <c r="K238" s="354">
        <f t="shared" si="31"/>
        <v>39.90654205607477</v>
      </c>
      <c r="L238" s="69"/>
      <c r="M238" s="69"/>
      <c r="N238" s="354"/>
      <c r="O238" s="70">
        <f t="shared" si="32"/>
        <v>10700</v>
      </c>
      <c r="P238" s="70">
        <f t="shared" si="33"/>
        <v>4270</v>
      </c>
      <c r="Q238" s="354">
        <f t="shared" si="34"/>
        <v>39.90654205607477</v>
      </c>
    </row>
    <row r="239" spans="2:17" s="275" customFormat="1" ht="15" x14ac:dyDescent="0.2">
      <c r="B239" s="60">
        <f t="shared" si="35"/>
        <v>28</v>
      </c>
      <c r="C239" s="63">
        <v>4</v>
      </c>
      <c r="D239" s="501" t="s">
        <v>44</v>
      </c>
      <c r="E239" s="502"/>
      <c r="F239" s="502"/>
      <c r="G239" s="502"/>
      <c r="H239" s="502"/>
      <c r="I239" s="64">
        <f>I240</f>
        <v>87750</v>
      </c>
      <c r="J239" s="64">
        <f>J240</f>
        <v>36753</v>
      </c>
      <c r="K239" s="354">
        <f t="shared" si="31"/>
        <v>41.883760683760684</v>
      </c>
      <c r="L239" s="64">
        <f>L240</f>
        <v>244000</v>
      </c>
      <c r="M239" s="64">
        <f>M240</f>
        <v>0</v>
      </c>
      <c r="N239" s="354">
        <f>M239/L239*100</f>
        <v>0</v>
      </c>
      <c r="O239" s="65">
        <f t="shared" si="32"/>
        <v>331750</v>
      </c>
      <c r="P239" s="65">
        <f t="shared" si="33"/>
        <v>36753</v>
      </c>
      <c r="Q239" s="354">
        <f t="shared" si="34"/>
        <v>11.07852298417483</v>
      </c>
    </row>
    <row r="240" spans="2:17" s="275" customFormat="1" ht="15" x14ac:dyDescent="0.25">
      <c r="B240" s="60">
        <f t="shared" si="35"/>
        <v>29</v>
      </c>
      <c r="C240" s="76"/>
      <c r="D240" s="76"/>
      <c r="E240" s="76">
        <v>2</v>
      </c>
      <c r="F240" s="77"/>
      <c r="G240" s="77"/>
      <c r="H240" s="76" t="s">
        <v>11</v>
      </c>
      <c r="I240" s="78">
        <f>I241+I242+I243+I248</f>
        <v>87750</v>
      </c>
      <c r="J240" s="78">
        <f>J241+J242+J243+J248</f>
        <v>36753</v>
      </c>
      <c r="K240" s="354">
        <f t="shared" si="31"/>
        <v>41.883760683760684</v>
      </c>
      <c r="L240" s="78">
        <f>L249</f>
        <v>244000</v>
      </c>
      <c r="M240" s="78">
        <f>M249</f>
        <v>0</v>
      </c>
      <c r="N240" s="354">
        <f>M240/L240*100</f>
        <v>0</v>
      </c>
      <c r="O240" s="79">
        <f t="shared" si="32"/>
        <v>331750</v>
      </c>
      <c r="P240" s="79">
        <f t="shared" si="33"/>
        <v>36753</v>
      </c>
      <c r="Q240" s="354">
        <f t="shared" si="34"/>
        <v>11.07852298417483</v>
      </c>
    </row>
    <row r="241" spans="2:17" s="275" customFormat="1" x14ac:dyDescent="0.2">
      <c r="B241" s="60">
        <f t="shared" si="35"/>
        <v>30</v>
      </c>
      <c r="C241" s="66"/>
      <c r="D241" s="66"/>
      <c r="E241" s="66"/>
      <c r="F241" s="67" t="s">
        <v>150</v>
      </c>
      <c r="G241" s="68">
        <v>610</v>
      </c>
      <c r="H241" s="66" t="s">
        <v>128</v>
      </c>
      <c r="I241" s="69">
        <v>41100</v>
      </c>
      <c r="J241" s="69">
        <v>20611</v>
      </c>
      <c r="K241" s="354">
        <f t="shared" si="31"/>
        <v>50.148418491484179</v>
      </c>
      <c r="L241" s="69"/>
      <c r="M241" s="69"/>
      <c r="N241" s="354"/>
      <c r="O241" s="70">
        <f t="shared" si="32"/>
        <v>41100</v>
      </c>
      <c r="P241" s="70">
        <f t="shared" si="33"/>
        <v>20611</v>
      </c>
      <c r="Q241" s="354">
        <f t="shared" si="34"/>
        <v>50.148418491484179</v>
      </c>
    </row>
    <row r="242" spans="2:17" s="275" customFormat="1" x14ac:dyDescent="0.2">
      <c r="B242" s="60">
        <f t="shared" si="35"/>
        <v>31</v>
      </c>
      <c r="C242" s="66"/>
      <c r="D242" s="66"/>
      <c r="E242" s="66"/>
      <c r="F242" s="67" t="s">
        <v>150</v>
      </c>
      <c r="G242" s="68">
        <v>620</v>
      </c>
      <c r="H242" s="66" t="s">
        <v>121</v>
      </c>
      <c r="I242" s="69">
        <v>16015</v>
      </c>
      <c r="J242" s="69">
        <v>7110</v>
      </c>
      <c r="K242" s="354">
        <f t="shared" si="31"/>
        <v>44.395878863565407</v>
      </c>
      <c r="L242" s="69"/>
      <c r="M242" s="69"/>
      <c r="N242" s="354"/>
      <c r="O242" s="70">
        <f t="shared" si="32"/>
        <v>16015</v>
      </c>
      <c r="P242" s="70">
        <f t="shared" si="33"/>
        <v>7110</v>
      </c>
      <c r="Q242" s="354">
        <f t="shared" si="34"/>
        <v>44.395878863565407</v>
      </c>
    </row>
    <row r="243" spans="2:17" s="275" customFormat="1" x14ac:dyDescent="0.2">
      <c r="B243" s="60">
        <f t="shared" si="35"/>
        <v>32</v>
      </c>
      <c r="C243" s="66"/>
      <c r="D243" s="66"/>
      <c r="E243" s="66"/>
      <c r="F243" s="67" t="s">
        <v>150</v>
      </c>
      <c r="G243" s="68">
        <v>630</v>
      </c>
      <c r="H243" s="66" t="s">
        <v>118</v>
      </c>
      <c r="I243" s="69">
        <f>I244+I245+I246+I247</f>
        <v>25735</v>
      </c>
      <c r="J243" s="69">
        <f>J244+J245+J246+J247</f>
        <v>7579</v>
      </c>
      <c r="K243" s="354">
        <f t="shared" si="31"/>
        <v>29.45016514474451</v>
      </c>
      <c r="L243" s="69"/>
      <c r="M243" s="69"/>
      <c r="N243" s="354"/>
      <c r="O243" s="70">
        <f t="shared" si="32"/>
        <v>25735</v>
      </c>
      <c r="P243" s="70">
        <f t="shared" si="33"/>
        <v>7579</v>
      </c>
      <c r="Q243" s="354">
        <f t="shared" si="34"/>
        <v>29.45016514474451</v>
      </c>
    </row>
    <row r="244" spans="2:17" s="275" customFormat="1" x14ac:dyDescent="0.2">
      <c r="B244" s="60">
        <f t="shared" si="35"/>
        <v>33</v>
      </c>
      <c r="C244" s="71"/>
      <c r="D244" s="71"/>
      <c r="E244" s="71"/>
      <c r="F244" s="72"/>
      <c r="G244" s="73">
        <v>632</v>
      </c>
      <c r="H244" s="71" t="s">
        <v>131</v>
      </c>
      <c r="I244" s="74">
        <v>10500</v>
      </c>
      <c r="J244" s="74">
        <v>5418</v>
      </c>
      <c r="K244" s="354">
        <f t="shared" si="31"/>
        <v>51.6</v>
      </c>
      <c r="L244" s="74"/>
      <c r="M244" s="74"/>
      <c r="N244" s="354"/>
      <c r="O244" s="75">
        <f t="shared" ref="O244:O275" si="36">I244+L244</f>
        <v>10500</v>
      </c>
      <c r="P244" s="75">
        <f t="shared" ref="P244:P275" si="37">J244+M244</f>
        <v>5418</v>
      </c>
      <c r="Q244" s="354">
        <f t="shared" ref="Q244:Q275" si="38">P244/O244*100</f>
        <v>51.6</v>
      </c>
    </row>
    <row r="245" spans="2:17" s="275" customFormat="1" x14ac:dyDescent="0.2">
      <c r="B245" s="60">
        <f t="shared" ref="B245:B276" si="39">B244+1</f>
        <v>34</v>
      </c>
      <c r="C245" s="71"/>
      <c r="D245" s="71"/>
      <c r="E245" s="71"/>
      <c r="F245" s="72"/>
      <c r="G245" s="73">
        <v>633</v>
      </c>
      <c r="H245" s="71" t="s">
        <v>122</v>
      </c>
      <c r="I245" s="74">
        <v>3800</v>
      </c>
      <c r="J245" s="74">
        <v>395</v>
      </c>
      <c r="K245" s="354">
        <f t="shared" si="31"/>
        <v>10.394736842105264</v>
      </c>
      <c r="L245" s="74"/>
      <c r="M245" s="74"/>
      <c r="N245" s="354"/>
      <c r="O245" s="75">
        <f t="shared" si="36"/>
        <v>3800</v>
      </c>
      <c r="P245" s="75">
        <f t="shared" si="37"/>
        <v>395</v>
      </c>
      <c r="Q245" s="354">
        <f t="shared" si="38"/>
        <v>10.394736842105264</v>
      </c>
    </row>
    <row r="246" spans="2:17" s="275" customFormat="1" x14ac:dyDescent="0.2">
      <c r="B246" s="60">
        <f t="shared" si="39"/>
        <v>35</v>
      </c>
      <c r="C246" s="71"/>
      <c r="D246" s="71"/>
      <c r="E246" s="71"/>
      <c r="F246" s="72"/>
      <c r="G246" s="73">
        <v>635</v>
      </c>
      <c r="H246" s="71" t="s">
        <v>130</v>
      </c>
      <c r="I246" s="74">
        <v>7800</v>
      </c>
      <c r="J246" s="74">
        <v>314</v>
      </c>
      <c r="K246" s="354">
        <f t="shared" si="31"/>
        <v>4.0256410256410255</v>
      </c>
      <c r="L246" s="74"/>
      <c r="M246" s="74"/>
      <c r="N246" s="354"/>
      <c r="O246" s="75">
        <f t="shared" si="36"/>
        <v>7800</v>
      </c>
      <c r="P246" s="75">
        <f t="shared" si="37"/>
        <v>314</v>
      </c>
      <c r="Q246" s="354">
        <f t="shared" si="38"/>
        <v>4.0256410256410255</v>
      </c>
    </row>
    <row r="247" spans="2:17" s="275" customFormat="1" x14ac:dyDescent="0.2">
      <c r="B247" s="60">
        <f t="shared" si="39"/>
        <v>36</v>
      </c>
      <c r="C247" s="71"/>
      <c r="D247" s="71"/>
      <c r="E247" s="71"/>
      <c r="F247" s="72"/>
      <c r="G247" s="73">
        <v>637</v>
      </c>
      <c r="H247" s="71" t="s">
        <v>119</v>
      </c>
      <c r="I247" s="74">
        <v>3635</v>
      </c>
      <c r="J247" s="74">
        <v>1452</v>
      </c>
      <c r="K247" s="354">
        <f t="shared" si="31"/>
        <v>39.944979367262725</v>
      </c>
      <c r="L247" s="74"/>
      <c r="M247" s="74"/>
      <c r="N247" s="354"/>
      <c r="O247" s="75">
        <f t="shared" si="36"/>
        <v>3635</v>
      </c>
      <c r="P247" s="75">
        <f t="shared" si="37"/>
        <v>1452</v>
      </c>
      <c r="Q247" s="354">
        <f t="shared" si="38"/>
        <v>39.944979367262725</v>
      </c>
    </row>
    <row r="248" spans="2:17" s="275" customFormat="1" x14ac:dyDescent="0.2">
      <c r="B248" s="60">
        <f t="shared" si="39"/>
        <v>37</v>
      </c>
      <c r="C248" s="66"/>
      <c r="D248" s="66"/>
      <c r="E248" s="66"/>
      <c r="F248" s="67" t="s">
        <v>150</v>
      </c>
      <c r="G248" s="68">
        <v>640</v>
      </c>
      <c r="H248" s="66" t="s">
        <v>126</v>
      </c>
      <c r="I248" s="69">
        <v>4900</v>
      </c>
      <c r="J248" s="69">
        <v>1453</v>
      </c>
      <c r="K248" s="354">
        <f t="shared" si="31"/>
        <v>29.653061224489797</v>
      </c>
      <c r="L248" s="69"/>
      <c r="M248" s="69"/>
      <c r="N248" s="354"/>
      <c r="O248" s="70">
        <f t="shared" si="36"/>
        <v>4900</v>
      </c>
      <c r="P248" s="70">
        <f t="shared" si="37"/>
        <v>1453</v>
      </c>
      <c r="Q248" s="354">
        <f t="shared" si="38"/>
        <v>29.653061224489797</v>
      </c>
    </row>
    <row r="249" spans="2:17" s="275" customFormat="1" x14ac:dyDescent="0.2">
      <c r="B249" s="60">
        <f t="shared" si="39"/>
        <v>38</v>
      </c>
      <c r="C249" s="66"/>
      <c r="D249" s="66"/>
      <c r="E249" s="66"/>
      <c r="F249" s="67" t="s">
        <v>150</v>
      </c>
      <c r="G249" s="68">
        <v>710</v>
      </c>
      <c r="H249" s="66" t="s">
        <v>172</v>
      </c>
      <c r="I249" s="69"/>
      <c r="J249" s="69"/>
      <c r="K249" s="354"/>
      <c r="L249" s="69">
        <f>L250</f>
        <v>244000</v>
      </c>
      <c r="M249" s="69">
        <f>M250</f>
        <v>0</v>
      </c>
      <c r="N249" s="354">
        <f>M249/L249*100</f>
        <v>0</v>
      </c>
      <c r="O249" s="70">
        <f t="shared" si="36"/>
        <v>244000</v>
      </c>
      <c r="P249" s="70">
        <f t="shared" si="37"/>
        <v>0</v>
      </c>
      <c r="Q249" s="354">
        <f t="shared" si="38"/>
        <v>0</v>
      </c>
    </row>
    <row r="250" spans="2:17" s="275" customFormat="1" x14ac:dyDescent="0.2">
      <c r="B250" s="60">
        <f t="shared" si="39"/>
        <v>39</v>
      </c>
      <c r="C250" s="71"/>
      <c r="D250" s="71"/>
      <c r="E250" s="71"/>
      <c r="F250" s="72"/>
      <c r="G250" s="73">
        <v>717</v>
      </c>
      <c r="H250" s="71" t="s">
        <v>179</v>
      </c>
      <c r="I250" s="74"/>
      <c r="J250" s="74"/>
      <c r="K250" s="354"/>
      <c r="L250" s="74">
        <f>L251+L252</f>
        <v>244000</v>
      </c>
      <c r="M250" s="74">
        <f>M251+M252</f>
        <v>0</v>
      </c>
      <c r="N250" s="354">
        <f>M250/L250*100</f>
        <v>0</v>
      </c>
      <c r="O250" s="75">
        <f t="shared" si="36"/>
        <v>244000</v>
      </c>
      <c r="P250" s="75">
        <f t="shared" si="37"/>
        <v>0</v>
      </c>
      <c r="Q250" s="354">
        <f t="shared" si="38"/>
        <v>0</v>
      </c>
    </row>
    <row r="251" spans="2:17" s="275" customFormat="1" x14ac:dyDescent="0.2">
      <c r="B251" s="60">
        <f t="shared" si="39"/>
        <v>40</v>
      </c>
      <c r="C251" s="80"/>
      <c r="D251" s="80"/>
      <c r="E251" s="80"/>
      <c r="F251" s="81"/>
      <c r="G251" s="82"/>
      <c r="H251" s="80" t="s">
        <v>406</v>
      </c>
      <c r="I251" s="83"/>
      <c r="J251" s="83"/>
      <c r="K251" s="354"/>
      <c r="L251" s="83">
        <v>18000</v>
      </c>
      <c r="M251" s="83">
        <v>0</v>
      </c>
      <c r="N251" s="354">
        <f>M251/L251*100</f>
        <v>0</v>
      </c>
      <c r="O251" s="84">
        <f t="shared" si="36"/>
        <v>18000</v>
      </c>
      <c r="P251" s="84">
        <f t="shared" si="37"/>
        <v>0</v>
      </c>
      <c r="Q251" s="354">
        <f t="shared" si="38"/>
        <v>0</v>
      </c>
    </row>
    <row r="252" spans="2:17" s="275" customFormat="1" x14ac:dyDescent="0.2">
      <c r="B252" s="60">
        <f t="shared" si="39"/>
        <v>41</v>
      </c>
      <c r="C252" s="80"/>
      <c r="D252" s="80"/>
      <c r="E252" s="80"/>
      <c r="F252" s="81"/>
      <c r="G252" s="82"/>
      <c r="H252" s="80" t="s">
        <v>453</v>
      </c>
      <c r="I252" s="83"/>
      <c r="J252" s="83"/>
      <c r="K252" s="354"/>
      <c r="L252" s="83">
        <f>207000+19000</f>
        <v>226000</v>
      </c>
      <c r="M252" s="83">
        <v>0</v>
      </c>
      <c r="N252" s="354">
        <f>M252/L252*100</f>
        <v>0</v>
      </c>
      <c r="O252" s="84">
        <f t="shared" si="36"/>
        <v>226000</v>
      </c>
      <c r="P252" s="84">
        <f t="shared" si="37"/>
        <v>0</v>
      </c>
      <c r="Q252" s="354">
        <f t="shared" si="38"/>
        <v>0</v>
      </c>
    </row>
    <row r="253" spans="2:17" s="275" customFormat="1" ht="15" x14ac:dyDescent="0.2">
      <c r="B253" s="60">
        <f t="shared" si="39"/>
        <v>42</v>
      </c>
      <c r="C253" s="63">
        <v>5</v>
      </c>
      <c r="D253" s="501" t="s">
        <v>213</v>
      </c>
      <c r="E253" s="502"/>
      <c r="F253" s="502"/>
      <c r="G253" s="502"/>
      <c r="H253" s="502"/>
      <c r="I253" s="64">
        <f>I254</f>
        <v>98760</v>
      </c>
      <c r="J253" s="64">
        <f>J254</f>
        <v>34372</v>
      </c>
      <c r="K253" s="354">
        <f t="shared" ref="K253:K269" si="40">J253/I253*100</f>
        <v>34.803564196030784</v>
      </c>
      <c r="L253" s="64"/>
      <c r="M253" s="64"/>
      <c r="N253" s="354"/>
      <c r="O253" s="65">
        <f t="shared" si="36"/>
        <v>98760</v>
      </c>
      <c r="P253" s="65">
        <f t="shared" si="37"/>
        <v>34372</v>
      </c>
      <c r="Q253" s="354">
        <f t="shared" si="38"/>
        <v>34.803564196030784</v>
      </c>
    </row>
    <row r="254" spans="2:17" s="275" customFormat="1" ht="15" x14ac:dyDescent="0.25">
      <c r="B254" s="60">
        <f t="shared" si="39"/>
        <v>43</v>
      </c>
      <c r="C254" s="85"/>
      <c r="D254" s="85"/>
      <c r="E254" s="85">
        <v>2</v>
      </c>
      <c r="F254" s="86"/>
      <c r="G254" s="86"/>
      <c r="H254" s="76" t="s">
        <v>11</v>
      </c>
      <c r="I254" s="78">
        <f>I255+I256+I257+I263</f>
        <v>98760</v>
      </c>
      <c r="J254" s="78">
        <f>J255+J256+J257+J263</f>
        <v>34372</v>
      </c>
      <c r="K254" s="354">
        <f t="shared" si="40"/>
        <v>34.803564196030784</v>
      </c>
      <c r="L254" s="87"/>
      <c r="M254" s="87"/>
      <c r="N254" s="354"/>
      <c r="O254" s="88">
        <f t="shared" si="36"/>
        <v>98760</v>
      </c>
      <c r="P254" s="88">
        <f t="shared" si="37"/>
        <v>34372</v>
      </c>
      <c r="Q254" s="354">
        <f t="shared" si="38"/>
        <v>34.803564196030784</v>
      </c>
    </row>
    <row r="255" spans="2:17" s="275" customFormat="1" x14ac:dyDescent="0.2">
      <c r="B255" s="60">
        <f t="shared" si="39"/>
        <v>44</v>
      </c>
      <c r="C255" s="66"/>
      <c r="D255" s="66"/>
      <c r="E255" s="66"/>
      <c r="F255" s="67" t="s">
        <v>180</v>
      </c>
      <c r="G255" s="68">
        <v>610</v>
      </c>
      <c r="H255" s="66" t="s">
        <v>128</v>
      </c>
      <c r="I255" s="69">
        <v>30980</v>
      </c>
      <c r="J255" s="69">
        <v>16791</v>
      </c>
      <c r="K255" s="354">
        <f t="shared" si="40"/>
        <v>54.199483537766305</v>
      </c>
      <c r="L255" s="69"/>
      <c r="M255" s="69"/>
      <c r="N255" s="354"/>
      <c r="O255" s="70">
        <f t="shared" si="36"/>
        <v>30980</v>
      </c>
      <c r="P255" s="70">
        <f t="shared" si="37"/>
        <v>16791</v>
      </c>
      <c r="Q255" s="354">
        <f t="shared" si="38"/>
        <v>54.199483537766305</v>
      </c>
    </row>
    <row r="256" spans="2:17" s="275" customFormat="1" x14ac:dyDescent="0.2">
      <c r="B256" s="60">
        <f t="shared" si="39"/>
        <v>45</v>
      </c>
      <c r="C256" s="66"/>
      <c r="D256" s="66"/>
      <c r="E256" s="66"/>
      <c r="F256" s="67" t="s">
        <v>180</v>
      </c>
      <c r="G256" s="68">
        <v>620</v>
      </c>
      <c r="H256" s="66" t="s">
        <v>121</v>
      </c>
      <c r="I256" s="69">
        <v>14285</v>
      </c>
      <c r="J256" s="69">
        <v>6523</v>
      </c>
      <c r="K256" s="354">
        <f t="shared" si="40"/>
        <v>45.663283164158209</v>
      </c>
      <c r="L256" s="69"/>
      <c r="M256" s="69"/>
      <c r="N256" s="354"/>
      <c r="O256" s="70">
        <f t="shared" si="36"/>
        <v>14285</v>
      </c>
      <c r="P256" s="70">
        <f t="shared" si="37"/>
        <v>6523</v>
      </c>
      <c r="Q256" s="354">
        <f t="shared" si="38"/>
        <v>45.663283164158209</v>
      </c>
    </row>
    <row r="257" spans="2:17" s="275" customFormat="1" x14ac:dyDescent="0.2">
      <c r="B257" s="60">
        <f t="shared" si="39"/>
        <v>46</v>
      </c>
      <c r="C257" s="66"/>
      <c r="D257" s="66"/>
      <c r="E257" s="66"/>
      <c r="F257" s="67" t="s">
        <v>180</v>
      </c>
      <c r="G257" s="68">
        <v>630</v>
      </c>
      <c r="H257" s="66" t="s">
        <v>118</v>
      </c>
      <c r="I257" s="69">
        <f>I258+I259+I260+I261+I262</f>
        <v>51395</v>
      </c>
      <c r="J257" s="69">
        <f>J258+J259+J260+J261+J262</f>
        <v>10056</v>
      </c>
      <c r="K257" s="354">
        <f t="shared" si="40"/>
        <v>19.566105652300809</v>
      </c>
      <c r="L257" s="69"/>
      <c r="M257" s="69"/>
      <c r="N257" s="354"/>
      <c r="O257" s="70">
        <f t="shared" si="36"/>
        <v>51395</v>
      </c>
      <c r="P257" s="70">
        <f t="shared" si="37"/>
        <v>10056</v>
      </c>
      <c r="Q257" s="354">
        <f t="shared" si="38"/>
        <v>19.566105652300809</v>
      </c>
    </row>
    <row r="258" spans="2:17" s="275" customFormat="1" x14ac:dyDescent="0.2">
      <c r="B258" s="60">
        <f t="shared" si="39"/>
        <v>47</v>
      </c>
      <c r="C258" s="71"/>
      <c r="D258" s="71"/>
      <c r="E258" s="71"/>
      <c r="F258" s="72"/>
      <c r="G258" s="73">
        <v>632</v>
      </c>
      <c r="H258" s="71" t="s">
        <v>131</v>
      </c>
      <c r="I258" s="74">
        <v>7200</v>
      </c>
      <c r="J258" s="74">
        <v>1752</v>
      </c>
      <c r="K258" s="354">
        <f t="shared" si="40"/>
        <v>24.333333333333336</v>
      </c>
      <c r="L258" s="74"/>
      <c r="M258" s="74"/>
      <c r="N258" s="354"/>
      <c r="O258" s="75">
        <f t="shared" si="36"/>
        <v>7200</v>
      </c>
      <c r="P258" s="75">
        <f t="shared" si="37"/>
        <v>1752</v>
      </c>
      <c r="Q258" s="354">
        <f t="shared" si="38"/>
        <v>24.333333333333336</v>
      </c>
    </row>
    <row r="259" spans="2:17" s="275" customFormat="1" x14ac:dyDescent="0.2">
      <c r="B259" s="60">
        <f t="shared" si="39"/>
        <v>48</v>
      </c>
      <c r="C259" s="71"/>
      <c r="D259" s="71"/>
      <c r="E259" s="71"/>
      <c r="F259" s="72"/>
      <c r="G259" s="73">
        <v>633</v>
      </c>
      <c r="H259" s="71" t="s">
        <v>122</v>
      </c>
      <c r="I259" s="74">
        <v>18100</v>
      </c>
      <c r="J259" s="74">
        <v>178</v>
      </c>
      <c r="K259" s="354">
        <f t="shared" si="40"/>
        <v>0.98342541436464093</v>
      </c>
      <c r="L259" s="74"/>
      <c r="M259" s="74"/>
      <c r="N259" s="354"/>
      <c r="O259" s="75">
        <f t="shared" si="36"/>
        <v>18100</v>
      </c>
      <c r="P259" s="75">
        <f t="shared" si="37"/>
        <v>178</v>
      </c>
      <c r="Q259" s="354">
        <f t="shared" si="38"/>
        <v>0.98342541436464093</v>
      </c>
    </row>
    <row r="260" spans="2:17" s="275" customFormat="1" x14ac:dyDescent="0.2">
      <c r="B260" s="60">
        <f t="shared" si="39"/>
        <v>49</v>
      </c>
      <c r="C260" s="71"/>
      <c r="D260" s="71"/>
      <c r="E260" s="71"/>
      <c r="F260" s="72"/>
      <c r="G260" s="73">
        <v>635</v>
      </c>
      <c r="H260" s="71" t="s">
        <v>130</v>
      </c>
      <c r="I260" s="74">
        <v>400</v>
      </c>
      <c r="J260" s="74">
        <v>0</v>
      </c>
      <c r="K260" s="354">
        <f t="shared" si="40"/>
        <v>0</v>
      </c>
      <c r="L260" s="74"/>
      <c r="M260" s="74"/>
      <c r="N260" s="354"/>
      <c r="O260" s="75">
        <f t="shared" si="36"/>
        <v>400</v>
      </c>
      <c r="P260" s="75">
        <f t="shared" si="37"/>
        <v>0</v>
      </c>
      <c r="Q260" s="354">
        <f t="shared" si="38"/>
        <v>0</v>
      </c>
    </row>
    <row r="261" spans="2:17" s="275" customFormat="1" x14ac:dyDescent="0.2">
      <c r="B261" s="60">
        <f t="shared" si="39"/>
        <v>50</v>
      </c>
      <c r="C261" s="71"/>
      <c r="D261" s="71"/>
      <c r="E261" s="71"/>
      <c r="F261" s="72"/>
      <c r="G261" s="73">
        <v>636</v>
      </c>
      <c r="H261" s="71" t="s">
        <v>123</v>
      </c>
      <c r="I261" s="74">
        <v>2700</v>
      </c>
      <c r="J261" s="74">
        <v>0</v>
      </c>
      <c r="K261" s="354">
        <f t="shared" si="40"/>
        <v>0</v>
      </c>
      <c r="L261" s="74"/>
      <c r="M261" s="74"/>
      <c r="N261" s="354"/>
      <c r="O261" s="75">
        <f t="shared" si="36"/>
        <v>2700</v>
      </c>
      <c r="P261" s="75">
        <f t="shared" si="37"/>
        <v>0</v>
      </c>
      <c r="Q261" s="354">
        <f t="shared" si="38"/>
        <v>0</v>
      </c>
    </row>
    <row r="262" spans="2:17" s="275" customFormat="1" x14ac:dyDescent="0.2">
      <c r="B262" s="60">
        <f t="shared" si="39"/>
        <v>51</v>
      </c>
      <c r="C262" s="71"/>
      <c r="D262" s="71"/>
      <c r="E262" s="71"/>
      <c r="F262" s="72"/>
      <c r="G262" s="73">
        <v>637</v>
      </c>
      <c r="H262" s="71" t="s">
        <v>119</v>
      </c>
      <c r="I262" s="74">
        <v>22995</v>
      </c>
      <c r="J262" s="74">
        <v>8126</v>
      </c>
      <c r="K262" s="354">
        <f t="shared" si="40"/>
        <v>35.338116981952602</v>
      </c>
      <c r="L262" s="74"/>
      <c r="M262" s="74"/>
      <c r="N262" s="354"/>
      <c r="O262" s="75">
        <f t="shared" si="36"/>
        <v>22995</v>
      </c>
      <c r="P262" s="75">
        <f t="shared" si="37"/>
        <v>8126</v>
      </c>
      <c r="Q262" s="354">
        <f t="shared" si="38"/>
        <v>35.338116981952602</v>
      </c>
    </row>
    <row r="263" spans="2:17" s="275" customFormat="1" x14ac:dyDescent="0.2">
      <c r="B263" s="60">
        <f t="shared" si="39"/>
        <v>52</v>
      </c>
      <c r="C263" s="66"/>
      <c r="D263" s="66"/>
      <c r="E263" s="66"/>
      <c r="F263" s="67" t="s">
        <v>180</v>
      </c>
      <c r="G263" s="68">
        <v>640</v>
      </c>
      <c r="H263" s="66" t="s">
        <v>126</v>
      </c>
      <c r="I263" s="69">
        <v>2100</v>
      </c>
      <c r="J263" s="69">
        <v>1002</v>
      </c>
      <c r="K263" s="354">
        <f t="shared" si="40"/>
        <v>47.714285714285715</v>
      </c>
      <c r="L263" s="69"/>
      <c r="M263" s="69"/>
      <c r="N263" s="354"/>
      <c r="O263" s="70">
        <f t="shared" si="36"/>
        <v>2100</v>
      </c>
      <c r="P263" s="70">
        <f t="shared" si="37"/>
        <v>1002</v>
      </c>
      <c r="Q263" s="354">
        <f t="shared" si="38"/>
        <v>47.714285714285715</v>
      </c>
    </row>
    <row r="264" spans="2:17" s="275" customFormat="1" ht="15" x14ac:dyDescent="0.2">
      <c r="B264" s="60">
        <f t="shared" si="39"/>
        <v>53</v>
      </c>
      <c r="C264" s="63">
        <v>6</v>
      </c>
      <c r="D264" s="501" t="s">
        <v>142</v>
      </c>
      <c r="E264" s="502"/>
      <c r="F264" s="502"/>
      <c r="G264" s="502"/>
      <c r="H264" s="502"/>
      <c r="I264" s="64">
        <f>I265</f>
        <v>245400</v>
      </c>
      <c r="J264" s="64">
        <f>J265</f>
        <v>93545</v>
      </c>
      <c r="K264" s="354">
        <f t="shared" si="40"/>
        <v>38.119396903015485</v>
      </c>
      <c r="L264" s="64">
        <f>L270</f>
        <v>390160</v>
      </c>
      <c r="M264" s="64">
        <f>M270</f>
        <v>0</v>
      </c>
      <c r="N264" s="354">
        <f>M264/L264*100</f>
        <v>0</v>
      </c>
      <c r="O264" s="65">
        <f t="shared" si="36"/>
        <v>635560</v>
      </c>
      <c r="P264" s="65">
        <f t="shared" si="37"/>
        <v>93545</v>
      </c>
      <c r="Q264" s="354">
        <f t="shared" si="38"/>
        <v>14.718515954433887</v>
      </c>
    </row>
    <row r="265" spans="2:17" s="275" customFormat="1" x14ac:dyDescent="0.2">
      <c r="B265" s="60">
        <f t="shared" si="39"/>
        <v>54</v>
      </c>
      <c r="C265" s="66"/>
      <c r="D265" s="66"/>
      <c r="E265" s="66"/>
      <c r="F265" s="67" t="s">
        <v>141</v>
      </c>
      <c r="G265" s="68">
        <v>630</v>
      </c>
      <c r="H265" s="66" t="s">
        <v>118</v>
      </c>
      <c r="I265" s="69">
        <f>I266+I267+I268+I269</f>
        <v>245400</v>
      </c>
      <c r="J265" s="69">
        <f>J266+J267+J268+J269</f>
        <v>93545</v>
      </c>
      <c r="K265" s="354">
        <f t="shared" si="40"/>
        <v>38.119396903015485</v>
      </c>
      <c r="L265" s="69"/>
      <c r="M265" s="69"/>
      <c r="N265" s="354"/>
      <c r="O265" s="70">
        <f t="shared" si="36"/>
        <v>245400</v>
      </c>
      <c r="P265" s="70">
        <f t="shared" si="37"/>
        <v>93545</v>
      </c>
      <c r="Q265" s="354">
        <f t="shared" si="38"/>
        <v>38.119396903015485</v>
      </c>
    </row>
    <row r="266" spans="2:17" s="275" customFormat="1" x14ac:dyDescent="0.2">
      <c r="B266" s="60">
        <f t="shared" si="39"/>
        <v>55</v>
      </c>
      <c r="C266" s="71"/>
      <c r="D266" s="71"/>
      <c r="E266" s="71"/>
      <c r="F266" s="72"/>
      <c r="G266" s="73">
        <v>632</v>
      </c>
      <c r="H266" s="71" t="s">
        <v>131</v>
      </c>
      <c r="I266" s="74">
        <v>41000</v>
      </c>
      <c r="J266" s="74">
        <v>16888</v>
      </c>
      <c r="K266" s="354">
        <f t="shared" si="40"/>
        <v>41.190243902439022</v>
      </c>
      <c r="L266" s="74"/>
      <c r="M266" s="74"/>
      <c r="N266" s="354"/>
      <c r="O266" s="75">
        <f t="shared" si="36"/>
        <v>41000</v>
      </c>
      <c r="P266" s="75">
        <f t="shared" si="37"/>
        <v>16888</v>
      </c>
      <c r="Q266" s="354">
        <f t="shared" si="38"/>
        <v>41.190243902439022</v>
      </c>
    </row>
    <row r="267" spans="2:17" s="275" customFormat="1" x14ac:dyDescent="0.2">
      <c r="B267" s="60">
        <f t="shared" si="39"/>
        <v>56</v>
      </c>
      <c r="C267" s="71"/>
      <c r="D267" s="71"/>
      <c r="E267" s="71"/>
      <c r="F267" s="72"/>
      <c r="G267" s="73">
        <v>633</v>
      </c>
      <c r="H267" s="71" t="s">
        <v>122</v>
      </c>
      <c r="I267" s="74">
        <v>3000</v>
      </c>
      <c r="J267" s="74">
        <v>0</v>
      </c>
      <c r="K267" s="354">
        <f t="shared" si="40"/>
        <v>0</v>
      </c>
      <c r="L267" s="74"/>
      <c r="M267" s="74"/>
      <c r="N267" s="354"/>
      <c r="O267" s="75">
        <f t="shared" si="36"/>
        <v>3000</v>
      </c>
      <c r="P267" s="75">
        <f t="shared" si="37"/>
        <v>0</v>
      </c>
      <c r="Q267" s="354">
        <f t="shared" si="38"/>
        <v>0</v>
      </c>
    </row>
    <row r="268" spans="2:17" s="275" customFormat="1" x14ac:dyDescent="0.2">
      <c r="B268" s="60">
        <f t="shared" si="39"/>
        <v>57</v>
      </c>
      <c r="C268" s="71"/>
      <c r="D268" s="71"/>
      <c r="E268" s="71"/>
      <c r="F268" s="72"/>
      <c r="G268" s="73">
        <v>635</v>
      </c>
      <c r="H268" s="71" t="s">
        <v>130</v>
      </c>
      <c r="I268" s="74">
        <v>30000</v>
      </c>
      <c r="J268" s="74">
        <v>2868</v>
      </c>
      <c r="K268" s="354">
        <f t="shared" si="40"/>
        <v>9.56</v>
      </c>
      <c r="L268" s="74"/>
      <c r="M268" s="74"/>
      <c r="N268" s="354"/>
      <c r="O268" s="75">
        <f t="shared" si="36"/>
        <v>30000</v>
      </c>
      <c r="P268" s="75">
        <f t="shared" si="37"/>
        <v>2868</v>
      </c>
      <c r="Q268" s="354">
        <f t="shared" si="38"/>
        <v>9.56</v>
      </c>
    </row>
    <row r="269" spans="2:17" s="275" customFormat="1" x14ac:dyDescent="0.2">
      <c r="B269" s="60">
        <f t="shared" si="39"/>
        <v>58</v>
      </c>
      <c r="C269" s="71"/>
      <c r="D269" s="71"/>
      <c r="E269" s="71"/>
      <c r="F269" s="72"/>
      <c r="G269" s="73">
        <v>637</v>
      </c>
      <c r="H269" s="71" t="s">
        <v>119</v>
      </c>
      <c r="I269" s="74">
        <v>171400</v>
      </c>
      <c r="J269" s="74">
        <v>73789</v>
      </c>
      <c r="K269" s="354">
        <f t="shared" si="40"/>
        <v>43.050758459743285</v>
      </c>
      <c r="L269" s="74"/>
      <c r="M269" s="74"/>
      <c r="N269" s="354"/>
      <c r="O269" s="75">
        <f t="shared" si="36"/>
        <v>171400</v>
      </c>
      <c r="P269" s="75">
        <f t="shared" si="37"/>
        <v>73789</v>
      </c>
      <c r="Q269" s="354">
        <f t="shared" si="38"/>
        <v>43.050758459743285</v>
      </c>
    </row>
    <row r="270" spans="2:17" s="275" customFormat="1" x14ac:dyDescent="0.2">
      <c r="B270" s="60">
        <f t="shared" si="39"/>
        <v>59</v>
      </c>
      <c r="C270" s="66"/>
      <c r="D270" s="66"/>
      <c r="E270" s="66"/>
      <c r="F270" s="67" t="s">
        <v>141</v>
      </c>
      <c r="G270" s="68">
        <v>710</v>
      </c>
      <c r="H270" s="66" t="s">
        <v>172</v>
      </c>
      <c r="I270" s="69"/>
      <c r="J270" s="69">
        <v>0</v>
      </c>
      <c r="K270" s="354"/>
      <c r="L270" s="69">
        <f>L271+L274</f>
        <v>390160</v>
      </c>
      <c r="M270" s="69">
        <f>M271+M274</f>
        <v>0</v>
      </c>
      <c r="N270" s="354">
        <f t="shared" ref="N270:N277" si="41">M270/L270*100</f>
        <v>0</v>
      </c>
      <c r="O270" s="70">
        <f t="shared" si="36"/>
        <v>390160</v>
      </c>
      <c r="P270" s="70">
        <f t="shared" si="37"/>
        <v>0</v>
      </c>
      <c r="Q270" s="354">
        <f t="shared" si="38"/>
        <v>0</v>
      </c>
    </row>
    <row r="271" spans="2:17" s="275" customFormat="1" x14ac:dyDescent="0.2">
      <c r="B271" s="60">
        <f t="shared" si="39"/>
        <v>60</v>
      </c>
      <c r="C271" s="71"/>
      <c r="D271" s="71"/>
      <c r="E271" s="71"/>
      <c r="F271" s="72"/>
      <c r="G271" s="73">
        <v>716</v>
      </c>
      <c r="H271" s="71" t="s">
        <v>212</v>
      </c>
      <c r="I271" s="74"/>
      <c r="J271" s="74"/>
      <c r="K271" s="354"/>
      <c r="L271" s="74">
        <f>SUM(L272:L273)</f>
        <v>271660</v>
      </c>
      <c r="M271" s="74">
        <f>SUM(M272:M273)</f>
        <v>0</v>
      </c>
      <c r="N271" s="354">
        <f t="shared" si="41"/>
        <v>0</v>
      </c>
      <c r="O271" s="75">
        <f t="shared" si="36"/>
        <v>271660</v>
      </c>
      <c r="P271" s="75">
        <f t="shared" si="37"/>
        <v>0</v>
      </c>
      <c r="Q271" s="354">
        <f t="shared" si="38"/>
        <v>0</v>
      </c>
    </row>
    <row r="272" spans="2:17" s="275" customFormat="1" x14ac:dyDescent="0.2">
      <c r="B272" s="60">
        <f t="shared" si="39"/>
        <v>61</v>
      </c>
      <c r="C272" s="80"/>
      <c r="D272" s="80"/>
      <c r="E272" s="80"/>
      <c r="F272" s="82"/>
      <c r="G272" s="82"/>
      <c r="H272" s="80" t="s">
        <v>592</v>
      </c>
      <c r="I272" s="83"/>
      <c r="J272" s="83"/>
      <c r="K272" s="354"/>
      <c r="L272" s="83">
        <v>5000</v>
      </c>
      <c r="M272" s="83">
        <v>0</v>
      </c>
      <c r="N272" s="354">
        <f t="shared" si="41"/>
        <v>0</v>
      </c>
      <c r="O272" s="84">
        <f t="shared" si="36"/>
        <v>5000</v>
      </c>
      <c r="P272" s="84">
        <f t="shared" si="37"/>
        <v>0</v>
      </c>
      <c r="Q272" s="354">
        <f t="shared" si="38"/>
        <v>0</v>
      </c>
    </row>
    <row r="273" spans="2:17" s="275" customFormat="1" x14ac:dyDescent="0.2">
      <c r="B273" s="60">
        <f t="shared" si="39"/>
        <v>62</v>
      </c>
      <c r="C273" s="80"/>
      <c r="D273" s="80"/>
      <c r="E273" s="80"/>
      <c r="F273" s="82"/>
      <c r="G273" s="82"/>
      <c r="H273" s="80" t="s">
        <v>380</v>
      </c>
      <c r="I273" s="83"/>
      <c r="J273" s="83"/>
      <c r="K273" s="354"/>
      <c r="L273" s="83">
        <f>99660+167000</f>
        <v>266660</v>
      </c>
      <c r="M273" s="83">
        <v>0</v>
      </c>
      <c r="N273" s="354">
        <f t="shared" si="41"/>
        <v>0</v>
      </c>
      <c r="O273" s="84">
        <f t="shared" si="36"/>
        <v>266660</v>
      </c>
      <c r="P273" s="84">
        <f t="shared" si="37"/>
        <v>0</v>
      </c>
      <c r="Q273" s="354">
        <f t="shared" si="38"/>
        <v>0</v>
      </c>
    </row>
    <row r="274" spans="2:17" s="275" customFormat="1" x14ac:dyDescent="0.2">
      <c r="B274" s="60">
        <f t="shared" si="39"/>
        <v>63</v>
      </c>
      <c r="C274" s="71"/>
      <c r="D274" s="71"/>
      <c r="E274" s="71"/>
      <c r="F274" s="72"/>
      <c r="G274" s="73">
        <v>717</v>
      </c>
      <c r="H274" s="71" t="s">
        <v>179</v>
      </c>
      <c r="I274" s="74"/>
      <c r="J274" s="74"/>
      <c r="K274" s="354"/>
      <c r="L274" s="74">
        <f>SUM(L275:L277)</f>
        <v>118500</v>
      </c>
      <c r="M274" s="74">
        <f>SUM(M275:M277)</f>
        <v>0</v>
      </c>
      <c r="N274" s="354">
        <f t="shared" si="41"/>
        <v>0</v>
      </c>
      <c r="O274" s="75">
        <f t="shared" si="36"/>
        <v>118500</v>
      </c>
      <c r="P274" s="75">
        <f t="shared" si="37"/>
        <v>0</v>
      </c>
      <c r="Q274" s="354">
        <f t="shared" si="38"/>
        <v>0</v>
      </c>
    </row>
    <row r="275" spans="2:17" s="275" customFormat="1" x14ac:dyDescent="0.2">
      <c r="B275" s="60">
        <f t="shared" si="39"/>
        <v>64</v>
      </c>
      <c r="C275" s="80"/>
      <c r="D275" s="80"/>
      <c r="E275" s="80"/>
      <c r="F275" s="82"/>
      <c r="G275" s="82"/>
      <c r="H275" s="80" t="s">
        <v>522</v>
      </c>
      <c r="I275" s="83"/>
      <c r="J275" s="83"/>
      <c r="K275" s="354"/>
      <c r="L275" s="83">
        <v>17000</v>
      </c>
      <c r="M275" s="83">
        <v>0</v>
      </c>
      <c r="N275" s="354">
        <f t="shared" si="41"/>
        <v>0</v>
      </c>
      <c r="O275" s="84">
        <f t="shared" si="36"/>
        <v>17000</v>
      </c>
      <c r="P275" s="84">
        <f t="shared" si="37"/>
        <v>0</v>
      </c>
      <c r="Q275" s="354">
        <f t="shared" si="38"/>
        <v>0</v>
      </c>
    </row>
    <row r="276" spans="2:17" s="275" customFormat="1" x14ac:dyDescent="0.2">
      <c r="B276" s="60">
        <f t="shared" si="39"/>
        <v>65</v>
      </c>
      <c r="C276" s="80"/>
      <c r="D276" s="80"/>
      <c r="E276" s="80"/>
      <c r="F276" s="82"/>
      <c r="G276" s="82"/>
      <c r="H276" s="80" t="s">
        <v>480</v>
      </c>
      <c r="I276" s="83"/>
      <c r="J276" s="83"/>
      <c r="K276" s="354"/>
      <c r="L276" s="83">
        <v>26500</v>
      </c>
      <c r="M276" s="83">
        <v>0</v>
      </c>
      <c r="N276" s="354">
        <f t="shared" si="41"/>
        <v>0</v>
      </c>
      <c r="O276" s="84">
        <f t="shared" ref="O276:O284" si="42">I276+L276</f>
        <v>26500</v>
      </c>
      <c r="P276" s="84">
        <f t="shared" ref="P276:P284" si="43">J276+M276</f>
        <v>0</v>
      </c>
      <c r="Q276" s="354">
        <f t="shared" ref="Q276:Q284" si="44">P276/O276*100</f>
        <v>0</v>
      </c>
    </row>
    <row r="277" spans="2:17" s="275" customFormat="1" x14ac:dyDescent="0.2">
      <c r="B277" s="60">
        <f t="shared" ref="B277:B284" si="45">B276+1</f>
        <v>66</v>
      </c>
      <c r="C277" s="80"/>
      <c r="D277" s="80"/>
      <c r="E277" s="80"/>
      <c r="F277" s="82"/>
      <c r="G277" s="82"/>
      <c r="H277" s="80" t="s">
        <v>390</v>
      </c>
      <c r="I277" s="83"/>
      <c r="J277" s="83"/>
      <c r="K277" s="354"/>
      <c r="L277" s="83">
        <v>75000</v>
      </c>
      <c r="M277" s="83">
        <v>0</v>
      </c>
      <c r="N277" s="354">
        <f t="shared" si="41"/>
        <v>0</v>
      </c>
      <c r="O277" s="84">
        <f t="shared" si="42"/>
        <v>75000</v>
      </c>
      <c r="P277" s="84">
        <f t="shared" si="43"/>
        <v>0</v>
      </c>
      <c r="Q277" s="354">
        <f t="shared" si="44"/>
        <v>0</v>
      </c>
    </row>
    <row r="278" spans="2:17" s="275" customFormat="1" ht="15" x14ac:dyDescent="0.2">
      <c r="B278" s="60">
        <f t="shared" si="45"/>
        <v>67</v>
      </c>
      <c r="C278" s="63">
        <v>7</v>
      </c>
      <c r="D278" s="501" t="s">
        <v>42</v>
      </c>
      <c r="E278" s="502"/>
      <c r="F278" s="502"/>
      <c r="G278" s="502"/>
      <c r="H278" s="502"/>
      <c r="I278" s="64">
        <f>I279</f>
        <v>2085</v>
      </c>
      <c r="J278" s="64">
        <f>J279</f>
        <v>534</v>
      </c>
      <c r="K278" s="354">
        <f t="shared" ref="K278:K284" si="46">J278/I278*100</f>
        <v>25.611510791366904</v>
      </c>
      <c r="L278" s="64"/>
      <c r="M278" s="64"/>
      <c r="N278" s="354"/>
      <c r="O278" s="65">
        <f t="shared" si="42"/>
        <v>2085</v>
      </c>
      <c r="P278" s="65">
        <f t="shared" si="43"/>
        <v>534</v>
      </c>
      <c r="Q278" s="354">
        <f t="shared" si="44"/>
        <v>25.611510791366904</v>
      </c>
    </row>
    <row r="279" spans="2:17" s="275" customFormat="1" ht="15" x14ac:dyDescent="0.25">
      <c r="B279" s="60">
        <f t="shared" si="45"/>
        <v>68</v>
      </c>
      <c r="C279" s="85"/>
      <c r="D279" s="85"/>
      <c r="E279" s="85">
        <v>2</v>
      </c>
      <c r="F279" s="86"/>
      <c r="G279" s="86"/>
      <c r="H279" s="85" t="s">
        <v>11</v>
      </c>
      <c r="I279" s="78">
        <f>I280</f>
        <v>2085</v>
      </c>
      <c r="J279" s="78">
        <f>J280</f>
        <v>534</v>
      </c>
      <c r="K279" s="354">
        <f t="shared" si="46"/>
        <v>25.611510791366904</v>
      </c>
      <c r="L279" s="87"/>
      <c r="M279" s="87"/>
      <c r="N279" s="354"/>
      <c r="O279" s="88">
        <f t="shared" si="42"/>
        <v>2085</v>
      </c>
      <c r="P279" s="88">
        <f t="shared" si="43"/>
        <v>534</v>
      </c>
      <c r="Q279" s="354">
        <f t="shared" si="44"/>
        <v>25.611510791366904</v>
      </c>
    </row>
    <row r="280" spans="2:17" s="275" customFormat="1" x14ac:dyDescent="0.2">
      <c r="B280" s="60">
        <f t="shared" si="45"/>
        <v>69</v>
      </c>
      <c r="C280" s="66"/>
      <c r="D280" s="66"/>
      <c r="E280" s="66"/>
      <c r="F280" s="67" t="s">
        <v>214</v>
      </c>
      <c r="G280" s="68">
        <v>630</v>
      </c>
      <c r="H280" s="66" t="s">
        <v>118</v>
      </c>
      <c r="I280" s="69">
        <f>I281+I282+I283+I284</f>
        <v>2085</v>
      </c>
      <c r="J280" s="69">
        <f>J281+J282+J283+J284</f>
        <v>534</v>
      </c>
      <c r="K280" s="354">
        <f t="shared" si="46"/>
        <v>25.611510791366904</v>
      </c>
      <c r="L280" s="69"/>
      <c r="M280" s="69"/>
      <c r="N280" s="354"/>
      <c r="O280" s="70">
        <f t="shared" si="42"/>
        <v>2085</v>
      </c>
      <c r="P280" s="70">
        <f t="shared" si="43"/>
        <v>534</v>
      </c>
      <c r="Q280" s="354">
        <f t="shared" si="44"/>
        <v>25.611510791366904</v>
      </c>
    </row>
    <row r="281" spans="2:17" s="275" customFormat="1" x14ac:dyDescent="0.2">
      <c r="B281" s="60">
        <f t="shared" si="45"/>
        <v>70</v>
      </c>
      <c r="C281" s="71"/>
      <c r="D281" s="71"/>
      <c r="E281" s="71"/>
      <c r="F281" s="72"/>
      <c r="G281" s="73">
        <v>633</v>
      </c>
      <c r="H281" s="71" t="s">
        <v>122</v>
      </c>
      <c r="I281" s="74">
        <v>550</v>
      </c>
      <c r="J281" s="74">
        <v>59</v>
      </c>
      <c r="K281" s="354">
        <f t="shared" si="46"/>
        <v>10.727272727272727</v>
      </c>
      <c r="L281" s="74"/>
      <c r="M281" s="74"/>
      <c r="N281" s="354"/>
      <c r="O281" s="75">
        <f t="shared" si="42"/>
        <v>550</v>
      </c>
      <c r="P281" s="75">
        <f t="shared" si="43"/>
        <v>59</v>
      </c>
      <c r="Q281" s="354">
        <f t="shared" si="44"/>
        <v>10.727272727272727</v>
      </c>
    </row>
    <row r="282" spans="2:17" s="275" customFormat="1" x14ac:dyDescent="0.2">
      <c r="B282" s="60">
        <f t="shared" si="45"/>
        <v>71</v>
      </c>
      <c r="C282" s="71"/>
      <c r="D282" s="71"/>
      <c r="E282" s="71"/>
      <c r="F282" s="72"/>
      <c r="G282" s="73">
        <v>634</v>
      </c>
      <c r="H282" s="71" t="s">
        <v>129</v>
      </c>
      <c r="I282" s="74">
        <v>350</v>
      </c>
      <c r="J282" s="74">
        <v>115</v>
      </c>
      <c r="K282" s="354">
        <f t="shared" si="46"/>
        <v>32.857142857142854</v>
      </c>
      <c r="L282" s="74"/>
      <c r="M282" s="74"/>
      <c r="N282" s="354"/>
      <c r="O282" s="75">
        <f t="shared" si="42"/>
        <v>350</v>
      </c>
      <c r="P282" s="75">
        <f t="shared" si="43"/>
        <v>115</v>
      </c>
      <c r="Q282" s="354">
        <f t="shared" si="44"/>
        <v>32.857142857142854</v>
      </c>
    </row>
    <row r="283" spans="2:17" s="275" customFormat="1" x14ac:dyDescent="0.2">
      <c r="B283" s="60">
        <f t="shared" si="45"/>
        <v>72</v>
      </c>
      <c r="C283" s="71"/>
      <c r="D283" s="71"/>
      <c r="E283" s="71"/>
      <c r="F283" s="72"/>
      <c r="G283" s="73">
        <v>635</v>
      </c>
      <c r="H283" s="71" t="s">
        <v>130</v>
      </c>
      <c r="I283" s="74">
        <v>985</v>
      </c>
      <c r="J283" s="74">
        <v>360</v>
      </c>
      <c r="K283" s="354">
        <f t="shared" si="46"/>
        <v>36.548223350253807</v>
      </c>
      <c r="L283" s="74"/>
      <c r="M283" s="74"/>
      <c r="N283" s="354"/>
      <c r="O283" s="75">
        <f t="shared" si="42"/>
        <v>985</v>
      </c>
      <c r="P283" s="75">
        <f t="shared" si="43"/>
        <v>360</v>
      </c>
      <c r="Q283" s="354">
        <f t="shared" si="44"/>
        <v>36.548223350253807</v>
      </c>
    </row>
    <row r="284" spans="2:17" s="275" customFormat="1" x14ac:dyDescent="0.2">
      <c r="B284" s="60">
        <f t="shared" si="45"/>
        <v>73</v>
      </c>
      <c r="C284" s="89"/>
      <c r="D284" s="89"/>
      <c r="E284" s="89"/>
      <c r="F284" s="90"/>
      <c r="G284" s="91">
        <v>637</v>
      </c>
      <c r="H284" s="89" t="s">
        <v>119</v>
      </c>
      <c r="I284" s="92">
        <v>200</v>
      </c>
      <c r="J284" s="92">
        <v>0</v>
      </c>
      <c r="K284" s="354">
        <f t="shared" si="46"/>
        <v>0</v>
      </c>
      <c r="L284" s="92"/>
      <c r="M284" s="92"/>
      <c r="N284" s="354"/>
      <c r="O284" s="93">
        <f t="shared" si="42"/>
        <v>200</v>
      </c>
      <c r="P284" s="93">
        <f t="shared" si="43"/>
        <v>0</v>
      </c>
      <c r="Q284" s="354">
        <f t="shared" si="44"/>
        <v>0</v>
      </c>
    </row>
    <row r="285" spans="2:17" s="275" customFormat="1" x14ac:dyDescent="0.2">
      <c r="B285" s="276"/>
      <c r="F285" s="277"/>
      <c r="G285" s="277"/>
      <c r="I285" s="249"/>
      <c r="J285" s="249"/>
      <c r="K285" s="5"/>
      <c r="L285" s="249"/>
      <c r="M285" s="249"/>
      <c r="N285" s="5"/>
      <c r="O285" s="249"/>
    </row>
    <row r="286" spans="2:17" s="275" customFormat="1" x14ac:dyDescent="0.2">
      <c r="B286" s="276"/>
      <c r="F286" s="277"/>
      <c r="G286" s="277"/>
      <c r="I286" s="249"/>
      <c r="J286" s="249"/>
      <c r="K286" s="5"/>
      <c r="L286" s="249"/>
      <c r="M286" s="249"/>
      <c r="N286" s="5"/>
      <c r="O286" s="249"/>
    </row>
    <row r="287" spans="2:17" s="275" customFormat="1" x14ac:dyDescent="0.2">
      <c r="B287" s="276"/>
      <c r="F287" s="277"/>
      <c r="G287" s="277"/>
      <c r="I287" s="249"/>
      <c r="J287" s="249"/>
      <c r="K287" s="5"/>
      <c r="L287" s="249"/>
      <c r="M287" s="249"/>
      <c r="N287" s="5"/>
      <c r="O287" s="249"/>
    </row>
    <row r="288" spans="2:17" s="275" customFormat="1" ht="27.75" x14ac:dyDescent="0.4">
      <c r="B288" s="498" t="s">
        <v>18</v>
      </c>
      <c r="C288" s="499"/>
      <c r="D288" s="499"/>
      <c r="E288" s="499"/>
      <c r="F288" s="499"/>
      <c r="G288" s="499"/>
      <c r="H288" s="499"/>
      <c r="I288" s="499"/>
      <c r="J288" s="499"/>
      <c r="K288" s="499"/>
      <c r="L288" s="499"/>
      <c r="M288" s="499"/>
      <c r="N288" s="499"/>
      <c r="O288" s="500"/>
      <c r="P288" s="3"/>
      <c r="Q288" s="3"/>
    </row>
    <row r="289" spans="2:17" s="275" customFormat="1" ht="15" x14ac:dyDescent="0.35">
      <c r="B289" s="461" t="s">
        <v>437</v>
      </c>
      <c r="C289" s="462"/>
      <c r="D289" s="462"/>
      <c r="E289" s="462"/>
      <c r="F289" s="462"/>
      <c r="G289" s="462"/>
      <c r="H289" s="462"/>
      <c r="I289" s="462"/>
      <c r="J289" s="462"/>
      <c r="K289" s="462"/>
      <c r="L289" s="462"/>
      <c r="M289" s="462"/>
      <c r="N289" s="463"/>
      <c r="O289" s="466" t="s">
        <v>717</v>
      </c>
      <c r="P289" s="466" t="s">
        <v>712</v>
      </c>
      <c r="Q289" s="468" t="s">
        <v>711</v>
      </c>
    </row>
    <row r="290" spans="2:17" s="275" customFormat="1" x14ac:dyDescent="0.2">
      <c r="B290" s="478"/>
      <c r="C290" s="475" t="s">
        <v>111</v>
      </c>
      <c r="D290" s="475" t="s">
        <v>112</v>
      </c>
      <c r="E290" s="475"/>
      <c r="F290" s="475" t="s">
        <v>113</v>
      </c>
      <c r="G290" s="477" t="s">
        <v>114</v>
      </c>
      <c r="H290" s="476" t="s">
        <v>115</v>
      </c>
      <c r="I290" s="471" t="s">
        <v>713</v>
      </c>
      <c r="J290" s="471" t="s">
        <v>714</v>
      </c>
      <c r="K290" s="472" t="s">
        <v>711</v>
      </c>
      <c r="L290" s="471" t="s">
        <v>715</v>
      </c>
      <c r="M290" s="471" t="s">
        <v>716</v>
      </c>
      <c r="N290" s="451" t="s">
        <v>711</v>
      </c>
      <c r="O290" s="467"/>
      <c r="P290" s="467"/>
      <c r="Q290" s="469"/>
    </row>
    <row r="291" spans="2:17" s="275" customFormat="1" x14ac:dyDescent="0.2">
      <c r="B291" s="478"/>
      <c r="C291" s="475"/>
      <c r="D291" s="475"/>
      <c r="E291" s="475"/>
      <c r="F291" s="475"/>
      <c r="G291" s="477"/>
      <c r="H291" s="476"/>
      <c r="I291" s="471"/>
      <c r="J291" s="471"/>
      <c r="K291" s="473"/>
      <c r="L291" s="471"/>
      <c r="M291" s="471"/>
      <c r="N291" s="452"/>
      <c r="O291" s="467"/>
      <c r="P291" s="467"/>
      <c r="Q291" s="469"/>
    </row>
    <row r="292" spans="2:17" s="275" customFormat="1" x14ac:dyDescent="0.2">
      <c r="B292" s="478"/>
      <c r="C292" s="475"/>
      <c r="D292" s="475"/>
      <c r="E292" s="475"/>
      <c r="F292" s="475"/>
      <c r="G292" s="477"/>
      <c r="H292" s="476"/>
      <c r="I292" s="471"/>
      <c r="J292" s="471"/>
      <c r="K292" s="473"/>
      <c r="L292" s="471"/>
      <c r="M292" s="471"/>
      <c r="N292" s="452"/>
      <c r="O292" s="467"/>
      <c r="P292" s="467"/>
      <c r="Q292" s="469"/>
    </row>
    <row r="293" spans="2:17" s="275" customFormat="1" x14ac:dyDescent="0.2">
      <c r="B293" s="478"/>
      <c r="C293" s="475"/>
      <c r="D293" s="475"/>
      <c r="E293" s="475"/>
      <c r="F293" s="475"/>
      <c r="G293" s="477"/>
      <c r="H293" s="476"/>
      <c r="I293" s="471"/>
      <c r="J293" s="471"/>
      <c r="K293" s="474"/>
      <c r="L293" s="471"/>
      <c r="M293" s="471"/>
      <c r="N293" s="452"/>
      <c r="O293" s="467"/>
      <c r="P293" s="467"/>
      <c r="Q293" s="470"/>
    </row>
    <row r="294" spans="2:17" s="275" customFormat="1" ht="15.75" x14ac:dyDescent="0.2">
      <c r="B294" s="60">
        <v>1</v>
      </c>
      <c r="C294" s="503" t="s">
        <v>18</v>
      </c>
      <c r="D294" s="504"/>
      <c r="E294" s="504"/>
      <c r="F294" s="504"/>
      <c r="G294" s="504"/>
      <c r="H294" s="504"/>
      <c r="I294" s="61">
        <f>I295+I314+I335+I342+I348</f>
        <v>2591014</v>
      </c>
      <c r="J294" s="61">
        <f>J295+J314+J335+J342+J348</f>
        <v>1284596</v>
      </c>
      <c r="K294" s="354">
        <f t="shared" ref="K294:K306" si="47">J294/I294*100</f>
        <v>49.578890735441803</v>
      </c>
      <c r="L294" s="61">
        <f>L295+L314+L335+L342+L348</f>
        <v>15215900</v>
      </c>
      <c r="M294" s="61">
        <f>M295+M314+M335+M342+M348</f>
        <v>1333738</v>
      </c>
      <c r="N294" s="354">
        <f>M294/L294*100</f>
        <v>8.7654230114551233</v>
      </c>
      <c r="O294" s="62">
        <f t="shared" ref="O294:O325" si="48">I294+L294</f>
        <v>17806914</v>
      </c>
      <c r="P294" s="62">
        <f t="shared" ref="P294:P325" si="49">J294+M294</f>
        <v>2618334</v>
      </c>
      <c r="Q294" s="354">
        <f t="shared" ref="Q294:Q325" si="50">P294/O294*100</f>
        <v>14.704030131217571</v>
      </c>
    </row>
    <row r="295" spans="2:17" s="275" customFormat="1" ht="15" x14ac:dyDescent="0.2">
      <c r="B295" s="60">
        <f t="shared" ref="B295:B326" si="51">B294+1</f>
        <v>2</v>
      </c>
      <c r="C295" s="63">
        <v>1</v>
      </c>
      <c r="D295" s="501" t="s">
        <v>148</v>
      </c>
      <c r="E295" s="502"/>
      <c r="F295" s="502"/>
      <c r="G295" s="502"/>
      <c r="H295" s="502"/>
      <c r="I295" s="64">
        <f>I296+I297+I298+I306</f>
        <v>1683640</v>
      </c>
      <c r="J295" s="64">
        <f>J296+J297+J298+J306</f>
        <v>811154</v>
      </c>
      <c r="K295" s="354">
        <f t="shared" si="47"/>
        <v>48.178589247107453</v>
      </c>
      <c r="L295" s="64">
        <f>L307</f>
        <v>85400</v>
      </c>
      <c r="M295" s="64">
        <f>M307</f>
        <v>0</v>
      </c>
      <c r="N295" s="354">
        <f>M295/L295*100</f>
        <v>0</v>
      </c>
      <c r="O295" s="65">
        <f t="shared" si="48"/>
        <v>1769040</v>
      </c>
      <c r="P295" s="65">
        <f t="shared" si="49"/>
        <v>811154</v>
      </c>
      <c r="Q295" s="354">
        <f t="shared" si="50"/>
        <v>45.852778908334464</v>
      </c>
    </row>
    <row r="296" spans="2:17" s="275" customFormat="1" x14ac:dyDescent="0.2">
      <c r="B296" s="60">
        <f t="shared" si="51"/>
        <v>3</v>
      </c>
      <c r="C296" s="66"/>
      <c r="D296" s="66"/>
      <c r="E296" s="66"/>
      <c r="F296" s="67" t="s">
        <v>147</v>
      </c>
      <c r="G296" s="68">
        <v>610</v>
      </c>
      <c r="H296" s="66" t="s">
        <v>128</v>
      </c>
      <c r="I296" s="69">
        <v>1090000</v>
      </c>
      <c r="J296" s="69">
        <v>541829</v>
      </c>
      <c r="K296" s="354">
        <f t="shared" si="47"/>
        <v>49.709082568807339</v>
      </c>
      <c r="L296" s="69"/>
      <c r="M296" s="69"/>
      <c r="N296" s="354"/>
      <c r="O296" s="70">
        <f t="shared" si="48"/>
        <v>1090000</v>
      </c>
      <c r="P296" s="70">
        <f t="shared" si="49"/>
        <v>541829</v>
      </c>
      <c r="Q296" s="354">
        <f t="shared" si="50"/>
        <v>49.709082568807339</v>
      </c>
    </row>
    <row r="297" spans="2:17" s="275" customFormat="1" x14ac:dyDescent="0.2">
      <c r="B297" s="60">
        <f t="shared" si="51"/>
        <v>4</v>
      </c>
      <c r="C297" s="66"/>
      <c r="D297" s="66"/>
      <c r="E297" s="66"/>
      <c r="F297" s="67" t="s">
        <v>147</v>
      </c>
      <c r="G297" s="68">
        <v>620</v>
      </c>
      <c r="H297" s="66" t="s">
        <v>121</v>
      </c>
      <c r="I297" s="69">
        <v>344000</v>
      </c>
      <c r="J297" s="69">
        <v>201260</v>
      </c>
      <c r="K297" s="354">
        <f t="shared" si="47"/>
        <v>58.505813953488371</v>
      </c>
      <c r="L297" s="69"/>
      <c r="M297" s="69"/>
      <c r="N297" s="354"/>
      <c r="O297" s="70">
        <f t="shared" si="48"/>
        <v>344000</v>
      </c>
      <c r="P297" s="70">
        <f t="shared" si="49"/>
        <v>201260</v>
      </c>
      <c r="Q297" s="354">
        <f t="shared" si="50"/>
        <v>58.505813953488371</v>
      </c>
    </row>
    <row r="298" spans="2:17" s="275" customFormat="1" x14ac:dyDescent="0.2">
      <c r="B298" s="60">
        <f t="shared" si="51"/>
        <v>5</v>
      </c>
      <c r="C298" s="66"/>
      <c r="D298" s="66"/>
      <c r="E298" s="66"/>
      <c r="F298" s="67" t="s">
        <v>147</v>
      </c>
      <c r="G298" s="68">
        <v>630</v>
      </c>
      <c r="H298" s="66" t="s">
        <v>118</v>
      </c>
      <c r="I298" s="69">
        <f>I299+I300+I301+I302+I303+I304+I305</f>
        <v>209440</v>
      </c>
      <c r="J298" s="69">
        <f>J299+J300+J301+J302+J303+J304+J305</f>
        <v>47531</v>
      </c>
      <c r="K298" s="354">
        <f t="shared" si="47"/>
        <v>22.694327731092436</v>
      </c>
      <c r="L298" s="69"/>
      <c r="M298" s="69"/>
      <c r="N298" s="354"/>
      <c r="O298" s="70">
        <f t="shared" si="48"/>
        <v>209440</v>
      </c>
      <c r="P298" s="70">
        <f t="shared" si="49"/>
        <v>47531</v>
      </c>
      <c r="Q298" s="354">
        <f t="shared" si="50"/>
        <v>22.694327731092436</v>
      </c>
    </row>
    <row r="299" spans="2:17" s="275" customFormat="1" x14ac:dyDescent="0.2">
      <c r="B299" s="60">
        <f t="shared" si="51"/>
        <v>6</v>
      </c>
      <c r="C299" s="71"/>
      <c r="D299" s="71"/>
      <c r="E299" s="71"/>
      <c r="F299" s="72"/>
      <c r="G299" s="73">
        <v>631</v>
      </c>
      <c r="H299" s="71" t="s">
        <v>124</v>
      </c>
      <c r="I299" s="74">
        <f>8000-3000</f>
        <v>5000</v>
      </c>
      <c r="J299" s="74">
        <v>0</v>
      </c>
      <c r="K299" s="354">
        <f t="shared" si="47"/>
        <v>0</v>
      </c>
      <c r="L299" s="74"/>
      <c r="M299" s="74"/>
      <c r="N299" s="354"/>
      <c r="O299" s="75">
        <f t="shared" si="48"/>
        <v>5000</v>
      </c>
      <c r="P299" s="75">
        <f t="shared" si="49"/>
        <v>0</v>
      </c>
      <c r="Q299" s="354">
        <f t="shared" si="50"/>
        <v>0</v>
      </c>
    </row>
    <row r="300" spans="2:17" s="275" customFormat="1" x14ac:dyDescent="0.2">
      <c r="B300" s="60">
        <f t="shared" si="51"/>
        <v>7</v>
      </c>
      <c r="C300" s="71"/>
      <c r="D300" s="71"/>
      <c r="E300" s="71"/>
      <c r="F300" s="72"/>
      <c r="G300" s="73">
        <v>632</v>
      </c>
      <c r="H300" s="71" t="s">
        <v>131</v>
      </c>
      <c r="I300" s="74">
        <v>44000</v>
      </c>
      <c r="J300" s="74">
        <v>12900</v>
      </c>
      <c r="K300" s="354">
        <f t="shared" si="47"/>
        <v>29.318181818181817</v>
      </c>
      <c r="L300" s="74"/>
      <c r="M300" s="74"/>
      <c r="N300" s="354"/>
      <c r="O300" s="75">
        <f t="shared" si="48"/>
        <v>44000</v>
      </c>
      <c r="P300" s="75">
        <f t="shared" si="49"/>
        <v>12900</v>
      </c>
      <c r="Q300" s="354">
        <f t="shared" si="50"/>
        <v>29.318181818181817</v>
      </c>
    </row>
    <row r="301" spans="2:17" s="275" customFormat="1" x14ac:dyDescent="0.2">
      <c r="B301" s="60">
        <f t="shared" si="51"/>
        <v>8</v>
      </c>
      <c r="C301" s="71"/>
      <c r="D301" s="71"/>
      <c r="E301" s="71"/>
      <c r="F301" s="72"/>
      <c r="G301" s="73">
        <v>633</v>
      </c>
      <c r="H301" s="71" t="s">
        <v>122</v>
      </c>
      <c r="I301" s="74">
        <v>70250</v>
      </c>
      <c r="J301" s="74">
        <v>4630</v>
      </c>
      <c r="K301" s="354">
        <f t="shared" si="47"/>
        <v>6.5907473309608537</v>
      </c>
      <c r="L301" s="74"/>
      <c r="M301" s="74"/>
      <c r="N301" s="354"/>
      <c r="O301" s="75">
        <f t="shared" si="48"/>
        <v>70250</v>
      </c>
      <c r="P301" s="75">
        <f t="shared" si="49"/>
        <v>4630</v>
      </c>
      <c r="Q301" s="354">
        <f t="shared" si="50"/>
        <v>6.5907473309608537</v>
      </c>
    </row>
    <row r="302" spans="2:17" s="275" customFormat="1" x14ac:dyDescent="0.2">
      <c r="B302" s="60">
        <f t="shared" si="51"/>
        <v>9</v>
      </c>
      <c r="C302" s="71"/>
      <c r="D302" s="71"/>
      <c r="E302" s="71"/>
      <c r="F302" s="72"/>
      <c r="G302" s="73">
        <v>634</v>
      </c>
      <c r="H302" s="71" t="s">
        <v>129</v>
      </c>
      <c r="I302" s="74">
        <v>40610</v>
      </c>
      <c r="J302" s="74">
        <v>15817</v>
      </c>
      <c r="K302" s="354">
        <f t="shared" si="47"/>
        <v>38.948534843634576</v>
      </c>
      <c r="L302" s="74"/>
      <c r="M302" s="74"/>
      <c r="N302" s="354"/>
      <c r="O302" s="75">
        <f t="shared" si="48"/>
        <v>40610</v>
      </c>
      <c r="P302" s="75">
        <f t="shared" si="49"/>
        <v>15817</v>
      </c>
      <c r="Q302" s="354">
        <f t="shared" si="50"/>
        <v>38.948534843634576</v>
      </c>
    </row>
    <row r="303" spans="2:17" s="275" customFormat="1" x14ac:dyDescent="0.2">
      <c r="B303" s="60">
        <f t="shared" si="51"/>
        <v>10</v>
      </c>
      <c r="C303" s="71"/>
      <c r="D303" s="71"/>
      <c r="E303" s="71"/>
      <c r="F303" s="72"/>
      <c r="G303" s="73">
        <v>635</v>
      </c>
      <c r="H303" s="71" t="s">
        <v>130</v>
      </c>
      <c r="I303" s="74">
        <v>6100</v>
      </c>
      <c r="J303" s="74">
        <v>736</v>
      </c>
      <c r="K303" s="354">
        <f t="shared" si="47"/>
        <v>12.065573770491804</v>
      </c>
      <c r="L303" s="74"/>
      <c r="M303" s="74"/>
      <c r="N303" s="354"/>
      <c r="O303" s="75">
        <f t="shared" si="48"/>
        <v>6100</v>
      </c>
      <c r="P303" s="75">
        <f t="shared" si="49"/>
        <v>736</v>
      </c>
      <c r="Q303" s="354">
        <f t="shared" si="50"/>
        <v>12.065573770491804</v>
      </c>
    </row>
    <row r="304" spans="2:17" s="275" customFormat="1" x14ac:dyDescent="0.2">
      <c r="B304" s="60">
        <f t="shared" si="51"/>
        <v>11</v>
      </c>
      <c r="C304" s="71"/>
      <c r="D304" s="71"/>
      <c r="E304" s="71"/>
      <c r="F304" s="72"/>
      <c r="G304" s="73">
        <v>636</v>
      </c>
      <c r="H304" s="71" t="s">
        <v>123</v>
      </c>
      <c r="I304" s="74">
        <v>2000</v>
      </c>
      <c r="J304" s="74">
        <v>0</v>
      </c>
      <c r="K304" s="354">
        <f t="shared" si="47"/>
        <v>0</v>
      </c>
      <c r="L304" s="74"/>
      <c r="M304" s="74"/>
      <c r="N304" s="354"/>
      <c r="O304" s="75">
        <f t="shared" si="48"/>
        <v>2000</v>
      </c>
      <c r="P304" s="75">
        <f t="shared" si="49"/>
        <v>0</v>
      </c>
      <c r="Q304" s="354">
        <f t="shared" si="50"/>
        <v>0</v>
      </c>
    </row>
    <row r="305" spans="2:17" s="275" customFormat="1" x14ac:dyDescent="0.2">
      <c r="B305" s="60">
        <f t="shared" si="51"/>
        <v>12</v>
      </c>
      <c r="C305" s="71"/>
      <c r="D305" s="71"/>
      <c r="E305" s="71"/>
      <c r="F305" s="72"/>
      <c r="G305" s="73">
        <v>637</v>
      </c>
      <c r="H305" s="71" t="s">
        <v>119</v>
      </c>
      <c r="I305" s="74">
        <v>41480</v>
      </c>
      <c r="J305" s="74">
        <v>13448</v>
      </c>
      <c r="K305" s="354">
        <f t="shared" si="47"/>
        <v>32.420443587270974</v>
      </c>
      <c r="L305" s="74"/>
      <c r="M305" s="74"/>
      <c r="N305" s="354"/>
      <c r="O305" s="75">
        <f t="shared" si="48"/>
        <v>41480</v>
      </c>
      <c r="P305" s="75">
        <f t="shared" si="49"/>
        <v>13448</v>
      </c>
      <c r="Q305" s="354">
        <f t="shared" si="50"/>
        <v>32.420443587270974</v>
      </c>
    </row>
    <row r="306" spans="2:17" s="275" customFormat="1" x14ac:dyDescent="0.2">
      <c r="B306" s="60">
        <f t="shared" si="51"/>
        <v>13</v>
      </c>
      <c r="C306" s="66"/>
      <c r="D306" s="66"/>
      <c r="E306" s="66"/>
      <c r="F306" s="67" t="s">
        <v>147</v>
      </c>
      <c r="G306" s="68">
        <v>640</v>
      </c>
      <c r="H306" s="66" t="s">
        <v>126</v>
      </c>
      <c r="I306" s="69">
        <v>40200</v>
      </c>
      <c r="J306" s="69">
        <v>20534</v>
      </c>
      <c r="K306" s="354">
        <f t="shared" si="47"/>
        <v>51.079601990049753</v>
      </c>
      <c r="L306" s="69"/>
      <c r="M306" s="69"/>
      <c r="N306" s="354"/>
      <c r="O306" s="70">
        <f t="shared" si="48"/>
        <v>40200</v>
      </c>
      <c r="P306" s="70">
        <f t="shared" si="49"/>
        <v>20534</v>
      </c>
      <c r="Q306" s="354">
        <f t="shared" si="50"/>
        <v>51.079601990049753</v>
      </c>
    </row>
    <row r="307" spans="2:17" s="275" customFormat="1" x14ac:dyDescent="0.2">
      <c r="B307" s="60">
        <f t="shared" si="51"/>
        <v>14</v>
      </c>
      <c r="C307" s="66"/>
      <c r="D307" s="66"/>
      <c r="E307" s="66"/>
      <c r="F307" s="67" t="s">
        <v>147</v>
      </c>
      <c r="G307" s="68">
        <v>710</v>
      </c>
      <c r="H307" s="66" t="s">
        <v>172</v>
      </c>
      <c r="I307" s="69"/>
      <c r="J307" s="69"/>
      <c r="K307" s="354"/>
      <c r="L307" s="69">
        <f>L308+L310+L312</f>
        <v>85400</v>
      </c>
      <c r="M307" s="69">
        <f>M308+M310+M312</f>
        <v>0</v>
      </c>
      <c r="N307" s="354">
        <f t="shared" ref="N307:N324" si="52">M307/L307*100</f>
        <v>0</v>
      </c>
      <c r="O307" s="70">
        <f t="shared" si="48"/>
        <v>85400</v>
      </c>
      <c r="P307" s="70">
        <f t="shared" si="49"/>
        <v>0</v>
      </c>
      <c r="Q307" s="354">
        <f t="shared" si="50"/>
        <v>0</v>
      </c>
    </row>
    <row r="308" spans="2:17" s="275" customFormat="1" x14ac:dyDescent="0.2">
      <c r="B308" s="60">
        <f t="shared" si="51"/>
        <v>15</v>
      </c>
      <c r="C308" s="71"/>
      <c r="D308" s="71"/>
      <c r="E308" s="71"/>
      <c r="F308" s="72"/>
      <c r="G308" s="73">
        <v>713</v>
      </c>
      <c r="H308" s="71" t="s">
        <v>215</v>
      </c>
      <c r="I308" s="74"/>
      <c r="J308" s="74"/>
      <c r="K308" s="354"/>
      <c r="L308" s="74">
        <f>L309</f>
        <v>3200</v>
      </c>
      <c r="M308" s="74">
        <f>M309</f>
        <v>0</v>
      </c>
      <c r="N308" s="354">
        <f t="shared" si="52"/>
        <v>0</v>
      </c>
      <c r="O308" s="75">
        <f t="shared" si="48"/>
        <v>3200</v>
      </c>
      <c r="P308" s="75">
        <f t="shared" si="49"/>
        <v>0</v>
      </c>
      <c r="Q308" s="354">
        <f t="shared" si="50"/>
        <v>0</v>
      </c>
    </row>
    <row r="309" spans="2:17" s="275" customFormat="1" x14ac:dyDescent="0.2">
      <c r="B309" s="60">
        <f t="shared" si="51"/>
        <v>16</v>
      </c>
      <c r="C309" s="80"/>
      <c r="D309" s="80"/>
      <c r="E309" s="80"/>
      <c r="F309" s="82"/>
      <c r="G309" s="82"/>
      <c r="H309" s="80" t="s">
        <v>330</v>
      </c>
      <c r="I309" s="83"/>
      <c r="J309" s="83"/>
      <c r="K309" s="354"/>
      <c r="L309" s="83">
        <v>3200</v>
      </c>
      <c r="M309" s="83">
        <v>0</v>
      </c>
      <c r="N309" s="354">
        <f t="shared" si="52"/>
        <v>0</v>
      </c>
      <c r="O309" s="84">
        <f t="shared" si="48"/>
        <v>3200</v>
      </c>
      <c r="P309" s="84">
        <f t="shared" si="49"/>
        <v>0</v>
      </c>
      <c r="Q309" s="354">
        <f t="shared" si="50"/>
        <v>0</v>
      </c>
    </row>
    <row r="310" spans="2:17" s="275" customFormat="1" x14ac:dyDescent="0.2">
      <c r="B310" s="60">
        <f t="shared" si="51"/>
        <v>17</v>
      </c>
      <c r="C310" s="71"/>
      <c r="D310" s="71"/>
      <c r="E310" s="71"/>
      <c r="F310" s="72"/>
      <c r="G310" s="73">
        <v>714</v>
      </c>
      <c r="H310" s="71" t="s">
        <v>173</v>
      </c>
      <c r="I310" s="74"/>
      <c r="J310" s="74"/>
      <c r="K310" s="354"/>
      <c r="L310" s="74">
        <f>L311</f>
        <v>37000</v>
      </c>
      <c r="M310" s="74">
        <f>M311</f>
        <v>0</v>
      </c>
      <c r="N310" s="354">
        <f t="shared" si="52"/>
        <v>0</v>
      </c>
      <c r="O310" s="75">
        <f t="shared" si="48"/>
        <v>37000</v>
      </c>
      <c r="P310" s="75">
        <f t="shared" si="49"/>
        <v>0</v>
      </c>
      <c r="Q310" s="354">
        <f t="shared" si="50"/>
        <v>0</v>
      </c>
    </row>
    <row r="311" spans="2:17" s="275" customFormat="1" x14ac:dyDescent="0.2">
      <c r="B311" s="60">
        <f t="shared" si="51"/>
        <v>18</v>
      </c>
      <c r="C311" s="80"/>
      <c r="D311" s="80"/>
      <c r="E311" s="80"/>
      <c r="F311" s="82"/>
      <c r="G311" s="82"/>
      <c r="H311" s="80" t="s">
        <v>331</v>
      </c>
      <c r="I311" s="83"/>
      <c r="J311" s="83"/>
      <c r="K311" s="354"/>
      <c r="L311" s="83">
        <v>37000</v>
      </c>
      <c r="M311" s="83">
        <v>0</v>
      </c>
      <c r="N311" s="354">
        <f t="shared" si="52"/>
        <v>0</v>
      </c>
      <c r="O311" s="84">
        <f t="shared" si="48"/>
        <v>37000</v>
      </c>
      <c r="P311" s="84">
        <f t="shared" si="49"/>
        <v>0</v>
      </c>
      <c r="Q311" s="354">
        <f t="shared" si="50"/>
        <v>0</v>
      </c>
    </row>
    <row r="312" spans="2:17" s="275" customFormat="1" x14ac:dyDescent="0.2">
      <c r="B312" s="60">
        <f t="shared" si="51"/>
        <v>19</v>
      </c>
      <c r="C312" s="71"/>
      <c r="D312" s="71"/>
      <c r="E312" s="71"/>
      <c r="F312" s="67"/>
      <c r="G312" s="73">
        <v>717</v>
      </c>
      <c r="H312" s="71" t="s">
        <v>342</v>
      </c>
      <c r="I312" s="74"/>
      <c r="J312" s="74"/>
      <c r="K312" s="354"/>
      <c r="L312" s="74">
        <f>L313</f>
        <v>45200</v>
      </c>
      <c r="M312" s="74">
        <f>M313</f>
        <v>0</v>
      </c>
      <c r="N312" s="354">
        <f t="shared" si="52"/>
        <v>0</v>
      </c>
      <c r="O312" s="75">
        <f t="shared" si="48"/>
        <v>45200</v>
      </c>
      <c r="P312" s="75">
        <f t="shared" si="49"/>
        <v>0</v>
      </c>
      <c r="Q312" s="354">
        <f t="shared" si="50"/>
        <v>0</v>
      </c>
    </row>
    <row r="313" spans="2:17" s="275" customFormat="1" x14ac:dyDescent="0.2">
      <c r="B313" s="60">
        <f t="shared" si="51"/>
        <v>20</v>
      </c>
      <c r="C313" s="80"/>
      <c r="D313" s="80"/>
      <c r="E313" s="80"/>
      <c r="F313" s="82"/>
      <c r="G313" s="82"/>
      <c r="H313" s="80" t="s">
        <v>523</v>
      </c>
      <c r="I313" s="83"/>
      <c r="J313" s="83"/>
      <c r="K313" s="354"/>
      <c r="L313" s="83">
        <f>40000+5200</f>
        <v>45200</v>
      </c>
      <c r="M313" s="83">
        <v>0</v>
      </c>
      <c r="N313" s="354">
        <f t="shared" si="52"/>
        <v>0</v>
      </c>
      <c r="O313" s="84">
        <f t="shared" si="48"/>
        <v>45200</v>
      </c>
      <c r="P313" s="84">
        <f t="shared" si="49"/>
        <v>0</v>
      </c>
      <c r="Q313" s="354">
        <f t="shared" si="50"/>
        <v>0</v>
      </c>
    </row>
    <row r="314" spans="2:17" s="275" customFormat="1" ht="15" x14ac:dyDescent="0.2">
      <c r="B314" s="60">
        <f t="shared" si="51"/>
        <v>21</v>
      </c>
      <c r="C314" s="63">
        <v>2</v>
      </c>
      <c r="D314" s="501" t="s">
        <v>203</v>
      </c>
      <c r="E314" s="502"/>
      <c r="F314" s="502"/>
      <c r="G314" s="502"/>
      <c r="H314" s="502"/>
      <c r="I314" s="64">
        <f>I325</f>
        <v>800340</v>
      </c>
      <c r="J314" s="64">
        <f>J325</f>
        <v>440812</v>
      </c>
      <c r="K314" s="354">
        <f>J314/I314*100</f>
        <v>55.078091810980332</v>
      </c>
      <c r="L314" s="64">
        <f>L315</f>
        <v>15095500</v>
      </c>
      <c r="M314" s="64">
        <f>M315</f>
        <v>1331465</v>
      </c>
      <c r="N314" s="354">
        <f t="shared" si="52"/>
        <v>8.8202775661621011</v>
      </c>
      <c r="O314" s="65">
        <f t="shared" si="48"/>
        <v>15895840</v>
      </c>
      <c r="P314" s="65">
        <f t="shared" si="49"/>
        <v>1772277</v>
      </c>
      <c r="Q314" s="354">
        <f t="shared" si="50"/>
        <v>11.149313279449215</v>
      </c>
    </row>
    <row r="315" spans="2:17" s="275" customFormat="1" x14ac:dyDescent="0.2">
      <c r="B315" s="60">
        <f t="shared" si="51"/>
        <v>22</v>
      </c>
      <c r="C315" s="66"/>
      <c r="D315" s="66"/>
      <c r="E315" s="66"/>
      <c r="F315" s="67" t="s">
        <v>202</v>
      </c>
      <c r="G315" s="68">
        <v>710</v>
      </c>
      <c r="H315" s="66" t="s">
        <v>172</v>
      </c>
      <c r="I315" s="69"/>
      <c r="J315" s="69"/>
      <c r="K315" s="354"/>
      <c r="L315" s="69">
        <f>L316+L318+L321</f>
        <v>15095500</v>
      </c>
      <c r="M315" s="69">
        <f>M316+M318+M321</f>
        <v>1331465</v>
      </c>
      <c r="N315" s="354">
        <f t="shared" si="52"/>
        <v>8.8202775661621011</v>
      </c>
      <c r="O315" s="70">
        <f t="shared" si="48"/>
        <v>15095500</v>
      </c>
      <c r="P315" s="70">
        <f t="shared" si="49"/>
        <v>1331465</v>
      </c>
      <c r="Q315" s="354">
        <f t="shared" si="50"/>
        <v>8.8202775661621011</v>
      </c>
    </row>
    <row r="316" spans="2:17" s="275" customFormat="1" x14ac:dyDescent="0.2">
      <c r="B316" s="60">
        <f t="shared" si="51"/>
        <v>23</v>
      </c>
      <c r="C316" s="71"/>
      <c r="D316" s="71"/>
      <c r="E316" s="71"/>
      <c r="F316" s="72"/>
      <c r="G316" s="73">
        <v>713</v>
      </c>
      <c r="H316" s="71" t="s">
        <v>215</v>
      </c>
      <c r="I316" s="74"/>
      <c r="J316" s="74"/>
      <c r="K316" s="354"/>
      <c r="L316" s="74">
        <f>L317</f>
        <v>15000</v>
      </c>
      <c r="M316" s="74">
        <f>M317</f>
        <v>0</v>
      </c>
      <c r="N316" s="354">
        <f t="shared" si="52"/>
        <v>0</v>
      </c>
      <c r="O316" s="75">
        <f t="shared" si="48"/>
        <v>15000</v>
      </c>
      <c r="P316" s="75">
        <f t="shared" si="49"/>
        <v>0</v>
      </c>
      <c r="Q316" s="354">
        <f t="shared" si="50"/>
        <v>0</v>
      </c>
    </row>
    <row r="317" spans="2:17" s="275" customFormat="1" x14ac:dyDescent="0.2">
      <c r="B317" s="60">
        <f t="shared" si="51"/>
        <v>24</v>
      </c>
      <c r="C317" s="71"/>
      <c r="D317" s="71"/>
      <c r="E317" s="71"/>
      <c r="F317" s="72"/>
      <c r="G317" s="73"/>
      <c r="H317" s="80" t="s">
        <v>524</v>
      </c>
      <c r="I317" s="74"/>
      <c r="J317" s="74"/>
      <c r="K317" s="354"/>
      <c r="L317" s="83">
        <v>15000</v>
      </c>
      <c r="M317" s="83">
        <v>0</v>
      </c>
      <c r="N317" s="354">
        <f t="shared" si="52"/>
        <v>0</v>
      </c>
      <c r="O317" s="84">
        <f t="shared" si="48"/>
        <v>15000</v>
      </c>
      <c r="P317" s="84">
        <f t="shared" si="49"/>
        <v>0</v>
      </c>
      <c r="Q317" s="354">
        <f t="shared" si="50"/>
        <v>0</v>
      </c>
    </row>
    <row r="318" spans="2:17" s="275" customFormat="1" x14ac:dyDescent="0.2">
      <c r="B318" s="60">
        <f t="shared" si="51"/>
        <v>25</v>
      </c>
      <c r="C318" s="71"/>
      <c r="D318" s="71"/>
      <c r="E318" s="71"/>
      <c r="F318" s="72"/>
      <c r="G318" s="73">
        <v>716</v>
      </c>
      <c r="H318" s="71" t="s">
        <v>212</v>
      </c>
      <c r="I318" s="74"/>
      <c r="J318" s="74"/>
      <c r="K318" s="354"/>
      <c r="L318" s="74">
        <f>SUM(L319:L320)</f>
        <v>120500</v>
      </c>
      <c r="M318" s="74">
        <f>SUM(M319:M320)</f>
        <v>2794</v>
      </c>
      <c r="N318" s="354">
        <f t="shared" si="52"/>
        <v>2.3186721991701247</v>
      </c>
      <c r="O318" s="75">
        <f t="shared" si="48"/>
        <v>120500</v>
      </c>
      <c r="P318" s="75">
        <f t="shared" si="49"/>
        <v>2794</v>
      </c>
      <c r="Q318" s="354">
        <f t="shared" si="50"/>
        <v>2.3186721991701247</v>
      </c>
    </row>
    <row r="319" spans="2:17" s="275" customFormat="1" x14ac:dyDescent="0.2">
      <c r="B319" s="60">
        <f t="shared" si="51"/>
        <v>26</v>
      </c>
      <c r="C319" s="71"/>
      <c r="D319" s="71"/>
      <c r="E319" s="71"/>
      <c r="F319" s="72"/>
      <c r="G319" s="73"/>
      <c r="H319" s="80" t="s">
        <v>454</v>
      </c>
      <c r="I319" s="74"/>
      <c r="J319" s="74"/>
      <c r="K319" s="354"/>
      <c r="L319" s="74">
        <v>3500</v>
      </c>
      <c r="M319" s="74">
        <v>2794</v>
      </c>
      <c r="N319" s="354">
        <f t="shared" si="52"/>
        <v>79.828571428571422</v>
      </c>
      <c r="O319" s="75">
        <f t="shared" si="48"/>
        <v>3500</v>
      </c>
      <c r="P319" s="75">
        <f t="shared" si="49"/>
        <v>2794</v>
      </c>
      <c r="Q319" s="354">
        <f t="shared" si="50"/>
        <v>79.828571428571422</v>
      </c>
    </row>
    <row r="320" spans="2:17" s="275" customFormat="1" x14ac:dyDescent="0.2">
      <c r="B320" s="60">
        <f t="shared" si="51"/>
        <v>27</v>
      </c>
      <c r="C320" s="80"/>
      <c r="D320" s="80"/>
      <c r="E320" s="80"/>
      <c r="F320" s="82"/>
      <c r="G320" s="82"/>
      <c r="H320" s="80" t="s">
        <v>407</v>
      </c>
      <c r="I320" s="83"/>
      <c r="J320" s="83"/>
      <c r="K320" s="354"/>
      <c r="L320" s="83">
        <v>117000</v>
      </c>
      <c r="M320" s="83">
        <v>0</v>
      </c>
      <c r="N320" s="354">
        <f t="shared" si="52"/>
        <v>0</v>
      </c>
      <c r="O320" s="84">
        <f t="shared" si="48"/>
        <v>117000</v>
      </c>
      <c r="P320" s="84">
        <f t="shared" si="49"/>
        <v>0</v>
      </c>
      <c r="Q320" s="354">
        <f t="shared" si="50"/>
        <v>0</v>
      </c>
    </row>
    <row r="321" spans="2:17" s="275" customFormat="1" x14ac:dyDescent="0.2">
      <c r="B321" s="60">
        <f t="shared" si="51"/>
        <v>28</v>
      </c>
      <c r="C321" s="71"/>
      <c r="D321" s="71"/>
      <c r="E321" s="71"/>
      <c r="F321" s="72"/>
      <c r="G321" s="73">
        <v>717</v>
      </c>
      <c r="H321" s="71" t="s">
        <v>179</v>
      </c>
      <c r="I321" s="74"/>
      <c r="J321" s="74"/>
      <c r="K321" s="354"/>
      <c r="L321" s="74">
        <f>SUM(L322:L324)</f>
        <v>14960000</v>
      </c>
      <c r="M321" s="74">
        <f>SUM(M322:M324)</f>
        <v>1328671</v>
      </c>
      <c r="N321" s="354">
        <f t="shared" si="52"/>
        <v>8.8814906417112294</v>
      </c>
      <c r="O321" s="75">
        <f t="shared" si="48"/>
        <v>14960000</v>
      </c>
      <c r="P321" s="75">
        <f t="shared" si="49"/>
        <v>1328671</v>
      </c>
      <c r="Q321" s="354">
        <f t="shared" si="50"/>
        <v>8.8814906417112294</v>
      </c>
    </row>
    <row r="322" spans="2:17" s="275" customFormat="1" x14ac:dyDescent="0.2">
      <c r="B322" s="60">
        <f t="shared" si="51"/>
        <v>29</v>
      </c>
      <c r="C322" s="80"/>
      <c r="D322" s="80"/>
      <c r="E322" s="80"/>
      <c r="F322" s="82"/>
      <c r="G322" s="82"/>
      <c r="H322" s="80" t="s">
        <v>593</v>
      </c>
      <c r="I322" s="83"/>
      <c r="J322" s="83"/>
      <c r="K322" s="354"/>
      <c r="L322" s="83">
        <v>10000</v>
      </c>
      <c r="M322" s="83">
        <v>0</v>
      </c>
      <c r="N322" s="354">
        <f t="shared" si="52"/>
        <v>0</v>
      </c>
      <c r="O322" s="84">
        <f t="shared" si="48"/>
        <v>10000</v>
      </c>
      <c r="P322" s="84">
        <f t="shared" si="49"/>
        <v>0</v>
      </c>
      <c r="Q322" s="354">
        <f t="shared" si="50"/>
        <v>0</v>
      </c>
    </row>
    <row r="323" spans="2:17" s="275" customFormat="1" x14ac:dyDescent="0.2">
      <c r="B323" s="60">
        <f t="shared" si="51"/>
        <v>30</v>
      </c>
      <c r="C323" s="80"/>
      <c r="D323" s="80"/>
      <c r="E323" s="80"/>
      <c r="F323" s="82"/>
      <c r="G323" s="82"/>
      <c r="H323" s="80" t="s">
        <v>565</v>
      </c>
      <c r="I323" s="83"/>
      <c r="J323" s="83"/>
      <c r="K323" s="354"/>
      <c r="L323" s="83">
        <v>6490000</v>
      </c>
      <c r="M323" s="83">
        <v>1328671</v>
      </c>
      <c r="N323" s="354">
        <f t="shared" si="52"/>
        <v>20.472588597842837</v>
      </c>
      <c r="O323" s="84">
        <f t="shared" si="48"/>
        <v>6490000</v>
      </c>
      <c r="P323" s="84">
        <f t="shared" si="49"/>
        <v>1328671</v>
      </c>
      <c r="Q323" s="354">
        <f t="shared" si="50"/>
        <v>20.472588597842837</v>
      </c>
    </row>
    <row r="324" spans="2:17" s="275" customFormat="1" x14ac:dyDescent="0.2">
      <c r="B324" s="60">
        <f t="shared" si="51"/>
        <v>31</v>
      </c>
      <c r="C324" s="80"/>
      <c r="D324" s="80"/>
      <c r="E324" s="80"/>
      <c r="F324" s="82"/>
      <c r="G324" s="82"/>
      <c r="H324" s="80" t="s">
        <v>566</v>
      </c>
      <c r="I324" s="83"/>
      <c r="J324" s="83"/>
      <c r="K324" s="354"/>
      <c r="L324" s="83">
        <v>8460000</v>
      </c>
      <c r="M324" s="83">
        <v>0</v>
      </c>
      <c r="N324" s="354">
        <f t="shared" si="52"/>
        <v>0</v>
      </c>
      <c r="O324" s="84">
        <f t="shared" si="48"/>
        <v>8460000</v>
      </c>
      <c r="P324" s="84">
        <f t="shared" si="49"/>
        <v>0</v>
      </c>
      <c r="Q324" s="354">
        <f t="shared" si="50"/>
        <v>0</v>
      </c>
    </row>
    <row r="325" spans="2:17" s="275" customFormat="1" ht="15" x14ac:dyDescent="0.25">
      <c r="B325" s="60">
        <f t="shared" si="51"/>
        <v>32</v>
      </c>
      <c r="C325" s="85"/>
      <c r="D325" s="85"/>
      <c r="E325" s="85">
        <v>2</v>
      </c>
      <c r="F325" s="86"/>
      <c r="G325" s="86"/>
      <c r="H325" s="85" t="s">
        <v>11</v>
      </c>
      <c r="I325" s="87">
        <f>I326+I327+I328+I334</f>
        <v>800340</v>
      </c>
      <c r="J325" s="87">
        <f>J326+J327+J328+J334</f>
        <v>440812</v>
      </c>
      <c r="K325" s="354">
        <f t="shared" ref="K325:K338" si="53">J325/I325*100</f>
        <v>55.078091810980332</v>
      </c>
      <c r="L325" s="87"/>
      <c r="M325" s="87"/>
      <c r="N325" s="354"/>
      <c r="O325" s="88">
        <f t="shared" si="48"/>
        <v>800340</v>
      </c>
      <c r="P325" s="88">
        <f t="shared" si="49"/>
        <v>440812</v>
      </c>
      <c r="Q325" s="354">
        <f t="shared" si="50"/>
        <v>55.078091810980332</v>
      </c>
    </row>
    <row r="326" spans="2:17" s="275" customFormat="1" x14ac:dyDescent="0.2">
      <c r="B326" s="60">
        <f t="shared" si="51"/>
        <v>33</v>
      </c>
      <c r="C326" s="66"/>
      <c r="D326" s="66"/>
      <c r="E326" s="66"/>
      <c r="F326" s="67" t="s">
        <v>202</v>
      </c>
      <c r="G326" s="68">
        <v>610</v>
      </c>
      <c r="H326" s="66" t="s">
        <v>128</v>
      </c>
      <c r="I326" s="69">
        <v>79005</v>
      </c>
      <c r="J326" s="69">
        <v>30809</v>
      </c>
      <c r="K326" s="354">
        <f t="shared" si="53"/>
        <v>38.996266059110184</v>
      </c>
      <c r="L326" s="69"/>
      <c r="M326" s="69"/>
      <c r="N326" s="354"/>
      <c r="O326" s="70">
        <f t="shared" ref="O326:O356" si="54">I326+L326</f>
        <v>79005</v>
      </c>
      <c r="P326" s="70">
        <f t="shared" ref="P326:P356" si="55">J326+M326</f>
        <v>30809</v>
      </c>
      <c r="Q326" s="354">
        <f t="shared" ref="Q326:Q356" si="56">P326/O326*100</f>
        <v>38.996266059110184</v>
      </c>
    </row>
    <row r="327" spans="2:17" s="275" customFormat="1" x14ac:dyDescent="0.2">
      <c r="B327" s="60">
        <f t="shared" ref="B327:B356" si="57">B326+1</f>
        <v>34</v>
      </c>
      <c r="C327" s="66"/>
      <c r="D327" s="66"/>
      <c r="E327" s="66"/>
      <c r="F327" s="67" t="s">
        <v>202</v>
      </c>
      <c r="G327" s="68">
        <v>620</v>
      </c>
      <c r="H327" s="66" t="s">
        <v>121</v>
      </c>
      <c r="I327" s="69">
        <v>33605</v>
      </c>
      <c r="J327" s="69">
        <v>12757</v>
      </c>
      <c r="K327" s="354">
        <f t="shared" si="53"/>
        <v>37.961612855229873</v>
      </c>
      <c r="L327" s="69"/>
      <c r="M327" s="69"/>
      <c r="N327" s="354"/>
      <c r="O327" s="70">
        <f t="shared" si="54"/>
        <v>33605</v>
      </c>
      <c r="P327" s="70">
        <f t="shared" si="55"/>
        <v>12757</v>
      </c>
      <c r="Q327" s="354">
        <f t="shared" si="56"/>
        <v>37.961612855229873</v>
      </c>
    </row>
    <row r="328" spans="2:17" s="275" customFormat="1" x14ac:dyDescent="0.2">
      <c r="B328" s="60">
        <f t="shared" si="57"/>
        <v>35</v>
      </c>
      <c r="C328" s="66"/>
      <c r="D328" s="66"/>
      <c r="E328" s="66"/>
      <c r="F328" s="67" t="s">
        <v>202</v>
      </c>
      <c r="G328" s="68">
        <v>630</v>
      </c>
      <c r="H328" s="66" t="s">
        <v>118</v>
      </c>
      <c r="I328" s="69">
        <f>I329+I330+I331+I332+I333</f>
        <v>684030</v>
      </c>
      <c r="J328" s="69">
        <f>J329+J330+J331+J332+J333</f>
        <v>395809</v>
      </c>
      <c r="K328" s="354">
        <f t="shared" si="53"/>
        <v>57.864274958700648</v>
      </c>
      <c r="L328" s="69"/>
      <c r="M328" s="69"/>
      <c r="N328" s="354"/>
      <c r="O328" s="70">
        <f t="shared" si="54"/>
        <v>684030</v>
      </c>
      <c r="P328" s="70">
        <f t="shared" si="55"/>
        <v>395809</v>
      </c>
      <c r="Q328" s="354">
        <f t="shared" si="56"/>
        <v>57.864274958700648</v>
      </c>
    </row>
    <row r="329" spans="2:17" s="275" customFormat="1" x14ac:dyDescent="0.2">
      <c r="B329" s="60">
        <f t="shared" si="57"/>
        <v>36</v>
      </c>
      <c r="C329" s="71"/>
      <c r="D329" s="71"/>
      <c r="E329" s="71"/>
      <c r="F329" s="72"/>
      <c r="G329" s="73">
        <v>632</v>
      </c>
      <c r="H329" s="71" t="s">
        <v>131</v>
      </c>
      <c r="I329" s="74">
        <v>570000</v>
      </c>
      <c r="J329" s="74">
        <v>365847</v>
      </c>
      <c r="K329" s="354">
        <f t="shared" si="53"/>
        <v>64.183684210526309</v>
      </c>
      <c r="L329" s="74"/>
      <c r="M329" s="74"/>
      <c r="N329" s="354"/>
      <c r="O329" s="75">
        <f t="shared" si="54"/>
        <v>570000</v>
      </c>
      <c r="P329" s="75">
        <f t="shared" si="55"/>
        <v>365847</v>
      </c>
      <c r="Q329" s="354">
        <f t="shared" si="56"/>
        <v>64.183684210526309</v>
      </c>
    </row>
    <row r="330" spans="2:17" s="275" customFormat="1" x14ac:dyDescent="0.2">
      <c r="B330" s="60">
        <f t="shared" si="57"/>
        <v>37</v>
      </c>
      <c r="C330" s="71"/>
      <c r="D330" s="71"/>
      <c r="E330" s="71"/>
      <c r="F330" s="72"/>
      <c r="G330" s="73">
        <v>633</v>
      </c>
      <c r="H330" s="71" t="s">
        <v>122</v>
      </c>
      <c r="I330" s="74">
        <v>44700</v>
      </c>
      <c r="J330" s="74">
        <v>5713</v>
      </c>
      <c r="K330" s="354">
        <f t="shared" si="53"/>
        <v>12.780760626398211</v>
      </c>
      <c r="L330" s="74"/>
      <c r="M330" s="74"/>
      <c r="N330" s="354"/>
      <c r="O330" s="75">
        <f t="shared" si="54"/>
        <v>44700</v>
      </c>
      <c r="P330" s="75">
        <f t="shared" si="55"/>
        <v>5713</v>
      </c>
      <c r="Q330" s="354">
        <f t="shared" si="56"/>
        <v>12.780760626398211</v>
      </c>
    </row>
    <row r="331" spans="2:17" s="275" customFormat="1" x14ac:dyDescent="0.2">
      <c r="B331" s="60">
        <f t="shared" si="57"/>
        <v>38</v>
      </c>
      <c r="C331" s="71"/>
      <c r="D331" s="71"/>
      <c r="E331" s="71"/>
      <c r="F331" s="72"/>
      <c r="G331" s="73">
        <v>634</v>
      </c>
      <c r="H331" s="71" t="s">
        <v>129</v>
      </c>
      <c r="I331" s="74">
        <v>7110</v>
      </c>
      <c r="J331" s="74">
        <v>2903</v>
      </c>
      <c r="K331" s="354">
        <f t="shared" si="53"/>
        <v>40.829817158931078</v>
      </c>
      <c r="L331" s="74"/>
      <c r="M331" s="74"/>
      <c r="N331" s="354"/>
      <c r="O331" s="75">
        <f t="shared" si="54"/>
        <v>7110</v>
      </c>
      <c r="P331" s="75">
        <f t="shared" si="55"/>
        <v>2903</v>
      </c>
      <c r="Q331" s="354">
        <f t="shared" si="56"/>
        <v>40.829817158931078</v>
      </c>
    </row>
    <row r="332" spans="2:17" s="275" customFormat="1" x14ac:dyDescent="0.2">
      <c r="B332" s="60">
        <f t="shared" si="57"/>
        <v>39</v>
      </c>
      <c r="C332" s="71"/>
      <c r="D332" s="71"/>
      <c r="E332" s="71"/>
      <c r="F332" s="72"/>
      <c r="G332" s="73">
        <v>635</v>
      </c>
      <c r="H332" s="71" t="s">
        <v>130</v>
      </c>
      <c r="I332" s="74">
        <v>25000</v>
      </c>
      <c r="J332" s="74">
        <v>12670</v>
      </c>
      <c r="K332" s="354">
        <f t="shared" si="53"/>
        <v>50.68</v>
      </c>
      <c r="L332" s="74"/>
      <c r="M332" s="74"/>
      <c r="N332" s="354"/>
      <c r="O332" s="75">
        <f t="shared" si="54"/>
        <v>25000</v>
      </c>
      <c r="P332" s="75">
        <f t="shared" si="55"/>
        <v>12670</v>
      </c>
      <c r="Q332" s="354">
        <f t="shared" si="56"/>
        <v>50.68</v>
      </c>
    </row>
    <row r="333" spans="2:17" s="275" customFormat="1" x14ac:dyDescent="0.2">
      <c r="B333" s="60">
        <f t="shared" si="57"/>
        <v>40</v>
      </c>
      <c r="C333" s="71"/>
      <c r="D333" s="71"/>
      <c r="E333" s="71"/>
      <c r="F333" s="72"/>
      <c r="G333" s="73">
        <v>637</v>
      </c>
      <c r="H333" s="71" t="s">
        <v>119</v>
      </c>
      <c r="I333" s="74">
        <v>37220</v>
      </c>
      <c r="J333" s="74">
        <v>8676</v>
      </c>
      <c r="K333" s="354">
        <f t="shared" si="53"/>
        <v>23.310048361096186</v>
      </c>
      <c r="L333" s="74"/>
      <c r="M333" s="74"/>
      <c r="N333" s="354"/>
      <c r="O333" s="75">
        <f t="shared" si="54"/>
        <v>37220</v>
      </c>
      <c r="P333" s="75">
        <f t="shared" si="55"/>
        <v>8676</v>
      </c>
      <c r="Q333" s="354">
        <f t="shared" si="56"/>
        <v>23.310048361096186</v>
      </c>
    </row>
    <row r="334" spans="2:17" s="275" customFormat="1" x14ac:dyDescent="0.2">
      <c r="B334" s="60">
        <f t="shared" si="57"/>
        <v>41</v>
      </c>
      <c r="C334" s="66"/>
      <c r="D334" s="66"/>
      <c r="E334" s="66"/>
      <c r="F334" s="67" t="s">
        <v>202</v>
      </c>
      <c r="G334" s="68">
        <v>640</v>
      </c>
      <c r="H334" s="66" t="s">
        <v>126</v>
      </c>
      <c r="I334" s="69">
        <v>3700</v>
      </c>
      <c r="J334" s="69">
        <v>1437</v>
      </c>
      <c r="K334" s="354">
        <f t="shared" si="53"/>
        <v>38.837837837837839</v>
      </c>
      <c r="L334" s="69"/>
      <c r="M334" s="69"/>
      <c r="N334" s="354"/>
      <c r="O334" s="70">
        <f t="shared" si="54"/>
        <v>3700</v>
      </c>
      <c r="P334" s="70">
        <f t="shared" si="55"/>
        <v>1437</v>
      </c>
      <c r="Q334" s="354">
        <f t="shared" si="56"/>
        <v>38.837837837837839</v>
      </c>
    </row>
    <row r="335" spans="2:17" s="275" customFormat="1" ht="15" x14ac:dyDescent="0.2">
      <c r="B335" s="60">
        <f t="shared" si="57"/>
        <v>42</v>
      </c>
      <c r="C335" s="63">
        <v>3</v>
      </c>
      <c r="D335" s="501" t="s">
        <v>227</v>
      </c>
      <c r="E335" s="502"/>
      <c r="F335" s="502"/>
      <c r="G335" s="502"/>
      <c r="H335" s="502"/>
      <c r="I335" s="64">
        <f>I336</f>
        <v>12000</v>
      </c>
      <c r="J335" s="64">
        <f>J336</f>
        <v>7740</v>
      </c>
      <c r="K335" s="354">
        <f t="shared" si="53"/>
        <v>64.5</v>
      </c>
      <c r="L335" s="64">
        <f>L339</f>
        <v>35000</v>
      </c>
      <c r="M335" s="64">
        <f>M339</f>
        <v>2273</v>
      </c>
      <c r="N335" s="354">
        <f>M335/L335*100</f>
        <v>6.4942857142857147</v>
      </c>
      <c r="O335" s="65">
        <f t="shared" si="54"/>
        <v>47000</v>
      </c>
      <c r="P335" s="65">
        <f t="shared" si="55"/>
        <v>10013</v>
      </c>
      <c r="Q335" s="354">
        <f t="shared" si="56"/>
        <v>21.304255319148936</v>
      </c>
    </row>
    <row r="336" spans="2:17" s="275" customFormat="1" x14ac:dyDescent="0.2">
      <c r="B336" s="60">
        <f t="shared" si="57"/>
        <v>43</v>
      </c>
      <c r="C336" s="66"/>
      <c r="D336" s="66"/>
      <c r="E336" s="66"/>
      <c r="F336" s="67" t="s">
        <v>189</v>
      </c>
      <c r="G336" s="68">
        <v>630</v>
      </c>
      <c r="H336" s="66" t="s">
        <v>118</v>
      </c>
      <c r="I336" s="69">
        <f>I337+I338</f>
        <v>12000</v>
      </c>
      <c r="J336" s="69">
        <f>J337+J338</f>
        <v>7740</v>
      </c>
      <c r="K336" s="354">
        <f t="shared" si="53"/>
        <v>64.5</v>
      </c>
      <c r="L336" s="69"/>
      <c r="M336" s="69"/>
      <c r="N336" s="354"/>
      <c r="O336" s="70">
        <f t="shared" si="54"/>
        <v>12000</v>
      </c>
      <c r="P336" s="70">
        <f t="shared" si="55"/>
        <v>7740</v>
      </c>
      <c r="Q336" s="354">
        <f t="shared" si="56"/>
        <v>64.5</v>
      </c>
    </row>
    <row r="337" spans="2:17" s="275" customFormat="1" x14ac:dyDescent="0.2">
      <c r="B337" s="60">
        <f t="shared" si="57"/>
        <v>44</v>
      </c>
      <c r="C337" s="71"/>
      <c r="D337" s="71"/>
      <c r="E337" s="71"/>
      <c r="F337" s="72"/>
      <c r="G337" s="73">
        <v>633</v>
      </c>
      <c r="H337" s="71" t="s">
        <v>122</v>
      </c>
      <c r="I337" s="74">
        <v>5000</v>
      </c>
      <c r="J337" s="74">
        <v>4900</v>
      </c>
      <c r="K337" s="354">
        <f t="shared" si="53"/>
        <v>98</v>
      </c>
      <c r="L337" s="74"/>
      <c r="M337" s="74"/>
      <c r="N337" s="354"/>
      <c r="O337" s="75">
        <f t="shared" si="54"/>
        <v>5000</v>
      </c>
      <c r="P337" s="75">
        <f t="shared" si="55"/>
        <v>4900</v>
      </c>
      <c r="Q337" s="354">
        <f t="shared" si="56"/>
        <v>98</v>
      </c>
    </row>
    <row r="338" spans="2:17" s="275" customFormat="1" x14ac:dyDescent="0.2">
      <c r="B338" s="60">
        <f t="shared" si="57"/>
        <v>45</v>
      </c>
      <c r="C338" s="71"/>
      <c r="D338" s="71"/>
      <c r="E338" s="71"/>
      <c r="F338" s="72"/>
      <c r="G338" s="73">
        <v>635</v>
      </c>
      <c r="H338" s="71" t="s">
        <v>130</v>
      </c>
      <c r="I338" s="74">
        <v>7000</v>
      </c>
      <c r="J338" s="74">
        <v>2840</v>
      </c>
      <c r="K338" s="354">
        <f t="shared" si="53"/>
        <v>40.571428571428569</v>
      </c>
      <c r="L338" s="74"/>
      <c r="M338" s="74"/>
      <c r="N338" s="354"/>
      <c r="O338" s="75">
        <f t="shared" si="54"/>
        <v>7000</v>
      </c>
      <c r="P338" s="75">
        <f t="shared" si="55"/>
        <v>2840</v>
      </c>
      <c r="Q338" s="354">
        <f t="shared" si="56"/>
        <v>40.571428571428569</v>
      </c>
    </row>
    <row r="339" spans="2:17" s="275" customFormat="1" x14ac:dyDescent="0.2">
      <c r="B339" s="60">
        <f t="shared" si="57"/>
        <v>46</v>
      </c>
      <c r="C339" s="66"/>
      <c r="D339" s="66"/>
      <c r="E339" s="66"/>
      <c r="F339" s="67" t="s">
        <v>189</v>
      </c>
      <c r="G339" s="68">
        <v>710</v>
      </c>
      <c r="H339" s="66" t="s">
        <v>172</v>
      </c>
      <c r="I339" s="69"/>
      <c r="J339" s="69"/>
      <c r="K339" s="354"/>
      <c r="L339" s="69">
        <f>L340</f>
        <v>35000</v>
      </c>
      <c r="M339" s="69">
        <f>M340</f>
        <v>2273</v>
      </c>
      <c r="N339" s="354">
        <f>M339/L339*100</f>
        <v>6.4942857142857147</v>
      </c>
      <c r="O339" s="70">
        <f t="shared" si="54"/>
        <v>35000</v>
      </c>
      <c r="P339" s="70">
        <f t="shared" si="55"/>
        <v>2273</v>
      </c>
      <c r="Q339" s="354">
        <f t="shared" si="56"/>
        <v>6.4942857142857147</v>
      </c>
    </row>
    <row r="340" spans="2:17" s="275" customFormat="1" x14ac:dyDescent="0.2">
      <c r="B340" s="60">
        <f t="shared" si="57"/>
        <v>47</v>
      </c>
      <c r="C340" s="71"/>
      <c r="D340" s="71"/>
      <c r="E340" s="71"/>
      <c r="F340" s="72"/>
      <c r="G340" s="73">
        <v>713</v>
      </c>
      <c r="H340" s="71" t="s">
        <v>215</v>
      </c>
      <c r="I340" s="74"/>
      <c r="J340" s="74"/>
      <c r="K340" s="354"/>
      <c r="L340" s="74">
        <f>L341</f>
        <v>35000</v>
      </c>
      <c r="M340" s="74">
        <f>M341</f>
        <v>2273</v>
      </c>
      <c r="N340" s="354">
        <f>M340/L340*100</f>
        <v>6.4942857142857147</v>
      </c>
      <c r="O340" s="75">
        <f t="shared" si="54"/>
        <v>35000</v>
      </c>
      <c r="P340" s="75">
        <f t="shared" si="55"/>
        <v>2273</v>
      </c>
      <c r="Q340" s="354">
        <f t="shared" si="56"/>
        <v>6.4942857142857147</v>
      </c>
    </row>
    <row r="341" spans="2:17" s="275" customFormat="1" x14ac:dyDescent="0.2">
      <c r="B341" s="60">
        <f t="shared" si="57"/>
        <v>48</v>
      </c>
      <c r="C341" s="80"/>
      <c r="D341" s="80"/>
      <c r="E341" s="80"/>
      <c r="F341" s="82"/>
      <c r="G341" s="82"/>
      <c r="H341" s="80" t="s">
        <v>284</v>
      </c>
      <c r="I341" s="83"/>
      <c r="J341" s="83"/>
      <c r="K341" s="354"/>
      <c r="L341" s="83">
        <v>35000</v>
      </c>
      <c r="M341" s="83">
        <v>2273</v>
      </c>
      <c r="N341" s="354">
        <f>M341/L341*100</f>
        <v>6.4942857142857147</v>
      </c>
      <c r="O341" s="84">
        <f t="shared" si="54"/>
        <v>35000</v>
      </c>
      <c r="P341" s="84">
        <f t="shared" si="55"/>
        <v>2273</v>
      </c>
      <c r="Q341" s="354">
        <f t="shared" si="56"/>
        <v>6.4942857142857147</v>
      </c>
    </row>
    <row r="342" spans="2:17" s="275" customFormat="1" ht="15" x14ac:dyDescent="0.2">
      <c r="B342" s="60">
        <f t="shared" si="57"/>
        <v>49</v>
      </c>
      <c r="C342" s="63">
        <v>4</v>
      </c>
      <c r="D342" s="501" t="s">
        <v>154</v>
      </c>
      <c r="E342" s="502"/>
      <c r="F342" s="502"/>
      <c r="G342" s="502"/>
      <c r="H342" s="502"/>
      <c r="I342" s="64">
        <f>I343+I344</f>
        <v>49619</v>
      </c>
      <c r="J342" s="64">
        <f>J343+J344</f>
        <v>10860</v>
      </c>
      <c r="K342" s="354">
        <f t="shared" ref="K342:K356" si="58">J342/I342*100</f>
        <v>21.886777242588522</v>
      </c>
      <c r="L342" s="64"/>
      <c r="M342" s="64"/>
      <c r="N342" s="354"/>
      <c r="O342" s="65">
        <f t="shared" si="54"/>
        <v>49619</v>
      </c>
      <c r="P342" s="65">
        <f t="shared" si="55"/>
        <v>10860</v>
      </c>
      <c r="Q342" s="354">
        <f t="shared" si="56"/>
        <v>21.886777242588522</v>
      </c>
    </row>
    <row r="343" spans="2:17" s="275" customFormat="1" x14ac:dyDescent="0.2">
      <c r="B343" s="60">
        <f t="shared" si="57"/>
        <v>50</v>
      </c>
      <c r="C343" s="66"/>
      <c r="D343" s="66"/>
      <c r="E343" s="66"/>
      <c r="F343" s="67" t="s">
        <v>153</v>
      </c>
      <c r="G343" s="68">
        <v>620</v>
      </c>
      <c r="H343" s="66" t="s">
        <v>121</v>
      </c>
      <c r="I343" s="69">
        <v>719</v>
      </c>
      <c r="J343" s="69">
        <v>302</v>
      </c>
      <c r="K343" s="354">
        <f t="shared" si="58"/>
        <v>42.002781641168291</v>
      </c>
      <c r="L343" s="69"/>
      <c r="M343" s="69"/>
      <c r="N343" s="354"/>
      <c r="O343" s="70">
        <f t="shared" si="54"/>
        <v>719</v>
      </c>
      <c r="P343" s="70">
        <f t="shared" si="55"/>
        <v>302</v>
      </c>
      <c r="Q343" s="354">
        <f t="shared" si="56"/>
        <v>42.002781641168291</v>
      </c>
    </row>
    <row r="344" spans="2:17" s="275" customFormat="1" x14ac:dyDescent="0.2">
      <c r="B344" s="60">
        <f t="shared" si="57"/>
        <v>51</v>
      </c>
      <c r="C344" s="66"/>
      <c r="D344" s="66"/>
      <c r="E344" s="66"/>
      <c r="F344" s="67" t="s">
        <v>153</v>
      </c>
      <c r="G344" s="68">
        <v>630</v>
      </c>
      <c r="H344" s="66" t="s">
        <v>118</v>
      </c>
      <c r="I344" s="69">
        <f>SUM(I345:I347)</f>
        <v>48900</v>
      </c>
      <c r="J344" s="69">
        <f>SUM(J345:J347)</f>
        <v>10558</v>
      </c>
      <c r="K344" s="354">
        <f t="shared" si="58"/>
        <v>21.591002044989775</v>
      </c>
      <c r="L344" s="69"/>
      <c r="M344" s="69"/>
      <c r="N344" s="354"/>
      <c r="O344" s="70">
        <f t="shared" si="54"/>
        <v>48900</v>
      </c>
      <c r="P344" s="70">
        <f t="shared" si="55"/>
        <v>10558</v>
      </c>
      <c r="Q344" s="354">
        <f t="shared" si="56"/>
        <v>21.591002044989775</v>
      </c>
    </row>
    <row r="345" spans="2:17" s="275" customFormat="1" x14ac:dyDescent="0.2">
      <c r="B345" s="60">
        <f t="shared" si="57"/>
        <v>52</v>
      </c>
      <c r="C345" s="71"/>
      <c r="D345" s="71"/>
      <c r="E345" s="71"/>
      <c r="F345" s="72"/>
      <c r="G345" s="73">
        <v>633</v>
      </c>
      <c r="H345" s="71" t="s">
        <v>122</v>
      </c>
      <c r="I345" s="74">
        <v>9400</v>
      </c>
      <c r="J345" s="74">
        <v>78</v>
      </c>
      <c r="K345" s="354">
        <f t="shared" si="58"/>
        <v>0.82978723404255306</v>
      </c>
      <c r="L345" s="74"/>
      <c r="M345" s="74"/>
      <c r="N345" s="354"/>
      <c r="O345" s="75">
        <f t="shared" si="54"/>
        <v>9400</v>
      </c>
      <c r="P345" s="75">
        <f t="shared" si="55"/>
        <v>78</v>
      </c>
      <c r="Q345" s="354">
        <f t="shared" si="56"/>
        <v>0.82978723404255306</v>
      </c>
    </row>
    <row r="346" spans="2:17" s="275" customFormat="1" x14ac:dyDescent="0.2">
      <c r="B346" s="60">
        <f t="shared" si="57"/>
        <v>53</v>
      </c>
      <c r="C346" s="71"/>
      <c r="D346" s="71"/>
      <c r="E346" s="71"/>
      <c r="F346" s="72"/>
      <c r="G346" s="73">
        <v>635</v>
      </c>
      <c r="H346" s="71" t="s">
        <v>130</v>
      </c>
      <c r="I346" s="74">
        <v>13000</v>
      </c>
      <c r="J346" s="74">
        <v>0</v>
      </c>
      <c r="K346" s="354">
        <f t="shared" si="58"/>
        <v>0</v>
      </c>
      <c r="L346" s="74"/>
      <c r="M346" s="74"/>
      <c r="N346" s="354"/>
      <c r="O346" s="75">
        <f t="shared" si="54"/>
        <v>13000</v>
      </c>
      <c r="P346" s="75">
        <f t="shared" si="55"/>
        <v>0</v>
      </c>
      <c r="Q346" s="354">
        <f t="shared" si="56"/>
        <v>0</v>
      </c>
    </row>
    <row r="347" spans="2:17" s="275" customFormat="1" x14ac:dyDescent="0.2">
      <c r="B347" s="60">
        <f t="shared" si="57"/>
        <v>54</v>
      </c>
      <c r="C347" s="71"/>
      <c r="D347" s="71"/>
      <c r="E347" s="71"/>
      <c r="F347" s="72"/>
      <c r="G347" s="73">
        <v>637</v>
      </c>
      <c r="H347" s="71" t="s">
        <v>119</v>
      </c>
      <c r="I347" s="74">
        <v>26500</v>
      </c>
      <c r="J347" s="74">
        <v>10480</v>
      </c>
      <c r="K347" s="354">
        <f t="shared" si="58"/>
        <v>39.547169811320757</v>
      </c>
      <c r="L347" s="74"/>
      <c r="M347" s="74"/>
      <c r="N347" s="354"/>
      <c r="O347" s="75">
        <f t="shared" si="54"/>
        <v>26500</v>
      </c>
      <c r="P347" s="75">
        <f t="shared" si="55"/>
        <v>10480</v>
      </c>
      <c r="Q347" s="354">
        <f t="shared" si="56"/>
        <v>39.547169811320757</v>
      </c>
    </row>
    <row r="348" spans="2:17" s="275" customFormat="1" ht="15" x14ac:dyDescent="0.2">
      <c r="B348" s="60">
        <f t="shared" si="57"/>
        <v>55</v>
      </c>
      <c r="C348" s="63">
        <v>5</v>
      </c>
      <c r="D348" s="501" t="s">
        <v>144</v>
      </c>
      <c r="E348" s="502"/>
      <c r="F348" s="502"/>
      <c r="G348" s="502"/>
      <c r="H348" s="502"/>
      <c r="I348" s="64">
        <f>I349+I350+I354</f>
        <v>45415</v>
      </c>
      <c r="J348" s="64">
        <f>J349+J350+J354</f>
        <v>14030</v>
      </c>
      <c r="K348" s="354">
        <f t="shared" si="58"/>
        <v>30.892876802818453</v>
      </c>
      <c r="L348" s="64"/>
      <c r="M348" s="64"/>
      <c r="N348" s="354"/>
      <c r="O348" s="65">
        <f t="shared" si="54"/>
        <v>45415</v>
      </c>
      <c r="P348" s="65">
        <f t="shared" si="55"/>
        <v>14030</v>
      </c>
      <c r="Q348" s="354">
        <f t="shared" si="56"/>
        <v>30.892876802818453</v>
      </c>
    </row>
    <row r="349" spans="2:17" s="275" customFormat="1" x14ac:dyDescent="0.2">
      <c r="B349" s="60">
        <f t="shared" si="57"/>
        <v>56</v>
      </c>
      <c r="C349" s="66"/>
      <c r="D349" s="66"/>
      <c r="E349" s="66"/>
      <c r="F349" s="67" t="s">
        <v>143</v>
      </c>
      <c r="G349" s="68">
        <v>620</v>
      </c>
      <c r="H349" s="66" t="s">
        <v>121</v>
      </c>
      <c r="I349" s="69">
        <v>500</v>
      </c>
      <c r="J349" s="69">
        <v>0</v>
      </c>
      <c r="K349" s="354">
        <f t="shared" si="58"/>
        <v>0</v>
      </c>
      <c r="L349" s="69"/>
      <c r="M349" s="69"/>
      <c r="N349" s="354"/>
      <c r="O349" s="70">
        <f t="shared" si="54"/>
        <v>500</v>
      </c>
      <c r="P349" s="70">
        <f t="shared" si="55"/>
        <v>0</v>
      </c>
      <c r="Q349" s="354">
        <f t="shared" si="56"/>
        <v>0</v>
      </c>
    </row>
    <row r="350" spans="2:17" s="275" customFormat="1" x14ac:dyDescent="0.2">
      <c r="B350" s="60">
        <f t="shared" si="57"/>
        <v>57</v>
      </c>
      <c r="C350" s="66"/>
      <c r="D350" s="66"/>
      <c r="E350" s="66"/>
      <c r="F350" s="67" t="s">
        <v>143</v>
      </c>
      <c r="G350" s="68">
        <v>630</v>
      </c>
      <c r="H350" s="66" t="s">
        <v>118</v>
      </c>
      <c r="I350" s="69">
        <f>I351+I352+I353</f>
        <v>35915</v>
      </c>
      <c r="J350" s="69">
        <f>J351+J352+J353</f>
        <v>8030</v>
      </c>
      <c r="K350" s="354">
        <f t="shared" si="58"/>
        <v>22.358346094946402</v>
      </c>
      <c r="L350" s="69"/>
      <c r="M350" s="69"/>
      <c r="N350" s="354"/>
      <c r="O350" s="70">
        <f t="shared" si="54"/>
        <v>35915</v>
      </c>
      <c r="P350" s="70">
        <f t="shared" si="55"/>
        <v>8030</v>
      </c>
      <c r="Q350" s="354">
        <f t="shared" si="56"/>
        <v>22.358346094946402</v>
      </c>
    </row>
    <row r="351" spans="2:17" s="275" customFormat="1" x14ac:dyDescent="0.2">
      <c r="B351" s="60">
        <f t="shared" si="57"/>
        <v>58</v>
      </c>
      <c r="C351" s="71"/>
      <c r="D351" s="71"/>
      <c r="E351" s="71"/>
      <c r="F351" s="72"/>
      <c r="G351" s="73">
        <v>633</v>
      </c>
      <c r="H351" s="71" t="s">
        <v>122</v>
      </c>
      <c r="I351" s="74">
        <v>10435</v>
      </c>
      <c r="J351" s="74">
        <v>56</v>
      </c>
      <c r="K351" s="354">
        <f t="shared" si="58"/>
        <v>0.53665548634403448</v>
      </c>
      <c r="L351" s="74"/>
      <c r="M351" s="74"/>
      <c r="N351" s="354"/>
      <c r="O351" s="75">
        <f t="shared" si="54"/>
        <v>10435</v>
      </c>
      <c r="P351" s="75">
        <f t="shared" si="55"/>
        <v>56</v>
      </c>
      <c r="Q351" s="354">
        <f t="shared" si="56"/>
        <v>0.53665548634403448</v>
      </c>
    </row>
    <row r="352" spans="2:17" s="275" customFormat="1" x14ac:dyDescent="0.2">
      <c r="B352" s="60">
        <f t="shared" si="57"/>
        <v>59</v>
      </c>
      <c r="C352" s="71"/>
      <c r="D352" s="71"/>
      <c r="E352" s="71"/>
      <c r="F352" s="72"/>
      <c r="G352" s="73">
        <v>634</v>
      </c>
      <c r="H352" s="71" t="s">
        <v>129</v>
      </c>
      <c r="I352" s="74">
        <v>4230</v>
      </c>
      <c r="J352" s="74">
        <v>2167</v>
      </c>
      <c r="K352" s="354">
        <f t="shared" si="58"/>
        <v>51.229314420803782</v>
      </c>
      <c r="L352" s="74"/>
      <c r="M352" s="74"/>
      <c r="N352" s="354"/>
      <c r="O352" s="75">
        <f t="shared" si="54"/>
        <v>4230</v>
      </c>
      <c r="P352" s="75">
        <f t="shared" si="55"/>
        <v>2167</v>
      </c>
      <c r="Q352" s="354">
        <f t="shared" si="56"/>
        <v>51.229314420803782</v>
      </c>
    </row>
    <row r="353" spans="2:17" s="275" customFormat="1" x14ac:dyDescent="0.2">
      <c r="B353" s="60">
        <f t="shared" si="57"/>
        <v>60</v>
      </c>
      <c r="C353" s="71"/>
      <c r="D353" s="71"/>
      <c r="E353" s="71"/>
      <c r="F353" s="72"/>
      <c r="G353" s="73">
        <v>637</v>
      </c>
      <c r="H353" s="71" t="s">
        <v>119</v>
      </c>
      <c r="I353" s="74">
        <v>21250</v>
      </c>
      <c r="J353" s="74">
        <v>5807</v>
      </c>
      <c r="K353" s="354">
        <f t="shared" si="58"/>
        <v>27.327058823529409</v>
      </c>
      <c r="L353" s="74"/>
      <c r="M353" s="74"/>
      <c r="N353" s="354"/>
      <c r="O353" s="75">
        <f t="shared" si="54"/>
        <v>21250</v>
      </c>
      <c r="P353" s="75">
        <f t="shared" si="55"/>
        <v>5807</v>
      </c>
      <c r="Q353" s="354">
        <f t="shared" si="56"/>
        <v>27.327058823529409</v>
      </c>
    </row>
    <row r="354" spans="2:17" s="275" customFormat="1" x14ac:dyDescent="0.2">
      <c r="B354" s="60">
        <f t="shared" si="57"/>
        <v>61</v>
      </c>
      <c r="C354" s="66"/>
      <c r="D354" s="66"/>
      <c r="E354" s="66"/>
      <c r="F354" s="67" t="s">
        <v>143</v>
      </c>
      <c r="G354" s="68">
        <v>640</v>
      </c>
      <c r="H354" s="66" t="s">
        <v>126</v>
      </c>
      <c r="I354" s="69">
        <f>I355+I356</f>
        <v>9000</v>
      </c>
      <c r="J354" s="69">
        <f>J355+J356</f>
        <v>6000</v>
      </c>
      <c r="K354" s="354">
        <f t="shared" si="58"/>
        <v>66.666666666666657</v>
      </c>
      <c r="L354" s="69"/>
      <c r="M354" s="69"/>
      <c r="N354" s="354"/>
      <c r="O354" s="70">
        <f t="shared" si="54"/>
        <v>9000</v>
      </c>
      <c r="P354" s="70">
        <f t="shared" si="55"/>
        <v>6000</v>
      </c>
      <c r="Q354" s="354">
        <f t="shared" si="56"/>
        <v>66.666666666666657</v>
      </c>
    </row>
    <row r="355" spans="2:17" s="275" customFormat="1" x14ac:dyDescent="0.2">
      <c r="B355" s="60">
        <f t="shared" si="57"/>
        <v>62</v>
      </c>
      <c r="C355" s="94"/>
      <c r="D355" s="94"/>
      <c r="E355" s="80"/>
      <c r="F355" s="82"/>
      <c r="G355" s="82"/>
      <c r="H355" s="80" t="s">
        <v>9</v>
      </c>
      <c r="I355" s="83">
        <v>3000</v>
      </c>
      <c r="J355" s="83">
        <v>2000</v>
      </c>
      <c r="K355" s="354">
        <f t="shared" si="58"/>
        <v>66.666666666666657</v>
      </c>
      <c r="L355" s="83"/>
      <c r="M355" s="83"/>
      <c r="N355" s="354"/>
      <c r="O355" s="84">
        <f t="shared" si="54"/>
        <v>3000</v>
      </c>
      <c r="P355" s="84">
        <f t="shared" si="55"/>
        <v>2000</v>
      </c>
      <c r="Q355" s="354">
        <f t="shared" si="56"/>
        <v>66.666666666666657</v>
      </c>
    </row>
    <row r="356" spans="2:17" s="275" customFormat="1" x14ac:dyDescent="0.2">
      <c r="B356" s="303">
        <f t="shared" si="57"/>
        <v>63</v>
      </c>
      <c r="C356" s="304"/>
      <c r="D356" s="304"/>
      <c r="E356" s="305"/>
      <c r="F356" s="306"/>
      <c r="G356" s="306"/>
      <c r="H356" s="305" t="s">
        <v>10</v>
      </c>
      <c r="I356" s="307">
        <v>6000</v>
      </c>
      <c r="J356" s="307">
        <v>4000</v>
      </c>
      <c r="K356" s="354">
        <f t="shared" si="58"/>
        <v>66.666666666666657</v>
      </c>
      <c r="L356" s="307"/>
      <c r="M356" s="307"/>
      <c r="N356" s="354"/>
      <c r="O356" s="308">
        <f t="shared" si="54"/>
        <v>6000</v>
      </c>
      <c r="P356" s="308">
        <f t="shared" si="55"/>
        <v>4000</v>
      </c>
      <c r="Q356" s="354">
        <f t="shared" si="56"/>
        <v>66.666666666666657</v>
      </c>
    </row>
    <row r="357" spans="2:17" s="275" customFormat="1" x14ac:dyDescent="0.2">
      <c r="B357" s="276"/>
      <c r="F357" s="277"/>
      <c r="G357" s="277"/>
      <c r="I357" s="249"/>
      <c r="J357" s="249"/>
      <c r="K357" s="5"/>
      <c r="L357" s="249"/>
      <c r="M357" s="249"/>
      <c r="N357" s="5"/>
      <c r="O357" s="249"/>
    </row>
    <row r="358" spans="2:17" s="275" customFormat="1" x14ac:dyDescent="0.2">
      <c r="B358" s="276"/>
      <c r="F358" s="277"/>
      <c r="G358" s="277"/>
      <c r="I358" s="249"/>
      <c r="J358" s="249"/>
      <c r="K358" s="5"/>
      <c r="L358" s="249"/>
      <c r="M358" s="249"/>
      <c r="N358" s="5"/>
      <c r="O358" s="249"/>
    </row>
    <row r="359" spans="2:17" s="275" customFormat="1" x14ac:dyDescent="0.2">
      <c r="B359" s="276"/>
      <c r="F359" s="277"/>
      <c r="G359" s="277"/>
      <c r="I359" s="249"/>
      <c r="J359" s="249"/>
      <c r="K359" s="5"/>
      <c r="L359" s="249"/>
      <c r="M359" s="249"/>
      <c r="N359" s="5"/>
      <c r="O359" s="249"/>
    </row>
    <row r="360" spans="2:17" s="275" customFormat="1" ht="27.75" x14ac:dyDescent="0.4">
      <c r="B360" s="496" t="s">
        <v>19</v>
      </c>
      <c r="C360" s="497"/>
      <c r="D360" s="497"/>
      <c r="E360" s="497"/>
      <c r="F360" s="497"/>
      <c r="G360" s="497"/>
      <c r="H360" s="497"/>
      <c r="I360" s="497"/>
      <c r="J360" s="497"/>
      <c r="K360" s="497"/>
      <c r="L360" s="497"/>
      <c r="M360" s="497"/>
      <c r="N360" s="497"/>
      <c r="O360" s="497"/>
      <c r="P360" s="3"/>
      <c r="Q360" s="3"/>
    </row>
    <row r="361" spans="2:17" s="275" customFormat="1" ht="15" x14ac:dyDescent="0.35">
      <c r="B361" s="461" t="s">
        <v>437</v>
      </c>
      <c r="C361" s="462"/>
      <c r="D361" s="462"/>
      <c r="E361" s="462"/>
      <c r="F361" s="462"/>
      <c r="G361" s="462"/>
      <c r="H361" s="462"/>
      <c r="I361" s="462"/>
      <c r="J361" s="462"/>
      <c r="K361" s="462"/>
      <c r="L361" s="462"/>
      <c r="M361" s="462"/>
      <c r="N361" s="463"/>
      <c r="O361" s="466" t="s">
        <v>717</v>
      </c>
      <c r="P361" s="466" t="s">
        <v>712</v>
      </c>
      <c r="Q361" s="468" t="s">
        <v>711</v>
      </c>
    </row>
    <row r="362" spans="2:17" s="275" customFormat="1" x14ac:dyDescent="0.2">
      <c r="B362" s="478"/>
      <c r="C362" s="475" t="s">
        <v>111</v>
      </c>
      <c r="D362" s="475" t="s">
        <v>112</v>
      </c>
      <c r="E362" s="475"/>
      <c r="F362" s="475" t="s">
        <v>113</v>
      </c>
      <c r="G362" s="477" t="s">
        <v>114</v>
      </c>
      <c r="H362" s="476" t="s">
        <v>115</v>
      </c>
      <c r="I362" s="471" t="s">
        <v>713</v>
      </c>
      <c r="J362" s="471" t="s">
        <v>714</v>
      </c>
      <c r="K362" s="472" t="s">
        <v>711</v>
      </c>
      <c r="L362" s="471" t="s">
        <v>715</v>
      </c>
      <c r="M362" s="471" t="s">
        <v>716</v>
      </c>
      <c r="N362" s="451" t="s">
        <v>711</v>
      </c>
      <c r="O362" s="467"/>
      <c r="P362" s="467"/>
      <c r="Q362" s="469"/>
    </row>
    <row r="363" spans="2:17" s="275" customFormat="1" x14ac:dyDescent="0.2">
      <c r="B363" s="478"/>
      <c r="C363" s="475"/>
      <c r="D363" s="475"/>
      <c r="E363" s="475"/>
      <c r="F363" s="475"/>
      <c r="G363" s="477"/>
      <c r="H363" s="476"/>
      <c r="I363" s="471"/>
      <c r="J363" s="471"/>
      <c r="K363" s="473"/>
      <c r="L363" s="471"/>
      <c r="M363" s="471"/>
      <c r="N363" s="452"/>
      <c r="O363" s="467"/>
      <c r="P363" s="467"/>
      <c r="Q363" s="469"/>
    </row>
    <row r="364" spans="2:17" s="275" customFormat="1" x14ac:dyDescent="0.2">
      <c r="B364" s="478"/>
      <c r="C364" s="475"/>
      <c r="D364" s="475"/>
      <c r="E364" s="475"/>
      <c r="F364" s="475"/>
      <c r="G364" s="477"/>
      <c r="H364" s="476"/>
      <c r="I364" s="471"/>
      <c r="J364" s="471"/>
      <c r="K364" s="473"/>
      <c r="L364" s="471"/>
      <c r="M364" s="471"/>
      <c r="N364" s="452"/>
      <c r="O364" s="467"/>
      <c r="P364" s="467"/>
      <c r="Q364" s="469"/>
    </row>
    <row r="365" spans="2:17" s="275" customFormat="1" x14ac:dyDescent="0.2">
      <c r="B365" s="478"/>
      <c r="C365" s="475"/>
      <c r="D365" s="475"/>
      <c r="E365" s="475"/>
      <c r="F365" s="475"/>
      <c r="G365" s="477"/>
      <c r="H365" s="476"/>
      <c r="I365" s="471"/>
      <c r="J365" s="471"/>
      <c r="K365" s="474"/>
      <c r="L365" s="471"/>
      <c r="M365" s="471"/>
      <c r="N365" s="452"/>
      <c r="O365" s="467"/>
      <c r="P365" s="467"/>
      <c r="Q365" s="470"/>
    </row>
    <row r="366" spans="2:17" s="275" customFormat="1" ht="15.75" x14ac:dyDescent="0.2">
      <c r="B366" s="6">
        <v>1</v>
      </c>
      <c r="C366" s="464" t="s">
        <v>19</v>
      </c>
      <c r="D366" s="465"/>
      <c r="E366" s="465"/>
      <c r="F366" s="465"/>
      <c r="G366" s="465"/>
      <c r="H366" s="465"/>
      <c r="I366" s="7">
        <f>I367+I384+I412</f>
        <v>7728353</v>
      </c>
      <c r="J366" s="7">
        <f>J367+J384+J412</f>
        <v>3701109</v>
      </c>
      <c r="K366" s="354">
        <f t="shared" ref="K366:K374" si="59">J366/I366*100</f>
        <v>47.890009682528735</v>
      </c>
      <c r="L366" s="7">
        <f>L412+L384+L367</f>
        <v>6612773</v>
      </c>
      <c r="M366" s="7">
        <f>M412+M384+M367</f>
        <v>61120</v>
      </c>
      <c r="N366" s="354">
        <f>M366/L366*100</f>
        <v>0.92427185992926109</v>
      </c>
      <c r="O366" s="8">
        <f t="shared" ref="O366:P368" si="60">L366+I366</f>
        <v>14341126</v>
      </c>
      <c r="P366" s="8">
        <f t="shared" si="60"/>
        <v>3762229</v>
      </c>
      <c r="Q366" s="354">
        <f>P366/O366*100</f>
        <v>26.233846631010703</v>
      </c>
    </row>
    <row r="367" spans="2:17" s="275" customFormat="1" ht="15" x14ac:dyDescent="0.2">
      <c r="B367" s="6">
        <f t="shared" ref="B367:B398" si="61">B366+1</f>
        <v>2</v>
      </c>
      <c r="C367" s="9">
        <v>1</v>
      </c>
      <c r="D367" s="459" t="s">
        <v>358</v>
      </c>
      <c r="E367" s="460"/>
      <c r="F367" s="460"/>
      <c r="G367" s="460"/>
      <c r="H367" s="460"/>
      <c r="I367" s="10">
        <f>I368+I370</f>
        <v>4712614</v>
      </c>
      <c r="J367" s="10">
        <f>J368+J370</f>
        <v>2383855</v>
      </c>
      <c r="K367" s="354">
        <f t="shared" si="59"/>
        <v>50.584558803245926</v>
      </c>
      <c r="L367" s="10">
        <f>L375</f>
        <v>337640</v>
      </c>
      <c r="M367" s="10">
        <f>M375</f>
        <v>33</v>
      </c>
      <c r="N367" s="354">
        <f>M367/L367*100</f>
        <v>9.7737234924771942E-3</v>
      </c>
      <c r="O367" s="31">
        <f t="shared" si="60"/>
        <v>5050254</v>
      </c>
      <c r="P367" s="31">
        <f t="shared" si="60"/>
        <v>2383888</v>
      </c>
      <c r="Q367" s="354">
        <f>P367/O367*100</f>
        <v>47.20332878306715</v>
      </c>
    </row>
    <row r="368" spans="2:17" s="275" customFormat="1" x14ac:dyDescent="0.2">
      <c r="B368" s="6">
        <f t="shared" si="61"/>
        <v>3</v>
      </c>
      <c r="C368" s="12"/>
      <c r="D368" s="12"/>
      <c r="E368" s="12"/>
      <c r="F368" s="13" t="s">
        <v>216</v>
      </c>
      <c r="G368" s="14">
        <v>630</v>
      </c>
      <c r="H368" s="12" t="s">
        <v>118</v>
      </c>
      <c r="I368" s="15">
        <f>I369</f>
        <v>15000</v>
      </c>
      <c r="J368" s="15">
        <f>J369</f>
        <v>0</v>
      </c>
      <c r="K368" s="354">
        <f t="shared" si="59"/>
        <v>0</v>
      </c>
      <c r="L368" s="15"/>
      <c r="M368" s="15"/>
      <c r="N368" s="354"/>
      <c r="O368" s="250">
        <f t="shared" si="60"/>
        <v>15000</v>
      </c>
      <c r="P368" s="250">
        <f t="shared" si="60"/>
        <v>0</v>
      </c>
      <c r="Q368" s="354">
        <f>P368/O368*100</f>
        <v>0</v>
      </c>
    </row>
    <row r="369" spans="2:17" s="275" customFormat="1" ht="24" x14ac:dyDescent="0.2">
      <c r="B369" s="6">
        <f t="shared" si="61"/>
        <v>4</v>
      </c>
      <c r="C369" s="52"/>
      <c r="D369" s="52"/>
      <c r="E369" s="52"/>
      <c r="F369" s="54"/>
      <c r="G369" s="54">
        <v>637</v>
      </c>
      <c r="H369" s="55" t="s">
        <v>648</v>
      </c>
      <c r="I369" s="56">
        <v>15000</v>
      </c>
      <c r="J369" s="56">
        <v>0</v>
      </c>
      <c r="K369" s="374">
        <f t="shared" si="59"/>
        <v>0</v>
      </c>
      <c r="L369" s="56"/>
      <c r="M369" s="56"/>
      <c r="N369" s="374"/>
      <c r="O369" s="57"/>
      <c r="P369" s="57"/>
      <c r="Q369" s="374"/>
    </row>
    <row r="370" spans="2:17" s="275" customFormat="1" x14ac:dyDescent="0.2">
      <c r="B370" s="6">
        <f t="shared" si="61"/>
        <v>5</v>
      </c>
      <c r="C370" s="12"/>
      <c r="D370" s="12"/>
      <c r="E370" s="12"/>
      <c r="F370" s="13" t="s">
        <v>216</v>
      </c>
      <c r="G370" s="14">
        <v>640</v>
      </c>
      <c r="H370" s="12" t="s">
        <v>126</v>
      </c>
      <c r="I370" s="15">
        <f>SUM(I371:I374)</f>
        <v>4697614</v>
      </c>
      <c r="J370" s="15">
        <f>SUM(J371:J374)</f>
        <v>2383855</v>
      </c>
      <c r="K370" s="354">
        <f t="shared" si="59"/>
        <v>50.746080882763032</v>
      </c>
      <c r="L370" s="15"/>
      <c r="M370" s="15"/>
      <c r="N370" s="354"/>
      <c r="O370" s="16">
        <f t="shared" ref="O370:O401" si="62">L370+I370</f>
        <v>4697614</v>
      </c>
      <c r="P370" s="16">
        <f t="shared" ref="P370:P401" si="63">M370+J370</f>
        <v>2383855</v>
      </c>
      <c r="Q370" s="354">
        <f t="shared" ref="Q370:Q401" si="64">P370/O370*100</f>
        <v>50.746080882763032</v>
      </c>
    </row>
    <row r="371" spans="2:17" s="275" customFormat="1" x14ac:dyDescent="0.2">
      <c r="B371" s="6">
        <f t="shared" si="61"/>
        <v>6</v>
      </c>
      <c r="C371" s="1"/>
      <c r="D371" s="1"/>
      <c r="E371" s="1"/>
      <c r="F371" s="23"/>
      <c r="G371" s="23">
        <v>644</v>
      </c>
      <c r="H371" s="1" t="s">
        <v>270</v>
      </c>
      <c r="I371" s="24">
        <v>4430252</v>
      </c>
      <c r="J371" s="24">
        <v>2170126</v>
      </c>
      <c r="K371" s="354">
        <f t="shared" si="59"/>
        <v>48.984256426045292</v>
      </c>
      <c r="L371" s="24"/>
      <c r="M371" s="24"/>
      <c r="N371" s="354"/>
      <c r="O371" s="26">
        <f t="shared" si="62"/>
        <v>4430252</v>
      </c>
      <c r="P371" s="26">
        <f t="shared" si="63"/>
        <v>2170126</v>
      </c>
      <c r="Q371" s="354">
        <f t="shared" si="64"/>
        <v>48.984256426045292</v>
      </c>
    </row>
    <row r="372" spans="2:17" s="275" customFormat="1" x14ac:dyDescent="0.2">
      <c r="B372" s="6">
        <f t="shared" si="61"/>
        <v>7</v>
      </c>
      <c r="C372" s="1"/>
      <c r="D372" s="1"/>
      <c r="E372" s="1"/>
      <c r="F372" s="23"/>
      <c r="G372" s="23">
        <v>644</v>
      </c>
      <c r="H372" s="1" t="s">
        <v>403</v>
      </c>
      <c r="I372" s="24">
        <f>45000+93096</f>
        <v>138096</v>
      </c>
      <c r="J372" s="24">
        <v>138096</v>
      </c>
      <c r="K372" s="354">
        <f t="shared" si="59"/>
        <v>100</v>
      </c>
      <c r="L372" s="24"/>
      <c r="M372" s="24"/>
      <c r="N372" s="354"/>
      <c r="O372" s="26">
        <f t="shared" si="62"/>
        <v>138096</v>
      </c>
      <c r="P372" s="26">
        <f t="shared" si="63"/>
        <v>138096</v>
      </c>
      <c r="Q372" s="354">
        <f t="shared" si="64"/>
        <v>100</v>
      </c>
    </row>
    <row r="373" spans="2:17" s="275" customFormat="1" ht="48" x14ac:dyDescent="0.2">
      <c r="B373" s="6">
        <f t="shared" si="61"/>
        <v>8</v>
      </c>
      <c r="C373" s="1"/>
      <c r="D373" s="1"/>
      <c r="E373" s="1"/>
      <c r="F373" s="23"/>
      <c r="G373" s="23">
        <v>644</v>
      </c>
      <c r="H373" s="39" t="s">
        <v>638</v>
      </c>
      <c r="I373" s="35">
        <v>107266</v>
      </c>
      <c r="J373" s="35">
        <v>53633</v>
      </c>
      <c r="K373" s="354">
        <f t="shared" si="59"/>
        <v>50</v>
      </c>
      <c r="L373" s="24"/>
      <c r="M373" s="24"/>
      <c r="N373" s="354"/>
      <c r="O373" s="37">
        <f t="shared" si="62"/>
        <v>107266</v>
      </c>
      <c r="P373" s="37">
        <f t="shared" si="63"/>
        <v>53633</v>
      </c>
      <c r="Q373" s="354">
        <f t="shared" si="64"/>
        <v>50</v>
      </c>
    </row>
    <row r="374" spans="2:17" s="275" customFormat="1" x14ac:dyDescent="0.2">
      <c r="B374" s="6">
        <f t="shared" si="61"/>
        <v>9</v>
      </c>
      <c r="C374" s="1"/>
      <c r="D374" s="1"/>
      <c r="E374" s="1"/>
      <c r="F374" s="23"/>
      <c r="G374" s="23">
        <v>644</v>
      </c>
      <c r="H374" s="1" t="s">
        <v>404</v>
      </c>
      <c r="I374" s="24">
        <v>22000</v>
      </c>
      <c r="J374" s="24">
        <v>22000</v>
      </c>
      <c r="K374" s="354">
        <f t="shared" si="59"/>
        <v>100</v>
      </c>
      <c r="L374" s="24"/>
      <c r="M374" s="24"/>
      <c r="N374" s="354"/>
      <c r="O374" s="26">
        <f t="shared" si="62"/>
        <v>22000</v>
      </c>
      <c r="P374" s="26">
        <f t="shared" si="63"/>
        <v>22000</v>
      </c>
      <c r="Q374" s="354">
        <f t="shared" si="64"/>
        <v>100</v>
      </c>
    </row>
    <row r="375" spans="2:17" s="275" customFormat="1" x14ac:dyDescent="0.2">
      <c r="B375" s="6">
        <f t="shared" si="61"/>
        <v>10</v>
      </c>
      <c r="C375" s="12"/>
      <c r="D375" s="12"/>
      <c r="E375" s="12"/>
      <c r="F375" s="13" t="s">
        <v>216</v>
      </c>
      <c r="G375" s="14">
        <v>710</v>
      </c>
      <c r="H375" s="12" t="s">
        <v>172</v>
      </c>
      <c r="I375" s="15"/>
      <c r="J375" s="15"/>
      <c r="K375" s="354"/>
      <c r="L375" s="15">
        <f>L376+L380</f>
        <v>337640</v>
      </c>
      <c r="M375" s="15">
        <f>M376+M380</f>
        <v>33</v>
      </c>
      <c r="N375" s="354">
        <f t="shared" ref="N375:N385" si="65">M375/L375*100</f>
        <v>9.7737234924771942E-3</v>
      </c>
      <c r="O375" s="16">
        <f t="shared" si="62"/>
        <v>337640</v>
      </c>
      <c r="P375" s="16">
        <f t="shared" si="63"/>
        <v>33</v>
      </c>
      <c r="Q375" s="354">
        <f t="shared" si="64"/>
        <v>9.7737234924771942E-3</v>
      </c>
    </row>
    <row r="376" spans="2:17" s="275" customFormat="1" x14ac:dyDescent="0.2">
      <c r="B376" s="6">
        <f t="shared" si="61"/>
        <v>11</v>
      </c>
      <c r="C376" s="17"/>
      <c r="D376" s="17"/>
      <c r="E376" s="17"/>
      <c r="F376" s="18" t="s">
        <v>216</v>
      </c>
      <c r="G376" s="19">
        <v>716</v>
      </c>
      <c r="H376" s="17" t="s">
        <v>212</v>
      </c>
      <c r="I376" s="20"/>
      <c r="J376" s="20"/>
      <c r="K376" s="354"/>
      <c r="L376" s="20">
        <f>SUM(L377:L379)</f>
        <v>15000</v>
      </c>
      <c r="M376" s="20">
        <f>SUM(M377:M379)</f>
        <v>0</v>
      </c>
      <c r="N376" s="354">
        <f t="shared" si="65"/>
        <v>0</v>
      </c>
      <c r="O376" s="21">
        <f t="shared" si="62"/>
        <v>15000</v>
      </c>
      <c r="P376" s="21">
        <f t="shared" si="63"/>
        <v>0</v>
      </c>
      <c r="Q376" s="354">
        <f t="shared" si="64"/>
        <v>0</v>
      </c>
    </row>
    <row r="377" spans="2:17" s="275" customFormat="1" x14ac:dyDescent="0.2">
      <c r="B377" s="6">
        <f t="shared" si="61"/>
        <v>12</v>
      </c>
      <c r="C377" s="17"/>
      <c r="D377" s="17"/>
      <c r="E377" s="17"/>
      <c r="F377" s="18"/>
      <c r="G377" s="19"/>
      <c r="H377" s="1" t="s">
        <v>552</v>
      </c>
      <c r="I377" s="24"/>
      <c r="J377" s="24"/>
      <c r="K377" s="354"/>
      <c r="L377" s="24">
        <v>2000</v>
      </c>
      <c r="M377" s="24">
        <v>0</v>
      </c>
      <c r="N377" s="354">
        <f t="shared" si="65"/>
        <v>0</v>
      </c>
      <c r="O377" s="26">
        <f t="shared" si="62"/>
        <v>2000</v>
      </c>
      <c r="P377" s="26">
        <f t="shared" si="63"/>
        <v>0</v>
      </c>
      <c r="Q377" s="354">
        <f t="shared" si="64"/>
        <v>0</v>
      </c>
    </row>
    <row r="378" spans="2:17" s="275" customFormat="1" x14ac:dyDescent="0.2">
      <c r="B378" s="6">
        <f t="shared" si="61"/>
        <v>13</v>
      </c>
      <c r="C378" s="1"/>
      <c r="D378" s="1"/>
      <c r="E378" s="1"/>
      <c r="F378" s="23"/>
      <c r="G378" s="23"/>
      <c r="H378" s="1" t="s">
        <v>554</v>
      </c>
      <c r="I378" s="24"/>
      <c r="J378" s="24"/>
      <c r="K378" s="354"/>
      <c r="L378" s="24">
        <v>2000</v>
      </c>
      <c r="M378" s="24">
        <v>0</v>
      </c>
      <c r="N378" s="354">
        <f t="shared" si="65"/>
        <v>0</v>
      </c>
      <c r="O378" s="26">
        <f t="shared" si="62"/>
        <v>2000</v>
      </c>
      <c r="P378" s="26">
        <f t="shared" si="63"/>
        <v>0</v>
      </c>
      <c r="Q378" s="354">
        <f t="shared" si="64"/>
        <v>0</v>
      </c>
    </row>
    <row r="379" spans="2:17" s="275" customFormat="1" x14ac:dyDescent="0.2">
      <c r="B379" s="6">
        <f t="shared" si="61"/>
        <v>14</v>
      </c>
      <c r="C379" s="1"/>
      <c r="D379" s="1"/>
      <c r="E379" s="1"/>
      <c r="F379" s="23"/>
      <c r="G379" s="23"/>
      <c r="H379" s="1" t="s">
        <v>553</v>
      </c>
      <c r="I379" s="24"/>
      <c r="J379" s="24"/>
      <c r="K379" s="354"/>
      <c r="L379" s="24">
        <v>11000</v>
      </c>
      <c r="M379" s="24">
        <v>0</v>
      </c>
      <c r="N379" s="354">
        <f t="shared" si="65"/>
        <v>0</v>
      </c>
      <c r="O379" s="26">
        <f t="shared" si="62"/>
        <v>11000</v>
      </c>
      <c r="P379" s="26">
        <f t="shared" si="63"/>
        <v>0</v>
      </c>
      <c r="Q379" s="354">
        <f t="shared" si="64"/>
        <v>0</v>
      </c>
    </row>
    <row r="380" spans="2:17" s="275" customFormat="1" x14ac:dyDescent="0.2">
      <c r="B380" s="6">
        <f t="shared" si="61"/>
        <v>15</v>
      </c>
      <c r="C380" s="17"/>
      <c r="D380" s="17"/>
      <c r="E380" s="17"/>
      <c r="F380" s="18" t="s">
        <v>216</v>
      </c>
      <c r="G380" s="19">
        <v>717</v>
      </c>
      <c r="H380" s="17" t="s">
        <v>179</v>
      </c>
      <c r="I380" s="20"/>
      <c r="J380" s="20"/>
      <c r="K380" s="354"/>
      <c r="L380" s="20">
        <f>SUM(L381:L383)</f>
        <v>322640</v>
      </c>
      <c r="M380" s="20">
        <f>SUM(M381:M383)</f>
        <v>33</v>
      </c>
      <c r="N380" s="354">
        <f t="shared" si="65"/>
        <v>1.0228118026283164E-2</v>
      </c>
      <c r="O380" s="21">
        <f t="shared" si="62"/>
        <v>322640</v>
      </c>
      <c r="P380" s="21">
        <f t="shared" si="63"/>
        <v>33</v>
      </c>
      <c r="Q380" s="354">
        <f t="shared" si="64"/>
        <v>1.0228118026283164E-2</v>
      </c>
    </row>
    <row r="381" spans="2:17" s="275" customFormat="1" x14ac:dyDescent="0.2">
      <c r="B381" s="6">
        <f t="shared" si="61"/>
        <v>16</v>
      </c>
      <c r="C381" s="1"/>
      <c r="D381" s="1"/>
      <c r="E381" s="1"/>
      <c r="F381" s="23"/>
      <c r="G381" s="23"/>
      <c r="H381" s="1" t="s">
        <v>455</v>
      </c>
      <c r="I381" s="24"/>
      <c r="J381" s="24"/>
      <c r="K381" s="354"/>
      <c r="L381" s="24">
        <v>18800</v>
      </c>
      <c r="M381" s="24">
        <v>33</v>
      </c>
      <c r="N381" s="354">
        <f t="shared" si="65"/>
        <v>0.17553191489361702</v>
      </c>
      <c r="O381" s="26">
        <f t="shared" si="62"/>
        <v>18800</v>
      </c>
      <c r="P381" s="26">
        <f t="shared" si="63"/>
        <v>33</v>
      </c>
      <c r="Q381" s="354">
        <f t="shared" si="64"/>
        <v>0.17553191489361702</v>
      </c>
    </row>
    <row r="382" spans="2:17" s="275" customFormat="1" x14ac:dyDescent="0.2">
      <c r="B382" s="6">
        <f t="shared" si="61"/>
        <v>17</v>
      </c>
      <c r="C382" s="1"/>
      <c r="D382" s="1"/>
      <c r="E382" s="1"/>
      <c r="F382" s="23"/>
      <c r="G382" s="23"/>
      <c r="H382" s="1" t="s">
        <v>552</v>
      </c>
      <c r="I382" s="24"/>
      <c r="J382" s="24"/>
      <c r="K382" s="354"/>
      <c r="L382" s="24">
        <f>189000+142000-21130-15000-9030</f>
        <v>285840</v>
      </c>
      <c r="M382" s="24">
        <v>0</v>
      </c>
      <c r="N382" s="354">
        <f t="shared" si="65"/>
        <v>0</v>
      </c>
      <c r="O382" s="26">
        <f t="shared" si="62"/>
        <v>285840</v>
      </c>
      <c r="P382" s="26">
        <f t="shared" si="63"/>
        <v>0</v>
      </c>
      <c r="Q382" s="354">
        <f t="shared" si="64"/>
        <v>0</v>
      </c>
    </row>
    <row r="383" spans="2:17" s="275" customFormat="1" x14ac:dyDescent="0.2">
      <c r="B383" s="6">
        <f t="shared" si="61"/>
        <v>18</v>
      </c>
      <c r="C383" s="1"/>
      <c r="D383" s="1"/>
      <c r="E383" s="1"/>
      <c r="F383" s="23"/>
      <c r="G383" s="23"/>
      <c r="H383" s="1" t="s">
        <v>555</v>
      </c>
      <c r="I383" s="24"/>
      <c r="J383" s="24"/>
      <c r="K383" s="354"/>
      <c r="L383" s="24">
        <v>18000</v>
      </c>
      <c r="M383" s="24">
        <v>0</v>
      </c>
      <c r="N383" s="354">
        <f t="shared" si="65"/>
        <v>0</v>
      </c>
      <c r="O383" s="26">
        <f t="shared" si="62"/>
        <v>18000</v>
      </c>
      <c r="P383" s="26">
        <f t="shared" si="63"/>
        <v>0</v>
      </c>
      <c r="Q383" s="354">
        <f t="shared" si="64"/>
        <v>0</v>
      </c>
    </row>
    <row r="384" spans="2:17" s="275" customFormat="1" ht="15" x14ac:dyDescent="0.2">
      <c r="B384" s="6">
        <f t="shared" si="61"/>
        <v>19</v>
      </c>
      <c r="C384" s="9">
        <v>2</v>
      </c>
      <c r="D384" s="459" t="s">
        <v>261</v>
      </c>
      <c r="E384" s="460"/>
      <c r="F384" s="460"/>
      <c r="G384" s="460"/>
      <c r="H384" s="460"/>
      <c r="I384" s="10">
        <f>I385+I404</f>
        <v>3015739</v>
      </c>
      <c r="J384" s="10">
        <f>J385+J404</f>
        <v>1317254</v>
      </c>
      <c r="K384" s="354">
        <f t="shared" ref="K384:K398" si="66">J384/I384*100</f>
        <v>43.679310444305692</v>
      </c>
      <c r="L384" s="10">
        <f>L385+L404</f>
        <v>41600</v>
      </c>
      <c r="M384" s="10">
        <f>M385+M404</f>
        <v>31560</v>
      </c>
      <c r="N384" s="354">
        <f t="shared" si="65"/>
        <v>75.865384615384613</v>
      </c>
      <c r="O384" s="31">
        <f t="shared" si="62"/>
        <v>3057339</v>
      </c>
      <c r="P384" s="31">
        <f t="shared" si="63"/>
        <v>1348814</v>
      </c>
      <c r="Q384" s="354">
        <f t="shared" si="64"/>
        <v>44.117253598635934</v>
      </c>
    </row>
    <row r="385" spans="2:17" s="275" customFormat="1" ht="15" x14ac:dyDescent="0.25">
      <c r="B385" s="6">
        <f t="shared" si="61"/>
        <v>20</v>
      </c>
      <c r="C385" s="27"/>
      <c r="D385" s="27">
        <v>1</v>
      </c>
      <c r="E385" s="457" t="s">
        <v>374</v>
      </c>
      <c r="F385" s="458"/>
      <c r="G385" s="458"/>
      <c r="H385" s="458"/>
      <c r="I385" s="28">
        <f>I386+I388</f>
        <v>2565775</v>
      </c>
      <c r="J385" s="28">
        <f>J386+J388</f>
        <v>1141691</v>
      </c>
      <c r="K385" s="354">
        <f t="shared" si="66"/>
        <v>44.496925880094707</v>
      </c>
      <c r="L385" s="28">
        <f>L388</f>
        <v>32000</v>
      </c>
      <c r="M385" s="28">
        <f>M388</f>
        <v>31560</v>
      </c>
      <c r="N385" s="354">
        <f t="shared" si="65"/>
        <v>98.625</v>
      </c>
      <c r="O385" s="29">
        <f t="shared" si="62"/>
        <v>2597775</v>
      </c>
      <c r="P385" s="29">
        <f t="shared" si="63"/>
        <v>1173251</v>
      </c>
      <c r="Q385" s="354">
        <f t="shared" si="64"/>
        <v>45.163688156210604</v>
      </c>
    </row>
    <row r="386" spans="2:17" s="275" customFormat="1" x14ac:dyDescent="0.2">
      <c r="B386" s="6">
        <f t="shared" si="61"/>
        <v>21</v>
      </c>
      <c r="C386" s="12"/>
      <c r="D386" s="12"/>
      <c r="E386" s="12"/>
      <c r="F386" s="13" t="s">
        <v>216</v>
      </c>
      <c r="G386" s="14">
        <v>630</v>
      </c>
      <c r="H386" s="12" t="s">
        <v>118</v>
      </c>
      <c r="I386" s="15">
        <f>I387</f>
        <v>20000</v>
      </c>
      <c r="J386" s="15">
        <f>J387</f>
        <v>6088</v>
      </c>
      <c r="K386" s="354">
        <f t="shared" si="66"/>
        <v>30.44</v>
      </c>
      <c r="L386" s="15"/>
      <c r="M386" s="15"/>
      <c r="N386" s="354"/>
      <c r="O386" s="16">
        <f t="shared" si="62"/>
        <v>20000</v>
      </c>
      <c r="P386" s="16">
        <f t="shared" si="63"/>
        <v>6088</v>
      </c>
      <c r="Q386" s="354">
        <f t="shared" si="64"/>
        <v>30.44</v>
      </c>
    </row>
    <row r="387" spans="2:17" s="275" customFormat="1" x14ac:dyDescent="0.2">
      <c r="B387" s="6">
        <f t="shared" si="61"/>
        <v>22</v>
      </c>
      <c r="C387" s="17"/>
      <c r="D387" s="17"/>
      <c r="E387" s="17"/>
      <c r="F387" s="18"/>
      <c r="G387" s="19">
        <v>637</v>
      </c>
      <c r="H387" s="17" t="s">
        <v>119</v>
      </c>
      <c r="I387" s="20">
        <v>20000</v>
      </c>
      <c r="J387" s="20">
        <v>6088</v>
      </c>
      <c r="K387" s="354">
        <f t="shared" si="66"/>
        <v>30.44</v>
      </c>
      <c r="L387" s="20"/>
      <c r="M387" s="20"/>
      <c r="N387" s="354"/>
      <c r="O387" s="21">
        <f t="shared" si="62"/>
        <v>20000</v>
      </c>
      <c r="P387" s="21">
        <f t="shared" si="63"/>
        <v>6088</v>
      </c>
      <c r="Q387" s="354">
        <f t="shared" si="64"/>
        <v>30.44</v>
      </c>
    </row>
    <row r="388" spans="2:17" s="275" customFormat="1" ht="15" x14ac:dyDescent="0.25">
      <c r="B388" s="6">
        <f t="shared" si="61"/>
        <v>23</v>
      </c>
      <c r="C388" s="95"/>
      <c r="D388" s="95"/>
      <c r="E388" s="95">
        <v>2</v>
      </c>
      <c r="F388" s="96"/>
      <c r="G388" s="96"/>
      <c r="H388" s="95" t="s">
        <v>11</v>
      </c>
      <c r="I388" s="97">
        <f>I389+I390+I391+I398</f>
        <v>2545775</v>
      </c>
      <c r="J388" s="97">
        <f>J389+J390+J391+J398</f>
        <v>1135603</v>
      </c>
      <c r="K388" s="354">
        <f t="shared" si="66"/>
        <v>44.607359252094156</v>
      </c>
      <c r="L388" s="97">
        <f>L399</f>
        <v>32000</v>
      </c>
      <c r="M388" s="97">
        <f>M399</f>
        <v>31560</v>
      </c>
      <c r="N388" s="354">
        <f>M388/L388*100</f>
        <v>98.625</v>
      </c>
      <c r="O388" s="98">
        <f t="shared" si="62"/>
        <v>2577775</v>
      </c>
      <c r="P388" s="98">
        <f t="shared" si="63"/>
        <v>1167163</v>
      </c>
      <c r="Q388" s="354">
        <f t="shared" si="64"/>
        <v>45.277923790866154</v>
      </c>
    </row>
    <row r="389" spans="2:17" s="275" customFormat="1" x14ac:dyDescent="0.2">
      <c r="B389" s="6">
        <f t="shared" si="61"/>
        <v>24</v>
      </c>
      <c r="C389" s="12"/>
      <c r="D389" s="12"/>
      <c r="E389" s="12"/>
      <c r="F389" s="13" t="s">
        <v>216</v>
      </c>
      <c r="G389" s="14">
        <v>610</v>
      </c>
      <c r="H389" s="12" t="s">
        <v>128</v>
      </c>
      <c r="I389" s="15">
        <v>124740</v>
      </c>
      <c r="J389" s="15">
        <v>54884</v>
      </c>
      <c r="K389" s="354">
        <f t="shared" si="66"/>
        <v>43.99871733205066</v>
      </c>
      <c r="L389" s="15"/>
      <c r="M389" s="15"/>
      <c r="N389" s="354"/>
      <c r="O389" s="16">
        <f t="shared" si="62"/>
        <v>124740</v>
      </c>
      <c r="P389" s="16">
        <f t="shared" si="63"/>
        <v>54884</v>
      </c>
      <c r="Q389" s="354">
        <f t="shared" si="64"/>
        <v>43.99871733205066</v>
      </c>
    </row>
    <row r="390" spans="2:17" s="275" customFormat="1" x14ac:dyDescent="0.2">
      <c r="B390" s="6">
        <f t="shared" si="61"/>
        <v>25</v>
      </c>
      <c r="C390" s="12"/>
      <c r="D390" s="12"/>
      <c r="E390" s="12"/>
      <c r="F390" s="13" t="s">
        <v>216</v>
      </c>
      <c r="G390" s="14">
        <v>620</v>
      </c>
      <c r="H390" s="12" t="s">
        <v>121</v>
      </c>
      <c r="I390" s="15">
        <v>49740</v>
      </c>
      <c r="J390" s="15">
        <v>21092</v>
      </c>
      <c r="K390" s="354">
        <f t="shared" si="66"/>
        <v>42.404503417772418</v>
      </c>
      <c r="L390" s="15"/>
      <c r="M390" s="15"/>
      <c r="N390" s="354"/>
      <c r="O390" s="16">
        <f t="shared" si="62"/>
        <v>49740</v>
      </c>
      <c r="P390" s="16">
        <f t="shared" si="63"/>
        <v>21092</v>
      </c>
      <c r="Q390" s="354">
        <f t="shared" si="64"/>
        <v>42.404503417772418</v>
      </c>
    </row>
    <row r="391" spans="2:17" s="275" customFormat="1" x14ac:dyDescent="0.2">
      <c r="B391" s="6">
        <f t="shared" si="61"/>
        <v>26</v>
      </c>
      <c r="C391" s="12"/>
      <c r="D391" s="12"/>
      <c r="E391" s="12"/>
      <c r="F391" s="13" t="s">
        <v>216</v>
      </c>
      <c r="G391" s="14">
        <v>630</v>
      </c>
      <c r="H391" s="12" t="s">
        <v>118</v>
      </c>
      <c r="I391" s="15">
        <f>SUM(I392:I397)</f>
        <v>2360495</v>
      </c>
      <c r="J391" s="15">
        <f>SUM(J392:J397)</f>
        <v>1054700</v>
      </c>
      <c r="K391" s="354">
        <f t="shared" si="66"/>
        <v>44.681306251443026</v>
      </c>
      <c r="L391" s="15"/>
      <c r="M391" s="15"/>
      <c r="N391" s="354"/>
      <c r="O391" s="16">
        <f t="shared" si="62"/>
        <v>2360495</v>
      </c>
      <c r="P391" s="16">
        <f t="shared" si="63"/>
        <v>1054700</v>
      </c>
      <c r="Q391" s="354">
        <f t="shared" si="64"/>
        <v>44.681306251443026</v>
      </c>
    </row>
    <row r="392" spans="2:17" s="275" customFormat="1" x14ac:dyDescent="0.2">
      <c r="B392" s="6">
        <f t="shared" si="61"/>
        <v>27</v>
      </c>
      <c r="C392" s="12"/>
      <c r="D392" s="12"/>
      <c r="E392" s="12"/>
      <c r="F392" s="13"/>
      <c r="G392" s="19">
        <v>632</v>
      </c>
      <c r="H392" s="17" t="s">
        <v>131</v>
      </c>
      <c r="I392" s="20">
        <v>1000</v>
      </c>
      <c r="J392" s="20">
        <v>168</v>
      </c>
      <c r="K392" s="354">
        <f t="shared" si="66"/>
        <v>16.8</v>
      </c>
      <c r="L392" s="15"/>
      <c r="M392" s="15"/>
      <c r="N392" s="354"/>
      <c r="O392" s="16">
        <f t="shared" si="62"/>
        <v>1000</v>
      </c>
      <c r="P392" s="16">
        <f t="shared" si="63"/>
        <v>168</v>
      </c>
      <c r="Q392" s="354">
        <f t="shared" si="64"/>
        <v>16.8</v>
      </c>
    </row>
    <row r="393" spans="2:17" s="275" customFormat="1" x14ac:dyDescent="0.2">
      <c r="B393" s="6">
        <f t="shared" si="61"/>
        <v>28</v>
      </c>
      <c r="C393" s="17"/>
      <c r="D393" s="17"/>
      <c r="E393" s="17"/>
      <c r="F393" s="18"/>
      <c r="G393" s="19">
        <v>633</v>
      </c>
      <c r="H393" s="17" t="s">
        <v>122</v>
      </c>
      <c r="I393" s="20">
        <f>29000+11600</f>
        <v>40600</v>
      </c>
      <c r="J393" s="20">
        <v>7446</v>
      </c>
      <c r="K393" s="354">
        <f t="shared" si="66"/>
        <v>18.339901477832512</v>
      </c>
      <c r="L393" s="20"/>
      <c r="M393" s="20"/>
      <c r="N393" s="354"/>
      <c r="O393" s="21">
        <f t="shared" si="62"/>
        <v>40600</v>
      </c>
      <c r="P393" s="21">
        <f t="shared" si="63"/>
        <v>7446</v>
      </c>
      <c r="Q393" s="354">
        <f t="shared" si="64"/>
        <v>18.339901477832512</v>
      </c>
    </row>
    <row r="394" spans="2:17" s="275" customFormat="1" x14ac:dyDescent="0.2">
      <c r="B394" s="6">
        <f t="shared" si="61"/>
        <v>29</v>
      </c>
      <c r="C394" s="17"/>
      <c r="D394" s="17"/>
      <c r="E394" s="17"/>
      <c r="F394" s="18"/>
      <c r="G394" s="19">
        <v>634</v>
      </c>
      <c r="H394" s="17" t="s">
        <v>129</v>
      </c>
      <c r="I394" s="20">
        <v>27150</v>
      </c>
      <c r="J394" s="20">
        <v>10756</v>
      </c>
      <c r="K394" s="354">
        <f t="shared" si="66"/>
        <v>39.616942909760589</v>
      </c>
      <c r="L394" s="20"/>
      <c r="M394" s="20"/>
      <c r="N394" s="354"/>
      <c r="O394" s="21">
        <f t="shared" si="62"/>
        <v>27150</v>
      </c>
      <c r="P394" s="21">
        <f t="shared" si="63"/>
        <v>10756</v>
      </c>
      <c r="Q394" s="354">
        <f t="shared" si="64"/>
        <v>39.616942909760589</v>
      </c>
    </row>
    <row r="395" spans="2:17" s="275" customFormat="1" x14ac:dyDescent="0.2">
      <c r="B395" s="6">
        <f t="shared" si="61"/>
        <v>30</v>
      </c>
      <c r="C395" s="17"/>
      <c r="D395" s="17"/>
      <c r="E395" s="17"/>
      <c r="F395" s="18"/>
      <c r="G395" s="19">
        <v>635</v>
      </c>
      <c r="H395" s="17" t="s">
        <v>130</v>
      </c>
      <c r="I395" s="20">
        <f>2333960-65000</f>
        <v>2268960</v>
      </c>
      <c r="J395" s="20">
        <v>1034910</v>
      </c>
      <c r="K395" s="354">
        <f t="shared" si="66"/>
        <v>45.611645864184474</v>
      </c>
      <c r="L395" s="20"/>
      <c r="M395" s="20"/>
      <c r="N395" s="354"/>
      <c r="O395" s="21">
        <f t="shared" si="62"/>
        <v>2268960</v>
      </c>
      <c r="P395" s="21">
        <f t="shared" si="63"/>
        <v>1034910</v>
      </c>
      <c r="Q395" s="354">
        <f t="shared" si="64"/>
        <v>45.611645864184474</v>
      </c>
    </row>
    <row r="396" spans="2:17" s="275" customFormat="1" x14ac:dyDescent="0.2">
      <c r="B396" s="6">
        <f t="shared" si="61"/>
        <v>31</v>
      </c>
      <c r="C396" s="17"/>
      <c r="D396" s="17"/>
      <c r="E396" s="17"/>
      <c r="F396" s="18"/>
      <c r="G396" s="19">
        <v>636</v>
      </c>
      <c r="H396" s="17" t="s">
        <v>123</v>
      </c>
      <c r="I396" s="20">
        <v>500</v>
      </c>
      <c r="J396" s="20">
        <v>0</v>
      </c>
      <c r="K396" s="354">
        <f t="shared" si="66"/>
        <v>0</v>
      </c>
      <c r="L396" s="20"/>
      <c r="M396" s="20"/>
      <c r="N396" s="354"/>
      <c r="O396" s="21">
        <f t="shared" si="62"/>
        <v>500</v>
      </c>
      <c r="P396" s="21">
        <f t="shared" si="63"/>
        <v>0</v>
      </c>
      <c r="Q396" s="354">
        <f t="shared" si="64"/>
        <v>0</v>
      </c>
    </row>
    <row r="397" spans="2:17" s="275" customFormat="1" x14ac:dyDescent="0.2">
      <c r="B397" s="6">
        <f t="shared" si="61"/>
        <v>32</v>
      </c>
      <c r="C397" s="17"/>
      <c r="D397" s="17"/>
      <c r="E397" s="17"/>
      <c r="F397" s="18"/>
      <c r="G397" s="19">
        <v>637</v>
      </c>
      <c r="H397" s="17" t="s">
        <v>119</v>
      </c>
      <c r="I397" s="20">
        <v>22285</v>
      </c>
      <c r="J397" s="20">
        <v>1420</v>
      </c>
      <c r="K397" s="354">
        <f t="shared" si="66"/>
        <v>6.3719991025353373</v>
      </c>
      <c r="L397" s="20"/>
      <c r="M397" s="20"/>
      <c r="N397" s="354"/>
      <c r="O397" s="21">
        <f t="shared" si="62"/>
        <v>22285</v>
      </c>
      <c r="P397" s="21">
        <f t="shared" si="63"/>
        <v>1420</v>
      </c>
      <c r="Q397" s="354">
        <f t="shared" si="64"/>
        <v>6.3719991025353373</v>
      </c>
    </row>
    <row r="398" spans="2:17" s="275" customFormat="1" x14ac:dyDescent="0.2">
      <c r="B398" s="6">
        <f t="shared" si="61"/>
        <v>33</v>
      </c>
      <c r="C398" s="12"/>
      <c r="D398" s="12"/>
      <c r="E398" s="12"/>
      <c r="F398" s="13" t="s">
        <v>216</v>
      </c>
      <c r="G398" s="14">
        <v>640</v>
      </c>
      <c r="H398" s="12" t="s">
        <v>126</v>
      </c>
      <c r="I398" s="15">
        <v>10800</v>
      </c>
      <c r="J398" s="15">
        <v>4927</v>
      </c>
      <c r="K398" s="354">
        <f t="shared" si="66"/>
        <v>45.620370370370374</v>
      </c>
      <c r="L398" s="15"/>
      <c r="M398" s="15"/>
      <c r="N398" s="354"/>
      <c r="O398" s="16">
        <f t="shared" si="62"/>
        <v>10800</v>
      </c>
      <c r="P398" s="16">
        <f t="shared" si="63"/>
        <v>4927</v>
      </c>
      <c r="Q398" s="354">
        <f t="shared" si="64"/>
        <v>45.620370370370374</v>
      </c>
    </row>
    <row r="399" spans="2:17" s="275" customFormat="1" x14ac:dyDescent="0.2">
      <c r="B399" s="6">
        <f t="shared" ref="B399:B430" si="67">B398+1</f>
        <v>34</v>
      </c>
      <c r="C399" s="12"/>
      <c r="D399" s="12"/>
      <c r="E399" s="12"/>
      <c r="F399" s="13" t="s">
        <v>216</v>
      </c>
      <c r="G399" s="14">
        <v>710</v>
      </c>
      <c r="H399" s="12" t="s">
        <v>172</v>
      </c>
      <c r="I399" s="15"/>
      <c r="J399" s="15"/>
      <c r="K399" s="354"/>
      <c r="L399" s="15">
        <f>L400+L402</f>
        <v>32000</v>
      </c>
      <c r="M399" s="15">
        <f>M400+M402</f>
        <v>31560</v>
      </c>
      <c r="N399" s="354">
        <f t="shared" ref="N399:N404" si="68">M399/L399*100</f>
        <v>98.625</v>
      </c>
      <c r="O399" s="16">
        <f t="shared" si="62"/>
        <v>32000</v>
      </c>
      <c r="P399" s="16">
        <f t="shared" si="63"/>
        <v>31560</v>
      </c>
      <c r="Q399" s="354">
        <f t="shared" si="64"/>
        <v>98.625</v>
      </c>
    </row>
    <row r="400" spans="2:17" s="275" customFormat="1" x14ac:dyDescent="0.2">
      <c r="B400" s="6">
        <f t="shared" si="67"/>
        <v>35</v>
      </c>
      <c r="C400" s="17"/>
      <c r="D400" s="17"/>
      <c r="E400" s="17"/>
      <c r="F400" s="18"/>
      <c r="G400" s="19">
        <v>713</v>
      </c>
      <c r="H400" s="17" t="s">
        <v>215</v>
      </c>
      <c r="I400" s="20"/>
      <c r="J400" s="20"/>
      <c r="K400" s="354"/>
      <c r="L400" s="20">
        <f>L401</f>
        <v>12000</v>
      </c>
      <c r="M400" s="20">
        <f>M401</f>
        <v>11960</v>
      </c>
      <c r="N400" s="354">
        <f t="shared" si="68"/>
        <v>99.666666666666671</v>
      </c>
      <c r="O400" s="21">
        <f t="shared" si="62"/>
        <v>12000</v>
      </c>
      <c r="P400" s="21">
        <f t="shared" si="63"/>
        <v>11960</v>
      </c>
      <c r="Q400" s="354">
        <f t="shared" si="64"/>
        <v>99.666666666666671</v>
      </c>
    </row>
    <row r="401" spans="2:17" s="275" customFormat="1" x14ac:dyDescent="0.2">
      <c r="B401" s="6">
        <f t="shared" si="67"/>
        <v>36</v>
      </c>
      <c r="C401" s="1"/>
      <c r="D401" s="1"/>
      <c r="E401" s="1"/>
      <c r="F401" s="99"/>
      <c r="G401" s="23"/>
      <c r="H401" s="1" t="s">
        <v>556</v>
      </c>
      <c r="I401" s="24"/>
      <c r="J401" s="24"/>
      <c r="K401" s="354"/>
      <c r="L401" s="24">
        <v>12000</v>
      </c>
      <c r="M401" s="24">
        <v>11960</v>
      </c>
      <c r="N401" s="354">
        <f t="shared" si="68"/>
        <v>99.666666666666671</v>
      </c>
      <c r="O401" s="26">
        <f t="shared" si="62"/>
        <v>12000</v>
      </c>
      <c r="P401" s="26">
        <f t="shared" si="63"/>
        <v>11960</v>
      </c>
      <c r="Q401" s="354">
        <f t="shared" si="64"/>
        <v>99.666666666666671</v>
      </c>
    </row>
    <row r="402" spans="2:17" s="275" customFormat="1" x14ac:dyDescent="0.2">
      <c r="B402" s="6">
        <f t="shared" si="67"/>
        <v>37</v>
      </c>
      <c r="C402" s="17"/>
      <c r="D402" s="17"/>
      <c r="E402" s="17"/>
      <c r="F402" s="18"/>
      <c r="G402" s="19">
        <v>714</v>
      </c>
      <c r="H402" s="17" t="s">
        <v>173</v>
      </c>
      <c r="I402" s="20"/>
      <c r="J402" s="20"/>
      <c r="K402" s="354"/>
      <c r="L402" s="20">
        <f>L403</f>
        <v>20000</v>
      </c>
      <c r="M402" s="20">
        <f>M403</f>
        <v>19600</v>
      </c>
      <c r="N402" s="354">
        <f t="shared" si="68"/>
        <v>98</v>
      </c>
      <c r="O402" s="21">
        <f t="shared" ref="O402:O433" si="69">L402+I402</f>
        <v>20000</v>
      </c>
      <c r="P402" s="21">
        <f t="shared" ref="P402:P433" si="70">M402+J402</f>
        <v>19600</v>
      </c>
      <c r="Q402" s="354">
        <f t="shared" ref="Q402:Q433" si="71">P402/O402*100</f>
        <v>98</v>
      </c>
    </row>
    <row r="403" spans="2:17" s="275" customFormat="1" x14ac:dyDescent="0.2">
      <c r="B403" s="6">
        <f t="shared" si="67"/>
        <v>38</v>
      </c>
      <c r="C403" s="1"/>
      <c r="D403" s="1"/>
      <c r="E403" s="1"/>
      <c r="F403" s="99"/>
      <c r="G403" s="23"/>
      <c r="H403" s="1" t="s">
        <v>331</v>
      </c>
      <c r="I403" s="24"/>
      <c r="J403" s="24"/>
      <c r="K403" s="354"/>
      <c r="L403" s="24">
        <v>20000</v>
      </c>
      <c r="M403" s="24">
        <v>19600</v>
      </c>
      <c r="N403" s="354">
        <f t="shared" si="68"/>
        <v>98</v>
      </c>
      <c r="O403" s="26">
        <f t="shared" si="69"/>
        <v>20000</v>
      </c>
      <c r="P403" s="26">
        <f t="shared" si="70"/>
        <v>19600</v>
      </c>
      <c r="Q403" s="354">
        <f t="shared" si="71"/>
        <v>98</v>
      </c>
    </row>
    <row r="404" spans="2:17" s="275" customFormat="1" ht="15" x14ac:dyDescent="0.25">
      <c r="B404" s="6">
        <f t="shared" si="67"/>
        <v>39</v>
      </c>
      <c r="C404" s="27"/>
      <c r="D404" s="27">
        <v>2</v>
      </c>
      <c r="E404" s="457" t="s">
        <v>375</v>
      </c>
      <c r="F404" s="458"/>
      <c r="G404" s="458"/>
      <c r="H404" s="458"/>
      <c r="I404" s="28">
        <f>I405</f>
        <v>449964</v>
      </c>
      <c r="J404" s="28">
        <f>J405</f>
        <v>175563</v>
      </c>
      <c r="K404" s="354">
        <f>J404/I404*100</f>
        <v>39.017121369709578</v>
      </c>
      <c r="L404" s="28">
        <f>L409</f>
        <v>9600</v>
      </c>
      <c r="M404" s="28">
        <f>M409</f>
        <v>0</v>
      </c>
      <c r="N404" s="354">
        <f t="shared" si="68"/>
        <v>0</v>
      </c>
      <c r="O404" s="29">
        <f t="shared" si="69"/>
        <v>459564</v>
      </c>
      <c r="P404" s="29">
        <f t="shared" si="70"/>
        <v>175563</v>
      </c>
      <c r="Q404" s="354">
        <f t="shared" si="71"/>
        <v>38.202078491787866</v>
      </c>
    </row>
    <row r="405" spans="2:17" s="275" customFormat="1" x14ac:dyDescent="0.2">
      <c r="B405" s="6">
        <f t="shared" si="67"/>
        <v>40</v>
      </c>
      <c r="C405" s="12"/>
      <c r="D405" s="12"/>
      <c r="E405" s="12"/>
      <c r="F405" s="13" t="s">
        <v>216</v>
      </c>
      <c r="G405" s="14">
        <v>630</v>
      </c>
      <c r="H405" s="12" t="s">
        <v>118</v>
      </c>
      <c r="I405" s="15">
        <f>SUM(I406:I408)</f>
        <v>449964</v>
      </c>
      <c r="J405" s="15">
        <f>SUM(J406:J408)</f>
        <v>175563</v>
      </c>
      <c r="K405" s="354">
        <f>J405/I405*100</f>
        <v>39.017121369709578</v>
      </c>
      <c r="L405" s="15"/>
      <c r="M405" s="15"/>
      <c r="N405" s="354"/>
      <c r="O405" s="16">
        <f t="shared" si="69"/>
        <v>449964</v>
      </c>
      <c r="P405" s="16">
        <f t="shared" si="70"/>
        <v>175563</v>
      </c>
      <c r="Q405" s="354">
        <f t="shared" si="71"/>
        <v>39.017121369709578</v>
      </c>
    </row>
    <row r="406" spans="2:17" s="275" customFormat="1" x14ac:dyDescent="0.2">
      <c r="B406" s="6">
        <f t="shared" si="67"/>
        <v>41</v>
      </c>
      <c r="C406" s="17"/>
      <c r="D406" s="17"/>
      <c r="E406" s="17"/>
      <c r="F406" s="18"/>
      <c r="G406" s="19">
        <v>633</v>
      </c>
      <c r="H406" s="17" t="s">
        <v>122</v>
      </c>
      <c r="I406" s="20">
        <v>8000</v>
      </c>
      <c r="J406" s="20">
        <v>2310</v>
      </c>
      <c r="K406" s="354">
        <f>J406/I406*100</f>
        <v>28.875</v>
      </c>
      <c r="L406" s="20"/>
      <c r="M406" s="20"/>
      <c r="N406" s="354"/>
      <c r="O406" s="21">
        <f t="shared" si="69"/>
        <v>8000</v>
      </c>
      <c r="P406" s="21">
        <f t="shared" si="70"/>
        <v>2310</v>
      </c>
      <c r="Q406" s="354">
        <f t="shared" si="71"/>
        <v>28.875</v>
      </c>
    </row>
    <row r="407" spans="2:17" s="275" customFormat="1" x14ac:dyDescent="0.2">
      <c r="B407" s="6">
        <f t="shared" si="67"/>
        <v>42</v>
      </c>
      <c r="C407" s="17"/>
      <c r="D407" s="17"/>
      <c r="E407" s="17"/>
      <c r="F407" s="18"/>
      <c r="G407" s="19">
        <v>635</v>
      </c>
      <c r="H407" s="17" t="s">
        <v>130</v>
      </c>
      <c r="I407" s="20">
        <f>211600-36</f>
        <v>211564</v>
      </c>
      <c r="J407" s="20">
        <v>54400</v>
      </c>
      <c r="K407" s="354">
        <f>J407/I407*100</f>
        <v>25.71325934469002</v>
      </c>
      <c r="L407" s="20"/>
      <c r="M407" s="20"/>
      <c r="N407" s="354"/>
      <c r="O407" s="21">
        <f t="shared" si="69"/>
        <v>211564</v>
      </c>
      <c r="P407" s="21">
        <f t="shared" si="70"/>
        <v>54400</v>
      </c>
      <c r="Q407" s="354">
        <f t="shared" si="71"/>
        <v>25.71325934469002</v>
      </c>
    </row>
    <row r="408" spans="2:17" s="275" customFormat="1" x14ac:dyDescent="0.2">
      <c r="B408" s="6">
        <f t="shared" si="67"/>
        <v>43</v>
      </c>
      <c r="C408" s="17"/>
      <c r="D408" s="17"/>
      <c r="E408" s="17"/>
      <c r="F408" s="18"/>
      <c r="G408" s="19">
        <v>637</v>
      </c>
      <c r="H408" s="17" t="s">
        <v>119</v>
      </c>
      <c r="I408" s="20">
        <v>230400</v>
      </c>
      <c r="J408" s="20">
        <v>118853</v>
      </c>
      <c r="K408" s="354">
        <f>J408/I408*100</f>
        <v>51.585503472222229</v>
      </c>
      <c r="L408" s="20"/>
      <c r="M408" s="20"/>
      <c r="N408" s="354"/>
      <c r="O408" s="21">
        <f t="shared" si="69"/>
        <v>230400</v>
      </c>
      <c r="P408" s="21">
        <f t="shared" si="70"/>
        <v>118853</v>
      </c>
      <c r="Q408" s="354">
        <f t="shared" si="71"/>
        <v>51.585503472222229</v>
      </c>
    </row>
    <row r="409" spans="2:17" s="275" customFormat="1" x14ac:dyDescent="0.2">
      <c r="B409" s="6">
        <f t="shared" si="67"/>
        <v>44</v>
      </c>
      <c r="C409" s="12"/>
      <c r="D409" s="12"/>
      <c r="E409" s="12"/>
      <c r="F409" s="13" t="s">
        <v>216</v>
      </c>
      <c r="G409" s="14">
        <v>710</v>
      </c>
      <c r="H409" s="12" t="s">
        <v>172</v>
      </c>
      <c r="I409" s="15"/>
      <c r="J409" s="15"/>
      <c r="K409" s="354"/>
      <c r="L409" s="15">
        <f>L410</f>
        <v>9600</v>
      </c>
      <c r="M409" s="15">
        <f>M410</f>
        <v>0</v>
      </c>
      <c r="N409" s="354">
        <f t="shared" ref="N409:N440" si="72">M409/L409*100</f>
        <v>0</v>
      </c>
      <c r="O409" s="16">
        <f t="shared" si="69"/>
        <v>9600</v>
      </c>
      <c r="P409" s="16">
        <f t="shared" si="70"/>
        <v>0</v>
      </c>
      <c r="Q409" s="354">
        <f t="shared" si="71"/>
        <v>0</v>
      </c>
    </row>
    <row r="410" spans="2:17" s="275" customFormat="1" x14ac:dyDescent="0.2">
      <c r="B410" s="6">
        <f t="shared" si="67"/>
        <v>45</v>
      </c>
      <c r="C410" s="17"/>
      <c r="D410" s="17"/>
      <c r="E410" s="17"/>
      <c r="F410" s="18"/>
      <c r="G410" s="19">
        <v>716</v>
      </c>
      <c r="H410" s="17" t="s">
        <v>212</v>
      </c>
      <c r="I410" s="20"/>
      <c r="J410" s="20"/>
      <c r="K410" s="354"/>
      <c r="L410" s="20">
        <f>L411</f>
        <v>9600</v>
      </c>
      <c r="M410" s="20">
        <f>M411</f>
        <v>0</v>
      </c>
      <c r="N410" s="354">
        <f t="shared" si="72"/>
        <v>0</v>
      </c>
      <c r="O410" s="21">
        <f t="shared" si="69"/>
        <v>9600</v>
      </c>
      <c r="P410" s="21">
        <f t="shared" si="70"/>
        <v>0</v>
      </c>
      <c r="Q410" s="354">
        <f t="shared" si="71"/>
        <v>0</v>
      </c>
    </row>
    <row r="411" spans="2:17" s="275" customFormat="1" x14ac:dyDescent="0.2">
      <c r="B411" s="6">
        <f t="shared" si="67"/>
        <v>46</v>
      </c>
      <c r="C411" s="22"/>
      <c r="D411" s="22"/>
      <c r="E411" s="22"/>
      <c r="F411" s="23"/>
      <c r="G411" s="23"/>
      <c r="H411" s="1" t="s">
        <v>456</v>
      </c>
      <c r="I411" s="24"/>
      <c r="J411" s="24"/>
      <c r="K411" s="354"/>
      <c r="L411" s="24">
        <v>9600</v>
      </c>
      <c r="M411" s="24"/>
      <c r="N411" s="354">
        <f t="shared" si="72"/>
        <v>0</v>
      </c>
      <c r="O411" s="26">
        <f t="shared" si="69"/>
        <v>9600</v>
      </c>
      <c r="P411" s="26">
        <f t="shared" si="70"/>
        <v>0</v>
      </c>
      <c r="Q411" s="354">
        <f t="shared" si="71"/>
        <v>0</v>
      </c>
    </row>
    <row r="412" spans="2:17" s="275" customFormat="1" ht="15" x14ac:dyDescent="0.2">
      <c r="B412" s="6">
        <f t="shared" si="67"/>
        <v>47</v>
      </c>
      <c r="C412" s="9">
        <v>3</v>
      </c>
      <c r="D412" s="459" t="s">
        <v>222</v>
      </c>
      <c r="E412" s="460"/>
      <c r="F412" s="460"/>
      <c r="G412" s="460"/>
      <c r="H412" s="460"/>
      <c r="I412" s="10"/>
      <c r="J412" s="10"/>
      <c r="K412" s="354"/>
      <c r="L412" s="10">
        <f>L413</f>
        <v>6233533</v>
      </c>
      <c r="M412" s="10">
        <f>M413</f>
        <v>29527</v>
      </c>
      <c r="N412" s="354">
        <f t="shared" si="72"/>
        <v>0.4736800142070316</v>
      </c>
      <c r="O412" s="31">
        <f t="shared" si="69"/>
        <v>6233533</v>
      </c>
      <c r="P412" s="31">
        <f t="shared" si="70"/>
        <v>29527</v>
      </c>
      <c r="Q412" s="354">
        <f t="shared" si="71"/>
        <v>0.4736800142070316</v>
      </c>
    </row>
    <row r="413" spans="2:17" s="275" customFormat="1" x14ac:dyDescent="0.2">
      <c r="B413" s="6">
        <f t="shared" si="67"/>
        <v>48</v>
      </c>
      <c r="C413" s="12"/>
      <c r="D413" s="12"/>
      <c r="E413" s="12"/>
      <c r="F413" s="13" t="s">
        <v>216</v>
      </c>
      <c r="G413" s="14">
        <v>710</v>
      </c>
      <c r="H413" s="12" t="s">
        <v>172</v>
      </c>
      <c r="I413" s="15"/>
      <c r="J413" s="15"/>
      <c r="K413" s="15"/>
      <c r="L413" s="15">
        <f>L414+L448</f>
        <v>6233533</v>
      </c>
      <c r="M413" s="15">
        <f>M414+M448</f>
        <v>29527</v>
      </c>
      <c r="N413" s="354">
        <f t="shared" si="72"/>
        <v>0.4736800142070316</v>
      </c>
      <c r="O413" s="16">
        <f t="shared" si="69"/>
        <v>6233533</v>
      </c>
      <c r="P413" s="16">
        <f t="shared" si="70"/>
        <v>29527</v>
      </c>
      <c r="Q413" s="354">
        <f t="shared" si="71"/>
        <v>0.4736800142070316</v>
      </c>
    </row>
    <row r="414" spans="2:17" s="275" customFormat="1" x14ac:dyDescent="0.2">
      <c r="B414" s="6">
        <f t="shared" si="67"/>
        <v>49</v>
      </c>
      <c r="C414" s="100"/>
      <c r="D414" s="100"/>
      <c r="E414" s="100"/>
      <c r="F414" s="101"/>
      <c r="G414" s="102">
        <v>716</v>
      </c>
      <c r="H414" s="100" t="s">
        <v>212</v>
      </c>
      <c r="I414" s="103"/>
      <c r="J414" s="103"/>
      <c r="K414" s="20"/>
      <c r="L414" s="103">
        <f>SUM(L415:L447)</f>
        <v>1004653</v>
      </c>
      <c r="M414" s="103">
        <f>SUM(M415:M447)</f>
        <v>26673</v>
      </c>
      <c r="N414" s="354">
        <f t="shared" si="72"/>
        <v>2.6549465337783298</v>
      </c>
      <c r="O414" s="104">
        <f t="shared" si="69"/>
        <v>1004653</v>
      </c>
      <c r="P414" s="104">
        <f t="shared" si="70"/>
        <v>26673</v>
      </c>
      <c r="Q414" s="354">
        <f t="shared" si="71"/>
        <v>2.6549465337783298</v>
      </c>
    </row>
    <row r="415" spans="2:17" s="275" customFormat="1" x14ac:dyDescent="0.2">
      <c r="B415" s="6">
        <f t="shared" si="67"/>
        <v>50</v>
      </c>
      <c r="C415" s="17"/>
      <c r="D415" s="17"/>
      <c r="E415" s="17"/>
      <c r="F415" s="18"/>
      <c r="G415" s="19"/>
      <c r="H415" s="1" t="s">
        <v>583</v>
      </c>
      <c r="I415" s="20"/>
      <c r="J415" s="20"/>
      <c r="K415" s="20"/>
      <c r="L415" s="20">
        <v>20000</v>
      </c>
      <c r="M415" s="20">
        <v>0</v>
      </c>
      <c r="N415" s="354">
        <f t="shared" si="72"/>
        <v>0</v>
      </c>
      <c r="O415" s="26">
        <f t="shared" si="69"/>
        <v>20000</v>
      </c>
      <c r="P415" s="26">
        <f t="shared" si="70"/>
        <v>0</v>
      </c>
      <c r="Q415" s="354">
        <f t="shared" si="71"/>
        <v>0</v>
      </c>
    </row>
    <row r="416" spans="2:17" s="275" customFormat="1" x14ac:dyDescent="0.2">
      <c r="B416" s="6">
        <f t="shared" si="67"/>
        <v>51</v>
      </c>
      <c r="C416" s="22"/>
      <c r="D416" s="22"/>
      <c r="E416" s="22"/>
      <c r="F416" s="23"/>
      <c r="G416" s="23"/>
      <c r="H416" s="1" t="s">
        <v>292</v>
      </c>
      <c r="I416" s="24"/>
      <c r="J416" s="24"/>
      <c r="K416" s="24"/>
      <c r="L416" s="24">
        <v>1731</v>
      </c>
      <c r="M416" s="24">
        <v>108</v>
      </c>
      <c r="N416" s="354">
        <f t="shared" si="72"/>
        <v>6.239168110918544</v>
      </c>
      <c r="O416" s="26">
        <f t="shared" si="69"/>
        <v>1731</v>
      </c>
      <c r="P416" s="26">
        <f t="shared" si="70"/>
        <v>108</v>
      </c>
      <c r="Q416" s="354">
        <f t="shared" si="71"/>
        <v>6.239168110918544</v>
      </c>
    </row>
    <row r="417" spans="2:17" s="275" customFormat="1" x14ac:dyDescent="0.2">
      <c r="B417" s="6">
        <f t="shared" si="67"/>
        <v>52</v>
      </c>
      <c r="C417" s="22"/>
      <c r="D417" s="22"/>
      <c r="E417" s="22"/>
      <c r="F417" s="23"/>
      <c r="G417" s="23"/>
      <c r="H417" s="1" t="s">
        <v>481</v>
      </c>
      <c r="I417" s="24"/>
      <c r="J417" s="24"/>
      <c r="K417" s="24"/>
      <c r="L417" s="24">
        <v>9750</v>
      </c>
      <c r="M417" s="24">
        <v>0</v>
      </c>
      <c r="N417" s="354">
        <f t="shared" si="72"/>
        <v>0</v>
      </c>
      <c r="O417" s="26">
        <f t="shared" si="69"/>
        <v>9750</v>
      </c>
      <c r="P417" s="26">
        <f t="shared" si="70"/>
        <v>0</v>
      </c>
      <c r="Q417" s="354">
        <f t="shared" si="71"/>
        <v>0</v>
      </c>
    </row>
    <row r="418" spans="2:17" s="275" customFormat="1" x14ac:dyDescent="0.2">
      <c r="B418" s="6">
        <f t="shared" si="67"/>
        <v>53</v>
      </c>
      <c r="C418" s="22"/>
      <c r="D418" s="22"/>
      <c r="E418" s="22"/>
      <c r="F418" s="23"/>
      <c r="G418" s="23"/>
      <c r="H418" s="1" t="s">
        <v>350</v>
      </c>
      <c r="I418" s="24"/>
      <c r="J418" s="24"/>
      <c r="K418" s="24"/>
      <c r="L418" s="24">
        <v>72000</v>
      </c>
      <c r="M418" s="24">
        <v>7475</v>
      </c>
      <c r="N418" s="354">
        <f t="shared" si="72"/>
        <v>10.381944444444445</v>
      </c>
      <c r="O418" s="26">
        <f t="shared" si="69"/>
        <v>72000</v>
      </c>
      <c r="P418" s="26">
        <f t="shared" si="70"/>
        <v>7475</v>
      </c>
      <c r="Q418" s="354">
        <f t="shared" si="71"/>
        <v>10.381944444444445</v>
      </c>
    </row>
    <row r="419" spans="2:17" s="275" customFormat="1" x14ac:dyDescent="0.2">
      <c r="B419" s="6">
        <f t="shared" si="67"/>
        <v>54</v>
      </c>
      <c r="C419" s="22"/>
      <c r="D419" s="22"/>
      <c r="E419" s="22"/>
      <c r="F419" s="23"/>
      <c r="G419" s="23"/>
      <c r="H419" s="1" t="s">
        <v>463</v>
      </c>
      <c r="I419" s="24"/>
      <c r="J419" s="24"/>
      <c r="K419" s="24"/>
      <c r="L419" s="24">
        <v>10400</v>
      </c>
      <c r="M419" s="24">
        <v>0</v>
      </c>
      <c r="N419" s="354">
        <f t="shared" si="72"/>
        <v>0</v>
      </c>
      <c r="O419" s="26">
        <f t="shared" si="69"/>
        <v>10400</v>
      </c>
      <c r="P419" s="26">
        <f t="shared" si="70"/>
        <v>0</v>
      </c>
      <c r="Q419" s="354">
        <f t="shared" si="71"/>
        <v>0</v>
      </c>
    </row>
    <row r="420" spans="2:17" s="275" customFormat="1" x14ac:dyDescent="0.2">
      <c r="B420" s="6">
        <f t="shared" si="67"/>
        <v>55</v>
      </c>
      <c r="C420" s="22"/>
      <c r="D420" s="22"/>
      <c r="E420" s="22"/>
      <c r="F420" s="23"/>
      <c r="G420" s="23"/>
      <c r="H420" s="1" t="s">
        <v>408</v>
      </c>
      <c r="I420" s="24"/>
      <c r="J420" s="24"/>
      <c r="K420" s="24"/>
      <c r="L420" s="24">
        <v>6000</v>
      </c>
      <c r="M420" s="24">
        <v>0</v>
      </c>
      <c r="N420" s="354">
        <f t="shared" si="72"/>
        <v>0</v>
      </c>
      <c r="O420" s="26">
        <f t="shared" si="69"/>
        <v>6000</v>
      </c>
      <c r="P420" s="26">
        <f t="shared" si="70"/>
        <v>0</v>
      </c>
      <c r="Q420" s="354">
        <f t="shared" si="71"/>
        <v>0</v>
      </c>
    </row>
    <row r="421" spans="2:17" s="275" customFormat="1" x14ac:dyDescent="0.2">
      <c r="B421" s="6">
        <f t="shared" si="67"/>
        <v>56</v>
      </c>
      <c r="C421" s="22"/>
      <c r="D421" s="22"/>
      <c r="E421" s="22"/>
      <c r="F421" s="23"/>
      <c r="G421" s="23"/>
      <c r="H421" s="1" t="s">
        <v>409</v>
      </c>
      <c r="I421" s="24"/>
      <c r="J421" s="24"/>
      <c r="K421" s="24"/>
      <c r="L421" s="24">
        <v>100000</v>
      </c>
      <c r="M421" s="24">
        <v>0</v>
      </c>
      <c r="N421" s="354">
        <f t="shared" si="72"/>
        <v>0</v>
      </c>
      <c r="O421" s="26">
        <f t="shared" si="69"/>
        <v>100000</v>
      </c>
      <c r="P421" s="26">
        <f t="shared" si="70"/>
        <v>0</v>
      </c>
      <c r="Q421" s="354">
        <f t="shared" si="71"/>
        <v>0</v>
      </c>
    </row>
    <row r="422" spans="2:17" s="275" customFormat="1" x14ac:dyDescent="0.2">
      <c r="B422" s="6">
        <f t="shared" si="67"/>
        <v>57</v>
      </c>
      <c r="C422" s="22"/>
      <c r="D422" s="22"/>
      <c r="E422" s="22"/>
      <c r="F422" s="23"/>
      <c r="G422" s="23"/>
      <c r="H422" s="1" t="s">
        <v>290</v>
      </c>
      <c r="I422" s="24"/>
      <c r="J422" s="24"/>
      <c r="K422" s="24"/>
      <c r="L422" s="24">
        <v>70000</v>
      </c>
      <c r="M422" s="24">
        <v>0</v>
      </c>
      <c r="N422" s="354">
        <f t="shared" si="72"/>
        <v>0</v>
      </c>
      <c r="O422" s="26">
        <f t="shared" si="69"/>
        <v>70000</v>
      </c>
      <c r="P422" s="26">
        <f t="shared" si="70"/>
        <v>0</v>
      </c>
      <c r="Q422" s="354">
        <f t="shared" si="71"/>
        <v>0</v>
      </c>
    </row>
    <row r="423" spans="2:17" s="275" customFormat="1" x14ac:dyDescent="0.2">
      <c r="B423" s="6">
        <f t="shared" si="67"/>
        <v>58</v>
      </c>
      <c r="C423" s="22"/>
      <c r="D423" s="22"/>
      <c r="E423" s="22"/>
      <c r="F423" s="23"/>
      <c r="G423" s="23"/>
      <c r="H423" s="1" t="s">
        <v>457</v>
      </c>
      <c r="I423" s="24"/>
      <c r="J423" s="24"/>
      <c r="K423" s="24"/>
      <c r="L423" s="24">
        <v>32000</v>
      </c>
      <c r="M423" s="24">
        <v>0</v>
      </c>
      <c r="N423" s="354">
        <f t="shared" si="72"/>
        <v>0</v>
      </c>
      <c r="O423" s="26">
        <f t="shared" si="69"/>
        <v>32000</v>
      </c>
      <c r="P423" s="26">
        <f t="shared" si="70"/>
        <v>0</v>
      </c>
      <c r="Q423" s="354">
        <f t="shared" si="71"/>
        <v>0</v>
      </c>
    </row>
    <row r="424" spans="2:17" s="275" customFormat="1" x14ac:dyDescent="0.2">
      <c r="B424" s="6">
        <f t="shared" si="67"/>
        <v>59</v>
      </c>
      <c r="C424" s="22"/>
      <c r="D424" s="22"/>
      <c r="E424" s="22"/>
      <c r="F424" s="23"/>
      <c r="G424" s="23"/>
      <c r="H424" s="1" t="s">
        <v>391</v>
      </c>
      <c r="I424" s="24"/>
      <c r="J424" s="24"/>
      <c r="K424" s="24"/>
      <c r="L424" s="24">
        <v>205200</v>
      </c>
      <c r="M424" s="24">
        <v>0</v>
      </c>
      <c r="N424" s="354">
        <f t="shared" si="72"/>
        <v>0</v>
      </c>
      <c r="O424" s="26">
        <f t="shared" si="69"/>
        <v>205200</v>
      </c>
      <c r="P424" s="26">
        <f t="shared" si="70"/>
        <v>0</v>
      </c>
      <c r="Q424" s="354">
        <f t="shared" si="71"/>
        <v>0</v>
      </c>
    </row>
    <row r="425" spans="2:17" s="275" customFormat="1" x14ac:dyDescent="0.2">
      <c r="B425" s="6">
        <f t="shared" si="67"/>
        <v>60</v>
      </c>
      <c r="C425" s="22"/>
      <c r="D425" s="22"/>
      <c r="E425" s="22"/>
      <c r="F425" s="23"/>
      <c r="G425" s="23"/>
      <c r="H425" s="1" t="s">
        <v>381</v>
      </c>
      <c r="I425" s="24"/>
      <c r="J425" s="24"/>
      <c r="K425" s="24"/>
      <c r="L425" s="24">
        <v>60200</v>
      </c>
      <c r="M425" s="24">
        <v>0</v>
      </c>
      <c r="N425" s="354">
        <f t="shared" si="72"/>
        <v>0</v>
      </c>
      <c r="O425" s="26">
        <f t="shared" si="69"/>
        <v>60200</v>
      </c>
      <c r="P425" s="26">
        <f t="shared" si="70"/>
        <v>0</v>
      </c>
      <c r="Q425" s="354">
        <f t="shared" si="71"/>
        <v>0</v>
      </c>
    </row>
    <row r="426" spans="2:17" s="275" customFormat="1" x14ac:dyDescent="0.2">
      <c r="B426" s="6">
        <f t="shared" si="67"/>
        <v>61</v>
      </c>
      <c r="C426" s="22"/>
      <c r="D426" s="22"/>
      <c r="E426" s="22"/>
      <c r="F426" s="23"/>
      <c r="G426" s="23"/>
      <c r="H426" s="1" t="s">
        <v>351</v>
      </c>
      <c r="I426" s="24"/>
      <c r="J426" s="24"/>
      <c r="K426" s="24"/>
      <c r="L426" s="24">
        <v>25200</v>
      </c>
      <c r="M426" s="24">
        <v>754</v>
      </c>
      <c r="N426" s="354">
        <f t="shared" si="72"/>
        <v>2.9920634920634921</v>
      </c>
      <c r="O426" s="26">
        <f t="shared" si="69"/>
        <v>25200</v>
      </c>
      <c r="P426" s="26">
        <f t="shared" si="70"/>
        <v>754</v>
      </c>
      <c r="Q426" s="354">
        <f t="shared" si="71"/>
        <v>2.9920634920634921</v>
      </c>
    </row>
    <row r="427" spans="2:17" s="275" customFormat="1" x14ac:dyDescent="0.2">
      <c r="B427" s="6">
        <f t="shared" si="67"/>
        <v>62</v>
      </c>
      <c r="C427" s="22"/>
      <c r="D427" s="22"/>
      <c r="E427" s="22"/>
      <c r="F427" s="23"/>
      <c r="G427" s="23"/>
      <c r="H427" s="1" t="s">
        <v>458</v>
      </c>
      <c r="I427" s="24"/>
      <c r="J427" s="24"/>
      <c r="K427" s="24"/>
      <c r="L427" s="24">
        <v>10000</v>
      </c>
      <c r="M427" s="24">
        <v>7380</v>
      </c>
      <c r="N427" s="354">
        <f t="shared" si="72"/>
        <v>73.8</v>
      </c>
      <c r="O427" s="26">
        <f t="shared" si="69"/>
        <v>10000</v>
      </c>
      <c r="P427" s="26">
        <f t="shared" si="70"/>
        <v>7380</v>
      </c>
      <c r="Q427" s="354">
        <f t="shared" si="71"/>
        <v>73.8</v>
      </c>
    </row>
    <row r="428" spans="2:17" s="275" customFormat="1" x14ac:dyDescent="0.2">
      <c r="B428" s="6">
        <f t="shared" si="67"/>
        <v>63</v>
      </c>
      <c r="C428" s="22"/>
      <c r="D428" s="22"/>
      <c r="E428" s="22"/>
      <c r="F428" s="23"/>
      <c r="G428" s="23"/>
      <c r="H428" s="1" t="s">
        <v>382</v>
      </c>
      <c r="I428" s="24"/>
      <c r="J428" s="24"/>
      <c r="K428" s="24"/>
      <c r="L428" s="24">
        <v>8000</v>
      </c>
      <c r="M428" s="24">
        <v>98</v>
      </c>
      <c r="N428" s="354">
        <f t="shared" si="72"/>
        <v>1.2250000000000001</v>
      </c>
      <c r="O428" s="26">
        <f t="shared" si="69"/>
        <v>8000</v>
      </c>
      <c r="P428" s="26">
        <f t="shared" si="70"/>
        <v>98</v>
      </c>
      <c r="Q428" s="354">
        <f t="shared" si="71"/>
        <v>1.2250000000000001</v>
      </c>
    </row>
    <row r="429" spans="2:17" s="275" customFormat="1" x14ac:dyDescent="0.2">
      <c r="B429" s="6">
        <f t="shared" si="67"/>
        <v>64</v>
      </c>
      <c r="C429" s="22"/>
      <c r="D429" s="22"/>
      <c r="E429" s="22"/>
      <c r="F429" s="23"/>
      <c r="G429" s="23"/>
      <c r="H429" s="1" t="s">
        <v>462</v>
      </c>
      <c r="I429" s="24"/>
      <c r="J429" s="24"/>
      <c r="K429" s="24"/>
      <c r="L429" s="24">
        <v>15000</v>
      </c>
      <c r="M429" s="24">
        <v>7872</v>
      </c>
      <c r="N429" s="354">
        <f t="shared" si="72"/>
        <v>52.480000000000004</v>
      </c>
      <c r="O429" s="26">
        <f t="shared" si="69"/>
        <v>15000</v>
      </c>
      <c r="P429" s="26">
        <f t="shared" si="70"/>
        <v>7872</v>
      </c>
      <c r="Q429" s="354">
        <f t="shared" si="71"/>
        <v>52.480000000000004</v>
      </c>
    </row>
    <row r="430" spans="2:17" s="275" customFormat="1" x14ac:dyDescent="0.2">
      <c r="B430" s="6">
        <f t="shared" si="67"/>
        <v>65</v>
      </c>
      <c r="C430" s="22"/>
      <c r="D430" s="22"/>
      <c r="E430" s="22"/>
      <c r="F430" s="23"/>
      <c r="G430" s="23"/>
      <c r="H430" s="1" t="s">
        <v>482</v>
      </c>
      <c r="I430" s="24"/>
      <c r="J430" s="24"/>
      <c r="K430" s="24"/>
      <c r="L430" s="24">
        <v>29472</v>
      </c>
      <c r="M430" s="24">
        <v>0</v>
      </c>
      <c r="N430" s="354">
        <f t="shared" si="72"/>
        <v>0</v>
      </c>
      <c r="O430" s="26">
        <f t="shared" si="69"/>
        <v>29472</v>
      </c>
      <c r="P430" s="26">
        <f t="shared" si="70"/>
        <v>0</v>
      </c>
      <c r="Q430" s="354">
        <f t="shared" si="71"/>
        <v>0</v>
      </c>
    </row>
    <row r="431" spans="2:17" s="275" customFormat="1" x14ac:dyDescent="0.2">
      <c r="B431" s="6">
        <f t="shared" ref="B431:B462" si="73">B430+1</f>
        <v>66</v>
      </c>
      <c r="C431" s="22"/>
      <c r="D431" s="22"/>
      <c r="E431" s="22"/>
      <c r="F431" s="23"/>
      <c r="G431" s="23"/>
      <c r="H431" s="1" t="s">
        <v>459</v>
      </c>
      <c r="I431" s="24"/>
      <c r="J431" s="24"/>
      <c r="K431" s="24"/>
      <c r="L431" s="24">
        <v>10000</v>
      </c>
      <c r="M431" s="24">
        <v>0</v>
      </c>
      <c r="N431" s="354">
        <f t="shared" si="72"/>
        <v>0</v>
      </c>
      <c r="O431" s="26">
        <f t="shared" si="69"/>
        <v>10000</v>
      </c>
      <c r="P431" s="26">
        <f t="shared" si="70"/>
        <v>0</v>
      </c>
      <c r="Q431" s="354">
        <f t="shared" si="71"/>
        <v>0</v>
      </c>
    </row>
    <row r="432" spans="2:17" s="275" customFormat="1" x14ac:dyDescent="0.2">
      <c r="B432" s="6">
        <f t="shared" si="73"/>
        <v>67</v>
      </c>
      <c r="C432" s="22"/>
      <c r="D432" s="22"/>
      <c r="E432" s="22"/>
      <c r="F432" s="23"/>
      <c r="G432" s="23"/>
      <c r="H432" s="1" t="s">
        <v>460</v>
      </c>
      <c r="I432" s="24"/>
      <c r="J432" s="24"/>
      <c r="K432" s="24"/>
      <c r="L432" s="24">
        <v>500</v>
      </c>
      <c r="M432" s="24">
        <v>0</v>
      </c>
      <c r="N432" s="354">
        <f t="shared" si="72"/>
        <v>0</v>
      </c>
      <c r="O432" s="26">
        <f t="shared" si="69"/>
        <v>500</v>
      </c>
      <c r="P432" s="26">
        <f t="shared" si="70"/>
        <v>0</v>
      </c>
      <c r="Q432" s="354">
        <f t="shared" si="71"/>
        <v>0</v>
      </c>
    </row>
    <row r="433" spans="2:17" s="275" customFormat="1" x14ac:dyDescent="0.2">
      <c r="B433" s="6">
        <f t="shared" si="73"/>
        <v>68</v>
      </c>
      <c r="C433" s="22"/>
      <c r="D433" s="22"/>
      <c r="E433" s="22"/>
      <c r="F433" s="23"/>
      <c r="G433" s="23"/>
      <c r="H433" s="1" t="s">
        <v>557</v>
      </c>
      <c r="I433" s="24"/>
      <c r="J433" s="24"/>
      <c r="K433" s="24"/>
      <c r="L433" s="24">
        <v>135000</v>
      </c>
      <c r="M433" s="24">
        <v>0</v>
      </c>
      <c r="N433" s="354">
        <f t="shared" si="72"/>
        <v>0</v>
      </c>
      <c r="O433" s="26">
        <f t="shared" si="69"/>
        <v>135000</v>
      </c>
      <c r="P433" s="26">
        <f t="shared" si="70"/>
        <v>0</v>
      </c>
      <c r="Q433" s="354">
        <f t="shared" si="71"/>
        <v>0</v>
      </c>
    </row>
    <row r="434" spans="2:17" s="275" customFormat="1" x14ac:dyDescent="0.2">
      <c r="B434" s="6">
        <f t="shared" si="73"/>
        <v>69</v>
      </c>
      <c r="C434" s="22"/>
      <c r="D434" s="22"/>
      <c r="E434" s="22"/>
      <c r="F434" s="23"/>
      <c r="G434" s="23"/>
      <c r="H434" s="1" t="s">
        <v>410</v>
      </c>
      <c r="I434" s="24"/>
      <c r="J434" s="24"/>
      <c r="K434" s="24"/>
      <c r="L434" s="24">
        <v>8000</v>
      </c>
      <c r="M434" s="24">
        <v>95</v>
      </c>
      <c r="N434" s="354">
        <f t="shared" si="72"/>
        <v>1.1875</v>
      </c>
      <c r="O434" s="26">
        <f t="shared" ref="O434:O465" si="74">L434+I434</f>
        <v>8000</v>
      </c>
      <c r="P434" s="26">
        <f t="shared" ref="P434:P465" si="75">M434+J434</f>
        <v>95</v>
      </c>
      <c r="Q434" s="354">
        <f t="shared" ref="Q434:Q465" si="76">P434/O434*100</f>
        <v>1.1875</v>
      </c>
    </row>
    <row r="435" spans="2:17" s="275" customFormat="1" x14ac:dyDescent="0.2">
      <c r="B435" s="6">
        <f t="shared" si="73"/>
        <v>70</v>
      </c>
      <c r="C435" s="22"/>
      <c r="D435" s="22"/>
      <c r="E435" s="22"/>
      <c r="F435" s="23"/>
      <c r="G435" s="23"/>
      <c r="H435" s="1" t="s">
        <v>411</v>
      </c>
      <c r="I435" s="24"/>
      <c r="J435" s="24"/>
      <c r="K435" s="24"/>
      <c r="L435" s="24">
        <v>8000</v>
      </c>
      <c r="M435" s="24">
        <v>95</v>
      </c>
      <c r="N435" s="354">
        <f t="shared" si="72"/>
        <v>1.1875</v>
      </c>
      <c r="O435" s="26">
        <f t="shared" si="74"/>
        <v>8000</v>
      </c>
      <c r="P435" s="26">
        <f t="shared" si="75"/>
        <v>95</v>
      </c>
      <c r="Q435" s="354">
        <f t="shared" si="76"/>
        <v>1.1875</v>
      </c>
    </row>
    <row r="436" spans="2:17" s="275" customFormat="1" x14ac:dyDescent="0.2">
      <c r="B436" s="6">
        <f t="shared" si="73"/>
        <v>71</v>
      </c>
      <c r="C436" s="22"/>
      <c r="D436" s="22"/>
      <c r="E436" s="22"/>
      <c r="F436" s="23"/>
      <c r="G436" s="23"/>
      <c r="H436" s="1" t="s">
        <v>412</v>
      </c>
      <c r="I436" s="24"/>
      <c r="J436" s="24"/>
      <c r="K436" s="24"/>
      <c r="L436" s="24">
        <v>8000</v>
      </c>
      <c r="M436" s="24">
        <v>95</v>
      </c>
      <c r="N436" s="354">
        <f t="shared" si="72"/>
        <v>1.1875</v>
      </c>
      <c r="O436" s="26">
        <f t="shared" si="74"/>
        <v>8000</v>
      </c>
      <c r="P436" s="26">
        <f t="shared" si="75"/>
        <v>95</v>
      </c>
      <c r="Q436" s="354">
        <f t="shared" si="76"/>
        <v>1.1875</v>
      </c>
    </row>
    <row r="437" spans="2:17" s="275" customFormat="1" x14ac:dyDescent="0.2">
      <c r="B437" s="6">
        <f t="shared" si="73"/>
        <v>72</v>
      </c>
      <c r="C437" s="22"/>
      <c r="D437" s="22"/>
      <c r="E437" s="22"/>
      <c r="F437" s="23"/>
      <c r="G437" s="23"/>
      <c r="H437" s="1" t="s">
        <v>483</v>
      </c>
      <c r="I437" s="24"/>
      <c r="J437" s="24"/>
      <c r="K437" s="24"/>
      <c r="L437" s="24">
        <v>8000</v>
      </c>
      <c r="M437" s="24">
        <v>0</v>
      </c>
      <c r="N437" s="354">
        <f t="shared" si="72"/>
        <v>0</v>
      </c>
      <c r="O437" s="26">
        <f t="shared" si="74"/>
        <v>8000</v>
      </c>
      <c r="P437" s="26">
        <f t="shared" si="75"/>
        <v>0</v>
      </c>
      <c r="Q437" s="354">
        <f t="shared" si="76"/>
        <v>0</v>
      </c>
    </row>
    <row r="438" spans="2:17" s="275" customFormat="1" x14ac:dyDescent="0.2">
      <c r="B438" s="6">
        <f t="shared" si="73"/>
        <v>73</v>
      </c>
      <c r="C438" s="22"/>
      <c r="D438" s="22"/>
      <c r="E438" s="22"/>
      <c r="F438" s="23"/>
      <c r="G438" s="23"/>
      <c r="H438" s="1" t="s">
        <v>413</v>
      </c>
      <c r="I438" s="24"/>
      <c r="J438" s="24"/>
      <c r="K438" s="24"/>
      <c r="L438" s="24">
        <v>15000</v>
      </c>
      <c r="M438" s="24">
        <v>0</v>
      </c>
      <c r="N438" s="354">
        <f t="shared" si="72"/>
        <v>0</v>
      </c>
      <c r="O438" s="26">
        <f t="shared" si="74"/>
        <v>15000</v>
      </c>
      <c r="P438" s="26">
        <f t="shared" si="75"/>
        <v>0</v>
      </c>
      <c r="Q438" s="354">
        <f t="shared" si="76"/>
        <v>0</v>
      </c>
    </row>
    <row r="439" spans="2:17" s="275" customFormat="1" x14ac:dyDescent="0.2">
      <c r="B439" s="6">
        <f t="shared" si="73"/>
        <v>74</v>
      </c>
      <c r="C439" s="22"/>
      <c r="D439" s="22"/>
      <c r="E439" s="22"/>
      <c r="F439" s="23"/>
      <c r="G439" s="23"/>
      <c r="H439" s="1" t="s">
        <v>273</v>
      </c>
      <c r="I439" s="24"/>
      <c r="J439" s="24"/>
      <c r="K439" s="24"/>
      <c r="L439" s="24">
        <v>4600</v>
      </c>
      <c r="M439" s="24">
        <v>0</v>
      </c>
      <c r="N439" s="354">
        <f t="shared" si="72"/>
        <v>0</v>
      </c>
      <c r="O439" s="26">
        <f t="shared" si="74"/>
        <v>4600</v>
      </c>
      <c r="P439" s="26">
        <f t="shared" si="75"/>
        <v>0</v>
      </c>
      <c r="Q439" s="354">
        <f t="shared" si="76"/>
        <v>0</v>
      </c>
    </row>
    <row r="440" spans="2:17" s="275" customFormat="1" x14ac:dyDescent="0.2">
      <c r="B440" s="6">
        <f t="shared" si="73"/>
        <v>75</v>
      </c>
      <c r="C440" s="22"/>
      <c r="D440" s="22"/>
      <c r="E440" s="22"/>
      <c r="F440" s="23"/>
      <c r="G440" s="23"/>
      <c r="H440" s="1" t="s">
        <v>573</v>
      </c>
      <c r="I440" s="24"/>
      <c r="J440" s="24"/>
      <c r="K440" s="24"/>
      <c r="L440" s="24">
        <v>13000</v>
      </c>
      <c r="M440" s="24">
        <v>0</v>
      </c>
      <c r="N440" s="354">
        <f t="shared" si="72"/>
        <v>0</v>
      </c>
      <c r="O440" s="26">
        <f t="shared" si="74"/>
        <v>13000</v>
      </c>
      <c r="P440" s="26">
        <f t="shared" si="75"/>
        <v>0</v>
      </c>
      <c r="Q440" s="354">
        <f t="shared" si="76"/>
        <v>0</v>
      </c>
    </row>
    <row r="441" spans="2:17" s="275" customFormat="1" x14ac:dyDescent="0.2">
      <c r="B441" s="6">
        <f t="shared" si="73"/>
        <v>76</v>
      </c>
      <c r="C441" s="22"/>
      <c r="D441" s="22"/>
      <c r="E441" s="22"/>
      <c r="F441" s="23"/>
      <c r="G441" s="23"/>
      <c r="H441" s="1" t="s">
        <v>414</v>
      </c>
      <c r="I441" s="24"/>
      <c r="J441" s="24"/>
      <c r="K441" s="24"/>
      <c r="L441" s="24">
        <v>11400</v>
      </c>
      <c r="M441" s="24">
        <v>0</v>
      </c>
      <c r="N441" s="354">
        <f t="shared" ref="N441:N472" si="77">M441/L441*100</f>
        <v>0</v>
      </c>
      <c r="O441" s="26">
        <f t="shared" si="74"/>
        <v>11400</v>
      </c>
      <c r="P441" s="26">
        <f t="shared" si="75"/>
        <v>0</v>
      </c>
      <c r="Q441" s="354">
        <f t="shared" si="76"/>
        <v>0</v>
      </c>
    </row>
    <row r="442" spans="2:17" s="275" customFormat="1" x14ac:dyDescent="0.2">
      <c r="B442" s="6">
        <f t="shared" si="73"/>
        <v>77</v>
      </c>
      <c r="C442" s="22"/>
      <c r="D442" s="22"/>
      <c r="E442" s="22"/>
      <c r="F442" s="23"/>
      <c r="G442" s="23"/>
      <c r="H442" s="1" t="s">
        <v>289</v>
      </c>
      <c r="I442" s="24"/>
      <c r="J442" s="24"/>
      <c r="K442" s="24"/>
      <c r="L442" s="24">
        <v>8000</v>
      </c>
      <c r="M442" s="24">
        <v>0</v>
      </c>
      <c r="N442" s="354">
        <f t="shared" si="77"/>
        <v>0</v>
      </c>
      <c r="O442" s="26">
        <f t="shared" si="74"/>
        <v>8000</v>
      </c>
      <c r="P442" s="26">
        <f t="shared" si="75"/>
        <v>0</v>
      </c>
      <c r="Q442" s="354">
        <f t="shared" si="76"/>
        <v>0</v>
      </c>
    </row>
    <row r="443" spans="2:17" s="275" customFormat="1" x14ac:dyDescent="0.2">
      <c r="B443" s="6">
        <f t="shared" si="73"/>
        <v>78</v>
      </c>
      <c r="C443" s="22"/>
      <c r="D443" s="22"/>
      <c r="E443" s="22"/>
      <c r="F443" s="23"/>
      <c r="G443" s="23"/>
      <c r="H443" s="1" t="s">
        <v>574</v>
      </c>
      <c r="I443" s="24"/>
      <c r="J443" s="24"/>
      <c r="K443" s="24"/>
      <c r="L443" s="24">
        <v>3000</v>
      </c>
      <c r="M443" s="24">
        <v>1500</v>
      </c>
      <c r="N443" s="354">
        <f t="shared" si="77"/>
        <v>50</v>
      </c>
      <c r="O443" s="26">
        <f t="shared" si="74"/>
        <v>3000</v>
      </c>
      <c r="P443" s="26">
        <f t="shared" si="75"/>
        <v>1500</v>
      </c>
      <c r="Q443" s="354">
        <f t="shared" si="76"/>
        <v>50</v>
      </c>
    </row>
    <row r="444" spans="2:17" s="275" customFormat="1" x14ac:dyDescent="0.2">
      <c r="B444" s="6">
        <f t="shared" si="73"/>
        <v>79</v>
      </c>
      <c r="C444" s="22"/>
      <c r="D444" s="22"/>
      <c r="E444" s="22"/>
      <c r="F444" s="23"/>
      <c r="G444" s="23"/>
      <c r="H444" s="1" t="s">
        <v>707</v>
      </c>
      <c r="I444" s="24"/>
      <c r="J444" s="24"/>
      <c r="K444" s="24"/>
      <c r="L444" s="24">
        <v>25000</v>
      </c>
      <c r="M444" s="24">
        <v>0</v>
      </c>
      <c r="N444" s="354">
        <f t="shared" si="77"/>
        <v>0</v>
      </c>
      <c r="O444" s="26">
        <f t="shared" si="74"/>
        <v>25000</v>
      </c>
      <c r="P444" s="26">
        <f t="shared" si="75"/>
        <v>0</v>
      </c>
      <c r="Q444" s="354">
        <f t="shared" si="76"/>
        <v>0</v>
      </c>
    </row>
    <row r="445" spans="2:17" s="275" customFormat="1" x14ac:dyDescent="0.2">
      <c r="B445" s="6">
        <f t="shared" si="73"/>
        <v>80</v>
      </c>
      <c r="C445" s="22"/>
      <c r="D445" s="22"/>
      <c r="E445" s="22"/>
      <c r="F445" s="23"/>
      <c r="G445" s="23"/>
      <c r="H445" s="1" t="s">
        <v>585</v>
      </c>
      <c r="I445" s="24"/>
      <c r="J445" s="24"/>
      <c r="K445" s="24"/>
      <c r="L445" s="24">
        <v>3200</v>
      </c>
      <c r="M445" s="24">
        <v>0</v>
      </c>
      <c r="N445" s="354">
        <f t="shared" si="77"/>
        <v>0</v>
      </c>
      <c r="O445" s="26">
        <f t="shared" si="74"/>
        <v>3200</v>
      </c>
      <c r="P445" s="26">
        <f t="shared" si="75"/>
        <v>0</v>
      </c>
      <c r="Q445" s="354">
        <f t="shared" si="76"/>
        <v>0</v>
      </c>
    </row>
    <row r="446" spans="2:17" s="275" customFormat="1" x14ac:dyDescent="0.2">
      <c r="B446" s="6">
        <f t="shared" si="73"/>
        <v>81</v>
      </c>
      <c r="C446" s="22"/>
      <c r="D446" s="22"/>
      <c r="E446" s="22"/>
      <c r="F446" s="23"/>
      <c r="G446" s="23"/>
      <c r="H446" s="1" t="s">
        <v>287</v>
      </c>
      <c r="I446" s="24"/>
      <c r="J446" s="24"/>
      <c r="K446" s="24"/>
      <c r="L446" s="24">
        <v>31000</v>
      </c>
      <c r="M446" s="24">
        <v>1140</v>
      </c>
      <c r="N446" s="354">
        <f t="shared" si="77"/>
        <v>3.6774193548387095</v>
      </c>
      <c r="O446" s="26">
        <f t="shared" si="74"/>
        <v>31000</v>
      </c>
      <c r="P446" s="26">
        <f t="shared" si="75"/>
        <v>1140</v>
      </c>
      <c r="Q446" s="354">
        <f t="shared" si="76"/>
        <v>3.6774193548387095</v>
      </c>
    </row>
    <row r="447" spans="2:17" s="275" customFormat="1" x14ac:dyDescent="0.2">
      <c r="B447" s="6">
        <f t="shared" si="73"/>
        <v>82</v>
      </c>
      <c r="C447" s="22"/>
      <c r="D447" s="22"/>
      <c r="E447" s="22"/>
      <c r="F447" s="23"/>
      <c r="G447" s="23"/>
      <c r="H447" s="1" t="s">
        <v>288</v>
      </c>
      <c r="I447" s="24"/>
      <c r="J447" s="24"/>
      <c r="K447" s="24"/>
      <c r="L447" s="24">
        <v>38000</v>
      </c>
      <c r="M447" s="24">
        <v>61</v>
      </c>
      <c r="N447" s="354">
        <f t="shared" si="77"/>
        <v>0.16052631578947368</v>
      </c>
      <c r="O447" s="26">
        <f t="shared" si="74"/>
        <v>38000</v>
      </c>
      <c r="P447" s="26">
        <f t="shared" si="75"/>
        <v>61</v>
      </c>
      <c r="Q447" s="354">
        <f t="shared" si="76"/>
        <v>0.16052631578947368</v>
      </c>
    </row>
    <row r="448" spans="2:17" s="275" customFormat="1" x14ac:dyDescent="0.2">
      <c r="B448" s="6">
        <f t="shared" si="73"/>
        <v>83</v>
      </c>
      <c r="C448" s="100"/>
      <c r="D448" s="100"/>
      <c r="E448" s="100"/>
      <c r="F448" s="101"/>
      <c r="G448" s="102">
        <v>717</v>
      </c>
      <c r="H448" s="100" t="s">
        <v>179</v>
      </c>
      <c r="I448" s="103"/>
      <c r="J448" s="103"/>
      <c r="K448" s="20"/>
      <c r="L448" s="103">
        <f>SUM(L449:L481)</f>
        <v>5228880</v>
      </c>
      <c r="M448" s="103">
        <f>SUM(M449:M481)</f>
        <v>2854</v>
      </c>
      <c r="N448" s="354">
        <f t="shared" si="77"/>
        <v>5.4581478251556736E-2</v>
      </c>
      <c r="O448" s="104">
        <f t="shared" si="74"/>
        <v>5228880</v>
      </c>
      <c r="P448" s="104">
        <f t="shared" si="75"/>
        <v>2854</v>
      </c>
      <c r="Q448" s="354">
        <f t="shared" si="76"/>
        <v>5.4581478251556736E-2</v>
      </c>
    </row>
    <row r="449" spans="2:17" s="275" customFormat="1" x14ac:dyDescent="0.2">
      <c r="B449" s="6">
        <f t="shared" si="73"/>
        <v>84</v>
      </c>
      <c r="C449" s="17"/>
      <c r="D449" s="17"/>
      <c r="E449" s="17"/>
      <c r="F449" s="18"/>
      <c r="G449" s="19"/>
      <c r="H449" s="1" t="s">
        <v>484</v>
      </c>
      <c r="I449" s="20"/>
      <c r="J449" s="20"/>
      <c r="K449" s="20"/>
      <c r="L449" s="20">
        <v>60000</v>
      </c>
      <c r="M449" s="20">
        <v>0</v>
      </c>
      <c r="N449" s="354">
        <f t="shared" si="77"/>
        <v>0</v>
      </c>
      <c r="O449" s="37">
        <f t="shared" si="74"/>
        <v>60000</v>
      </c>
      <c r="P449" s="37">
        <f t="shared" si="75"/>
        <v>0</v>
      </c>
      <c r="Q449" s="354">
        <f t="shared" si="76"/>
        <v>0</v>
      </c>
    </row>
    <row r="450" spans="2:17" s="275" customFormat="1" x14ac:dyDescent="0.2">
      <c r="B450" s="6">
        <f t="shared" si="73"/>
        <v>85</v>
      </c>
      <c r="C450" s="22"/>
      <c r="D450" s="22"/>
      <c r="E450" s="22"/>
      <c r="F450" s="23"/>
      <c r="G450" s="23"/>
      <c r="H450" s="1" t="s">
        <v>527</v>
      </c>
      <c r="I450" s="24"/>
      <c r="J450" s="24"/>
      <c r="K450" s="24"/>
      <c r="L450" s="24">
        <f>890000+88000</f>
        <v>978000</v>
      </c>
      <c r="M450" s="24">
        <v>0</v>
      </c>
      <c r="N450" s="354">
        <f t="shared" si="77"/>
        <v>0</v>
      </c>
      <c r="O450" s="37">
        <f t="shared" si="74"/>
        <v>978000</v>
      </c>
      <c r="P450" s="37">
        <f t="shared" si="75"/>
        <v>0</v>
      </c>
      <c r="Q450" s="354">
        <f t="shared" si="76"/>
        <v>0</v>
      </c>
    </row>
    <row r="451" spans="2:17" s="275" customFormat="1" x14ac:dyDescent="0.2">
      <c r="B451" s="6">
        <f t="shared" si="73"/>
        <v>86</v>
      </c>
      <c r="C451" s="22"/>
      <c r="D451" s="22"/>
      <c r="E451" s="22"/>
      <c r="F451" s="23"/>
      <c r="G451" s="23"/>
      <c r="H451" s="1" t="s">
        <v>558</v>
      </c>
      <c r="I451" s="24"/>
      <c r="J451" s="24"/>
      <c r="K451" s="24"/>
      <c r="L451" s="24">
        <v>148000</v>
      </c>
      <c r="M451" s="24">
        <v>0</v>
      </c>
      <c r="N451" s="354">
        <f t="shared" si="77"/>
        <v>0</v>
      </c>
      <c r="O451" s="37">
        <f t="shared" si="74"/>
        <v>148000</v>
      </c>
      <c r="P451" s="37">
        <f t="shared" si="75"/>
        <v>0</v>
      </c>
      <c r="Q451" s="354">
        <f t="shared" si="76"/>
        <v>0</v>
      </c>
    </row>
    <row r="452" spans="2:17" s="275" customFormat="1" x14ac:dyDescent="0.2">
      <c r="B452" s="6">
        <f t="shared" si="73"/>
        <v>87</v>
      </c>
      <c r="C452" s="22"/>
      <c r="D452" s="22"/>
      <c r="E452" s="22"/>
      <c r="F452" s="23"/>
      <c r="G452" s="23"/>
      <c r="H452" s="1" t="s">
        <v>461</v>
      </c>
      <c r="I452" s="24"/>
      <c r="J452" s="24"/>
      <c r="K452" s="24"/>
      <c r="L452" s="24">
        <f>326000+28000</f>
        <v>354000</v>
      </c>
      <c r="M452" s="24">
        <v>0</v>
      </c>
      <c r="N452" s="354">
        <f t="shared" si="77"/>
        <v>0</v>
      </c>
      <c r="O452" s="26">
        <f t="shared" si="74"/>
        <v>354000</v>
      </c>
      <c r="P452" s="26">
        <f t="shared" si="75"/>
        <v>0</v>
      </c>
      <c r="Q452" s="354">
        <f t="shared" si="76"/>
        <v>0</v>
      </c>
    </row>
    <row r="453" spans="2:17" s="275" customFormat="1" x14ac:dyDescent="0.2">
      <c r="B453" s="6">
        <f t="shared" si="73"/>
        <v>88</v>
      </c>
      <c r="C453" s="22"/>
      <c r="D453" s="22"/>
      <c r="E453" s="22"/>
      <c r="F453" s="23"/>
      <c r="G453" s="23"/>
      <c r="H453" s="1" t="s">
        <v>615</v>
      </c>
      <c r="I453" s="24"/>
      <c r="J453" s="24"/>
      <c r="K453" s="24"/>
      <c r="L453" s="24">
        <f>56000-27100</f>
        <v>28900</v>
      </c>
      <c r="M453" s="24">
        <v>0</v>
      </c>
      <c r="N453" s="354">
        <f t="shared" si="77"/>
        <v>0</v>
      </c>
      <c r="O453" s="26">
        <f t="shared" si="74"/>
        <v>28900</v>
      </c>
      <c r="P453" s="26">
        <f t="shared" si="75"/>
        <v>0</v>
      </c>
      <c r="Q453" s="354">
        <f t="shared" si="76"/>
        <v>0</v>
      </c>
    </row>
    <row r="454" spans="2:17" s="275" customFormat="1" x14ac:dyDescent="0.2">
      <c r="B454" s="6">
        <f t="shared" si="73"/>
        <v>89</v>
      </c>
      <c r="C454" s="22"/>
      <c r="D454" s="22"/>
      <c r="E454" s="22"/>
      <c r="F454" s="23"/>
      <c r="G454" s="23"/>
      <c r="H454" s="1" t="s">
        <v>575</v>
      </c>
      <c r="I454" s="24"/>
      <c r="J454" s="24"/>
      <c r="K454" s="24"/>
      <c r="L454" s="24">
        <v>25000</v>
      </c>
      <c r="M454" s="24">
        <v>87</v>
      </c>
      <c r="N454" s="354">
        <f t="shared" si="77"/>
        <v>0.34799999999999998</v>
      </c>
      <c r="O454" s="26">
        <f t="shared" si="74"/>
        <v>25000</v>
      </c>
      <c r="P454" s="26">
        <f t="shared" si="75"/>
        <v>87</v>
      </c>
      <c r="Q454" s="354">
        <f t="shared" si="76"/>
        <v>0.34799999999999998</v>
      </c>
    </row>
    <row r="455" spans="2:17" s="275" customFormat="1" x14ac:dyDescent="0.2">
      <c r="B455" s="6">
        <f t="shared" si="73"/>
        <v>90</v>
      </c>
      <c r="C455" s="22"/>
      <c r="D455" s="22"/>
      <c r="E455" s="22"/>
      <c r="F455" s="23"/>
      <c r="G455" s="23"/>
      <c r="H455" s="1" t="s">
        <v>617</v>
      </c>
      <c r="I455" s="24"/>
      <c r="J455" s="24"/>
      <c r="K455" s="24"/>
      <c r="L455" s="24">
        <v>84000</v>
      </c>
      <c r="M455" s="24">
        <v>0</v>
      </c>
      <c r="N455" s="354">
        <f t="shared" si="77"/>
        <v>0</v>
      </c>
      <c r="O455" s="26">
        <f t="shared" si="74"/>
        <v>84000</v>
      </c>
      <c r="P455" s="26">
        <f t="shared" si="75"/>
        <v>0</v>
      </c>
      <c r="Q455" s="354">
        <f t="shared" si="76"/>
        <v>0</v>
      </c>
    </row>
    <row r="456" spans="2:17" s="275" customFormat="1" x14ac:dyDescent="0.2">
      <c r="B456" s="6">
        <f t="shared" si="73"/>
        <v>91</v>
      </c>
      <c r="C456" s="22"/>
      <c r="D456" s="22"/>
      <c r="E456" s="22"/>
      <c r="F456" s="23"/>
      <c r="G456" s="23"/>
      <c r="H456" s="1" t="s">
        <v>525</v>
      </c>
      <c r="I456" s="24"/>
      <c r="J456" s="24"/>
      <c r="K456" s="24"/>
      <c r="L456" s="24">
        <f>82000-10000-2670</f>
        <v>69330</v>
      </c>
      <c r="M456" s="24">
        <v>1968</v>
      </c>
      <c r="N456" s="354">
        <f t="shared" si="77"/>
        <v>2.8385980095196883</v>
      </c>
      <c r="O456" s="26">
        <f t="shared" si="74"/>
        <v>69330</v>
      </c>
      <c r="P456" s="26">
        <f t="shared" si="75"/>
        <v>1968</v>
      </c>
      <c r="Q456" s="354">
        <f t="shared" si="76"/>
        <v>2.8385980095196883</v>
      </c>
    </row>
    <row r="457" spans="2:17" s="275" customFormat="1" x14ac:dyDescent="0.2">
      <c r="B457" s="6">
        <f t="shared" si="73"/>
        <v>92</v>
      </c>
      <c r="C457" s="22"/>
      <c r="D457" s="22"/>
      <c r="E457" s="22"/>
      <c r="F457" s="23"/>
      <c r="G457" s="23"/>
      <c r="H457" s="1" t="s">
        <v>652</v>
      </c>
      <c r="I457" s="24"/>
      <c r="J457" s="24"/>
      <c r="K457" s="24"/>
      <c r="L457" s="24">
        <v>30000</v>
      </c>
      <c r="M457" s="24">
        <v>0</v>
      </c>
      <c r="N457" s="354">
        <f t="shared" si="77"/>
        <v>0</v>
      </c>
      <c r="O457" s="26">
        <f t="shared" si="74"/>
        <v>30000</v>
      </c>
      <c r="P457" s="26">
        <f t="shared" si="75"/>
        <v>0</v>
      </c>
      <c r="Q457" s="354">
        <f t="shared" si="76"/>
        <v>0</v>
      </c>
    </row>
    <row r="458" spans="2:17" s="275" customFormat="1" x14ac:dyDescent="0.2">
      <c r="B458" s="6">
        <f t="shared" si="73"/>
        <v>93</v>
      </c>
      <c r="C458" s="22"/>
      <c r="D458" s="22"/>
      <c r="E458" s="22"/>
      <c r="F458" s="23"/>
      <c r="G458" s="23"/>
      <c r="H458" s="1" t="s">
        <v>587</v>
      </c>
      <c r="I458" s="24"/>
      <c r="J458" s="24"/>
      <c r="K458" s="24"/>
      <c r="L458" s="24">
        <v>15000</v>
      </c>
      <c r="M458" s="24">
        <v>0</v>
      </c>
      <c r="N458" s="354">
        <f t="shared" si="77"/>
        <v>0</v>
      </c>
      <c r="O458" s="26">
        <f t="shared" si="74"/>
        <v>15000</v>
      </c>
      <c r="P458" s="26">
        <f t="shared" si="75"/>
        <v>0</v>
      </c>
      <c r="Q458" s="354">
        <f t="shared" si="76"/>
        <v>0</v>
      </c>
    </row>
    <row r="459" spans="2:17" s="275" customFormat="1" x14ac:dyDescent="0.2">
      <c r="B459" s="6">
        <f t="shared" si="73"/>
        <v>94</v>
      </c>
      <c r="C459" s="22"/>
      <c r="D459" s="22"/>
      <c r="E459" s="22"/>
      <c r="F459" s="23"/>
      <c r="G459" s="23"/>
      <c r="H459" s="1" t="s">
        <v>620</v>
      </c>
      <c r="I459" s="24"/>
      <c r="J459" s="24"/>
      <c r="K459" s="24"/>
      <c r="L459" s="24">
        <v>55000</v>
      </c>
      <c r="M459" s="24">
        <v>0</v>
      </c>
      <c r="N459" s="354">
        <f t="shared" si="77"/>
        <v>0</v>
      </c>
      <c r="O459" s="26">
        <f t="shared" si="74"/>
        <v>55000</v>
      </c>
      <c r="P459" s="26">
        <f t="shared" si="75"/>
        <v>0</v>
      </c>
      <c r="Q459" s="354">
        <f t="shared" si="76"/>
        <v>0</v>
      </c>
    </row>
    <row r="460" spans="2:17" s="275" customFormat="1" x14ac:dyDescent="0.2">
      <c r="B460" s="6">
        <f t="shared" si="73"/>
        <v>95</v>
      </c>
      <c r="C460" s="22"/>
      <c r="D460" s="22"/>
      <c r="E460" s="22"/>
      <c r="F460" s="23"/>
      <c r="G460" s="23"/>
      <c r="H460" s="1" t="s">
        <v>661</v>
      </c>
      <c r="I460" s="24"/>
      <c r="J460" s="24"/>
      <c r="K460" s="24"/>
      <c r="L460" s="24">
        <v>14000</v>
      </c>
      <c r="M460" s="24">
        <v>0</v>
      </c>
      <c r="N460" s="354">
        <f t="shared" si="77"/>
        <v>0</v>
      </c>
      <c r="O460" s="26">
        <f t="shared" si="74"/>
        <v>14000</v>
      </c>
      <c r="P460" s="26">
        <f t="shared" si="75"/>
        <v>0</v>
      </c>
      <c r="Q460" s="354">
        <f t="shared" si="76"/>
        <v>0</v>
      </c>
    </row>
    <row r="461" spans="2:17" s="275" customFormat="1" x14ac:dyDescent="0.2">
      <c r="B461" s="6">
        <f t="shared" si="73"/>
        <v>96</v>
      </c>
      <c r="C461" s="22"/>
      <c r="D461" s="22"/>
      <c r="E461" s="22"/>
      <c r="F461" s="23"/>
      <c r="G461" s="23"/>
      <c r="H461" s="1" t="s">
        <v>622</v>
      </c>
      <c r="I461" s="24"/>
      <c r="J461" s="24"/>
      <c r="K461" s="24"/>
      <c r="L461" s="24">
        <f>135000-5000</f>
        <v>130000</v>
      </c>
      <c r="M461" s="24">
        <v>0</v>
      </c>
      <c r="N461" s="354">
        <f t="shared" si="77"/>
        <v>0</v>
      </c>
      <c r="O461" s="26">
        <f t="shared" si="74"/>
        <v>130000</v>
      </c>
      <c r="P461" s="26">
        <f t="shared" si="75"/>
        <v>0</v>
      </c>
      <c r="Q461" s="354">
        <f t="shared" si="76"/>
        <v>0</v>
      </c>
    </row>
    <row r="462" spans="2:17" s="275" customFormat="1" x14ac:dyDescent="0.2">
      <c r="B462" s="6">
        <f t="shared" si="73"/>
        <v>97</v>
      </c>
      <c r="C462" s="22"/>
      <c r="D462" s="22"/>
      <c r="E462" s="22"/>
      <c r="F462" s="23"/>
      <c r="G462" s="23"/>
      <c r="H462" s="1" t="s">
        <v>535</v>
      </c>
      <c r="I462" s="24"/>
      <c r="J462" s="24"/>
      <c r="K462" s="24"/>
      <c r="L462" s="24">
        <v>128650</v>
      </c>
      <c r="M462" s="24">
        <v>0</v>
      </c>
      <c r="N462" s="354">
        <f t="shared" si="77"/>
        <v>0</v>
      </c>
      <c r="O462" s="26">
        <f t="shared" si="74"/>
        <v>128650</v>
      </c>
      <c r="P462" s="26">
        <f t="shared" si="75"/>
        <v>0</v>
      </c>
      <c r="Q462" s="354">
        <f t="shared" si="76"/>
        <v>0</v>
      </c>
    </row>
    <row r="463" spans="2:17" s="275" customFormat="1" x14ac:dyDescent="0.2">
      <c r="B463" s="6">
        <f t="shared" ref="B463:B481" si="78">B462+1</f>
        <v>98</v>
      </c>
      <c r="C463" s="22"/>
      <c r="D463" s="22"/>
      <c r="E463" s="22"/>
      <c r="F463" s="23"/>
      <c r="G463" s="23"/>
      <c r="H463" s="1" t="s">
        <v>616</v>
      </c>
      <c r="I463" s="24"/>
      <c r="J463" s="24"/>
      <c r="K463" s="24"/>
      <c r="L463" s="24">
        <v>100000</v>
      </c>
      <c r="M463" s="24">
        <v>0</v>
      </c>
      <c r="N463" s="354">
        <f t="shared" si="77"/>
        <v>0</v>
      </c>
      <c r="O463" s="26">
        <f t="shared" si="74"/>
        <v>100000</v>
      </c>
      <c r="P463" s="26">
        <f t="shared" si="75"/>
        <v>0</v>
      </c>
      <c r="Q463" s="354">
        <f t="shared" si="76"/>
        <v>0</v>
      </c>
    </row>
    <row r="464" spans="2:17" s="275" customFormat="1" x14ac:dyDescent="0.2">
      <c r="B464" s="6">
        <f t="shared" si="78"/>
        <v>99</v>
      </c>
      <c r="C464" s="22"/>
      <c r="D464" s="22"/>
      <c r="E464" s="22"/>
      <c r="F464" s="23"/>
      <c r="G464" s="23"/>
      <c r="H464" s="1" t="s">
        <v>526</v>
      </c>
      <c r="I464" s="24"/>
      <c r="J464" s="24"/>
      <c r="K464" s="24"/>
      <c r="L464" s="24">
        <v>84000</v>
      </c>
      <c r="M464" s="24">
        <v>0</v>
      </c>
      <c r="N464" s="354">
        <f t="shared" si="77"/>
        <v>0</v>
      </c>
      <c r="O464" s="26">
        <f t="shared" si="74"/>
        <v>84000</v>
      </c>
      <c r="P464" s="26">
        <f t="shared" si="75"/>
        <v>0</v>
      </c>
      <c r="Q464" s="354">
        <f t="shared" si="76"/>
        <v>0</v>
      </c>
    </row>
    <row r="465" spans="2:17" s="275" customFormat="1" x14ac:dyDescent="0.2">
      <c r="B465" s="6">
        <f t="shared" si="78"/>
        <v>100</v>
      </c>
      <c r="C465" s="22"/>
      <c r="D465" s="22"/>
      <c r="E465" s="22"/>
      <c r="F465" s="23"/>
      <c r="G465" s="23"/>
      <c r="H465" s="1" t="s">
        <v>621</v>
      </c>
      <c r="I465" s="24"/>
      <c r="J465" s="24"/>
      <c r="K465" s="24"/>
      <c r="L465" s="24">
        <v>75000</v>
      </c>
      <c r="M465" s="24">
        <v>0</v>
      </c>
      <c r="N465" s="354">
        <f t="shared" si="77"/>
        <v>0</v>
      </c>
      <c r="O465" s="26">
        <f t="shared" si="74"/>
        <v>75000</v>
      </c>
      <c r="P465" s="26">
        <f t="shared" si="75"/>
        <v>0</v>
      </c>
      <c r="Q465" s="354">
        <f t="shared" si="76"/>
        <v>0</v>
      </c>
    </row>
    <row r="466" spans="2:17" s="275" customFormat="1" x14ac:dyDescent="0.2">
      <c r="B466" s="6">
        <f t="shared" si="78"/>
        <v>101</v>
      </c>
      <c r="C466" s="22"/>
      <c r="D466" s="22"/>
      <c r="E466" s="22"/>
      <c r="F466" s="23"/>
      <c r="G466" s="23"/>
      <c r="H466" s="1" t="s">
        <v>580</v>
      </c>
      <c r="I466" s="24"/>
      <c r="J466" s="24"/>
      <c r="K466" s="24"/>
      <c r="L466" s="24">
        <v>43000</v>
      </c>
      <c r="M466" s="24">
        <v>0</v>
      </c>
      <c r="N466" s="354">
        <f t="shared" si="77"/>
        <v>0</v>
      </c>
      <c r="O466" s="26">
        <f t="shared" ref="O466:O481" si="79">L466+I466</f>
        <v>43000</v>
      </c>
      <c r="P466" s="26">
        <f t="shared" ref="P466:P481" si="80">M466+J466</f>
        <v>0</v>
      </c>
      <c r="Q466" s="354">
        <f t="shared" ref="Q466:Q481" si="81">P466/O466*100</f>
        <v>0</v>
      </c>
    </row>
    <row r="467" spans="2:17" s="275" customFormat="1" x14ac:dyDescent="0.2">
      <c r="B467" s="6">
        <f t="shared" si="78"/>
        <v>102</v>
      </c>
      <c r="C467" s="22"/>
      <c r="D467" s="22"/>
      <c r="E467" s="22"/>
      <c r="F467" s="23"/>
      <c r="G467" s="23"/>
      <c r="H467" s="1" t="s">
        <v>382</v>
      </c>
      <c r="I467" s="24"/>
      <c r="J467" s="24"/>
      <c r="K467" s="24"/>
      <c r="L467" s="24">
        <v>20000</v>
      </c>
      <c r="M467" s="24">
        <v>0</v>
      </c>
      <c r="N467" s="354">
        <f t="shared" si="77"/>
        <v>0</v>
      </c>
      <c r="O467" s="26">
        <f t="shared" si="79"/>
        <v>20000</v>
      </c>
      <c r="P467" s="26">
        <f t="shared" si="80"/>
        <v>0</v>
      </c>
      <c r="Q467" s="354">
        <f t="shared" si="81"/>
        <v>0</v>
      </c>
    </row>
    <row r="468" spans="2:17" s="275" customFormat="1" x14ac:dyDescent="0.2">
      <c r="B468" s="6">
        <f t="shared" si="78"/>
        <v>103</v>
      </c>
      <c r="C468" s="22"/>
      <c r="D468" s="22"/>
      <c r="E468" s="22"/>
      <c r="F468" s="23"/>
      <c r="G468" s="23"/>
      <c r="H468" s="1" t="s">
        <v>291</v>
      </c>
      <c r="I468" s="24"/>
      <c r="J468" s="24"/>
      <c r="K468" s="24"/>
      <c r="L468" s="24">
        <v>14000</v>
      </c>
      <c r="M468" s="24">
        <v>0</v>
      </c>
      <c r="N468" s="354">
        <f t="shared" si="77"/>
        <v>0</v>
      </c>
      <c r="O468" s="26">
        <f t="shared" si="79"/>
        <v>14000</v>
      </c>
      <c r="P468" s="26">
        <f t="shared" si="80"/>
        <v>0</v>
      </c>
      <c r="Q468" s="354">
        <f t="shared" si="81"/>
        <v>0</v>
      </c>
    </row>
    <row r="469" spans="2:17" s="275" customFormat="1" x14ac:dyDescent="0.2">
      <c r="B469" s="6">
        <f t="shared" si="78"/>
        <v>104</v>
      </c>
      <c r="C469" s="22"/>
      <c r="D469" s="22"/>
      <c r="E469" s="22"/>
      <c r="F469" s="23"/>
      <c r="G469" s="23"/>
      <c r="H469" s="1" t="s">
        <v>383</v>
      </c>
      <c r="I469" s="24"/>
      <c r="J469" s="24"/>
      <c r="K469" s="24"/>
      <c r="L469" s="24">
        <v>25000</v>
      </c>
      <c r="M469" s="24">
        <v>0</v>
      </c>
      <c r="N469" s="354">
        <f t="shared" si="77"/>
        <v>0</v>
      </c>
      <c r="O469" s="26">
        <f t="shared" si="79"/>
        <v>25000</v>
      </c>
      <c r="P469" s="26">
        <f t="shared" si="80"/>
        <v>0</v>
      </c>
      <c r="Q469" s="354">
        <f t="shared" si="81"/>
        <v>0</v>
      </c>
    </row>
    <row r="470" spans="2:17" s="275" customFormat="1" x14ac:dyDescent="0.2">
      <c r="B470" s="6">
        <f t="shared" si="78"/>
        <v>105</v>
      </c>
      <c r="C470" s="22"/>
      <c r="D470" s="22"/>
      <c r="E470" s="22"/>
      <c r="F470" s="23"/>
      <c r="G470" s="23"/>
      <c r="H470" s="1" t="s">
        <v>427</v>
      </c>
      <c r="I470" s="24"/>
      <c r="J470" s="24"/>
      <c r="K470" s="24"/>
      <c r="L470" s="24">
        <v>24000</v>
      </c>
      <c r="M470" s="24">
        <v>0</v>
      </c>
      <c r="N470" s="354">
        <f t="shared" si="77"/>
        <v>0</v>
      </c>
      <c r="O470" s="26">
        <f t="shared" si="79"/>
        <v>24000</v>
      </c>
      <c r="P470" s="26">
        <f t="shared" si="80"/>
        <v>0</v>
      </c>
      <c r="Q470" s="354">
        <f t="shared" si="81"/>
        <v>0</v>
      </c>
    </row>
    <row r="471" spans="2:17" s="275" customFormat="1" x14ac:dyDescent="0.2">
      <c r="B471" s="6">
        <f t="shared" si="78"/>
        <v>106</v>
      </c>
      <c r="C471" s="22"/>
      <c r="D471" s="22"/>
      <c r="E471" s="22"/>
      <c r="F471" s="23"/>
      <c r="G471" s="23"/>
      <c r="H471" s="1" t="s">
        <v>579</v>
      </c>
      <c r="I471" s="24"/>
      <c r="J471" s="24"/>
      <c r="K471" s="24"/>
      <c r="L471" s="24">
        <v>15000</v>
      </c>
      <c r="M471" s="24">
        <v>0</v>
      </c>
      <c r="N471" s="354">
        <f t="shared" si="77"/>
        <v>0</v>
      </c>
      <c r="O471" s="26">
        <f t="shared" si="79"/>
        <v>15000</v>
      </c>
      <c r="P471" s="26">
        <f t="shared" si="80"/>
        <v>0</v>
      </c>
      <c r="Q471" s="354">
        <f t="shared" si="81"/>
        <v>0</v>
      </c>
    </row>
    <row r="472" spans="2:17" s="275" customFormat="1" x14ac:dyDescent="0.2">
      <c r="B472" s="6">
        <f t="shared" si="78"/>
        <v>107</v>
      </c>
      <c r="C472" s="22"/>
      <c r="D472" s="22"/>
      <c r="E472" s="22"/>
      <c r="F472" s="23"/>
      <c r="G472" s="23"/>
      <c r="H472" s="1" t="s">
        <v>705</v>
      </c>
      <c r="I472" s="24"/>
      <c r="J472" s="24"/>
      <c r="K472" s="24"/>
      <c r="L472" s="24">
        <v>30000</v>
      </c>
      <c r="M472" s="24">
        <v>0</v>
      </c>
      <c r="N472" s="354">
        <f t="shared" si="77"/>
        <v>0</v>
      </c>
      <c r="O472" s="26">
        <f t="shared" si="79"/>
        <v>30000</v>
      </c>
      <c r="P472" s="26">
        <f t="shared" si="80"/>
        <v>0</v>
      </c>
      <c r="Q472" s="354">
        <f t="shared" si="81"/>
        <v>0</v>
      </c>
    </row>
    <row r="473" spans="2:17" s="275" customFormat="1" x14ac:dyDescent="0.2">
      <c r="B473" s="6">
        <f t="shared" si="78"/>
        <v>108</v>
      </c>
      <c r="C473" s="22"/>
      <c r="D473" s="22"/>
      <c r="E473" s="22"/>
      <c r="F473" s="23"/>
      <c r="G473" s="23"/>
      <c r="H473" s="1" t="s">
        <v>581</v>
      </c>
      <c r="I473" s="24"/>
      <c r="J473" s="24"/>
      <c r="K473" s="24"/>
      <c r="L473" s="24">
        <f>20000+18000</f>
        <v>38000</v>
      </c>
      <c r="M473" s="24">
        <v>0</v>
      </c>
      <c r="N473" s="354">
        <f t="shared" ref="N473:N481" si="82">M473/L473*100</f>
        <v>0</v>
      </c>
      <c r="O473" s="26">
        <f t="shared" si="79"/>
        <v>38000</v>
      </c>
      <c r="P473" s="26">
        <f t="shared" si="80"/>
        <v>0</v>
      </c>
      <c r="Q473" s="354">
        <f t="shared" si="81"/>
        <v>0</v>
      </c>
    </row>
    <row r="474" spans="2:17" s="275" customFormat="1" x14ac:dyDescent="0.2">
      <c r="B474" s="6">
        <f t="shared" si="78"/>
        <v>109</v>
      </c>
      <c r="C474" s="22"/>
      <c r="D474" s="22"/>
      <c r="E474" s="22"/>
      <c r="F474" s="23"/>
      <c r="G474" s="23"/>
      <c r="H474" s="1" t="s">
        <v>582</v>
      </c>
      <c r="I474" s="24"/>
      <c r="J474" s="24"/>
      <c r="K474" s="24"/>
      <c r="L474" s="24">
        <v>10000</v>
      </c>
      <c r="M474" s="24">
        <v>0</v>
      </c>
      <c r="N474" s="354">
        <f t="shared" si="82"/>
        <v>0</v>
      </c>
      <c r="O474" s="26">
        <f t="shared" si="79"/>
        <v>10000</v>
      </c>
      <c r="P474" s="26">
        <f t="shared" si="80"/>
        <v>0</v>
      </c>
      <c r="Q474" s="354">
        <f t="shared" si="81"/>
        <v>0</v>
      </c>
    </row>
    <row r="475" spans="2:17" s="275" customFormat="1" x14ac:dyDescent="0.2">
      <c r="B475" s="6">
        <f t="shared" si="78"/>
        <v>110</v>
      </c>
      <c r="C475" s="22"/>
      <c r="D475" s="22"/>
      <c r="E475" s="22"/>
      <c r="F475" s="23"/>
      <c r="G475" s="23"/>
      <c r="H475" s="1" t="s">
        <v>584</v>
      </c>
      <c r="I475" s="24"/>
      <c r="J475" s="24"/>
      <c r="K475" s="24"/>
      <c r="L475" s="24">
        <v>70000</v>
      </c>
      <c r="M475" s="24">
        <v>799</v>
      </c>
      <c r="N475" s="354">
        <f t="shared" si="82"/>
        <v>1.1414285714285715</v>
      </c>
      <c r="O475" s="26">
        <f t="shared" si="79"/>
        <v>70000</v>
      </c>
      <c r="P475" s="26">
        <f t="shared" si="80"/>
        <v>799</v>
      </c>
      <c r="Q475" s="354">
        <f t="shared" si="81"/>
        <v>1.1414285714285715</v>
      </c>
    </row>
    <row r="476" spans="2:17" s="275" customFormat="1" x14ac:dyDescent="0.2">
      <c r="B476" s="6">
        <f t="shared" si="78"/>
        <v>111</v>
      </c>
      <c r="C476" s="22"/>
      <c r="D476" s="22"/>
      <c r="E476" s="22"/>
      <c r="F476" s="23"/>
      <c r="G476" s="23"/>
      <c r="H476" s="1" t="s">
        <v>650</v>
      </c>
      <c r="I476" s="24"/>
      <c r="J476" s="24"/>
      <c r="K476" s="24"/>
      <c r="L476" s="24">
        <v>41000</v>
      </c>
      <c r="M476" s="24">
        <v>0</v>
      </c>
      <c r="N476" s="354">
        <f t="shared" si="82"/>
        <v>0</v>
      </c>
      <c r="O476" s="26">
        <f t="shared" si="79"/>
        <v>41000</v>
      </c>
      <c r="P476" s="26">
        <f t="shared" si="80"/>
        <v>0</v>
      </c>
      <c r="Q476" s="354">
        <f t="shared" si="81"/>
        <v>0</v>
      </c>
    </row>
    <row r="477" spans="2:17" s="275" customFormat="1" x14ac:dyDescent="0.2">
      <c r="B477" s="6">
        <f t="shared" si="78"/>
        <v>112</v>
      </c>
      <c r="C477" s="22"/>
      <c r="D477" s="22"/>
      <c r="E477" s="22"/>
      <c r="F477" s="23"/>
      <c r="G477" s="23"/>
      <c r="H477" s="1" t="s">
        <v>586</v>
      </c>
      <c r="I477" s="24"/>
      <c r="J477" s="24"/>
      <c r="K477" s="24"/>
      <c r="L477" s="24">
        <v>15000</v>
      </c>
      <c r="M477" s="24">
        <v>0</v>
      </c>
      <c r="N477" s="354">
        <f t="shared" si="82"/>
        <v>0</v>
      </c>
      <c r="O477" s="26">
        <f t="shared" si="79"/>
        <v>15000</v>
      </c>
      <c r="P477" s="26">
        <f t="shared" si="80"/>
        <v>0</v>
      </c>
      <c r="Q477" s="354">
        <f t="shared" si="81"/>
        <v>0</v>
      </c>
    </row>
    <row r="478" spans="2:17" s="275" customFormat="1" x14ac:dyDescent="0.2">
      <c r="B478" s="6">
        <f t="shared" si="78"/>
        <v>113</v>
      </c>
      <c r="C478" s="22"/>
      <c r="D478" s="22"/>
      <c r="E478" s="22"/>
      <c r="F478" s="23"/>
      <c r="G478" s="23"/>
      <c r="H478" s="1" t="s">
        <v>704</v>
      </c>
      <c r="I478" s="24"/>
      <c r="J478" s="24"/>
      <c r="K478" s="24"/>
      <c r="L478" s="24">
        <v>45000</v>
      </c>
      <c r="M478" s="24">
        <v>0</v>
      </c>
      <c r="N478" s="354">
        <f t="shared" si="82"/>
        <v>0</v>
      </c>
      <c r="O478" s="26">
        <f t="shared" si="79"/>
        <v>45000</v>
      </c>
      <c r="P478" s="26">
        <f t="shared" si="80"/>
        <v>0</v>
      </c>
      <c r="Q478" s="354">
        <f t="shared" si="81"/>
        <v>0</v>
      </c>
    </row>
    <row r="479" spans="2:17" s="275" customFormat="1" x14ac:dyDescent="0.2">
      <c r="B479" s="6">
        <f t="shared" si="78"/>
        <v>114</v>
      </c>
      <c r="C479" s="22"/>
      <c r="D479" s="22"/>
      <c r="E479" s="22"/>
      <c r="F479" s="23"/>
      <c r="G479" s="23"/>
      <c r="H479" s="1" t="s">
        <v>618</v>
      </c>
      <c r="I479" s="24"/>
      <c r="J479" s="24"/>
      <c r="K479" s="24"/>
      <c r="L479" s="24">
        <v>50000</v>
      </c>
      <c r="M479" s="24">
        <v>0</v>
      </c>
      <c r="N479" s="354">
        <f t="shared" si="82"/>
        <v>0</v>
      </c>
      <c r="O479" s="26">
        <f t="shared" si="79"/>
        <v>50000</v>
      </c>
      <c r="P479" s="26">
        <f t="shared" si="80"/>
        <v>0</v>
      </c>
      <c r="Q479" s="354">
        <f t="shared" si="81"/>
        <v>0</v>
      </c>
    </row>
    <row r="480" spans="2:17" s="275" customFormat="1" x14ac:dyDescent="0.2">
      <c r="B480" s="6">
        <f t="shared" si="78"/>
        <v>115</v>
      </c>
      <c r="C480" s="22"/>
      <c r="D480" s="22"/>
      <c r="E480" s="22"/>
      <c r="F480" s="23"/>
      <c r="G480" s="23"/>
      <c r="H480" s="1" t="s">
        <v>288</v>
      </c>
      <c r="I480" s="24"/>
      <c r="J480" s="24"/>
      <c r="K480" s="24"/>
      <c r="L480" s="24">
        <v>560000</v>
      </c>
      <c r="M480" s="24">
        <v>0</v>
      </c>
      <c r="N480" s="354">
        <f t="shared" si="82"/>
        <v>0</v>
      </c>
      <c r="O480" s="26">
        <f t="shared" si="79"/>
        <v>560000</v>
      </c>
      <c r="P480" s="26">
        <f t="shared" si="80"/>
        <v>0</v>
      </c>
      <c r="Q480" s="354">
        <f t="shared" si="81"/>
        <v>0</v>
      </c>
    </row>
    <row r="481" spans="2:17" s="275" customFormat="1" x14ac:dyDescent="0.2">
      <c r="B481" s="6">
        <f t="shared" si="78"/>
        <v>116</v>
      </c>
      <c r="C481" s="309"/>
      <c r="D481" s="309"/>
      <c r="E481" s="309"/>
      <c r="F481" s="310"/>
      <c r="G481" s="310"/>
      <c r="H481" s="259" t="s">
        <v>539</v>
      </c>
      <c r="I481" s="311"/>
      <c r="J481" s="311"/>
      <c r="K481" s="311"/>
      <c r="L481" s="311">
        <v>1850000</v>
      </c>
      <c r="M481" s="311">
        <v>0</v>
      </c>
      <c r="N481" s="354">
        <f t="shared" si="82"/>
        <v>0</v>
      </c>
      <c r="O481" s="122">
        <f t="shared" si="79"/>
        <v>1850000</v>
      </c>
      <c r="P481" s="122">
        <f t="shared" si="80"/>
        <v>0</v>
      </c>
      <c r="Q481" s="354">
        <f t="shared" si="81"/>
        <v>0</v>
      </c>
    </row>
    <row r="482" spans="2:17" s="275" customFormat="1" x14ac:dyDescent="0.2">
      <c r="B482" s="276"/>
      <c r="F482" s="277"/>
      <c r="G482" s="277"/>
      <c r="I482" s="249"/>
      <c r="J482" s="249"/>
      <c r="K482" s="5"/>
      <c r="L482" s="249"/>
      <c r="M482" s="249"/>
      <c r="N482" s="5"/>
      <c r="O482" s="249"/>
    </row>
    <row r="483" spans="2:17" s="275" customFormat="1" x14ac:dyDescent="0.2">
      <c r="B483" s="276"/>
      <c r="F483" s="277"/>
      <c r="G483" s="277"/>
      <c r="I483" s="249"/>
      <c r="J483" s="249"/>
      <c r="K483" s="5"/>
      <c r="L483" s="249"/>
      <c r="M483" s="249"/>
      <c r="N483" s="5"/>
      <c r="O483" s="249"/>
    </row>
    <row r="484" spans="2:17" s="275" customFormat="1" x14ac:dyDescent="0.2">
      <c r="B484" s="276"/>
      <c r="F484" s="277"/>
      <c r="G484" s="277"/>
      <c r="I484" s="249"/>
      <c r="J484" s="249"/>
      <c r="K484" s="5"/>
      <c r="L484" s="249"/>
      <c r="M484" s="249"/>
      <c r="N484" s="5"/>
      <c r="O484" s="249"/>
    </row>
    <row r="485" spans="2:17" s="275" customFormat="1" ht="27.75" x14ac:dyDescent="0.4">
      <c r="B485" s="496" t="s">
        <v>20</v>
      </c>
      <c r="C485" s="497"/>
      <c r="D485" s="497"/>
      <c r="E485" s="497"/>
      <c r="F485" s="497"/>
      <c r="G485" s="497"/>
      <c r="H485" s="497"/>
      <c r="I485" s="497"/>
      <c r="J485" s="497"/>
      <c r="K485" s="497"/>
      <c r="L485" s="497"/>
      <c r="M485" s="497"/>
      <c r="N485" s="497"/>
      <c r="O485" s="497"/>
      <c r="P485" s="3"/>
      <c r="Q485" s="3"/>
    </row>
    <row r="486" spans="2:17" s="275" customFormat="1" ht="15" x14ac:dyDescent="0.35">
      <c r="B486" s="461" t="s">
        <v>437</v>
      </c>
      <c r="C486" s="462"/>
      <c r="D486" s="462"/>
      <c r="E486" s="462"/>
      <c r="F486" s="462"/>
      <c r="G486" s="462"/>
      <c r="H486" s="462"/>
      <c r="I486" s="462"/>
      <c r="J486" s="462"/>
      <c r="K486" s="462"/>
      <c r="L486" s="462"/>
      <c r="M486" s="462"/>
      <c r="N486" s="463"/>
      <c r="O486" s="466" t="s">
        <v>717</v>
      </c>
      <c r="P486" s="466" t="s">
        <v>712</v>
      </c>
      <c r="Q486" s="468" t="s">
        <v>711</v>
      </c>
    </row>
    <row r="487" spans="2:17" s="275" customFormat="1" x14ac:dyDescent="0.2">
      <c r="B487" s="478"/>
      <c r="C487" s="475" t="s">
        <v>111</v>
      </c>
      <c r="D487" s="475" t="s">
        <v>112</v>
      </c>
      <c r="E487" s="475"/>
      <c r="F487" s="475" t="s">
        <v>113</v>
      </c>
      <c r="G487" s="477" t="s">
        <v>114</v>
      </c>
      <c r="H487" s="476" t="s">
        <v>115</v>
      </c>
      <c r="I487" s="471" t="s">
        <v>713</v>
      </c>
      <c r="J487" s="471" t="s">
        <v>714</v>
      </c>
      <c r="K487" s="472" t="s">
        <v>711</v>
      </c>
      <c r="L487" s="471" t="s">
        <v>715</v>
      </c>
      <c r="M487" s="471" t="s">
        <v>716</v>
      </c>
      <c r="N487" s="451" t="s">
        <v>711</v>
      </c>
      <c r="O487" s="467"/>
      <c r="P487" s="467"/>
      <c r="Q487" s="469"/>
    </row>
    <row r="488" spans="2:17" x14ac:dyDescent="0.2">
      <c r="B488" s="478"/>
      <c r="C488" s="475"/>
      <c r="D488" s="475"/>
      <c r="E488" s="475"/>
      <c r="F488" s="475"/>
      <c r="G488" s="477"/>
      <c r="H488" s="476"/>
      <c r="I488" s="471"/>
      <c r="J488" s="471"/>
      <c r="K488" s="473"/>
      <c r="L488" s="471"/>
      <c r="M488" s="471"/>
      <c r="N488" s="452"/>
      <c r="O488" s="467"/>
      <c r="P488" s="467"/>
      <c r="Q488" s="469"/>
    </row>
    <row r="489" spans="2:17" x14ac:dyDescent="0.2">
      <c r="B489" s="478"/>
      <c r="C489" s="475"/>
      <c r="D489" s="475"/>
      <c r="E489" s="475"/>
      <c r="F489" s="475"/>
      <c r="G489" s="477"/>
      <c r="H489" s="476"/>
      <c r="I489" s="471"/>
      <c r="J489" s="471"/>
      <c r="K489" s="473"/>
      <c r="L489" s="471"/>
      <c r="M489" s="471"/>
      <c r="N489" s="452"/>
      <c r="O489" s="467"/>
      <c r="P489" s="467"/>
      <c r="Q489" s="469"/>
    </row>
    <row r="490" spans="2:17" x14ac:dyDescent="0.2">
      <c r="B490" s="478"/>
      <c r="C490" s="475"/>
      <c r="D490" s="475"/>
      <c r="E490" s="475"/>
      <c r="F490" s="475"/>
      <c r="G490" s="477"/>
      <c r="H490" s="476"/>
      <c r="I490" s="471"/>
      <c r="J490" s="471"/>
      <c r="K490" s="474"/>
      <c r="L490" s="471"/>
      <c r="M490" s="471"/>
      <c r="N490" s="452"/>
      <c r="O490" s="467"/>
      <c r="P490" s="467"/>
      <c r="Q490" s="470"/>
    </row>
    <row r="491" spans="2:17" ht="15.75" x14ac:dyDescent="0.2">
      <c r="B491" s="6">
        <v>1</v>
      </c>
      <c r="C491" s="464" t="s">
        <v>20</v>
      </c>
      <c r="D491" s="465"/>
      <c r="E491" s="465"/>
      <c r="F491" s="465"/>
      <c r="G491" s="465"/>
      <c r="H491" s="465"/>
      <c r="I491" s="7">
        <f>I492+I712+I921+I1029+I1334</f>
        <v>34287661</v>
      </c>
      <c r="J491" s="7">
        <f>J492+J712+J921+J1029+J1334</f>
        <v>15256182</v>
      </c>
      <c r="K491" s="354">
        <f t="shared" ref="K491:K504" si="83">J491/I491*100</f>
        <v>44.494671129652154</v>
      </c>
      <c r="L491" s="7">
        <f>L1334+L1029+L921+L712+L492</f>
        <v>2459804</v>
      </c>
      <c r="M491" s="7">
        <f>M1334+M1029+M921+M712+M492</f>
        <v>113279</v>
      </c>
      <c r="N491" s="354">
        <f>M491/L491*100</f>
        <v>4.605204317091931</v>
      </c>
      <c r="O491" s="8">
        <f t="shared" ref="O491:O554" si="84">I491+L491</f>
        <v>36747465</v>
      </c>
      <c r="P491" s="8">
        <f t="shared" ref="P491:P554" si="85">J491+M491</f>
        <v>15369461</v>
      </c>
      <c r="Q491" s="354">
        <f t="shared" ref="Q491:Q554" si="86">P491/O491*100</f>
        <v>41.824547625257956</v>
      </c>
    </row>
    <row r="492" spans="2:17" ht="15" x14ac:dyDescent="0.2">
      <c r="B492" s="6">
        <f t="shared" ref="B492:B555" si="87">B491+1</f>
        <v>2</v>
      </c>
      <c r="C492" s="9">
        <v>1</v>
      </c>
      <c r="D492" s="459" t="s">
        <v>185</v>
      </c>
      <c r="E492" s="460"/>
      <c r="F492" s="460"/>
      <c r="G492" s="460"/>
      <c r="H492" s="460"/>
      <c r="I492" s="10">
        <f>I493+I508</f>
        <v>6463993</v>
      </c>
      <c r="J492" s="10">
        <f>J493+J508</f>
        <v>2674536</v>
      </c>
      <c r="K492" s="354">
        <f t="shared" si="83"/>
        <v>41.37591114346813</v>
      </c>
      <c r="L492" s="10">
        <f>L493+L508</f>
        <v>252876</v>
      </c>
      <c r="M492" s="10">
        <f>M493+M508</f>
        <v>66447</v>
      </c>
      <c r="N492" s="354">
        <f>M492/L492*100</f>
        <v>26.276514971764819</v>
      </c>
      <c r="O492" s="31">
        <f t="shared" si="84"/>
        <v>6716869</v>
      </c>
      <c r="P492" s="31">
        <f t="shared" si="85"/>
        <v>2740983</v>
      </c>
      <c r="Q492" s="354">
        <f t="shared" si="86"/>
        <v>40.807450614266855</v>
      </c>
    </row>
    <row r="493" spans="2:17" ht="15" x14ac:dyDescent="0.25">
      <c r="B493" s="6">
        <f t="shared" si="87"/>
        <v>3</v>
      </c>
      <c r="C493" s="95"/>
      <c r="D493" s="95"/>
      <c r="E493" s="95">
        <v>3</v>
      </c>
      <c r="F493" s="96"/>
      <c r="G493" s="96"/>
      <c r="H493" s="95" t="s">
        <v>8</v>
      </c>
      <c r="I493" s="97">
        <f>I494+I495+I496+I504</f>
        <v>807499</v>
      </c>
      <c r="J493" s="97">
        <f>J494+J495+J496+J504</f>
        <v>315118</v>
      </c>
      <c r="K493" s="354">
        <f t="shared" si="83"/>
        <v>39.023949255664711</v>
      </c>
      <c r="L493" s="97">
        <f>L505</f>
        <v>15000</v>
      </c>
      <c r="M493" s="97">
        <f>M505</f>
        <v>14706</v>
      </c>
      <c r="N493" s="354">
        <f>M493/L493*100</f>
        <v>98.04</v>
      </c>
      <c r="O493" s="98">
        <f t="shared" si="84"/>
        <v>822499</v>
      </c>
      <c r="P493" s="98">
        <f t="shared" si="85"/>
        <v>329824</v>
      </c>
      <c r="Q493" s="354">
        <f t="shared" si="86"/>
        <v>40.100231124901065</v>
      </c>
    </row>
    <row r="494" spans="2:17" x14ac:dyDescent="0.2">
      <c r="B494" s="6">
        <f t="shared" si="87"/>
        <v>4</v>
      </c>
      <c r="C494" s="12"/>
      <c r="D494" s="12"/>
      <c r="E494" s="12"/>
      <c r="F494" s="13" t="s">
        <v>184</v>
      </c>
      <c r="G494" s="14">
        <v>610</v>
      </c>
      <c r="H494" s="12" t="s">
        <v>128</v>
      </c>
      <c r="I494" s="15">
        <f>491011-36101-1003+3167</f>
        <v>457074</v>
      </c>
      <c r="J494" s="15">
        <v>186502</v>
      </c>
      <c r="K494" s="354">
        <f t="shared" si="83"/>
        <v>40.803458520939714</v>
      </c>
      <c r="L494" s="15"/>
      <c r="M494" s="15"/>
      <c r="N494" s="354"/>
      <c r="O494" s="16">
        <f t="shared" si="84"/>
        <v>457074</v>
      </c>
      <c r="P494" s="16">
        <f t="shared" si="85"/>
        <v>186502</v>
      </c>
      <c r="Q494" s="354">
        <f t="shared" si="86"/>
        <v>40.803458520939714</v>
      </c>
    </row>
    <row r="495" spans="2:17" x14ac:dyDescent="0.2">
      <c r="B495" s="6">
        <f t="shared" si="87"/>
        <v>5</v>
      </c>
      <c r="C495" s="12"/>
      <c r="D495" s="12"/>
      <c r="E495" s="12"/>
      <c r="F495" s="13" t="s">
        <v>184</v>
      </c>
      <c r="G495" s="14">
        <v>620</v>
      </c>
      <c r="H495" s="12" t="s">
        <v>121</v>
      </c>
      <c r="I495" s="15">
        <f>187790-13700-1964+1138</f>
        <v>173264</v>
      </c>
      <c r="J495" s="15">
        <v>67873</v>
      </c>
      <c r="K495" s="354">
        <f t="shared" si="83"/>
        <v>39.173169267707081</v>
      </c>
      <c r="L495" s="15"/>
      <c r="M495" s="15"/>
      <c r="N495" s="354"/>
      <c r="O495" s="16">
        <f t="shared" si="84"/>
        <v>173264</v>
      </c>
      <c r="P495" s="16">
        <f t="shared" si="85"/>
        <v>67873</v>
      </c>
      <c r="Q495" s="354">
        <f t="shared" si="86"/>
        <v>39.173169267707081</v>
      </c>
    </row>
    <row r="496" spans="2:17" x14ac:dyDescent="0.2">
      <c r="B496" s="6">
        <f t="shared" si="87"/>
        <v>6</v>
      </c>
      <c r="C496" s="12"/>
      <c r="D496" s="12"/>
      <c r="E496" s="12"/>
      <c r="F496" s="13" t="s">
        <v>184</v>
      </c>
      <c r="G496" s="14">
        <v>630</v>
      </c>
      <c r="H496" s="12" t="s">
        <v>118</v>
      </c>
      <c r="I496" s="15">
        <f>SUM(I497:I503)</f>
        <v>165102</v>
      </c>
      <c r="J496" s="15">
        <f>SUM(J497:J503)</f>
        <v>58628</v>
      </c>
      <c r="K496" s="354">
        <f t="shared" si="83"/>
        <v>35.510169470993688</v>
      </c>
      <c r="L496" s="15"/>
      <c r="M496" s="15"/>
      <c r="N496" s="354"/>
      <c r="O496" s="16">
        <f t="shared" si="84"/>
        <v>165102</v>
      </c>
      <c r="P496" s="16">
        <f t="shared" si="85"/>
        <v>58628</v>
      </c>
      <c r="Q496" s="354">
        <f t="shared" si="86"/>
        <v>35.510169470993688</v>
      </c>
    </row>
    <row r="497" spans="2:17" x14ac:dyDescent="0.2">
      <c r="B497" s="6">
        <f t="shared" si="87"/>
        <v>7</v>
      </c>
      <c r="C497" s="17"/>
      <c r="D497" s="17"/>
      <c r="E497" s="17"/>
      <c r="F497" s="18"/>
      <c r="G497" s="19">
        <v>632</v>
      </c>
      <c r="H497" s="17" t="s">
        <v>131</v>
      </c>
      <c r="I497" s="20">
        <f>44884-9890</f>
        <v>34994</v>
      </c>
      <c r="J497" s="20">
        <v>16897</v>
      </c>
      <c r="K497" s="354">
        <f t="shared" si="83"/>
        <v>48.285420357775621</v>
      </c>
      <c r="L497" s="20"/>
      <c r="M497" s="20"/>
      <c r="N497" s="354"/>
      <c r="O497" s="21">
        <f t="shared" si="84"/>
        <v>34994</v>
      </c>
      <c r="P497" s="21">
        <f t="shared" si="85"/>
        <v>16897</v>
      </c>
      <c r="Q497" s="354">
        <f t="shared" si="86"/>
        <v>48.285420357775621</v>
      </c>
    </row>
    <row r="498" spans="2:17" x14ac:dyDescent="0.2">
      <c r="B498" s="6">
        <f t="shared" si="87"/>
        <v>8</v>
      </c>
      <c r="C498" s="17"/>
      <c r="D498" s="17"/>
      <c r="E498" s="17"/>
      <c r="F498" s="18"/>
      <c r="G498" s="19">
        <v>633</v>
      </c>
      <c r="H498" s="17" t="s">
        <v>122</v>
      </c>
      <c r="I498" s="20">
        <f>53580+455</f>
        <v>54035</v>
      </c>
      <c r="J498" s="20">
        <v>12285</v>
      </c>
      <c r="K498" s="354">
        <f t="shared" si="83"/>
        <v>22.73526418062367</v>
      </c>
      <c r="L498" s="20"/>
      <c r="M498" s="20"/>
      <c r="N498" s="354"/>
      <c r="O498" s="21">
        <f t="shared" si="84"/>
        <v>54035</v>
      </c>
      <c r="P498" s="21">
        <f t="shared" si="85"/>
        <v>12285</v>
      </c>
      <c r="Q498" s="354">
        <f t="shared" si="86"/>
        <v>22.73526418062367</v>
      </c>
    </row>
    <row r="499" spans="2:17" x14ac:dyDescent="0.2">
      <c r="B499" s="6">
        <f t="shared" si="87"/>
        <v>9</v>
      </c>
      <c r="C499" s="17"/>
      <c r="D499" s="17"/>
      <c r="E499" s="17"/>
      <c r="F499" s="18"/>
      <c r="G499" s="19">
        <v>634</v>
      </c>
      <c r="H499" s="17" t="s">
        <v>498</v>
      </c>
      <c r="I499" s="20">
        <f>600+470</f>
        <v>1070</v>
      </c>
      <c r="J499" s="20">
        <v>573</v>
      </c>
      <c r="K499" s="354">
        <f t="shared" si="83"/>
        <v>53.55140186915888</v>
      </c>
      <c r="L499" s="20"/>
      <c r="M499" s="20"/>
      <c r="N499" s="354"/>
      <c r="O499" s="21">
        <f t="shared" si="84"/>
        <v>1070</v>
      </c>
      <c r="P499" s="21">
        <f t="shared" si="85"/>
        <v>573</v>
      </c>
      <c r="Q499" s="354">
        <f t="shared" si="86"/>
        <v>53.55140186915888</v>
      </c>
    </row>
    <row r="500" spans="2:17" x14ac:dyDescent="0.2">
      <c r="B500" s="6">
        <f t="shared" si="87"/>
        <v>10</v>
      </c>
      <c r="C500" s="17"/>
      <c r="D500" s="17"/>
      <c r="E500" s="17"/>
      <c r="F500" s="18"/>
      <c r="G500" s="19">
        <v>635</v>
      </c>
      <c r="H500" s="17" t="s">
        <v>130</v>
      </c>
      <c r="I500" s="20">
        <f>14000+8349</f>
        <v>22349</v>
      </c>
      <c r="J500" s="20">
        <v>6833</v>
      </c>
      <c r="K500" s="354">
        <f t="shared" si="83"/>
        <v>30.574074902680209</v>
      </c>
      <c r="L500" s="20"/>
      <c r="M500" s="20"/>
      <c r="N500" s="354"/>
      <c r="O500" s="21">
        <f t="shared" si="84"/>
        <v>22349</v>
      </c>
      <c r="P500" s="21">
        <f t="shared" si="85"/>
        <v>6833</v>
      </c>
      <c r="Q500" s="354">
        <f t="shared" si="86"/>
        <v>30.574074902680209</v>
      </c>
    </row>
    <row r="501" spans="2:17" x14ac:dyDescent="0.2">
      <c r="B501" s="6">
        <f t="shared" si="87"/>
        <v>11</v>
      </c>
      <c r="C501" s="17"/>
      <c r="D501" s="17"/>
      <c r="E501" s="17"/>
      <c r="F501" s="18"/>
      <c r="G501" s="19">
        <v>636</v>
      </c>
      <c r="H501" s="17" t="s">
        <v>123</v>
      </c>
      <c r="I501" s="20">
        <f>14000+705</f>
        <v>14705</v>
      </c>
      <c r="J501" s="20">
        <v>8546</v>
      </c>
      <c r="K501" s="354">
        <f t="shared" si="83"/>
        <v>58.116286977218635</v>
      </c>
      <c r="L501" s="20"/>
      <c r="M501" s="20"/>
      <c r="N501" s="354"/>
      <c r="O501" s="21">
        <f t="shared" si="84"/>
        <v>14705</v>
      </c>
      <c r="P501" s="21">
        <f t="shared" si="85"/>
        <v>8546</v>
      </c>
      <c r="Q501" s="354">
        <f t="shared" si="86"/>
        <v>58.116286977218635</v>
      </c>
    </row>
    <row r="502" spans="2:17" x14ac:dyDescent="0.2">
      <c r="B502" s="6">
        <f t="shared" si="87"/>
        <v>12</v>
      </c>
      <c r="C502" s="17"/>
      <c r="D502" s="17"/>
      <c r="E502" s="17"/>
      <c r="F502" s="18"/>
      <c r="G502" s="19">
        <v>637</v>
      </c>
      <c r="H502" s="17" t="s">
        <v>119</v>
      </c>
      <c r="I502" s="20">
        <f>23798+12502</f>
        <v>36300</v>
      </c>
      <c r="J502" s="20">
        <v>11845</v>
      </c>
      <c r="K502" s="354">
        <f t="shared" si="83"/>
        <v>32.630853994490359</v>
      </c>
      <c r="L502" s="20"/>
      <c r="M502" s="20"/>
      <c r="N502" s="354"/>
      <c r="O502" s="21">
        <f t="shared" si="84"/>
        <v>36300</v>
      </c>
      <c r="P502" s="21">
        <f t="shared" si="85"/>
        <v>11845</v>
      </c>
      <c r="Q502" s="354">
        <f t="shared" si="86"/>
        <v>32.630853994490359</v>
      </c>
    </row>
    <row r="503" spans="2:17" x14ac:dyDescent="0.2">
      <c r="B503" s="6">
        <f t="shared" si="87"/>
        <v>13</v>
      </c>
      <c r="C503" s="17"/>
      <c r="D503" s="17"/>
      <c r="E503" s="17"/>
      <c r="F503" s="18"/>
      <c r="G503" s="19">
        <v>630</v>
      </c>
      <c r="H503" s="17" t="s">
        <v>662</v>
      </c>
      <c r="I503" s="20">
        <v>1649</v>
      </c>
      <c r="J503" s="20">
        <v>1649</v>
      </c>
      <c r="K503" s="354">
        <f t="shared" si="83"/>
        <v>100</v>
      </c>
      <c r="L503" s="20"/>
      <c r="M503" s="20"/>
      <c r="N503" s="354"/>
      <c r="O503" s="21">
        <f t="shared" si="84"/>
        <v>1649</v>
      </c>
      <c r="P503" s="21">
        <f t="shared" si="85"/>
        <v>1649</v>
      </c>
      <c r="Q503" s="354">
        <f t="shared" si="86"/>
        <v>100</v>
      </c>
    </row>
    <row r="504" spans="2:17" x14ac:dyDescent="0.2">
      <c r="B504" s="6">
        <f t="shared" si="87"/>
        <v>14</v>
      </c>
      <c r="C504" s="12"/>
      <c r="D504" s="12"/>
      <c r="E504" s="12"/>
      <c r="F504" s="13" t="s">
        <v>184</v>
      </c>
      <c r="G504" s="14">
        <v>640</v>
      </c>
      <c r="H504" s="12" t="s">
        <v>126</v>
      </c>
      <c r="I504" s="15">
        <f>11579+480</f>
        <v>12059</v>
      </c>
      <c r="J504" s="15">
        <v>2115</v>
      </c>
      <c r="K504" s="354">
        <f t="shared" si="83"/>
        <v>17.538767725350361</v>
      </c>
      <c r="L504" s="15"/>
      <c r="M504" s="15"/>
      <c r="N504" s="354"/>
      <c r="O504" s="16">
        <f t="shared" si="84"/>
        <v>12059</v>
      </c>
      <c r="P504" s="16">
        <f t="shared" si="85"/>
        <v>2115</v>
      </c>
      <c r="Q504" s="354">
        <f t="shared" si="86"/>
        <v>17.538767725350361</v>
      </c>
    </row>
    <row r="505" spans="2:17" x14ac:dyDescent="0.2">
      <c r="B505" s="6">
        <f t="shared" si="87"/>
        <v>15</v>
      </c>
      <c r="C505" s="12"/>
      <c r="D505" s="12"/>
      <c r="E505" s="12"/>
      <c r="F505" s="13" t="s">
        <v>184</v>
      </c>
      <c r="G505" s="14">
        <v>710</v>
      </c>
      <c r="H505" s="12" t="s">
        <v>172</v>
      </c>
      <c r="I505" s="15"/>
      <c r="J505" s="15"/>
      <c r="K505" s="354"/>
      <c r="L505" s="15">
        <f>L506</f>
        <v>15000</v>
      </c>
      <c r="M505" s="15">
        <f>M506</f>
        <v>14706</v>
      </c>
      <c r="N505" s="354">
        <f>M505/L505*100</f>
        <v>98.04</v>
      </c>
      <c r="O505" s="16">
        <f t="shared" si="84"/>
        <v>15000</v>
      </c>
      <c r="P505" s="16">
        <f t="shared" si="85"/>
        <v>14706</v>
      </c>
      <c r="Q505" s="354">
        <f t="shared" si="86"/>
        <v>98.04</v>
      </c>
    </row>
    <row r="506" spans="2:17" x14ac:dyDescent="0.2">
      <c r="B506" s="6">
        <f t="shared" si="87"/>
        <v>16</v>
      </c>
      <c r="C506" s="17"/>
      <c r="D506" s="17"/>
      <c r="E506" s="17"/>
      <c r="F506" s="18"/>
      <c r="G506" s="19">
        <v>717</v>
      </c>
      <c r="H506" s="17" t="s">
        <v>179</v>
      </c>
      <c r="I506" s="20"/>
      <c r="J506" s="20"/>
      <c r="K506" s="354"/>
      <c r="L506" s="20">
        <f>L507</f>
        <v>15000</v>
      </c>
      <c r="M506" s="20">
        <f>M507</f>
        <v>14706</v>
      </c>
      <c r="N506" s="354">
        <f>M506/L506*100</f>
        <v>98.04</v>
      </c>
      <c r="O506" s="21">
        <f t="shared" si="84"/>
        <v>15000</v>
      </c>
      <c r="P506" s="21">
        <f t="shared" si="85"/>
        <v>14706</v>
      </c>
      <c r="Q506" s="354">
        <f t="shared" si="86"/>
        <v>98.04</v>
      </c>
    </row>
    <row r="507" spans="2:17" x14ac:dyDescent="0.2">
      <c r="B507" s="6">
        <f t="shared" si="87"/>
        <v>17</v>
      </c>
      <c r="C507" s="1"/>
      <c r="D507" s="1"/>
      <c r="E507" s="1"/>
      <c r="F507" s="99"/>
      <c r="G507" s="23"/>
      <c r="H507" s="1" t="s">
        <v>337</v>
      </c>
      <c r="I507" s="24"/>
      <c r="J507" s="24"/>
      <c r="K507" s="354"/>
      <c r="L507" s="24">
        <f>15000</f>
        <v>15000</v>
      </c>
      <c r="M507" s="24">
        <v>14706</v>
      </c>
      <c r="N507" s="354">
        <f>M507/L507*100</f>
        <v>98.04</v>
      </c>
      <c r="O507" s="26">
        <f t="shared" si="84"/>
        <v>15000</v>
      </c>
      <c r="P507" s="26">
        <f t="shared" si="85"/>
        <v>14706</v>
      </c>
      <c r="Q507" s="354">
        <f t="shared" si="86"/>
        <v>98.04</v>
      </c>
    </row>
    <row r="508" spans="2:17" ht="15" x14ac:dyDescent="0.25">
      <c r="B508" s="6">
        <f t="shared" si="87"/>
        <v>18</v>
      </c>
      <c r="C508" s="95"/>
      <c r="D508" s="95"/>
      <c r="E508" s="95">
        <v>4</v>
      </c>
      <c r="F508" s="96"/>
      <c r="G508" s="96"/>
      <c r="H508" s="95" t="s">
        <v>81</v>
      </c>
      <c r="I508" s="97">
        <f>I509+I514+I528+I542+I557+I571+I582+I596+I611+I625+I640+I651+I662+I676+I690+I701</f>
        <v>5656494</v>
      </c>
      <c r="J508" s="97">
        <f>J509+J514+J528+J542+J557+J571+J582+J596+J611+J625+J640+J651+J662+J676+J690+J701</f>
        <v>2359418</v>
      </c>
      <c r="K508" s="354">
        <f t="shared" ref="K508:K524" si="88">J508/I508*100</f>
        <v>41.711668040309071</v>
      </c>
      <c r="L508" s="97">
        <f>L509+L514+L528+L542+L557+L571+L582+L596+L611+L625+L640+L651+L662+L676+L690+L701</f>
        <v>237876</v>
      </c>
      <c r="M508" s="97">
        <f>M509+M514+M528+M542+M557+M571+M582+M596+M611+M625+M640+M651+M662+M676+M690+M701</f>
        <v>51741</v>
      </c>
      <c r="N508" s="354">
        <f>M508/L508*100</f>
        <v>21.751248549664531</v>
      </c>
      <c r="O508" s="98">
        <f t="shared" si="84"/>
        <v>5894370</v>
      </c>
      <c r="P508" s="98">
        <f t="shared" si="85"/>
        <v>2411159</v>
      </c>
      <c r="Q508" s="354">
        <f t="shared" si="86"/>
        <v>40.906135855061692</v>
      </c>
    </row>
    <row r="509" spans="2:17" x14ac:dyDescent="0.2">
      <c r="B509" s="6">
        <f t="shared" si="87"/>
        <v>19</v>
      </c>
      <c r="C509" s="12"/>
      <c r="D509" s="12"/>
      <c r="E509" s="12"/>
      <c r="F509" s="13" t="s">
        <v>184</v>
      </c>
      <c r="G509" s="14">
        <v>630</v>
      </c>
      <c r="H509" s="12" t="s">
        <v>118</v>
      </c>
      <c r="I509" s="15">
        <f>SUM(I510:I513)</f>
        <v>29000</v>
      </c>
      <c r="J509" s="15">
        <f>SUM(J510:J513)</f>
        <v>4458</v>
      </c>
      <c r="K509" s="354">
        <f t="shared" si="88"/>
        <v>15.372413793103448</v>
      </c>
      <c r="L509" s="15"/>
      <c r="M509" s="15"/>
      <c r="N509" s="354"/>
      <c r="O509" s="16">
        <f t="shared" si="84"/>
        <v>29000</v>
      </c>
      <c r="P509" s="16">
        <f t="shared" si="85"/>
        <v>4458</v>
      </c>
      <c r="Q509" s="354">
        <f t="shared" si="86"/>
        <v>15.372413793103448</v>
      </c>
    </row>
    <row r="510" spans="2:17" x14ac:dyDescent="0.2">
      <c r="B510" s="6">
        <f t="shared" si="87"/>
        <v>20</v>
      </c>
      <c r="C510" s="17"/>
      <c r="D510" s="17"/>
      <c r="E510" s="17"/>
      <c r="F510" s="18"/>
      <c r="G510" s="19">
        <v>635</v>
      </c>
      <c r="H510" s="17" t="s">
        <v>130</v>
      </c>
      <c r="I510" s="20">
        <f>20000-5200-6500</f>
        <v>8300</v>
      </c>
      <c r="J510" s="20"/>
      <c r="K510" s="354">
        <f t="shared" si="88"/>
        <v>0</v>
      </c>
      <c r="L510" s="20"/>
      <c r="M510" s="20"/>
      <c r="N510" s="354"/>
      <c r="O510" s="21">
        <f t="shared" si="84"/>
        <v>8300</v>
      </c>
      <c r="P510" s="21">
        <f t="shared" si="85"/>
        <v>0</v>
      </c>
      <c r="Q510" s="354">
        <f t="shared" si="86"/>
        <v>0</v>
      </c>
    </row>
    <row r="511" spans="2:17" x14ac:dyDescent="0.2">
      <c r="B511" s="6">
        <f t="shared" si="87"/>
        <v>21</v>
      </c>
      <c r="C511" s="17"/>
      <c r="D511" s="17"/>
      <c r="E511" s="17"/>
      <c r="F511" s="18"/>
      <c r="G511" s="19">
        <v>637</v>
      </c>
      <c r="H511" s="17" t="s">
        <v>503</v>
      </c>
      <c r="I511" s="20">
        <v>16013</v>
      </c>
      <c r="J511" s="20">
        <v>2086</v>
      </c>
      <c r="K511" s="354">
        <f t="shared" si="88"/>
        <v>13.026915631049771</v>
      </c>
      <c r="L511" s="20"/>
      <c r="M511" s="20"/>
      <c r="N511" s="354"/>
      <c r="O511" s="21">
        <f t="shared" si="84"/>
        <v>16013</v>
      </c>
      <c r="P511" s="21">
        <f t="shared" si="85"/>
        <v>2086</v>
      </c>
      <c r="Q511" s="354">
        <f t="shared" si="86"/>
        <v>13.026915631049771</v>
      </c>
    </row>
    <row r="512" spans="2:17" x14ac:dyDescent="0.2">
      <c r="B512" s="6">
        <f t="shared" si="87"/>
        <v>22</v>
      </c>
      <c r="C512" s="17"/>
      <c r="D512" s="17"/>
      <c r="E512" s="17"/>
      <c r="F512" s="18"/>
      <c r="G512" s="19">
        <v>637</v>
      </c>
      <c r="H512" s="17" t="s">
        <v>422</v>
      </c>
      <c r="I512" s="20">
        <v>2315</v>
      </c>
      <c r="J512" s="20"/>
      <c r="K512" s="354">
        <f t="shared" si="88"/>
        <v>0</v>
      </c>
      <c r="L512" s="20"/>
      <c r="M512" s="20"/>
      <c r="N512" s="354"/>
      <c r="O512" s="21">
        <f t="shared" si="84"/>
        <v>2315</v>
      </c>
      <c r="P512" s="21">
        <f t="shared" si="85"/>
        <v>0</v>
      </c>
      <c r="Q512" s="354">
        <f t="shared" si="86"/>
        <v>0</v>
      </c>
    </row>
    <row r="513" spans="2:17" x14ac:dyDescent="0.2">
      <c r="B513" s="6">
        <f t="shared" si="87"/>
        <v>23</v>
      </c>
      <c r="C513" s="17"/>
      <c r="D513" s="17"/>
      <c r="E513" s="17"/>
      <c r="F513" s="18"/>
      <c r="G513" s="19">
        <v>630</v>
      </c>
      <c r="H513" s="17" t="s">
        <v>662</v>
      </c>
      <c r="I513" s="20">
        <v>2372</v>
      </c>
      <c r="J513" s="20">
        <v>2372</v>
      </c>
      <c r="K513" s="354">
        <f t="shared" si="88"/>
        <v>100</v>
      </c>
      <c r="L513" s="20"/>
      <c r="M513" s="20"/>
      <c r="N513" s="354"/>
      <c r="O513" s="21">
        <f t="shared" si="84"/>
        <v>2372</v>
      </c>
      <c r="P513" s="21">
        <f t="shared" si="85"/>
        <v>2372</v>
      </c>
      <c r="Q513" s="354">
        <f t="shared" si="86"/>
        <v>100</v>
      </c>
    </row>
    <row r="514" spans="2:17" x14ac:dyDescent="0.2">
      <c r="B514" s="6">
        <f t="shared" si="87"/>
        <v>24</v>
      </c>
      <c r="C514" s="105"/>
      <c r="D514" s="105"/>
      <c r="E514" s="105" t="s">
        <v>89</v>
      </c>
      <c r="F514" s="106"/>
      <c r="G514" s="106"/>
      <c r="H514" s="105" t="s">
        <v>65</v>
      </c>
      <c r="I514" s="107">
        <f>I515+I516+I517+I524</f>
        <v>274206</v>
      </c>
      <c r="J514" s="107">
        <f>J515+J516+J517+J524</f>
        <v>112126</v>
      </c>
      <c r="K514" s="354">
        <f t="shared" si="88"/>
        <v>40.89115482520441</v>
      </c>
      <c r="L514" s="107">
        <f>L525</f>
        <v>4144</v>
      </c>
      <c r="M514" s="107">
        <f>M525</f>
        <v>0</v>
      </c>
      <c r="N514" s="354">
        <f>M514/L514*100</f>
        <v>0</v>
      </c>
      <c r="O514" s="108">
        <f t="shared" si="84"/>
        <v>278350</v>
      </c>
      <c r="P514" s="108">
        <f t="shared" si="85"/>
        <v>112126</v>
      </c>
      <c r="Q514" s="354">
        <f t="shared" si="86"/>
        <v>40.282378300700557</v>
      </c>
    </row>
    <row r="515" spans="2:17" x14ac:dyDescent="0.2">
      <c r="B515" s="6">
        <f t="shared" si="87"/>
        <v>25</v>
      </c>
      <c r="C515" s="12"/>
      <c r="D515" s="12"/>
      <c r="E515" s="12"/>
      <c r="F515" s="13" t="s">
        <v>184</v>
      </c>
      <c r="G515" s="14">
        <v>610</v>
      </c>
      <c r="H515" s="12" t="s">
        <v>128</v>
      </c>
      <c r="I515" s="15">
        <f>164812-11773+13204-12081+1900</f>
        <v>156062</v>
      </c>
      <c r="J515" s="15">
        <v>65749</v>
      </c>
      <c r="K515" s="354">
        <f t="shared" si="88"/>
        <v>42.130050877215467</v>
      </c>
      <c r="L515" s="15"/>
      <c r="M515" s="15"/>
      <c r="N515" s="354"/>
      <c r="O515" s="16">
        <f t="shared" si="84"/>
        <v>156062</v>
      </c>
      <c r="P515" s="16">
        <f t="shared" si="85"/>
        <v>65749</v>
      </c>
      <c r="Q515" s="354">
        <f t="shared" si="86"/>
        <v>42.130050877215467</v>
      </c>
    </row>
    <row r="516" spans="2:17" x14ac:dyDescent="0.2">
      <c r="B516" s="6">
        <f t="shared" si="87"/>
        <v>26</v>
      </c>
      <c r="C516" s="12"/>
      <c r="D516" s="12"/>
      <c r="E516" s="12"/>
      <c r="F516" s="13" t="s">
        <v>184</v>
      </c>
      <c r="G516" s="14">
        <v>620</v>
      </c>
      <c r="H516" s="12" t="s">
        <v>121</v>
      </c>
      <c r="I516" s="15">
        <f>62677-4468+4880-4585+683</f>
        <v>59187</v>
      </c>
      <c r="J516" s="15">
        <v>23790</v>
      </c>
      <c r="K516" s="354">
        <f t="shared" si="88"/>
        <v>40.194637335901469</v>
      </c>
      <c r="L516" s="15"/>
      <c r="M516" s="15"/>
      <c r="N516" s="354"/>
      <c r="O516" s="16">
        <f t="shared" si="84"/>
        <v>59187</v>
      </c>
      <c r="P516" s="16">
        <f t="shared" si="85"/>
        <v>23790</v>
      </c>
      <c r="Q516" s="354">
        <f t="shared" si="86"/>
        <v>40.194637335901469</v>
      </c>
    </row>
    <row r="517" spans="2:17" x14ac:dyDescent="0.2">
      <c r="B517" s="6">
        <f t="shared" si="87"/>
        <v>27</v>
      </c>
      <c r="C517" s="12"/>
      <c r="D517" s="12"/>
      <c r="E517" s="12"/>
      <c r="F517" s="13" t="s">
        <v>184</v>
      </c>
      <c r="G517" s="14">
        <v>630</v>
      </c>
      <c r="H517" s="12" t="s">
        <v>118</v>
      </c>
      <c r="I517" s="15">
        <f>SUM(I518:I523)</f>
        <v>57486</v>
      </c>
      <c r="J517" s="15">
        <f>SUM(J518:J523)</f>
        <v>22352</v>
      </c>
      <c r="K517" s="354">
        <f t="shared" si="88"/>
        <v>38.882510524301566</v>
      </c>
      <c r="L517" s="15"/>
      <c r="M517" s="15"/>
      <c r="N517" s="354"/>
      <c r="O517" s="16">
        <f t="shared" si="84"/>
        <v>57486</v>
      </c>
      <c r="P517" s="16">
        <f t="shared" si="85"/>
        <v>22352</v>
      </c>
      <c r="Q517" s="354">
        <f t="shared" si="86"/>
        <v>38.882510524301566</v>
      </c>
    </row>
    <row r="518" spans="2:17" x14ac:dyDescent="0.2">
      <c r="B518" s="6">
        <f t="shared" si="87"/>
        <v>28</v>
      </c>
      <c r="C518" s="17"/>
      <c r="D518" s="17"/>
      <c r="E518" s="17"/>
      <c r="F518" s="18"/>
      <c r="G518" s="19">
        <v>632</v>
      </c>
      <c r="H518" s="17" t="s">
        <v>131</v>
      </c>
      <c r="I518" s="20">
        <f>22095-5956</f>
        <v>16139</v>
      </c>
      <c r="J518" s="20">
        <v>8859</v>
      </c>
      <c r="K518" s="354">
        <f t="shared" si="88"/>
        <v>54.891876820125162</v>
      </c>
      <c r="L518" s="20"/>
      <c r="M518" s="20"/>
      <c r="N518" s="354"/>
      <c r="O518" s="21">
        <f t="shared" si="84"/>
        <v>16139</v>
      </c>
      <c r="P518" s="21">
        <f t="shared" si="85"/>
        <v>8859</v>
      </c>
      <c r="Q518" s="354">
        <f t="shared" si="86"/>
        <v>54.891876820125162</v>
      </c>
    </row>
    <row r="519" spans="2:17" x14ac:dyDescent="0.2">
      <c r="B519" s="6">
        <f t="shared" si="87"/>
        <v>29</v>
      </c>
      <c r="C519" s="17"/>
      <c r="D519" s="17"/>
      <c r="E519" s="17"/>
      <c r="F519" s="18"/>
      <c r="G519" s="19">
        <v>633</v>
      </c>
      <c r="H519" s="17" t="s">
        <v>122</v>
      </c>
      <c r="I519" s="20">
        <f>20515+177</f>
        <v>20692</v>
      </c>
      <c r="J519" s="20">
        <v>7025</v>
      </c>
      <c r="K519" s="354">
        <f t="shared" si="88"/>
        <v>33.950318963850762</v>
      </c>
      <c r="L519" s="20"/>
      <c r="M519" s="20"/>
      <c r="N519" s="354"/>
      <c r="O519" s="21">
        <f t="shared" si="84"/>
        <v>20692</v>
      </c>
      <c r="P519" s="21">
        <f t="shared" si="85"/>
        <v>7025</v>
      </c>
      <c r="Q519" s="354">
        <f t="shared" si="86"/>
        <v>33.950318963850762</v>
      </c>
    </row>
    <row r="520" spans="2:17" x14ac:dyDescent="0.2">
      <c r="B520" s="6">
        <f t="shared" si="87"/>
        <v>30</v>
      </c>
      <c r="C520" s="17"/>
      <c r="D520" s="17"/>
      <c r="E520" s="17"/>
      <c r="F520" s="18"/>
      <c r="G520" s="19">
        <v>634</v>
      </c>
      <c r="H520" s="17" t="s">
        <v>129</v>
      </c>
      <c r="I520" s="20">
        <f>300+183+70</f>
        <v>553</v>
      </c>
      <c r="J520" s="20">
        <v>52</v>
      </c>
      <c r="K520" s="354">
        <f t="shared" si="88"/>
        <v>9.4032549728752262</v>
      </c>
      <c r="L520" s="20"/>
      <c r="M520" s="20"/>
      <c r="N520" s="354"/>
      <c r="O520" s="21">
        <f t="shared" si="84"/>
        <v>553</v>
      </c>
      <c r="P520" s="21">
        <f t="shared" si="85"/>
        <v>52</v>
      </c>
      <c r="Q520" s="354">
        <f t="shared" si="86"/>
        <v>9.4032549728752262</v>
      </c>
    </row>
    <row r="521" spans="2:17" x14ac:dyDescent="0.2">
      <c r="B521" s="6">
        <f t="shared" si="87"/>
        <v>31</v>
      </c>
      <c r="C521" s="17"/>
      <c r="D521" s="17"/>
      <c r="E521" s="17"/>
      <c r="F521" s="18"/>
      <c r="G521" s="19">
        <v>635</v>
      </c>
      <c r="H521" s="17" t="s">
        <v>130</v>
      </c>
      <c r="I521" s="20">
        <f>5580+1408</f>
        <v>6988</v>
      </c>
      <c r="J521" s="20">
        <v>787</v>
      </c>
      <c r="K521" s="354">
        <f t="shared" si="88"/>
        <v>11.262163709215798</v>
      </c>
      <c r="L521" s="20"/>
      <c r="M521" s="20"/>
      <c r="N521" s="354"/>
      <c r="O521" s="21">
        <f t="shared" si="84"/>
        <v>6988</v>
      </c>
      <c r="P521" s="21">
        <f t="shared" si="85"/>
        <v>787</v>
      </c>
      <c r="Q521" s="354">
        <f t="shared" si="86"/>
        <v>11.262163709215798</v>
      </c>
    </row>
    <row r="522" spans="2:17" x14ac:dyDescent="0.2">
      <c r="B522" s="6">
        <f t="shared" si="87"/>
        <v>32</v>
      </c>
      <c r="C522" s="17"/>
      <c r="D522" s="17"/>
      <c r="E522" s="17"/>
      <c r="F522" s="18"/>
      <c r="G522" s="19">
        <v>636</v>
      </c>
      <c r="H522" s="17" t="s">
        <v>123</v>
      </c>
      <c r="I522" s="20">
        <v>275</v>
      </c>
      <c r="J522" s="20">
        <v>51</v>
      </c>
      <c r="K522" s="354">
        <f t="shared" si="88"/>
        <v>18.545454545454547</v>
      </c>
      <c r="L522" s="20"/>
      <c r="M522" s="20"/>
      <c r="N522" s="354"/>
      <c r="O522" s="21">
        <f t="shared" si="84"/>
        <v>275</v>
      </c>
      <c r="P522" s="21">
        <f t="shared" si="85"/>
        <v>51</v>
      </c>
      <c r="Q522" s="354">
        <f t="shared" si="86"/>
        <v>18.545454545454547</v>
      </c>
    </row>
    <row r="523" spans="2:17" x14ac:dyDescent="0.2">
      <c r="B523" s="6">
        <f t="shared" si="87"/>
        <v>33</v>
      </c>
      <c r="C523" s="17"/>
      <c r="D523" s="17"/>
      <c r="E523" s="17"/>
      <c r="F523" s="18"/>
      <c r="G523" s="19">
        <v>637</v>
      </c>
      <c r="H523" s="17" t="s">
        <v>119</v>
      </c>
      <c r="I523" s="20">
        <f>8210+4699-70</f>
        <v>12839</v>
      </c>
      <c r="J523" s="20">
        <v>5578</v>
      </c>
      <c r="K523" s="354">
        <f t="shared" si="88"/>
        <v>43.445751226731055</v>
      </c>
      <c r="L523" s="20"/>
      <c r="M523" s="20"/>
      <c r="N523" s="354"/>
      <c r="O523" s="21">
        <f t="shared" si="84"/>
        <v>12839</v>
      </c>
      <c r="P523" s="21">
        <f t="shared" si="85"/>
        <v>5578</v>
      </c>
      <c r="Q523" s="354">
        <f t="shared" si="86"/>
        <v>43.445751226731055</v>
      </c>
    </row>
    <row r="524" spans="2:17" x14ac:dyDescent="0.2">
      <c r="B524" s="6">
        <f t="shared" si="87"/>
        <v>34</v>
      </c>
      <c r="C524" s="12"/>
      <c r="D524" s="12"/>
      <c r="E524" s="12"/>
      <c r="F524" s="13"/>
      <c r="G524" s="14">
        <v>640</v>
      </c>
      <c r="H524" s="12" t="s">
        <v>126</v>
      </c>
      <c r="I524" s="15">
        <f>1284+187</f>
        <v>1471</v>
      </c>
      <c r="J524" s="15">
        <v>235</v>
      </c>
      <c r="K524" s="354">
        <f t="shared" si="88"/>
        <v>15.975526852481305</v>
      </c>
      <c r="L524" s="15"/>
      <c r="M524" s="15"/>
      <c r="N524" s="354"/>
      <c r="O524" s="16">
        <f t="shared" si="84"/>
        <v>1471</v>
      </c>
      <c r="P524" s="16">
        <f t="shared" si="85"/>
        <v>235</v>
      </c>
      <c r="Q524" s="354">
        <f t="shared" si="86"/>
        <v>15.975526852481305</v>
      </c>
    </row>
    <row r="525" spans="2:17" x14ac:dyDescent="0.2">
      <c r="B525" s="6">
        <f t="shared" si="87"/>
        <v>35</v>
      </c>
      <c r="C525" s="12"/>
      <c r="D525" s="12"/>
      <c r="E525" s="12"/>
      <c r="F525" s="13" t="s">
        <v>184</v>
      </c>
      <c r="G525" s="14">
        <v>710</v>
      </c>
      <c r="H525" s="12" t="s">
        <v>172</v>
      </c>
      <c r="I525" s="15"/>
      <c r="J525" s="15"/>
      <c r="K525" s="354"/>
      <c r="L525" s="15">
        <f>L526</f>
        <v>4144</v>
      </c>
      <c r="M525" s="15">
        <f>M526</f>
        <v>0</v>
      </c>
      <c r="N525" s="354">
        <f>M525/L525*100</f>
        <v>0</v>
      </c>
      <c r="O525" s="16">
        <f t="shared" si="84"/>
        <v>4144</v>
      </c>
      <c r="P525" s="16">
        <f t="shared" si="85"/>
        <v>0</v>
      </c>
      <c r="Q525" s="354">
        <f t="shared" si="86"/>
        <v>0</v>
      </c>
    </row>
    <row r="526" spans="2:17" x14ac:dyDescent="0.2">
      <c r="B526" s="6">
        <f t="shared" si="87"/>
        <v>36</v>
      </c>
      <c r="C526" s="17"/>
      <c r="D526" s="17"/>
      <c r="E526" s="17"/>
      <c r="F526" s="18"/>
      <c r="G526" s="19">
        <v>717</v>
      </c>
      <c r="H526" s="17" t="s">
        <v>179</v>
      </c>
      <c r="I526" s="20"/>
      <c r="J526" s="20"/>
      <c r="K526" s="354"/>
      <c r="L526" s="20">
        <f>SUM(L527:L527)</f>
        <v>4144</v>
      </c>
      <c r="M526" s="20">
        <f>SUM(M527:M527)</f>
        <v>0</v>
      </c>
      <c r="N526" s="354">
        <f>M526/L526*100</f>
        <v>0</v>
      </c>
      <c r="O526" s="21">
        <f t="shared" si="84"/>
        <v>4144</v>
      </c>
      <c r="P526" s="21">
        <f t="shared" si="85"/>
        <v>0</v>
      </c>
      <c r="Q526" s="354">
        <f t="shared" si="86"/>
        <v>0</v>
      </c>
    </row>
    <row r="527" spans="2:17" x14ac:dyDescent="0.2">
      <c r="B527" s="6">
        <f t="shared" si="87"/>
        <v>37</v>
      </c>
      <c r="C527" s="1"/>
      <c r="D527" s="1"/>
      <c r="E527" s="1"/>
      <c r="F527" s="99"/>
      <c r="G527" s="23"/>
      <c r="H527" s="1" t="s">
        <v>596</v>
      </c>
      <c r="I527" s="24"/>
      <c r="J527" s="24"/>
      <c r="K527" s="354"/>
      <c r="L527" s="24">
        <v>4144</v>
      </c>
      <c r="M527" s="24">
        <v>0</v>
      </c>
      <c r="N527" s="354">
        <f>M527/L527*100</f>
        <v>0</v>
      </c>
      <c r="O527" s="26">
        <f t="shared" si="84"/>
        <v>4144</v>
      </c>
      <c r="P527" s="26">
        <f t="shared" si="85"/>
        <v>0</v>
      </c>
      <c r="Q527" s="354">
        <f t="shared" si="86"/>
        <v>0</v>
      </c>
    </row>
    <row r="528" spans="2:17" x14ac:dyDescent="0.2">
      <c r="B528" s="6">
        <f t="shared" si="87"/>
        <v>38</v>
      </c>
      <c r="C528" s="105"/>
      <c r="D528" s="105"/>
      <c r="E528" s="105" t="s">
        <v>88</v>
      </c>
      <c r="F528" s="106"/>
      <c r="G528" s="106"/>
      <c r="H528" s="105" t="s">
        <v>223</v>
      </c>
      <c r="I528" s="107">
        <f>I529+I530+I531+I538</f>
        <v>501779</v>
      </c>
      <c r="J528" s="107">
        <f>J529+J530+J531+J538</f>
        <v>237011</v>
      </c>
      <c r="K528" s="354">
        <f t="shared" ref="K528:K538" si="89">J528/I528*100</f>
        <v>47.234140926583216</v>
      </c>
      <c r="L528" s="107">
        <f>L539</f>
        <v>20000</v>
      </c>
      <c r="M528" s="107">
        <f>M539</f>
        <v>0</v>
      </c>
      <c r="N528" s="354">
        <f>M528/L528*100</f>
        <v>0</v>
      </c>
      <c r="O528" s="108">
        <f t="shared" si="84"/>
        <v>521779</v>
      </c>
      <c r="P528" s="108">
        <f t="shared" si="85"/>
        <v>237011</v>
      </c>
      <c r="Q528" s="354">
        <f t="shared" si="86"/>
        <v>45.423637210389842</v>
      </c>
    </row>
    <row r="529" spans="2:17" x14ac:dyDescent="0.2">
      <c r="B529" s="6">
        <f t="shared" si="87"/>
        <v>39</v>
      </c>
      <c r="C529" s="12"/>
      <c r="D529" s="12"/>
      <c r="E529" s="12"/>
      <c r="F529" s="13" t="s">
        <v>184</v>
      </c>
      <c r="G529" s="14">
        <v>610</v>
      </c>
      <c r="H529" s="12" t="s">
        <v>128</v>
      </c>
      <c r="I529" s="15">
        <f>269591-19257+37916+100+633</f>
        <v>288983</v>
      </c>
      <c r="J529" s="15">
        <v>134810</v>
      </c>
      <c r="K529" s="354">
        <f t="shared" si="89"/>
        <v>46.649802929584098</v>
      </c>
      <c r="L529" s="15"/>
      <c r="M529" s="15"/>
      <c r="N529" s="354"/>
      <c r="O529" s="16">
        <f t="shared" si="84"/>
        <v>288983</v>
      </c>
      <c r="P529" s="16">
        <f t="shared" si="85"/>
        <v>134810</v>
      </c>
      <c r="Q529" s="354">
        <f t="shared" si="86"/>
        <v>46.649802929584098</v>
      </c>
    </row>
    <row r="530" spans="2:17" x14ac:dyDescent="0.2">
      <c r="B530" s="6">
        <f t="shared" si="87"/>
        <v>40</v>
      </c>
      <c r="C530" s="12"/>
      <c r="D530" s="12"/>
      <c r="E530" s="12"/>
      <c r="F530" s="13" t="s">
        <v>184</v>
      </c>
      <c r="G530" s="14">
        <v>620</v>
      </c>
      <c r="H530" s="12" t="s">
        <v>121</v>
      </c>
      <c r="I530" s="15">
        <f>103116-7308+13283+35+228</f>
        <v>109354</v>
      </c>
      <c r="J530" s="15">
        <v>49639</v>
      </c>
      <c r="K530" s="354">
        <f t="shared" si="89"/>
        <v>45.392944016679778</v>
      </c>
      <c r="L530" s="15"/>
      <c r="M530" s="15"/>
      <c r="N530" s="354"/>
      <c r="O530" s="16">
        <f t="shared" si="84"/>
        <v>109354</v>
      </c>
      <c r="P530" s="16">
        <f t="shared" si="85"/>
        <v>49639</v>
      </c>
      <c r="Q530" s="354">
        <f t="shared" si="86"/>
        <v>45.392944016679778</v>
      </c>
    </row>
    <row r="531" spans="2:17" x14ac:dyDescent="0.2">
      <c r="B531" s="6">
        <f t="shared" si="87"/>
        <v>41</v>
      </c>
      <c r="C531" s="12"/>
      <c r="D531" s="12"/>
      <c r="E531" s="12"/>
      <c r="F531" s="13" t="s">
        <v>184</v>
      </c>
      <c r="G531" s="14">
        <v>630</v>
      </c>
      <c r="H531" s="12" t="s">
        <v>118</v>
      </c>
      <c r="I531" s="15">
        <f>SUM(I532:I537)</f>
        <v>99173</v>
      </c>
      <c r="J531" s="15">
        <f>SUM(J532:J537)</f>
        <v>51975</v>
      </c>
      <c r="K531" s="354">
        <f t="shared" si="89"/>
        <v>52.408417613665016</v>
      </c>
      <c r="L531" s="15"/>
      <c r="M531" s="15"/>
      <c r="N531" s="354"/>
      <c r="O531" s="16">
        <f t="shared" si="84"/>
        <v>99173</v>
      </c>
      <c r="P531" s="16">
        <f t="shared" si="85"/>
        <v>51975</v>
      </c>
      <c r="Q531" s="354">
        <f t="shared" si="86"/>
        <v>52.408417613665016</v>
      </c>
    </row>
    <row r="532" spans="2:17" x14ac:dyDescent="0.2">
      <c r="B532" s="6">
        <f t="shared" si="87"/>
        <v>42</v>
      </c>
      <c r="C532" s="17"/>
      <c r="D532" s="17"/>
      <c r="E532" s="17"/>
      <c r="F532" s="18"/>
      <c r="G532" s="19">
        <v>632</v>
      </c>
      <c r="H532" s="17" t="s">
        <v>131</v>
      </c>
      <c r="I532" s="20">
        <f>51626-15423</f>
        <v>36203</v>
      </c>
      <c r="J532" s="20">
        <v>20256</v>
      </c>
      <c r="K532" s="354">
        <f t="shared" si="89"/>
        <v>55.951164268154571</v>
      </c>
      <c r="L532" s="20"/>
      <c r="M532" s="20"/>
      <c r="N532" s="354"/>
      <c r="O532" s="21">
        <f t="shared" si="84"/>
        <v>36203</v>
      </c>
      <c r="P532" s="21">
        <f t="shared" si="85"/>
        <v>20256</v>
      </c>
      <c r="Q532" s="354">
        <f t="shared" si="86"/>
        <v>55.951164268154571</v>
      </c>
    </row>
    <row r="533" spans="2:17" x14ac:dyDescent="0.2">
      <c r="B533" s="6">
        <f t="shared" si="87"/>
        <v>43</v>
      </c>
      <c r="C533" s="17"/>
      <c r="D533" s="17"/>
      <c r="E533" s="17"/>
      <c r="F533" s="18"/>
      <c r="G533" s="19">
        <v>633</v>
      </c>
      <c r="H533" s="17" t="s">
        <v>122</v>
      </c>
      <c r="I533" s="20">
        <f>31376+2160-3000</f>
        <v>30536</v>
      </c>
      <c r="J533" s="20">
        <v>18507</v>
      </c>
      <c r="K533" s="354">
        <f t="shared" si="89"/>
        <v>60.607152213780459</v>
      </c>
      <c r="L533" s="20"/>
      <c r="M533" s="20"/>
      <c r="N533" s="354"/>
      <c r="O533" s="21">
        <f t="shared" si="84"/>
        <v>30536</v>
      </c>
      <c r="P533" s="21">
        <f t="shared" si="85"/>
        <v>18507</v>
      </c>
      <c r="Q533" s="354">
        <f t="shared" si="86"/>
        <v>60.607152213780459</v>
      </c>
    </row>
    <row r="534" spans="2:17" x14ac:dyDescent="0.2">
      <c r="B534" s="6">
        <f t="shared" si="87"/>
        <v>44</v>
      </c>
      <c r="C534" s="17"/>
      <c r="D534" s="17"/>
      <c r="E534" s="17"/>
      <c r="F534" s="18"/>
      <c r="G534" s="19">
        <v>634</v>
      </c>
      <c r="H534" s="17" t="s">
        <v>129</v>
      </c>
      <c r="I534" s="20">
        <f>200+329+200</f>
        <v>729</v>
      </c>
      <c r="J534" s="20">
        <v>360</v>
      </c>
      <c r="K534" s="354">
        <f t="shared" si="89"/>
        <v>49.382716049382715</v>
      </c>
      <c r="L534" s="20"/>
      <c r="M534" s="20"/>
      <c r="N534" s="354"/>
      <c r="O534" s="21">
        <f t="shared" si="84"/>
        <v>729</v>
      </c>
      <c r="P534" s="21">
        <f t="shared" si="85"/>
        <v>360</v>
      </c>
      <c r="Q534" s="354">
        <f t="shared" si="86"/>
        <v>49.382716049382715</v>
      </c>
    </row>
    <row r="535" spans="2:17" x14ac:dyDescent="0.2">
      <c r="B535" s="6">
        <f t="shared" si="87"/>
        <v>45</v>
      </c>
      <c r="C535" s="17"/>
      <c r="D535" s="17"/>
      <c r="E535" s="17"/>
      <c r="F535" s="18"/>
      <c r="G535" s="19">
        <v>635</v>
      </c>
      <c r="H535" s="17" t="s">
        <v>130</v>
      </c>
      <c r="I535" s="20">
        <f>4000+6241+3000</f>
        <v>13241</v>
      </c>
      <c r="J535" s="20">
        <v>4752</v>
      </c>
      <c r="K535" s="354">
        <f t="shared" si="89"/>
        <v>35.888528056793298</v>
      </c>
      <c r="L535" s="20"/>
      <c r="M535" s="20"/>
      <c r="N535" s="354"/>
      <c r="O535" s="21">
        <f t="shared" si="84"/>
        <v>13241</v>
      </c>
      <c r="P535" s="21">
        <f t="shared" si="85"/>
        <v>4752</v>
      </c>
      <c r="Q535" s="354">
        <f t="shared" si="86"/>
        <v>35.888528056793298</v>
      </c>
    </row>
    <row r="536" spans="2:17" x14ac:dyDescent="0.2">
      <c r="B536" s="6">
        <f t="shared" si="87"/>
        <v>46</v>
      </c>
      <c r="C536" s="17"/>
      <c r="D536" s="17"/>
      <c r="E536" s="17"/>
      <c r="F536" s="18"/>
      <c r="G536" s="19">
        <v>636</v>
      </c>
      <c r="H536" s="17" t="s">
        <v>123</v>
      </c>
      <c r="I536" s="20">
        <v>493</v>
      </c>
      <c r="J536" s="20">
        <v>92</v>
      </c>
      <c r="K536" s="354">
        <f t="shared" si="89"/>
        <v>18.661257606490871</v>
      </c>
      <c r="L536" s="20"/>
      <c r="M536" s="20"/>
      <c r="N536" s="354"/>
      <c r="O536" s="21">
        <f t="shared" si="84"/>
        <v>493</v>
      </c>
      <c r="P536" s="21">
        <f t="shared" si="85"/>
        <v>92</v>
      </c>
      <c r="Q536" s="354">
        <f t="shared" si="86"/>
        <v>18.661257606490871</v>
      </c>
    </row>
    <row r="537" spans="2:17" x14ac:dyDescent="0.2">
      <c r="B537" s="6">
        <f t="shared" si="87"/>
        <v>47</v>
      </c>
      <c r="C537" s="17"/>
      <c r="D537" s="17"/>
      <c r="E537" s="17"/>
      <c r="F537" s="18"/>
      <c r="G537" s="19">
        <v>637</v>
      </c>
      <c r="H537" s="17" t="s">
        <v>119</v>
      </c>
      <c r="I537" s="20">
        <f>10080+8091-200</f>
        <v>17971</v>
      </c>
      <c r="J537" s="20">
        <v>8008</v>
      </c>
      <c r="K537" s="354">
        <f t="shared" si="89"/>
        <v>44.560681097323467</v>
      </c>
      <c r="L537" s="20"/>
      <c r="M537" s="20"/>
      <c r="N537" s="354"/>
      <c r="O537" s="21">
        <f t="shared" si="84"/>
        <v>17971</v>
      </c>
      <c r="P537" s="21">
        <f t="shared" si="85"/>
        <v>8008</v>
      </c>
      <c r="Q537" s="354">
        <f t="shared" si="86"/>
        <v>44.560681097323467</v>
      </c>
    </row>
    <row r="538" spans="2:17" x14ac:dyDescent="0.2">
      <c r="B538" s="6">
        <f t="shared" si="87"/>
        <v>48</v>
      </c>
      <c r="C538" s="12"/>
      <c r="D538" s="12"/>
      <c r="E538" s="12"/>
      <c r="F538" s="13" t="s">
        <v>184</v>
      </c>
      <c r="G538" s="14">
        <v>640</v>
      </c>
      <c r="H538" s="12" t="s">
        <v>126</v>
      </c>
      <c r="I538" s="15">
        <f>3933+336</f>
        <v>4269</v>
      </c>
      <c r="J538" s="15">
        <v>587</v>
      </c>
      <c r="K538" s="354">
        <f t="shared" si="89"/>
        <v>13.750292808620285</v>
      </c>
      <c r="L538" s="15"/>
      <c r="M538" s="15"/>
      <c r="N538" s="354"/>
      <c r="O538" s="16">
        <f t="shared" si="84"/>
        <v>4269</v>
      </c>
      <c r="P538" s="16">
        <f t="shared" si="85"/>
        <v>587</v>
      </c>
      <c r="Q538" s="354">
        <f t="shared" si="86"/>
        <v>13.750292808620285</v>
      </c>
    </row>
    <row r="539" spans="2:17" x14ac:dyDescent="0.2">
      <c r="B539" s="6">
        <f t="shared" si="87"/>
        <v>49</v>
      </c>
      <c r="C539" s="12"/>
      <c r="D539" s="12"/>
      <c r="E539" s="12"/>
      <c r="F539" s="13" t="s">
        <v>184</v>
      </c>
      <c r="G539" s="14">
        <v>710</v>
      </c>
      <c r="H539" s="12" t="s">
        <v>172</v>
      </c>
      <c r="I539" s="15"/>
      <c r="J539" s="15"/>
      <c r="K539" s="354"/>
      <c r="L539" s="15">
        <f>L540</f>
        <v>20000</v>
      </c>
      <c r="M539" s="15">
        <f>M540</f>
        <v>0</v>
      </c>
      <c r="N539" s="354">
        <f>M539/L539*100</f>
        <v>0</v>
      </c>
      <c r="O539" s="16">
        <f t="shared" si="84"/>
        <v>20000</v>
      </c>
      <c r="P539" s="16">
        <f t="shared" si="85"/>
        <v>0</v>
      </c>
      <c r="Q539" s="354">
        <f t="shared" si="86"/>
        <v>0</v>
      </c>
    </row>
    <row r="540" spans="2:17" x14ac:dyDescent="0.2">
      <c r="B540" s="6">
        <f t="shared" si="87"/>
        <v>50</v>
      </c>
      <c r="C540" s="17"/>
      <c r="D540" s="17"/>
      <c r="E540" s="17"/>
      <c r="F540" s="18"/>
      <c r="G540" s="19">
        <v>717</v>
      </c>
      <c r="H540" s="17" t="s">
        <v>179</v>
      </c>
      <c r="I540" s="20"/>
      <c r="J540" s="20"/>
      <c r="K540" s="354"/>
      <c r="L540" s="20">
        <f>L541</f>
        <v>20000</v>
      </c>
      <c r="M540" s="20">
        <f>M541</f>
        <v>0</v>
      </c>
      <c r="N540" s="354">
        <f>M540/L540*100</f>
        <v>0</v>
      </c>
      <c r="O540" s="21">
        <f t="shared" si="84"/>
        <v>20000</v>
      </c>
      <c r="P540" s="21">
        <f t="shared" si="85"/>
        <v>0</v>
      </c>
      <c r="Q540" s="354">
        <f t="shared" si="86"/>
        <v>0</v>
      </c>
    </row>
    <row r="541" spans="2:17" ht="36" x14ac:dyDescent="0.2">
      <c r="B541" s="6">
        <f t="shared" si="87"/>
        <v>51</v>
      </c>
      <c r="C541" s="59"/>
      <c r="D541" s="59"/>
      <c r="E541" s="59"/>
      <c r="F541" s="300"/>
      <c r="G541" s="33"/>
      <c r="H541" s="34" t="s">
        <v>613</v>
      </c>
      <c r="I541" s="35"/>
      <c r="J541" s="35"/>
      <c r="K541" s="354"/>
      <c r="L541" s="35">
        <v>20000</v>
      </c>
      <c r="M541" s="35"/>
      <c r="N541" s="354">
        <f>M541/L541*100</f>
        <v>0</v>
      </c>
      <c r="O541" s="37">
        <f t="shared" si="84"/>
        <v>20000</v>
      </c>
      <c r="P541" s="37">
        <f t="shared" si="85"/>
        <v>0</v>
      </c>
      <c r="Q541" s="354">
        <f t="shared" si="86"/>
        <v>0</v>
      </c>
    </row>
    <row r="542" spans="2:17" x14ac:dyDescent="0.2">
      <c r="B542" s="6">
        <f t="shared" si="87"/>
        <v>52</v>
      </c>
      <c r="C542" s="105"/>
      <c r="D542" s="105"/>
      <c r="E542" s="105" t="s">
        <v>84</v>
      </c>
      <c r="F542" s="106"/>
      <c r="G542" s="106"/>
      <c r="H542" s="105" t="s">
        <v>64</v>
      </c>
      <c r="I542" s="107">
        <f>I543+I544+I545+I552</f>
        <v>278272</v>
      </c>
      <c r="J542" s="107">
        <f>J543+J544+J545+J552</f>
        <v>109796</v>
      </c>
      <c r="K542" s="354">
        <f t="shared" ref="K542:K552" si="90">J542/I542*100</f>
        <v>39.456359245630175</v>
      </c>
      <c r="L542" s="107">
        <f>L553</f>
        <v>25482</v>
      </c>
      <c r="M542" s="107">
        <f>M553</f>
        <v>0</v>
      </c>
      <c r="N542" s="354">
        <f>M542/L542*100</f>
        <v>0</v>
      </c>
      <c r="O542" s="108">
        <f t="shared" si="84"/>
        <v>303754</v>
      </c>
      <c r="P542" s="108">
        <f t="shared" si="85"/>
        <v>109796</v>
      </c>
      <c r="Q542" s="354">
        <f t="shared" si="86"/>
        <v>36.146355274333835</v>
      </c>
    </row>
    <row r="543" spans="2:17" x14ac:dyDescent="0.2">
      <c r="B543" s="6">
        <f t="shared" si="87"/>
        <v>53</v>
      </c>
      <c r="C543" s="12"/>
      <c r="D543" s="12"/>
      <c r="E543" s="12"/>
      <c r="F543" s="13" t="s">
        <v>184</v>
      </c>
      <c r="G543" s="14">
        <v>610</v>
      </c>
      <c r="H543" s="12" t="s">
        <v>128</v>
      </c>
      <c r="I543" s="15">
        <f>157451-11247+4875</f>
        <v>151079</v>
      </c>
      <c r="J543" s="15">
        <v>66094</v>
      </c>
      <c r="K543" s="354">
        <f t="shared" si="90"/>
        <v>43.747972914832637</v>
      </c>
      <c r="L543" s="15"/>
      <c r="M543" s="15"/>
      <c r="N543" s="354"/>
      <c r="O543" s="16">
        <f t="shared" si="84"/>
        <v>151079</v>
      </c>
      <c r="P543" s="16">
        <f t="shared" si="85"/>
        <v>66094</v>
      </c>
      <c r="Q543" s="354">
        <f t="shared" si="86"/>
        <v>43.747972914832637</v>
      </c>
    </row>
    <row r="544" spans="2:17" x14ac:dyDescent="0.2">
      <c r="B544" s="6">
        <f t="shared" si="87"/>
        <v>54</v>
      </c>
      <c r="C544" s="12"/>
      <c r="D544" s="12"/>
      <c r="E544" s="12"/>
      <c r="F544" s="13" t="s">
        <v>184</v>
      </c>
      <c r="G544" s="14">
        <v>620</v>
      </c>
      <c r="H544" s="12" t="s">
        <v>121</v>
      </c>
      <c r="I544" s="15">
        <f>59584-4268+1868</f>
        <v>57184</v>
      </c>
      <c r="J544" s="15">
        <v>24626</v>
      </c>
      <c r="K544" s="354">
        <f t="shared" si="90"/>
        <v>43.064493564633466</v>
      </c>
      <c r="L544" s="15"/>
      <c r="M544" s="15"/>
      <c r="N544" s="354"/>
      <c r="O544" s="16">
        <f t="shared" si="84"/>
        <v>57184</v>
      </c>
      <c r="P544" s="16">
        <f t="shared" si="85"/>
        <v>24626</v>
      </c>
      <c r="Q544" s="354">
        <f t="shared" si="86"/>
        <v>43.064493564633466</v>
      </c>
    </row>
    <row r="545" spans="2:17" x14ac:dyDescent="0.2">
      <c r="B545" s="6">
        <f t="shared" si="87"/>
        <v>55</v>
      </c>
      <c r="C545" s="12"/>
      <c r="D545" s="12"/>
      <c r="E545" s="12"/>
      <c r="F545" s="13" t="s">
        <v>184</v>
      </c>
      <c r="G545" s="14">
        <v>630</v>
      </c>
      <c r="H545" s="12" t="s">
        <v>118</v>
      </c>
      <c r="I545" s="15">
        <f>SUM(I546:I551)</f>
        <v>69391</v>
      </c>
      <c r="J545" s="15">
        <f>SUM(J546:J551)</f>
        <v>18851</v>
      </c>
      <c r="K545" s="354">
        <f t="shared" si="90"/>
        <v>27.166347220821148</v>
      </c>
      <c r="L545" s="15"/>
      <c r="M545" s="15"/>
      <c r="N545" s="354"/>
      <c r="O545" s="16">
        <f t="shared" si="84"/>
        <v>69391</v>
      </c>
      <c r="P545" s="16">
        <f t="shared" si="85"/>
        <v>18851</v>
      </c>
      <c r="Q545" s="354">
        <f t="shared" si="86"/>
        <v>27.166347220821148</v>
      </c>
    </row>
    <row r="546" spans="2:17" x14ac:dyDescent="0.2">
      <c r="B546" s="6">
        <f t="shared" si="87"/>
        <v>56</v>
      </c>
      <c r="C546" s="17"/>
      <c r="D546" s="17"/>
      <c r="E546" s="17"/>
      <c r="F546" s="18"/>
      <c r="G546" s="19">
        <v>632</v>
      </c>
      <c r="H546" s="17" t="s">
        <v>131</v>
      </c>
      <c r="I546" s="20">
        <f>29090-8461</f>
        <v>20629</v>
      </c>
      <c r="J546" s="20">
        <v>11229</v>
      </c>
      <c r="K546" s="354">
        <f t="shared" si="90"/>
        <v>54.433079645159729</v>
      </c>
      <c r="L546" s="20"/>
      <c r="M546" s="20"/>
      <c r="N546" s="354"/>
      <c r="O546" s="21">
        <f t="shared" si="84"/>
        <v>20629</v>
      </c>
      <c r="P546" s="21">
        <f t="shared" si="85"/>
        <v>11229</v>
      </c>
      <c r="Q546" s="354">
        <f t="shared" si="86"/>
        <v>54.433079645159729</v>
      </c>
    </row>
    <row r="547" spans="2:17" x14ac:dyDescent="0.2">
      <c r="B547" s="6">
        <f t="shared" si="87"/>
        <v>57</v>
      </c>
      <c r="C547" s="17"/>
      <c r="D547" s="17"/>
      <c r="E547" s="17"/>
      <c r="F547" s="18"/>
      <c r="G547" s="19">
        <v>633</v>
      </c>
      <c r="H547" s="17" t="s">
        <v>122</v>
      </c>
      <c r="I547" s="20">
        <f>20684+159</f>
        <v>20843</v>
      </c>
      <c r="J547" s="20">
        <v>2009</v>
      </c>
      <c r="K547" s="354">
        <f t="shared" si="90"/>
        <v>9.6387276303795044</v>
      </c>
      <c r="L547" s="20"/>
      <c r="M547" s="20"/>
      <c r="N547" s="354"/>
      <c r="O547" s="21">
        <f t="shared" si="84"/>
        <v>20843</v>
      </c>
      <c r="P547" s="21">
        <f t="shared" si="85"/>
        <v>2009</v>
      </c>
      <c r="Q547" s="354">
        <f t="shared" si="86"/>
        <v>9.6387276303795044</v>
      </c>
    </row>
    <row r="548" spans="2:17" x14ac:dyDescent="0.2">
      <c r="B548" s="6">
        <f t="shared" si="87"/>
        <v>58</v>
      </c>
      <c r="C548" s="17"/>
      <c r="D548" s="17"/>
      <c r="E548" s="17"/>
      <c r="F548" s="18"/>
      <c r="G548" s="19">
        <v>634</v>
      </c>
      <c r="H548" s="17" t="s">
        <v>129</v>
      </c>
      <c r="I548" s="20">
        <f>200+164</f>
        <v>364</v>
      </c>
      <c r="J548" s="20">
        <v>47</v>
      </c>
      <c r="K548" s="354">
        <f t="shared" si="90"/>
        <v>12.912087912087914</v>
      </c>
      <c r="L548" s="20"/>
      <c r="M548" s="20"/>
      <c r="N548" s="354"/>
      <c r="O548" s="21">
        <f t="shared" si="84"/>
        <v>364</v>
      </c>
      <c r="P548" s="21">
        <f t="shared" si="85"/>
        <v>47</v>
      </c>
      <c r="Q548" s="354">
        <f t="shared" si="86"/>
        <v>12.912087912087914</v>
      </c>
    </row>
    <row r="549" spans="2:17" x14ac:dyDescent="0.2">
      <c r="B549" s="6">
        <f t="shared" si="87"/>
        <v>59</v>
      </c>
      <c r="C549" s="17"/>
      <c r="D549" s="17"/>
      <c r="E549" s="17"/>
      <c r="F549" s="18"/>
      <c r="G549" s="19">
        <v>635</v>
      </c>
      <c r="H549" s="17" t="s">
        <v>130</v>
      </c>
      <c r="I549" s="20">
        <f>5000+3000+7237</f>
        <v>15237</v>
      </c>
      <c r="J549" s="20">
        <v>2263</v>
      </c>
      <c r="K549" s="354">
        <f t="shared" si="90"/>
        <v>14.852004987858503</v>
      </c>
      <c r="L549" s="20"/>
      <c r="M549" s="20"/>
      <c r="N549" s="354"/>
      <c r="O549" s="21">
        <f t="shared" si="84"/>
        <v>15237</v>
      </c>
      <c r="P549" s="21">
        <f t="shared" si="85"/>
        <v>2263</v>
      </c>
      <c r="Q549" s="354">
        <f t="shared" si="86"/>
        <v>14.852004987858503</v>
      </c>
    </row>
    <row r="550" spans="2:17" x14ac:dyDescent="0.2">
      <c r="B550" s="6">
        <f t="shared" si="87"/>
        <v>60</v>
      </c>
      <c r="C550" s="17"/>
      <c r="D550" s="17"/>
      <c r="E550" s="17"/>
      <c r="F550" s="18"/>
      <c r="G550" s="19">
        <v>636</v>
      </c>
      <c r="H550" s="17" t="s">
        <v>123</v>
      </c>
      <c r="I550" s="20">
        <v>247</v>
      </c>
      <c r="J550" s="20">
        <v>46</v>
      </c>
      <c r="K550" s="354">
        <f t="shared" si="90"/>
        <v>18.623481781376519</v>
      </c>
      <c r="L550" s="20"/>
      <c r="M550" s="20"/>
      <c r="N550" s="354"/>
      <c r="O550" s="21">
        <f t="shared" si="84"/>
        <v>247</v>
      </c>
      <c r="P550" s="21">
        <f t="shared" si="85"/>
        <v>46</v>
      </c>
      <c r="Q550" s="354">
        <f t="shared" si="86"/>
        <v>18.623481781376519</v>
      </c>
    </row>
    <row r="551" spans="2:17" x14ac:dyDescent="0.2">
      <c r="B551" s="6">
        <f t="shared" si="87"/>
        <v>61</v>
      </c>
      <c r="C551" s="17"/>
      <c r="D551" s="17"/>
      <c r="E551" s="17"/>
      <c r="F551" s="18"/>
      <c r="G551" s="19">
        <v>637</v>
      </c>
      <c r="H551" s="17" t="s">
        <v>119</v>
      </c>
      <c r="I551" s="20">
        <f>7650+4421</f>
        <v>12071</v>
      </c>
      <c r="J551" s="20">
        <v>3257</v>
      </c>
      <c r="K551" s="354">
        <f t="shared" si="90"/>
        <v>26.982023030403447</v>
      </c>
      <c r="L551" s="20"/>
      <c r="M551" s="20"/>
      <c r="N551" s="354"/>
      <c r="O551" s="21">
        <f t="shared" si="84"/>
        <v>12071</v>
      </c>
      <c r="P551" s="21">
        <f t="shared" si="85"/>
        <v>3257</v>
      </c>
      <c r="Q551" s="354">
        <f t="shared" si="86"/>
        <v>26.982023030403447</v>
      </c>
    </row>
    <row r="552" spans="2:17" x14ac:dyDescent="0.2">
      <c r="B552" s="6">
        <f t="shared" si="87"/>
        <v>62</v>
      </c>
      <c r="C552" s="12"/>
      <c r="D552" s="12"/>
      <c r="E552" s="12"/>
      <c r="F552" s="13" t="s">
        <v>184</v>
      </c>
      <c r="G552" s="14">
        <v>640</v>
      </c>
      <c r="H552" s="12" t="s">
        <v>126</v>
      </c>
      <c r="I552" s="15">
        <f>450+168</f>
        <v>618</v>
      </c>
      <c r="J552" s="15">
        <v>225</v>
      </c>
      <c r="K552" s="354">
        <f t="shared" si="90"/>
        <v>36.407766990291265</v>
      </c>
      <c r="L552" s="15"/>
      <c r="M552" s="15"/>
      <c r="N552" s="354"/>
      <c r="O552" s="16">
        <f t="shared" si="84"/>
        <v>618</v>
      </c>
      <c r="P552" s="16">
        <f t="shared" si="85"/>
        <v>225</v>
      </c>
      <c r="Q552" s="354">
        <f t="shared" si="86"/>
        <v>36.407766990291265</v>
      </c>
    </row>
    <row r="553" spans="2:17" x14ac:dyDescent="0.2">
      <c r="B553" s="6">
        <f t="shared" si="87"/>
        <v>63</v>
      </c>
      <c r="C553" s="12"/>
      <c r="D553" s="12"/>
      <c r="E553" s="12"/>
      <c r="F553" s="13" t="s">
        <v>184</v>
      </c>
      <c r="G553" s="14">
        <v>710</v>
      </c>
      <c r="H553" s="12" t="s">
        <v>172</v>
      </c>
      <c r="I553" s="15"/>
      <c r="J553" s="15"/>
      <c r="K553" s="354"/>
      <c r="L553" s="15">
        <f>L554</f>
        <v>25482</v>
      </c>
      <c r="M553" s="15">
        <f>M554</f>
        <v>0</v>
      </c>
      <c r="N553" s="354">
        <f>M553/L553*100</f>
        <v>0</v>
      </c>
      <c r="O553" s="16">
        <f t="shared" si="84"/>
        <v>25482</v>
      </c>
      <c r="P553" s="16">
        <f t="shared" si="85"/>
        <v>0</v>
      </c>
      <c r="Q553" s="354">
        <f t="shared" si="86"/>
        <v>0</v>
      </c>
    </row>
    <row r="554" spans="2:17" x14ac:dyDescent="0.2">
      <c r="B554" s="6">
        <f t="shared" si="87"/>
        <v>64</v>
      </c>
      <c r="C554" s="17"/>
      <c r="D554" s="17"/>
      <c r="E554" s="17"/>
      <c r="F554" s="18"/>
      <c r="G554" s="19">
        <v>717</v>
      </c>
      <c r="H554" s="17" t="s">
        <v>179</v>
      </c>
      <c r="I554" s="20"/>
      <c r="J554" s="20"/>
      <c r="K554" s="354"/>
      <c r="L554" s="20">
        <f>SUM(L555:L556)</f>
        <v>25482</v>
      </c>
      <c r="M554" s="20">
        <f>SUM(M555:M556)</f>
        <v>0</v>
      </c>
      <c r="N554" s="354">
        <f>M554/L554*100</f>
        <v>0</v>
      </c>
      <c r="O554" s="21">
        <f t="shared" si="84"/>
        <v>25482</v>
      </c>
      <c r="P554" s="21">
        <f t="shared" si="85"/>
        <v>0</v>
      </c>
      <c r="Q554" s="354">
        <f t="shared" si="86"/>
        <v>0</v>
      </c>
    </row>
    <row r="555" spans="2:17" x14ac:dyDescent="0.2">
      <c r="B555" s="6">
        <f t="shared" si="87"/>
        <v>65</v>
      </c>
      <c r="C555" s="17"/>
      <c r="D555" s="17"/>
      <c r="E555" s="17"/>
      <c r="F555" s="18"/>
      <c r="G555" s="19"/>
      <c r="H555" s="1" t="s">
        <v>595</v>
      </c>
      <c r="I555" s="20"/>
      <c r="J555" s="20"/>
      <c r="K555" s="354"/>
      <c r="L555" s="24">
        <v>4482</v>
      </c>
      <c r="M555" s="24">
        <v>0</v>
      </c>
      <c r="N555" s="354">
        <f>M555/L555*100</f>
        <v>0</v>
      </c>
      <c r="O555" s="21">
        <f t="shared" ref="O555:O618" si="91">I555+L555</f>
        <v>4482</v>
      </c>
      <c r="P555" s="21">
        <f t="shared" ref="P555:P618" si="92">J555+M555</f>
        <v>0</v>
      </c>
      <c r="Q555" s="354">
        <f t="shared" ref="Q555:Q618" si="93">P555/O555*100</f>
        <v>0</v>
      </c>
    </row>
    <row r="556" spans="2:17" x14ac:dyDescent="0.2">
      <c r="B556" s="6">
        <f t="shared" ref="B556:B619" si="94">B555+1</f>
        <v>66</v>
      </c>
      <c r="C556" s="1"/>
      <c r="D556" s="1"/>
      <c r="E556" s="1"/>
      <c r="F556" s="99"/>
      <c r="G556" s="23"/>
      <c r="H556" s="1" t="s">
        <v>485</v>
      </c>
      <c r="I556" s="24"/>
      <c r="J556" s="24"/>
      <c r="K556" s="354"/>
      <c r="L556" s="24">
        <f>6450+14550</f>
        <v>21000</v>
      </c>
      <c r="M556" s="24">
        <v>0</v>
      </c>
      <c r="N556" s="354">
        <f>M556/L556*100</f>
        <v>0</v>
      </c>
      <c r="O556" s="26">
        <f t="shared" si="91"/>
        <v>21000</v>
      </c>
      <c r="P556" s="26">
        <f t="shared" si="92"/>
        <v>0</v>
      </c>
      <c r="Q556" s="354">
        <f t="shared" si="93"/>
        <v>0</v>
      </c>
    </row>
    <row r="557" spans="2:17" x14ac:dyDescent="0.2">
      <c r="B557" s="6">
        <f t="shared" si="94"/>
        <v>67</v>
      </c>
      <c r="C557" s="105"/>
      <c r="D557" s="105"/>
      <c r="E557" s="105" t="s">
        <v>92</v>
      </c>
      <c r="F557" s="106"/>
      <c r="G557" s="106"/>
      <c r="H557" s="105" t="s">
        <v>534</v>
      </c>
      <c r="I557" s="107">
        <f>I558+I559+I560+I567</f>
        <v>305704</v>
      </c>
      <c r="J557" s="107">
        <f>J558+J559+J560+J567</f>
        <v>127121</v>
      </c>
      <c r="K557" s="354"/>
      <c r="L557" s="107">
        <f>L568</f>
        <v>13750</v>
      </c>
      <c r="M557" s="107">
        <f>M568</f>
        <v>13746</v>
      </c>
      <c r="N557" s="354">
        <f>M557/L557*100</f>
        <v>99.970909090909089</v>
      </c>
      <c r="O557" s="108">
        <f t="shared" si="91"/>
        <v>319454</v>
      </c>
      <c r="P557" s="108">
        <f t="shared" si="92"/>
        <v>140867</v>
      </c>
      <c r="Q557" s="354">
        <f t="shared" si="93"/>
        <v>44.096176601326015</v>
      </c>
    </row>
    <row r="558" spans="2:17" x14ac:dyDescent="0.2">
      <c r="B558" s="6">
        <f t="shared" si="94"/>
        <v>68</v>
      </c>
      <c r="C558" s="12"/>
      <c r="D558" s="12"/>
      <c r="E558" s="12"/>
      <c r="F558" s="13" t="s">
        <v>184</v>
      </c>
      <c r="G558" s="14">
        <v>610</v>
      </c>
      <c r="H558" s="12" t="s">
        <v>128</v>
      </c>
      <c r="I558" s="15">
        <f>203885-14564-29654+100+1689</f>
        <v>161456</v>
      </c>
      <c r="J558" s="15">
        <v>69408</v>
      </c>
      <c r="K558" s="354">
        <f t="shared" ref="K558:K567" si="95">J558/I558*100</f>
        <v>42.988801902685566</v>
      </c>
      <c r="L558" s="15"/>
      <c r="M558" s="15"/>
      <c r="N558" s="354"/>
      <c r="O558" s="16">
        <f t="shared" si="91"/>
        <v>161456</v>
      </c>
      <c r="P558" s="16">
        <f t="shared" si="92"/>
        <v>69408</v>
      </c>
      <c r="Q558" s="354">
        <f t="shared" si="93"/>
        <v>42.988801902685566</v>
      </c>
    </row>
    <row r="559" spans="2:17" x14ac:dyDescent="0.2">
      <c r="B559" s="6">
        <f t="shared" si="94"/>
        <v>69</v>
      </c>
      <c r="C559" s="12"/>
      <c r="D559" s="12"/>
      <c r="E559" s="12"/>
      <c r="F559" s="13" t="s">
        <v>184</v>
      </c>
      <c r="G559" s="14">
        <v>620</v>
      </c>
      <c r="H559" s="12" t="s">
        <v>121</v>
      </c>
      <c r="I559" s="15">
        <f>77989-5527-11868+35+607</f>
        <v>61236</v>
      </c>
      <c r="J559" s="15">
        <v>26619</v>
      </c>
      <c r="K559" s="354">
        <f t="shared" si="95"/>
        <v>43.469527728786986</v>
      </c>
      <c r="L559" s="15"/>
      <c r="M559" s="15"/>
      <c r="N559" s="354"/>
      <c r="O559" s="16">
        <f t="shared" si="91"/>
        <v>61236</v>
      </c>
      <c r="P559" s="16">
        <f t="shared" si="92"/>
        <v>26619</v>
      </c>
      <c r="Q559" s="354">
        <f t="shared" si="93"/>
        <v>43.469527728786986</v>
      </c>
    </row>
    <row r="560" spans="2:17" x14ac:dyDescent="0.2">
      <c r="B560" s="6">
        <f t="shared" si="94"/>
        <v>70</v>
      </c>
      <c r="C560" s="12"/>
      <c r="D560" s="12"/>
      <c r="E560" s="12"/>
      <c r="F560" s="13" t="s">
        <v>184</v>
      </c>
      <c r="G560" s="14">
        <v>630</v>
      </c>
      <c r="H560" s="12" t="s">
        <v>118</v>
      </c>
      <c r="I560" s="15">
        <f>SUM(I561:I566)</f>
        <v>79887</v>
      </c>
      <c r="J560" s="15">
        <f>SUM(J561:J566)</f>
        <v>27971</v>
      </c>
      <c r="K560" s="354">
        <f t="shared" si="95"/>
        <v>35.013206153692089</v>
      </c>
      <c r="L560" s="15"/>
      <c r="M560" s="15"/>
      <c r="N560" s="354"/>
      <c r="O560" s="16">
        <f t="shared" si="91"/>
        <v>79887</v>
      </c>
      <c r="P560" s="16">
        <f t="shared" si="92"/>
        <v>27971</v>
      </c>
      <c r="Q560" s="354">
        <f t="shared" si="93"/>
        <v>35.013206153692089</v>
      </c>
    </row>
    <row r="561" spans="2:17" x14ac:dyDescent="0.2">
      <c r="B561" s="6">
        <f t="shared" si="94"/>
        <v>71</v>
      </c>
      <c r="C561" s="17"/>
      <c r="D561" s="17"/>
      <c r="E561" s="17"/>
      <c r="F561" s="18"/>
      <c r="G561" s="19">
        <v>632</v>
      </c>
      <c r="H561" s="17" t="s">
        <v>131</v>
      </c>
      <c r="I561" s="20">
        <f>47390-13956</f>
        <v>33434</v>
      </c>
      <c r="J561" s="20">
        <v>16496</v>
      </c>
      <c r="K561" s="354">
        <f t="shared" si="95"/>
        <v>49.33899623138123</v>
      </c>
      <c r="L561" s="20"/>
      <c r="M561" s="20"/>
      <c r="N561" s="354"/>
      <c r="O561" s="21">
        <f t="shared" si="91"/>
        <v>33434</v>
      </c>
      <c r="P561" s="21">
        <f t="shared" si="92"/>
        <v>16496</v>
      </c>
      <c r="Q561" s="354">
        <f t="shared" si="93"/>
        <v>49.33899623138123</v>
      </c>
    </row>
    <row r="562" spans="2:17" x14ac:dyDescent="0.2">
      <c r="B562" s="6">
        <f t="shared" si="94"/>
        <v>72</v>
      </c>
      <c r="C562" s="17"/>
      <c r="D562" s="17"/>
      <c r="E562" s="17"/>
      <c r="F562" s="18"/>
      <c r="G562" s="19">
        <v>633</v>
      </c>
      <c r="H562" s="17" t="s">
        <v>122</v>
      </c>
      <c r="I562" s="20">
        <f>24763+182-14000</f>
        <v>10945</v>
      </c>
      <c r="J562" s="20">
        <v>4689</v>
      </c>
      <c r="K562" s="354">
        <f t="shared" si="95"/>
        <v>42.841480127912291</v>
      </c>
      <c r="L562" s="20"/>
      <c r="M562" s="20"/>
      <c r="N562" s="354"/>
      <c r="O562" s="21">
        <f t="shared" si="91"/>
        <v>10945</v>
      </c>
      <c r="P562" s="21">
        <f t="shared" si="92"/>
        <v>4689</v>
      </c>
      <c r="Q562" s="354">
        <f t="shared" si="93"/>
        <v>42.841480127912291</v>
      </c>
    </row>
    <row r="563" spans="2:17" x14ac:dyDescent="0.2">
      <c r="B563" s="6">
        <f t="shared" si="94"/>
        <v>73</v>
      </c>
      <c r="C563" s="17"/>
      <c r="D563" s="17"/>
      <c r="E563" s="17"/>
      <c r="F563" s="18"/>
      <c r="G563" s="19">
        <v>634</v>
      </c>
      <c r="H563" s="17" t="s">
        <v>129</v>
      </c>
      <c r="I563" s="20">
        <f>200+188</f>
        <v>388</v>
      </c>
      <c r="J563" s="20">
        <v>53</v>
      </c>
      <c r="K563" s="354">
        <f t="shared" si="95"/>
        <v>13.659793814432989</v>
      </c>
      <c r="L563" s="20"/>
      <c r="M563" s="20"/>
      <c r="N563" s="354"/>
      <c r="O563" s="21">
        <f t="shared" si="91"/>
        <v>388</v>
      </c>
      <c r="P563" s="21">
        <f t="shared" si="92"/>
        <v>53</v>
      </c>
      <c r="Q563" s="354">
        <f t="shared" si="93"/>
        <v>13.659793814432989</v>
      </c>
    </row>
    <row r="564" spans="2:17" x14ac:dyDescent="0.2">
      <c r="B564" s="6">
        <f t="shared" si="94"/>
        <v>74</v>
      </c>
      <c r="C564" s="17"/>
      <c r="D564" s="17"/>
      <c r="E564" s="17"/>
      <c r="F564" s="18"/>
      <c r="G564" s="19">
        <v>635</v>
      </c>
      <c r="H564" s="17" t="s">
        <v>130</v>
      </c>
      <c r="I564" s="20">
        <f>2500+3984+14000</f>
        <v>20484</v>
      </c>
      <c r="J564" s="20">
        <v>1617</v>
      </c>
      <c r="K564" s="354">
        <f t="shared" si="95"/>
        <v>7.8939660222612771</v>
      </c>
      <c r="L564" s="20"/>
      <c r="M564" s="20"/>
      <c r="N564" s="354"/>
      <c r="O564" s="21">
        <f t="shared" si="91"/>
        <v>20484</v>
      </c>
      <c r="P564" s="21">
        <f t="shared" si="92"/>
        <v>1617</v>
      </c>
      <c r="Q564" s="354">
        <f t="shared" si="93"/>
        <v>7.8939660222612771</v>
      </c>
    </row>
    <row r="565" spans="2:17" x14ac:dyDescent="0.2">
      <c r="B565" s="6">
        <f t="shared" si="94"/>
        <v>75</v>
      </c>
      <c r="C565" s="17"/>
      <c r="D565" s="17"/>
      <c r="E565" s="17"/>
      <c r="F565" s="18"/>
      <c r="G565" s="19">
        <v>636</v>
      </c>
      <c r="H565" s="17" t="s">
        <v>123</v>
      </c>
      <c r="I565" s="20">
        <v>282</v>
      </c>
      <c r="J565" s="20">
        <v>53</v>
      </c>
      <c r="K565" s="354">
        <f t="shared" si="95"/>
        <v>18.794326241134751</v>
      </c>
      <c r="L565" s="20"/>
      <c r="M565" s="20"/>
      <c r="N565" s="354"/>
      <c r="O565" s="21">
        <f t="shared" si="91"/>
        <v>282</v>
      </c>
      <c r="P565" s="21">
        <f t="shared" si="92"/>
        <v>53</v>
      </c>
      <c r="Q565" s="354">
        <f t="shared" si="93"/>
        <v>18.794326241134751</v>
      </c>
    </row>
    <row r="566" spans="2:17" x14ac:dyDescent="0.2">
      <c r="B566" s="6">
        <f t="shared" si="94"/>
        <v>76</v>
      </c>
      <c r="C566" s="17"/>
      <c r="D566" s="17"/>
      <c r="E566" s="17"/>
      <c r="F566" s="18"/>
      <c r="G566" s="19">
        <v>637</v>
      </c>
      <c r="H566" s="17" t="s">
        <v>119</v>
      </c>
      <c r="I566" s="20">
        <f>8723+5631</f>
        <v>14354</v>
      </c>
      <c r="J566" s="20">
        <v>5063</v>
      </c>
      <c r="K566" s="354">
        <f t="shared" si="95"/>
        <v>35.272397937857043</v>
      </c>
      <c r="L566" s="20"/>
      <c r="M566" s="20"/>
      <c r="N566" s="354"/>
      <c r="O566" s="21">
        <f t="shared" si="91"/>
        <v>14354</v>
      </c>
      <c r="P566" s="21">
        <f t="shared" si="92"/>
        <v>5063</v>
      </c>
      <c r="Q566" s="354">
        <f t="shared" si="93"/>
        <v>35.272397937857043</v>
      </c>
    </row>
    <row r="567" spans="2:17" x14ac:dyDescent="0.2">
      <c r="B567" s="6">
        <f t="shared" si="94"/>
        <v>77</v>
      </c>
      <c r="C567" s="12"/>
      <c r="D567" s="12"/>
      <c r="E567" s="12"/>
      <c r="F567" s="13" t="s">
        <v>184</v>
      </c>
      <c r="G567" s="14">
        <v>640</v>
      </c>
      <c r="H567" s="12" t="s">
        <v>126</v>
      </c>
      <c r="I567" s="15">
        <f>2933+192</f>
        <v>3125</v>
      </c>
      <c r="J567" s="15">
        <v>3123</v>
      </c>
      <c r="K567" s="354">
        <f t="shared" si="95"/>
        <v>99.936000000000007</v>
      </c>
      <c r="L567" s="15"/>
      <c r="M567" s="15"/>
      <c r="N567" s="354"/>
      <c r="O567" s="16">
        <f t="shared" si="91"/>
        <v>3125</v>
      </c>
      <c r="P567" s="16">
        <f t="shared" si="92"/>
        <v>3123</v>
      </c>
      <c r="Q567" s="354">
        <f t="shared" si="93"/>
        <v>99.936000000000007</v>
      </c>
    </row>
    <row r="568" spans="2:17" x14ac:dyDescent="0.2">
      <c r="B568" s="6">
        <f t="shared" si="94"/>
        <v>78</v>
      </c>
      <c r="C568" s="12"/>
      <c r="D568" s="12"/>
      <c r="E568" s="12"/>
      <c r="F568" s="13" t="s">
        <v>184</v>
      </c>
      <c r="G568" s="14">
        <v>710</v>
      </c>
      <c r="H568" s="12" t="s">
        <v>172</v>
      </c>
      <c r="I568" s="15"/>
      <c r="J568" s="15"/>
      <c r="K568" s="354"/>
      <c r="L568" s="15">
        <f>L569</f>
        <v>13750</v>
      </c>
      <c r="M568" s="15">
        <f>M569</f>
        <v>13746</v>
      </c>
      <c r="N568" s="354">
        <f>M568/L568*100</f>
        <v>99.970909090909089</v>
      </c>
      <c r="O568" s="16">
        <f t="shared" si="91"/>
        <v>13750</v>
      </c>
      <c r="P568" s="16">
        <f t="shared" si="92"/>
        <v>13746</v>
      </c>
      <c r="Q568" s="354">
        <f t="shared" si="93"/>
        <v>99.970909090909089</v>
      </c>
    </row>
    <row r="569" spans="2:17" x14ac:dyDescent="0.2">
      <c r="B569" s="6">
        <f t="shared" si="94"/>
        <v>79</v>
      </c>
      <c r="C569" s="17"/>
      <c r="D569" s="17"/>
      <c r="E569" s="17"/>
      <c r="F569" s="18"/>
      <c r="G569" s="19">
        <v>717</v>
      </c>
      <c r="H569" s="17" t="s">
        <v>179</v>
      </c>
      <c r="I569" s="20"/>
      <c r="J569" s="20"/>
      <c r="K569" s="354"/>
      <c r="L569" s="20">
        <f>L570</f>
        <v>13750</v>
      </c>
      <c r="M569" s="20">
        <f>M570</f>
        <v>13746</v>
      </c>
      <c r="N569" s="354">
        <f>M569/L569*100</f>
        <v>99.970909090909089</v>
      </c>
      <c r="O569" s="21">
        <f t="shared" si="91"/>
        <v>13750</v>
      </c>
      <c r="P569" s="21">
        <f t="shared" si="92"/>
        <v>13746</v>
      </c>
      <c r="Q569" s="354">
        <f t="shared" si="93"/>
        <v>99.970909090909089</v>
      </c>
    </row>
    <row r="570" spans="2:17" x14ac:dyDescent="0.2">
      <c r="B570" s="6">
        <f t="shared" si="94"/>
        <v>80</v>
      </c>
      <c r="C570" s="1"/>
      <c r="D570" s="1"/>
      <c r="E570" s="1"/>
      <c r="F570" s="99"/>
      <c r="G570" s="23"/>
      <c r="H570" s="1" t="s">
        <v>597</v>
      </c>
      <c r="I570" s="24"/>
      <c r="J570" s="24"/>
      <c r="K570" s="354"/>
      <c r="L570" s="24">
        <v>13750</v>
      </c>
      <c r="M570" s="24">
        <v>13746</v>
      </c>
      <c r="N570" s="354">
        <f>M570/L570*100</f>
        <v>99.970909090909089</v>
      </c>
      <c r="O570" s="26">
        <f t="shared" si="91"/>
        <v>13750</v>
      </c>
      <c r="P570" s="26">
        <f t="shared" si="92"/>
        <v>13746</v>
      </c>
      <c r="Q570" s="354">
        <f t="shared" si="93"/>
        <v>99.970909090909089</v>
      </c>
    </row>
    <row r="571" spans="2:17" x14ac:dyDescent="0.2">
      <c r="B571" s="6">
        <f t="shared" si="94"/>
        <v>81</v>
      </c>
      <c r="C571" s="105"/>
      <c r="D571" s="105"/>
      <c r="E571" s="105" t="s">
        <v>94</v>
      </c>
      <c r="F571" s="106"/>
      <c r="G571" s="106"/>
      <c r="H571" s="105" t="s">
        <v>95</v>
      </c>
      <c r="I571" s="107">
        <f>I572+I573+I574+I581</f>
        <v>334422</v>
      </c>
      <c r="J571" s="107">
        <f>J572+J573+J574+J581</f>
        <v>138993</v>
      </c>
      <c r="K571" s="354">
        <f t="shared" ref="K571:K592" si="96">J571/I571*100</f>
        <v>41.562157991998134</v>
      </c>
      <c r="L571" s="107"/>
      <c r="M571" s="107"/>
      <c r="N571" s="354"/>
      <c r="O571" s="108">
        <f t="shared" si="91"/>
        <v>334422</v>
      </c>
      <c r="P571" s="108">
        <f t="shared" si="92"/>
        <v>138993</v>
      </c>
      <c r="Q571" s="354">
        <f t="shared" si="93"/>
        <v>41.562157991998134</v>
      </c>
    </row>
    <row r="572" spans="2:17" x14ac:dyDescent="0.2">
      <c r="B572" s="6">
        <f t="shared" si="94"/>
        <v>82</v>
      </c>
      <c r="C572" s="12"/>
      <c r="D572" s="12"/>
      <c r="E572" s="12"/>
      <c r="F572" s="13" t="s">
        <v>184</v>
      </c>
      <c r="G572" s="14">
        <v>610</v>
      </c>
      <c r="H572" s="12" t="s">
        <v>128</v>
      </c>
      <c r="I572" s="15">
        <f>214666-15830-807-13851+1900</f>
        <v>186078</v>
      </c>
      <c r="J572" s="15">
        <v>78889</v>
      </c>
      <c r="K572" s="354">
        <f t="shared" si="96"/>
        <v>42.395662034200711</v>
      </c>
      <c r="L572" s="15"/>
      <c r="M572" s="15"/>
      <c r="N572" s="354"/>
      <c r="O572" s="16">
        <f t="shared" si="91"/>
        <v>186078</v>
      </c>
      <c r="P572" s="16">
        <f t="shared" si="92"/>
        <v>78889</v>
      </c>
      <c r="Q572" s="354">
        <f t="shared" si="93"/>
        <v>42.395662034200711</v>
      </c>
    </row>
    <row r="573" spans="2:17" x14ac:dyDescent="0.2">
      <c r="B573" s="6">
        <f t="shared" si="94"/>
        <v>83</v>
      </c>
      <c r="C573" s="12"/>
      <c r="D573" s="12"/>
      <c r="E573" s="12"/>
      <c r="F573" s="13" t="s">
        <v>184</v>
      </c>
      <c r="G573" s="14">
        <v>620</v>
      </c>
      <c r="H573" s="12" t="s">
        <v>121</v>
      </c>
      <c r="I573" s="15">
        <f>82279-6007-1120-5257+683</f>
        <v>70578</v>
      </c>
      <c r="J573" s="15">
        <v>28833</v>
      </c>
      <c r="K573" s="354">
        <f t="shared" si="96"/>
        <v>40.852673637677462</v>
      </c>
      <c r="L573" s="15"/>
      <c r="M573" s="15"/>
      <c r="N573" s="354"/>
      <c r="O573" s="16">
        <f t="shared" si="91"/>
        <v>70578</v>
      </c>
      <c r="P573" s="16">
        <f t="shared" si="92"/>
        <v>28833</v>
      </c>
      <c r="Q573" s="354">
        <f t="shared" si="93"/>
        <v>40.852673637677462</v>
      </c>
    </row>
    <row r="574" spans="2:17" x14ac:dyDescent="0.2">
      <c r="B574" s="6">
        <f t="shared" si="94"/>
        <v>84</v>
      </c>
      <c r="C574" s="12"/>
      <c r="D574" s="12"/>
      <c r="E574" s="12"/>
      <c r="F574" s="13" t="s">
        <v>184</v>
      </c>
      <c r="G574" s="14">
        <v>630</v>
      </c>
      <c r="H574" s="12" t="s">
        <v>118</v>
      </c>
      <c r="I574" s="15">
        <f>SUM(I575:I580)</f>
        <v>74367</v>
      </c>
      <c r="J574" s="15">
        <f>SUM(J575:J580)</f>
        <v>30706</v>
      </c>
      <c r="K574" s="354">
        <f t="shared" si="96"/>
        <v>41.289819409146524</v>
      </c>
      <c r="L574" s="15"/>
      <c r="M574" s="15"/>
      <c r="N574" s="354"/>
      <c r="O574" s="16">
        <f t="shared" si="91"/>
        <v>74367</v>
      </c>
      <c r="P574" s="16">
        <f t="shared" si="92"/>
        <v>30706</v>
      </c>
      <c r="Q574" s="354">
        <f t="shared" si="93"/>
        <v>41.289819409146524</v>
      </c>
    </row>
    <row r="575" spans="2:17" x14ac:dyDescent="0.2">
      <c r="B575" s="6">
        <f t="shared" si="94"/>
        <v>85</v>
      </c>
      <c r="C575" s="17"/>
      <c r="D575" s="17"/>
      <c r="E575" s="17"/>
      <c r="F575" s="18"/>
      <c r="G575" s="19">
        <v>632</v>
      </c>
      <c r="H575" s="17" t="s">
        <v>131</v>
      </c>
      <c r="I575" s="20">
        <f>39500-11750</f>
        <v>27750</v>
      </c>
      <c r="J575" s="20">
        <v>18460</v>
      </c>
      <c r="K575" s="354">
        <f t="shared" si="96"/>
        <v>66.522522522522522</v>
      </c>
      <c r="L575" s="20"/>
      <c r="M575" s="20"/>
      <c r="N575" s="354"/>
      <c r="O575" s="21">
        <f t="shared" si="91"/>
        <v>27750</v>
      </c>
      <c r="P575" s="21">
        <f t="shared" si="92"/>
        <v>18460</v>
      </c>
      <c r="Q575" s="354">
        <f t="shared" si="93"/>
        <v>66.522522522522522</v>
      </c>
    </row>
    <row r="576" spans="2:17" x14ac:dyDescent="0.2">
      <c r="B576" s="6">
        <f t="shared" si="94"/>
        <v>86</v>
      </c>
      <c r="C576" s="17"/>
      <c r="D576" s="17"/>
      <c r="E576" s="17"/>
      <c r="F576" s="18"/>
      <c r="G576" s="19">
        <v>633</v>
      </c>
      <c r="H576" s="17" t="s">
        <v>122</v>
      </c>
      <c r="I576" s="20">
        <f>23945+205</f>
        <v>24150</v>
      </c>
      <c r="J576" s="20">
        <v>3007</v>
      </c>
      <c r="K576" s="354">
        <f t="shared" si="96"/>
        <v>12.45134575569358</v>
      </c>
      <c r="L576" s="20"/>
      <c r="M576" s="20"/>
      <c r="N576" s="354"/>
      <c r="O576" s="21">
        <f t="shared" si="91"/>
        <v>24150</v>
      </c>
      <c r="P576" s="21">
        <f t="shared" si="92"/>
        <v>3007</v>
      </c>
      <c r="Q576" s="354">
        <f t="shared" si="93"/>
        <v>12.45134575569358</v>
      </c>
    </row>
    <row r="577" spans="2:17" x14ac:dyDescent="0.2">
      <c r="B577" s="6">
        <f t="shared" si="94"/>
        <v>87</v>
      </c>
      <c r="C577" s="17"/>
      <c r="D577" s="17"/>
      <c r="E577" s="17"/>
      <c r="F577" s="18"/>
      <c r="G577" s="19">
        <v>634</v>
      </c>
      <c r="H577" s="17" t="s">
        <v>129</v>
      </c>
      <c r="I577" s="20">
        <f>90+211+310</f>
        <v>611</v>
      </c>
      <c r="J577" s="20">
        <v>60</v>
      </c>
      <c r="K577" s="354">
        <f t="shared" si="96"/>
        <v>9.8199672667757767</v>
      </c>
      <c r="L577" s="20"/>
      <c r="M577" s="20"/>
      <c r="N577" s="354"/>
      <c r="O577" s="21">
        <f t="shared" si="91"/>
        <v>611</v>
      </c>
      <c r="P577" s="21">
        <f t="shared" si="92"/>
        <v>60</v>
      </c>
      <c r="Q577" s="354">
        <f t="shared" si="93"/>
        <v>9.8199672667757767</v>
      </c>
    </row>
    <row r="578" spans="2:17" x14ac:dyDescent="0.2">
      <c r="B578" s="6">
        <f t="shared" si="94"/>
        <v>88</v>
      </c>
      <c r="C578" s="17"/>
      <c r="D578" s="17"/>
      <c r="E578" s="17"/>
      <c r="F578" s="18"/>
      <c r="G578" s="19">
        <v>635</v>
      </c>
      <c r="H578" s="17" t="s">
        <v>130</v>
      </c>
      <c r="I578" s="20">
        <f>4800+5263</f>
        <v>10063</v>
      </c>
      <c r="J578" s="20">
        <v>3408</v>
      </c>
      <c r="K578" s="354">
        <f t="shared" si="96"/>
        <v>33.866640166948223</v>
      </c>
      <c r="L578" s="20"/>
      <c r="M578" s="20"/>
      <c r="N578" s="354"/>
      <c r="O578" s="21">
        <f t="shared" si="91"/>
        <v>10063</v>
      </c>
      <c r="P578" s="21">
        <f t="shared" si="92"/>
        <v>3408</v>
      </c>
      <c r="Q578" s="354">
        <f t="shared" si="93"/>
        <v>33.866640166948223</v>
      </c>
    </row>
    <row r="579" spans="2:17" x14ac:dyDescent="0.2">
      <c r="B579" s="6">
        <f t="shared" si="94"/>
        <v>89</v>
      </c>
      <c r="C579" s="17"/>
      <c r="D579" s="17"/>
      <c r="E579" s="17"/>
      <c r="F579" s="18"/>
      <c r="G579" s="19">
        <v>636</v>
      </c>
      <c r="H579" s="17" t="s">
        <v>123</v>
      </c>
      <c r="I579" s="20">
        <v>317</v>
      </c>
      <c r="J579" s="20">
        <v>59</v>
      </c>
      <c r="K579" s="354">
        <f t="shared" si="96"/>
        <v>18.611987381703472</v>
      </c>
      <c r="L579" s="20"/>
      <c r="M579" s="20"/>
      <c r="N579" s="354"/>
      <c r="O579" s="21">
        <f t="shared" si="91"/>
        <v>317</v>
      </c>
      <c r="P579" s="21">
        <f t="shared" si="92"/>
        <v>59</v>
      </c>
      <c r="Q579" s="354">
        <f t="shared" si="93"/>
        <v>18.611987381703472</v>
      </c>
    </row>
    <row r="580" spans="2:17" x14ac:dyDescent="0.2">
      <c r="B580" s="6">
        <f t="shared" si="94"/>
        <v>90</v>
      </c>
      <c r="C580" s="17"/>
      <c r="D580" s="17"/>
      <c r="E580" s="17"/>
      <c r="F580" s="18"/>
      <c r="G580" s="19">
        <v>637</v>
      </c>
      <c r="H580" s="17" t="s">
        <v>119</v>
      </c>
      <c r="I580" s="20">
        <f>7345+4441-310</f>
        <v>11476</v>
      </c>
      <c r="J580" s="20">
        <v>5712</v>
      </c>
      <c r="K580" s="354">
        <f t="shared" si="96"/>
        <v>49.773440223074246</v>
      </c>
      <c r="L580" s="20"/>
      <c r="M580" s="20"/>
      <c r="N580" s="354"/>
      <c r="O580" s="21">
        <f t="shared" si="91"/>
        <v>11476</v>
      </c>
      <c r="P580" s="21">
        <f t="shared" si="92"/>
        <v>5712</v>
      </c>
      <c r="Q580" s="354">
        <f t="shared" si="93"/>
        <v>49.773440223074246</v>
      </c>
    </row>
    <row r="581" spans="2:17" x14ac:dyDescent="0.2">
      <c r="B581" s="6">
        <f t="shared" si="94"/>
        <v>91</v>
      </c>
      <c r="C581" s="12"/>
      <c r="D581" s="12"/>
      <c r="E581" s="12"/>
      <c r="F581" s="13" t="s">
        <v>184</v>
      </c>
      <c r="G581" s="14">
        <v>640</v>
      </c>
      <c r="H581" s="12" t="s">
        <v>126</v>
      </c>
      <c r="I581" s="15">
        <f>3183+216</f>
        <v>3399</v>
      </c>
      <c r="J581" s="15">
        <v>565</v>
      </c>
      <c r="K581" s="354">
        <f t="shared" si="96"/>
        <v>16.622536040011767</v>
      </c>
      <c r="L581" s="15"/>
      <c r="M581" s="15"/>
      <c r="N581" s="354"/>
      <c r="O581" s="16">
        <f t="shared" si="91"/>
        <v>3399</v>
      </c>
      <c r="P581" s="16">
        <f t="shared" si="92"/>
        <v>565</v>
      </c>
      <c r="Q581" s="354">
        <f t="shared" si="93"/>
        <v>16.622536040011767</v>
      </c>
    </row>
    <row r="582" spans="2:17" x14ac:dyDescent="0.2">
      <c r="B582" s="6">
        <f t="shared" si="94"/>
        <v>92</v>
      </c>
      <c r="C582" s="105"/>
      <c r="D582" s="105"/>
      <c r="E582" s="105" t="s">
        <v>82</v>
      </c>
      <c r="F582" s="106"/>
      <c r="G582" s="106"/>
      <c r="H582" s="105" t="s">
        <v>83</v>
      </c>
      <c r="I582" s="107">
        <f>I583+I584+I585+I592</f>
        <v>537337</v>
      </c>
      <c r="J582" s="107">
        <f>J583+J584+J585+J592</f>
        <v>226657</v>
      </c>
      <c r="K582" s="354">
        <f t="shared" si="96"/>
        <v>42.181535982074564</v>
      </c>
      <c r="L582" s="107">
        <f>L593</f>
        <v>18000</v>
      </c>
      <c r="M582" s="107">
        <f>M593</f>
        <v>0</v>
      </c>
      <c r="N582" s="354">
        <f>M582/L582*100</f>
        <v>0</v>
      </c>
      <c r="O582" s="108">
        <f t="shared" si="91"/>
        <v>555337</v>
      </c>
      <c r="P582" s="108">
        <f t="shared" si="92"/>
        <v>226657</v>
      </c>
      <c r="Q582" s="354">
        <f t="shared" si="93"/>
        <v>40.814316352052899</v>
      </c>
    </row>
    <row r="583" spans="2:17" x14ac:dyDescent="0.2">
      <c r="B583" s="6">
        <f t="shared" si="94"/>
        <v>93</v>
      </c>
      <c r="C583" s="12"/>
      <c r="D583" s="12"/>
      <c r="E583" s="12"/>
      <c r="F583" s="13" t="s">
        <v>184</v>
      </c>
      <c r="G583" s="14">
        <v>610</v>
      </c>
      <c r="H583" s="12" t="s">
        <v>128</v>
      </c>
      <c r="I583" s="15">
        <f>327964-23426-125-4151+1689</f>
        <v>301951</v>
      </c>
      <c r="J583" s="15">
        <v>134220</v>
      </c>
      <c r="K583" s="354">
        <f t="shared" si="96"/>
        <v>44.450920844772831</v>
      </c>
      <c r="L583" s="15"/>
      <c r="M583" s="15"/>
      <c r="N583" s="354"/>
      <c r="O583" s="16">
        <f t="shared" si="91"/>
        <v>301951</v>
      </c>
      <c r="P583" s="16">
        <f t="shared" si="92"/>
        <v>134220</v>
      </c>
      <c r="Q583" s="354">
        <f t="shared" si="93"/>
        <v>44.450920844772831</v>
      </c>
    </row>
    <row r="584" spans="2:17" x14ac:dyDescent="0.2">
      <c r="B584" s="6">
        <f t="shared" si="94"/>
        <v>94</v>
      </c>
      <c r="C584" s="12"/>
      <c r="D584" s="12"/>
      <c r="E584" s="12"/>
      <c r="F584" s="13" t="s">
        <v>184</v>
      </c>
      <c r="G584" s="14">
        <v>620</v>
      </c>
      <c r="H584" s="12" t="s">
        <v>121</v>
      </c>
      <c r="I584" s="15">
        <f>125596-8890-1181-1575+607</f>
        <v>114557</v>
      </c>
      <c r="J584" s="15">
        <v>48632</v>
      </c>
      <c r="K584" s="354">
        <f t="shared" si="96"/>
        <v>42.452229021360544</v>
      </c>
      <c r="L584" s="15"/>
      <c r="M584" s="15"/>
      <c r="N584" s="354"/>
      <c r="O584" s="16">
        <f t="shared" si="91"/>
        <v>114557</v>
      </c>
      <c r="P584" s="16">
        <f t="shared" si="92"/>
        <v>48632</v>
      </c>
      <c r="Q584" s="354">
        <f t="shared" si="93"/>
        <v>42.452229021360544</v>
      </c>
    </row>
    <row r="585" spans="2:17" x14ac:dyDescent="0.2">
      <c r="B585" s="6">
        <f t="shared" si="94"/>
        <v>95</v>
      </c>
      <c r="C585" s="12"/>
      <c r="D585" s="12"/>
      <c r="E585" s="12"/>
      <c r="F585" s="13" t="s">
        <v>184</v>
      </c>
      <c r="G585" s="14">
        <v>630</v>
      </c>
      <c r="H585" s="12" t="s">
        <v>118</v>
      </c>
      <c r="I585" s="15">
        <f>SUM(I586:I591)</f>
        <v>115643</v>
      </c>
      <c r="J585" s="15">
        <f>SUM(J586:J591)</f>
        <v>43049</v>
      </c>
      <c r="K585" s="354">
        <f t="shared" si="96"/>
        <v>37.225772420293488</v>
      </c>
      <c r="L585" s="15"/>
      <c r="M585" s="15"/>
      <c r="N585" s="354"/>
      <c r="O585" s="16">
        <f t="shared" si="91"/>
        <v>115643</v>
      </c>
      <c r="P585" s="16">
        <f t="shared" si="92"/>
        <v>43049</v>
      </c>
      <c r="Q585" s="354">
        <f t="shared" si="93"/>
        <v>37.225772420293488</v>
      </c>
    </row>
    <row r="586" spans="2:17" x14ac:dyDescent="0.2">
      <c r="B586" s="6">
        <f t="shared" si="94"/>
        <v>96</v>
      </c>
      <c r="C586" s="17"/>
      <c r="D586" s="17"/>
      <c r="E586" s="17"/>
      <c r="F586" s="18"/>
      <c r="G586" s="19">
        <v>632</v>
      </c>
      <c r="H586" s="17" t="s">
        <v>131</v>
      </c>
      <c r="I586" s="20">
        <f>51070-14923</f>
        <v>36147</v>
      </c>
      <c r="J586" s="20">
        <v>24657</v>
      </c>
      <c r="K586" s="354">
        <f t="shared" si="96"/>
        <v>68.213129720308743</v>
      </c>
      <c r="L586" s="20"/>
      <c r="M586" s="20"/>
      <c r="N586" s="354"/>
      <c r="O586" s="21">
        <f t="shared" si="91"/>
        <v>36147</v>
      </c>
      <c r="P586" s="21">
        <f t="shared" si="92"/>
        <v>24657</v>
      </c>
      <c r="Q586" s="354">
        <f t="shared" si="93"/>
        <v>68.213129720308743</v>
      </c>
    </row>
    <row r="587" spans="2:17" x14ac:dyDescent="0.2">
      <c r="B587" s="6">
        <f t="shared" si="94"/>
        <v>97</v>
      </c>
      <c r="C587" s="17"/>
      <c r="D587" s="17"/>
      <c r="E587" s="17"/>
      <c r="F587" s="18"/>
      <c r="G587" s="19">
        <v>633</v>
      </c>
      <c r="H587" s="17" t="s">
        <v>122</v>
      </c>
      <c r="I587" s="20">
        <f>36449+544</f>
        <v>36993</v>
      </c>
      <c r="J587" s="20">
        <v>4089</v>
      </c>
      <c r="K587" s="354">
        <f t="shared" si="96"/>
        <v>11.053442543183847</v>
      </c>
      <c r="L587" s="20"/>
      <c r="M587" s="20"/>
      <c r="N587" s="354"/>
      <c r="O587" s="21">
        <f t="shared" si="91"/>
        <v>36993</v>
      </c>
      <c r="P587" s="21">
        <f t="shared" si="92"/>
        <v>4089</v>
      </c>
      <c r="Q587" s="354">
        <f t="shared" si="93"/>
        <v>11.053442543183847</v>
      </c>
    </row>
    <row r="588" spans="2:17" x14ac:dyDescent="0.2">
      <c r="B588" s="6">
        <f t="shared" si="94"/>
        <v>98</v>
      </c>
      <c r="C588" s="17"/>
      <c r="D588" s="17"/>
      <c r="E588" s="17"/>
      <c r="F588" s="18"/>
      <c r="G588" s="19">
        <v>634</v>
      </c>
      <c r="H588" s="17" t="s">
        <v>129</v>
      </c>
      <c r="I588" s="20">
        <f>600+329</f>
        <v>929</v>
      </c>
      <c r="J588" s="20">
        <v>94</v>
      </c>
      <c r="K588" s="354">
        <f t="shared" si="96"/>
        <v>10.118406889128096</v>
      </c>
      <c r="L588" s="20"/>
      <c r="M588" s="20"/>
      <c r="N588" s="354"/>
      <c r="O588" s="21">
        <f t="shared" si="91"/>
        <v>929</v>
      </c>
      <c r="P588" s="21">
        <f t="shared" si="92"/>
        <v>94</v>
      </c>
      <c r="Q588" s="354">
        <f t="shared" si="93"/>
        <v>10.118406889128096</v>
      </c>
    </row>
    <row r="589" spans="2:17" x14ac:dyDescent="0.2">
      <c r="B589" s="6">
        <f t="shared" si="94"/>
        <v>99</v>
      </c>
      <c r="C589" s="17"/>
      <c r="D589" s="17"/>
      <c r="E589" s="17"/>
      <c r="F589" s="18"/>
      <c r="G589" s="19">
        <v>635</v>
      </c>
      <c r="H589" s="17" t="s">
        <v>130</v>
      </c>
      <c r="I589" s="20">
        <f>12000+6960</f>
        <v>18960</v>
      </c>
      <c r="J589" s="20">
        <v>5950</v>
      </c>
      <c r="K589" s="354">
        <f t="shared" si="96"/>
        <v>31.381856540084392</v>
      </c>
      <c r="L589" s="20"/>
      <c r="M589" s="20"/>
      <c r="N589" s="354"/>
      <c r="O589" s="21">
        <f t="shared" si="91"/>
        <v>18960</v>
      </c>
      <c r="P589" s="21">
        <f t="shared" si="92"/>
        <v>5950</v>
      </c>
      <c r="Q589" s="354">
        <f t="shared" si="93"/>
        <v>31.381856540084392</v>
      </c>
    </row>
    <row r="590" spans="2:17" x14ac:dyDescent="0.2">
      <c r="B590" s="6">
        <f t="shared" si="94"/>
        <v>100</v>
      </c>
      <c r="C590" s="17"/>
      <c r="D590" s="17"/>
      <c r="E590" s="17"/>
      <c r="F590" s="18"/>
      <c r="G590" s="19">
        <v>636</v>
      </c>
      <c r="H590" s="17" t="s">
        <v>123</v>
      </c>
      <c r="I590" s="20">
        <v>493</v>
      </c>
      <c r="J590" s="20">
        <v>92</v>
      </c>
      <c r="K590" s="354">
        <f t="shared" si="96"/>
        <v>18.661257606490871</v>
      </c>
      <c r="L590" s="20"/>
      <c r="M590" s="20"/>
      <c r="N590" s="354"/>
      <c r="O590" s="21">
        <f t="shared" si="91"/>
        <v>493</v>
      </c>
      <c r="P590" s="21">
        <f t="shared" si="92"/>
        <v>92</v>
      </c>
      <c r="Q590" s="354">
        <f t="shared" si="93"/>
        <v>18.661257606490871</v>
      </c>
    </row>
    <row r="591" spans="2:17" x14ac:dyDescent="0.2">
      <c r="B591" s="6">
        <f t="shared" si="94"/>
        <v>101</v>
      </c>
      <c r="C591" s="17"/>
      <c r="D591" s="17"/>
      <c r="E591" s="17"/>
      <c r="F591" s="18"/>
      <c r="G591" s="19">
        <v>637</v>
      </c>
      <c r="H591" s="17" t="s">
        <v>119</v>
      </c>
      <c r="I591" s="20">
        <f>12830+9291</f>
        <v>22121</v>
      </c>
      <c r="J591" s="20">
        <v>8167</v>
      </c>
      <c r="K591" s="354">
        <f t="shared" si="96"/>
        <v>36.919669092717328</v>
      </c>
      <c r="L591" s="20"/>
      <c r="M591" s="20"/>
      <c r="N591" s="354"/>
      <c r="O591" s="21">
        <f t="shared" si="91"/>
        <v>22121</v>
      </c>
      <c r="P591" s="21">
        <f t="shared" si="92"/>
        <v>8167</v>
      </c>
      <c r="Q591" s="354">
        <f t="shared" si="93"/>
        <v>36.919669092717328</v>
      </c>
    </row>
    <row r="592" spans="2:17" x14ac:dyDescent="0.2">
      <c r="B592" s="6">
        <f t="shared" si="94"/>
        <v>102</v>
      </c>
      <c r="C592" s="12"/>
      <c r="D592" s="12"/>
      <c r="E592" s="12"/>
      <c r="F592" s="13" t="s">
        <v>184</v>
      </c>
      <c r="G592" s="14">
        <v>640</v>
      </c>
      <c r="H592" s="12" t="s">
        <v>126</v>
      </c>
      <c r="I592" s="15">
        <f>4850+336</f>
        <v>5186</v>
      </c>
      <c r="J592" s="15">
        <v>756</v>
      </c>
      <c r="K592" s="354">
        <f t="shared" si="96"/>
        <v>14.577709217123022</v>
      </c>
      <c r="L592" s="15"/>
      <c r="M592" s="15"/>
      <c r="N592" s="354"/>
      <c r="O592" s="16">
        <f t="shared" si="91"/>
        <v>5186</v>
      </c>
      <c r="P592" s="16">
        <f t="shared" si="92"/>
        <v>756</v>
      </c>
      <c r="Q592" s="354">
        <f t="shared" si="93"/>
        <v>14.577709217123022</v>
      </c>
    </row>
    <row r="593" spans="2:17" x14ac:dyDescent="0.2">
      <c r="B593" s="6">
        <f t="shared" si="94"/>
        <v>103</v>
      </c>
      <c r="C593" s="12"/>
      <c r="D593" s="12"/>
      <c r="E593" s="12"/>
      <c r="F593" s="13" t="s">
        <v>184</v>
      </c>
      <c r="G593" s="14">
        <v>710</v>
      </c>
      <c r="H593" s="12" t="s">
        <v>172</v>
      </c>
      <c r="I593" s="15"/>
      <c r="J593" s="15"/>
      <c r="K593" s="354"/>
      <c r="L593" s="15">
        <f>L594</f>
        <v>18000</v>
      </c>
      <c r="M593" s="15">
        <f>M594</f>
        <v>0</v>
      </c>
      <c r="N593" s="354">
        <f>M593/L593*100</f>
        <v>0</v>
      </c>
      <c r="O593" s="16">
        <f t="shared" si="91"/>
        <v>18000</v>
      </c>
      <c r="P593" s="16">
        <f t="shared" si="92"/>
        <v>0</v>
      </c>
      <c r="Q593" s="354">
        <f t="shared" si="93"/>
        <v>0</v>
      </c>
    </row>
    <row r="594" spans="2:17" x14ac:dyDescent="0.2">
      <c r="B594" s="6">
        <f t="shared" si="94"/>
        <v>104</v>
      </c>
      <c r="C594" s="17"/>
      <c r="D594" s="17"/>
      <c r="E594" s="17"/>
      <c r="F594" s="18"/>
      <c r="G594" s="19">
        <v>717</v>
      </c>
      <c r="H594" s="17" t="s">
        <v>179</v>
      </c>
      <c r="I594" s="20"/>
      <c r="J594" s="20"/>
      <c r="K594" s="354"/>
      <c r="L594" s="20">
        <f>L595</f>
        <v>18000</v>
      </c>
      <c r="M594" s="20">
        <f>M595</f>
        <v>0</v>
      </c>
      <c r="N594" s="354">
        <f>M594/L594*100</f>
        <v>0</v>
      </c>
      <c r="O594" s="21">
        <f t="shared" si="91"/>
        <v>18000</v>
      </c>
      <c r="P594" s="21">
        <f t="shared" si="92"/>
        <v>0</v>
      </c>
      <c r="Q594" s="354">
        <f t="shared" si="93"/>
        <v>0</v>
      </c>
    </row>
    <row r="595" spans="2:17" x14ac:dyDescent="0.2">
      <c r="B595" s="6">
        <f t="shared" si="94"/>
        <v>105</v>
      </c>
      <c r="C595" s="1"/>
      <c r="D595" s="1"/>
      <c r="E595" s="1"/>
      <c r="F595" s="99"/>
      <c r="G595" s="23"/>
      <c r="H595" s="1" t="s">
        <v>337</v>
      </c>
      <c r="I595" s="24"/>
      <c r="J595" s="24"/>
      <c r="K595" s="354"/>
      <c r="L595" s="24">
        <v>18000</v>
      </c>
      <c r="M595" s="24">
        <v>0</v>
      </c>
      <c r="N595" s="354">
        <f>M595/L595*100</f>
        <v>0</v>
      </c>
      <c r="O595" s="26">
        <f t="shared" si="91"/>
        <v>18000</v>
      </c>
      <c r="P595" s="26">
        <f t="shared" si="92"/>
        <v>0</v>
      </c>
      <c r="Q595" s="354">
        <f t="shared" si="93"/>
        <v>0</v>
      </c>
    </row>
    <row r="596" spans="2:17" x14ac:dyDescent="0.2">
      <c r="B596" s="6">
        <f t="shared" si="94"/>
        <v>106</v>
      </c>
      <c r="C596" s="105"/>
      <c r="D596" s="105"/>
      <c r="E596" s="105" t="s">
        <v>80</v>
      </c>
      <c r="F596" s="106"/>
      <c r="G596" s="106"/>
      <c r="H596" s="105" t="s">
        <v>464</v>
      </c>
      <c r="I596" s="107">
        <f>I597+I598+I599+I606</f>
        <v>513376</v>
      </c>
      <c r="J596" s="107">
        <f>J597+J598+J599+J606</f>
        <v>223106</v>
      </c>
      <c r="K596" s="354">
        <f t="shared" ref="K596:K606" si="97">J596/I596*100</f>
        <v>43.458595649192794</v>
      </c>
      <c r="L596" s="107">
        <f>L607</f>
        <v>32500</v>
      </c>
      <c r="M596" s="107">
        <f>M607</f>
        <v>17995</v>
      </c>
      <c r="N596" s="354">
        <f>M596/L596*100</f>
        <v>55.369230769230768</v>
      </c>
      <c r="O596" s="108">
        <f t="shared" si="91"/>
        <v>545876</v>
      </c>
      <c r="P596" s="108">
        <f t="shared" si="92"/>
        <v>241101</v>
      </c>
      <c r="Q596" s="354">
        <f t="shared" si="93"/>
        <v>44.167723072639205</v>
      </c>
    </row>
    <row r="597" spans="2:17" x14ac:dyDescent="0.2">
      <c r="B597" s="6">
        <f t="shared" si="94"/>
        <v>107</v>
      </c>
      <c r="C597" s="12"/>
      <c r="D597" s="12"/>
      <c r="E597" s="12"/>
      <c r="F597" s="13" t="s">
        <v>184</v>
      </c>
      <c r="G597" s="14">
        <v>610</v>
      </c>
      <c r="H597" s="12" t="s">
        <v>128</v>
      </c>
      <c r="I597" s="15">
        <f>280273-20020+19611+100+3800</f>
        <v>283764</v>
      </c>
      <c r="J597" s="15">
        <v>130548</v>
      </c>
      <c r="K597" s="354">
        <f t="shared" si="97"/>
        <v>46.005835835412526</v>
      </c>
      <c r="L597" s="15"/>
      <c r="M597" s="15"/>
      <c r="N597" s="354"/>
      <c r="O597" s="16">
        <f t="shared" si="91"/>
        <v>283764</v>
      </c>
      <c r="P597" s="16">
        <f t="shared" si="92"/>
        <v>130548</v>
      </c>
      <c r="Q597" s="354">
        <f t="shared" si="93"/>
        <v>46.005835835412526</v>
      </c>
    </row>
    <row r="598" spans="2:17" x14ac:dyDescent="0.2">
      <c r="B598" s="6">
        <f t="shared" si="94"/>
        <v>108</v>
      </c>
      <c r="C598" s="12"/>
      <c r="D598" s="12"/>
      <c r="E598" s="12"/>
      <c r="F598" s="13" t="s">
        <v>184</v>
      </c>
      <c r="G598" s="14">
        <v>620</v>
      </c>
      <c r="H598" s="12" t="s">
        <v>121</v>
      </c>
      <c r="I598" s="15">
        <f>105916-7598+7590+35+1366</f>
        <v>107309</v>
      </c>
      <c r="J598" s="15">
        <v>48102</v>
      </c>
      <c r="K598" s="354">
        <f t="shared" si="97"/>
        <v>44.825690296247281</v>
      </c>
      <c r="L598" s="15"/>
      <c r="M598" s="15"/>
      <c r="N598" s="354"/>
      <c r="O598" s="16">
        <f t="shared" si="91"/>
        <v>107309</v>
      </c>
      <c r="P598" s="16">
        <f t="shared" si="92"/>
        <v>48102</v>
      </c>
      <c r="Q598" s="354">
        <f t="shared" si="93"/>
        <v>44.825690296247281</v>
      </c>
    </row>
    <row r="599" spans="2:17" x14ac:dyDescent="0.2">
      <c r="B599" s="6">
        <f t="shared" si="94"/>
        <v>109</v>
      </c>
      <c r="C599" s="12"/>
      <c r="D599" s="12"/>
      <c r="E599" s="12"/>
      <c r="F599" s="13" t="s">
        <v>184</v>
      </c>
      <c r="G599" s="14">
        <v>630</v>
      </c>
      <c r="H599" s="12" t="s">
        <v>118</v>
      </c>
      <c r="I599" s="15">
        <f>SUM(I600:I605)</f>
        <v>119780</v>
      </c>
      <c r="J599" s="15">
        <f>SUM(J600:J605)</f>
        <v>42525</v>
      </c>
      <c r="K599" s="354">
        <f t="shared" si="97"/>
        <v>35.502588078143262</v>
      </c>
      <c r="L599" s="15"/>
      <c r="M599" s="15"/>
      <c r="N599" s="354"/>
      <c r="O599" s="16">
        <f t="shared" si="91"/>
        <v>119780</v>
      </c>
      <c r="P599" s="16">
        <f t="shared" si="92"/>
        <v>42525</v>
      </c>
      <c r="Q599" s="354">
        <f t="shared" si="93"/>
        <v>35.502588078143262</v>
      </c>
    </row>
    <row r="600" spans="2:17" x14ac:dyDescent="0.2">
      <c r="B600" s="6">
        <f t="shared" si="94"/>
        <v>110</v>
      </c>
      <c r="C600" s="17"/>
      <c r="D600" s="17"/>
      <c r="E600" s="17"/>
      <c r="F600" s="18"/>
      <c r="G600" s="19">
        <v>632</v>
      </c>
      <c r="H600" s="17" t="s">
        <v>131</v>
      </c>
      <c r="I600" s="20">
        <f>67240-19927</f>
        <v>47313</v>
      </c>
      <c r="J600" s="20">
        <v>22032</v>
      </c>
      <c r="K600" s="354">
        <f t="shared" si="97"/>
        <v>46.56648278485828</v>
      </c>
      <c r="L600" s="20"/>
      <c r="M600" s="20"/>
      <c r="N600" s="354"/>
      <c r="O600" s="21">
        <f t="shared" si="91"/>
        <v>47313</v>
      </c>
      <c r="P600" s="21">
        <f t="shared" si="92"/>
        <v>22032</v>
      </c>
      <c r="Q600" s="354">
        <f t="shared" si="93"/>
        <v>46.56648278485828</v>
      </c>
    </row>
    <row r="601" spans="2:17" x14ac:dyDescent="0.2">
      <c r="B601" s="6">
        <f t="shared" si="94"/>
        <v>111</v>
      </c>
      <c r="C601" s="17"/>
      <c r="D601" s="17"/>
      <c r="E601" s="17"/>
      <c r="F601" s="18"/>
      <c r="G601" s="19">
        <v>633</v>
      </c>
      <c r="H601" s="17" t="s">
        <v>122</v>
      </c>
      <c r="I601" s="20">
        <f>36308+300</f>
        <v>36608</v>
      </c>
      <c r="J601" s="20">
        <v>6069</v>
      </c>
      <c r="K601" s="354">
        <f t="shared" si="97"/>
        <v>16.57834353146853</v>
      </c>
      <c r="L601" s="20"/>
      <c r="M601" s="20"/>
      <c r="N601" s="354"/>
      <c r="O601" s="21">
        <f t="shared" si="91"/>
        <v>36608</v>
      </c>
      <c r="P601" s="21">
        <f t="shared" si="92"/>
        <v>6069</v>
      </c>
      <c r="Q601" s="354">
        <f t="shared" si="93"/>
        <v>16.57834353146853</v>
      </c>
    </row>
    <row r="602" spans="2:17" x14ac:dyDescent="0.2">
      <c r="B602" s="6">
        <f t="shared" si="94"/>
        <v>112</v>
      </c>
      <c r="C602" s="17"/>
      <c r="D602" s="17"/>
      <c r="E602" s="17"/>
      <c r="F602" s="18"/>
      <c r="G602" s="19">
        <v>634</v>
      </c>
      <c r="H602" s="17" t="s">
        <v>129</v>
      </c>
      <c r="I602" s="20">
        <f>400+310+90</f>
        <v>800</v>
      </c>
      <c r="J602" s="20">
        <v>388</v>
      </c>
      <c r="K602" s="354">
        <f t="shared" si="97"/>
        <v>48.5</v>
      </c>
      <c r="L602" s="20"/>
      <c r="M602" s="20"/>
      <c r="N602" s="354"/>
      <c r="O602" s="21">
        <f t="shared" si="91"/>
        <v>800</v>
      </c>
      <c r="P602" s="21">
        <f t="shared" si="92"/>
        <v>388</v>
      </c>
      <c r="Q602" s="354">
        <f t="shared" si="93"/>
        <v>48.5</v>
      </c>
    </row>
    <row r="603" spans="2:17" x14ac:dyDescent="0.2">
      <c r="B603" s="6">
        <f t="shared" si="94"/>
        <v>113</v>
      </c>
      <c r="C603" s="17"/>
      <c r="D603" s="17"/>
      <c r="E603" s="17"/>
      <c r="F603" s="18"/>
      <c r="G603" s="19">
        <v>635</v>
      </c>
      <c r="H603" s="17" t="s">
        <v>130</v>
      </c>
      <c r="I603" s="20">
        <f>7800+7441</f>
        <v>15241</v>
      </c>
      <c r="J603" s="20">
        <v>4614</v>
      </c>
      <c r="K603" s="354">
        <f t="shared" si="97"/>
        <v>30.273604094219543</v>
      </c>
      <c r="L603" s="20"/>
      <c r="M603" s="20"/>
      <c r="N603" s="354"/>
      <c r="O603" s="21">
        <f t="shared" si="91"/>
        <v>15241</v>
      </c>
      <c r="P603" s="21">
        <f t="shared" si="92"/>
        <v>4614</v>
      </c>
      <c r="Q603" s="354">
        <f t="shared" si="93"/>
        <v>30.273604094219543</v>
      </c>
    </row>
    <row r="604" spans="2:17" x14ac:dyDescent="0.2">
      <c r="B604" s="6">
        <f t="shared" si="94"/>
        <v>114</v>
      </c>
      <c r="C604" s="17"/>
      <c r="D604" s="17"/>
      <c r="E604" s="17"/>
      <c r="F604" s="18"/>
      <c r="G604" s="19">
        <v>636</v>
      </c>
      <c r="H604" s="17" t="s">
        <v>123</v>
      </c>
      <c r="I604" s="20">
        <v>465</v>
      </c>
      <c r="J604" s="20">
        <v>87</v>
      </c>
      <c r="K604" s="354">
        <f t="shared" si="97"/>
        <v>18.70967741935484</v>
      </c>
      <c r="L604" s="20"/>
      <c r="M604" s="20"/>
      <c r="N604" s="354"/>
      <c r="O604" s="21">
        <f t="shared" si="91"/>
        <v>465</v>
      </c>
      <c r="P604" s="21">
        <f t="shared" si="92"/>
        <v>87</v>
      </c>
      <c r="Q604" s="354">
        <f t="shared" si="93"/>
        <v>18.70967741935484</v>
      </c>
    </row>
    <row r="605" spans="2:17" x14ac:dyDescent="0.2">
      <c r="B605" s="6">
        <f t="shared" si="94"/>
        <v>115</v>
      </c>
      <c r="C605" s="17"/>
      <c r="D605" s="17"/>
      <c r="E605" s="17"/>
      <c r="F605" s="18"/>
      <c r="G605" s="19">
        <v>637</v>
      </c>
      <c r="H605" s="17" t="s">
        <v>119</v>
      </c>
      <c r="I605" s="20">
        <f>11730+8713-1090</f>
        <v>19353</v>
      </c>
      <c r="J605" s="20">
        <v>9335</v>
      </c>
      <c r="K605" s="354">
        <f t="shared" si="97"/>
        <v>48.235415697824621</v>
      </c>
      <c r="L605" s="20"/>
      <c r="M605" s="20"/>
      <c r="N605" s="354"/>
      <c r="O605" s="21">
        <f t="shared" si="91"/>
        <v>19353</v>
      </c>
      <c r="P605" s="21">
        <f t="shared" si="92"/>
        <v>9335</v>
      </c>
      <c r="Q605" s="354">
        <f t="shared" si="93"/>
        <v>48.235415697824621</v>
      </c>
    </row>
    <row r="606" spans="2:17" x14ac:dyDescent="0.2">
      <c r="B606" s="6">
        <f t="shared" si="94"/>
        <v>116</v>
      </c>
      <c r="C606" s="12"/>
      <c r="D606" s="12"/>
      <c r="E606" s="12"/>
      <c r="F606" s="13" t="s">
        <v>184</v>
      </c>
      <c r="G606" s="14">
        <v>640</v>
      </c>
      <c r="H606" s="12" t="s">
        <v>126</v>
      </c>
      <c r="I606" s="15">
        <f>1206+317+1000</f>
        <v>2523</v>
      </c>
      <c r="J606" s="15">
        <v>1931</v>
      </c>
      <c r="K606" s="354">
        <f t="shared" si="97"/>
        <v>76.535869996036467</v>
      </c>
      <c r="L606" s="15"/>
      <c r="M606" s="15"/>
      <c r="N606" s="354"/>
      <c r="O606" s="16">
        <f t="shared" si="91"/>
        <v>2523</v>
      </c>
      <c r="P606" s="16">
        <f t="shared" si="92"/>
        <v>1931</v>
      </c>
      <c r="Q606" s="354">
        <f t="shared" si="93"/>
        <v>76.535869996036467</v>
      </c>
    </row>
    <row r="607" spans="2:17" x14ac:dyDescent="0.2">
      <c r="B607" s="6">
        <f t="shared" si="94"/>
        <v>117</v>
      </c>
      <c r="C607" s="12"/>
      <c r="D607" s="12"/>
      <c r="E607" s="12"/>
      <c r="F607" s="13" t="s">
        <v>184</v>
      </c>
      <c r="G607" s="14">
        <v>710</v>
      </c>
      <c r="H607" s="12" t="s">
        <v>172</v>
      </c>
      <c r="I607" s="15"/>
      <c r="J607" s="15"/>
      <c r="K607" s="354"/>
      <c r="L607" s="15">
        <f>L608</f>
        <v>32500</v>
      </c>
      <c r="M607" s="15">
        <f>M608</f>
        <v>17995</v>
      </c>
      <c r="N607" s="354">
        <f>M607/L607*100</f>
        <v>55.369230769230768</v>
      </c>
      <c r="O607" s="16">
        <f t="shared" si="91"/>
        <v>32500</v>
      </c>
      <c r="P607" s="16">
        <f t="shared" si="92"/>
        <v>17995</v>
      </c>
      <c r="Q607" s="354">
        <f t="shared" si="93"/>
        <v>55.369230769230768</v>
      </c>
    </row>
    <row r="608" spans="2:17" x14ac:dyDescent="0.2">
      <c r="B608" s="6">
        <f t="shared" si="94"/>
        <v>118</v>
      </c>
      <c r="C608" s="12"/>
      <c r="D608" s="12"/>
      <c r="E608" s="12"/>
      <c r="F608" s="13"/>
      <c r="G608" s="19">
        <v>717</v>
      </c>
      <c r="H608" s="17" t="s">
        <v>179</v>
      </c>
      <c r="I608" s="20"/>
      <c r="J608" s="20"/>
      <c r="K608" s="354"/>
      <c r="L608" s="20">
        <f>SUM(L609:L610)</f>
        <v>32500</v>
      </c>
      <c r="M608" s="20">
        <f>SUM(M609:M610)</f>
        <v>17995</v>
      </c>
      <c r="N608" s="354">
        <f>M608/L608*100</f>
        <v>55.369230769230768</v>
      </c>
      <c r="O608" s="16">
        <f t="shared" si="91"/>
        <v>32500</v>
      </c>
      <c r="P608" s="16">
        <f t="shared" si="92"/>
        <v>17995</v>
      </c>
      <c r="Q608" s="354">
        <f t="shared" si="93"/>
        <v>55.369230769230768</v>
      </c>
    </row>
    <row r="609" spans="2:17" x14ac:dyDescent="0.2">
      <c r="B609" s="6">
        <f t="shared" si="94"/>
        <v>119</v>
      </c>
      <c r="C609" s="1"/>
      <c r="D609" s="1"/>
      <c r="E609" s="1"/>
      <c r="F609" s="99"/>
      <c r="G609" s="23"/>
      <c r="H609" s="1" t="s">
        <v>572</v>
      </c>
      <c r="I609" s="24"/>
      <c r="J609" s="24"/>
      <c r="K609" s="354"/>
      <c r="L609" s="24">
        <v>14500</v>
      </c>
      <c r="M609" s="24">
        <v>0</v>
      </c>
      <c r="N609" s="354">
        <f>M609/L609*100</f>
        <v>0</v>
      </c>
      <c r="O609" s="26">
        <f t="shared" si="91"/>
        <v>14500</v>
      </c>
      <c r="P609" s="26">
        <f t="shared" si="92"/>
        <v>0</v>
      </c>
      <c r="Q609" s="354">
        <f t="shared" si="93"/>
        <v>0</v>
      </c>
    </row>
    <row r="610" spans="2:17" x14ac:dyDescent="0.2">
      <c r="B610" s="6">
        <f t="shared" si="94"/>
        <v>120</v>
      </c>
      <c r="C610" s="1"/>
      <c r="D610" s="1"/>
      <c r="E610" s="1"/>
      <c r="F610" s="99"/>
      <c r="G610" s="23"/>
      <c r="H610" s="1" t="s">
        <v>588</v>
      </c>
      <c r="I610" s="24"/>
      <c r="J610" s="24"/>
      <c r="K610" s="354"/>
      <c r="L610" s="24">
        <v>18000</v>
      </c>
      <c r="M610" s="24">
        <v>17995</v>
      </c>
      <c r="N610" s="354">
        <f>M610/L610*100</f>
        <v>99.972222222222214</v>
      </c>
      <c r="O610" s="26">
        <f t="shared" si="91"/>
        <v>18000</v>
      </c>
      <c r="P610" s="26">
        <f t="shared" si="92"/>
        <v>17995</v>
      </c>
      <c r="Q610" s="354">
        <f t="shared" si="93"/>
        <v>99.972222222222214</v>
      </c>
    </row>
    <row r="611" spans="2:17" x14ac:dyDescent="0.2">
      <c r="B611" s="6">
        <f t="shared" si="94"/>
        <v>121</v>
      </c>
      <c r="C611" s="105"/>
      <c r="D611" s="105"/>
      <c r="E611" s="105" t="s">
        <v>98</v>
      </c>
      <c r="F611" s="106"/>
      <c r="G611" s="106"/>
      <c r="H611" s="105" t="s">
        <v>99</v>
      </c>
      <c r="I611" s="107">
        <f>I612+I613+I614+I621</f>
        <v>324594</v>
      </c>
      <c r="J611" s="107">
        <f>J612+J613+J614+J621</f>
        <v>129635</v>
      </c>
      <c r="K611" s="354">
        <f t="shared" ref="K611:K621" si="98">J611/I611*100</f>
        <v>39.937583565931597</v>
      </c>
      <c r="L611" s="107">
        <f>L622</f>
        <v>25500</v>
      </c>
      <c r="M611" s="107">
        <f>M622</f>
        <v>0</v>
      </c>
      <c r="N611" s="354">
        <f>M611/L611*100</f>
        <v>0</v>
      </c>
      <c r="O611" s="108">
        <f t="shared" si="91"/>
        <v>350094</v>
      </c>
      <c r="P611" s="108">
        <f t="shared" si="92"/>
        <v>129635</v>
      </c>
      <c r="Q611" s="354">
        <f t="shared" si="93"/>
        <v>37.028626597428122</v>
      </c>
    </row>
    <row r="612" spans="2:17" x14ac:dyDescent="0.2">
      <c r="B612" s="6">
        <f t="shared" si="94"/>
        <v>122</v>
      </c>
      <c r="C612" s="12"/>
      <c r="D612" s="12"/>
      <c r="E612" s="12"/>
      <c r="F612" s="13" t="s">
        <v>184</v>
      </c>
      <c r="G612" s="14">
        <v>610</v>
      </c>
      <c r="H612" s="12" t="s">
        <v>128</v>
      </c>
      <c r="I612" s="15">
        <f>221711-15837-2910-12844+633</f>
        <v>190753</v>
      </c>
      <c r="J612" s="15">
        <v>82277</v>
      </c>
      <c r="K612" s="354">
        <f t="shared" si="98"/>
        <v>43.132742342191207</v>
      </c>
      <c r="L612" s="15"/>
      <c r="M612" s="15"/>
      <c r="N612" s="354"/>
      <c r="O612" s="16">
        <f t="shared" si="91"/>
        <v>190753</v>
      </c>
      <c r="P612" s="16">
        <f t="shared" si="92"/>
        <v>82277</v>
      </c>
      <c r="Q612" s="354">
        <f t="shared" si="93"/>
        <v>43.132742342191207</v>
      </c>
    </row>
    <row r="613" spans="2:17" x14ac:dyDescent="0.2">
      <c r="B613" s="6">
        <f t="shared" si="94"/>
        <v>123</v>
      </c>
      <c r="C613" s="12"/>
      <c r="D613" s="12"/>
      <c r="E613" s="12"/>
      <c r="F613" s="13" t="s">
        <v>184</v>
      </c>
      <c r="G613" s="14">
        <v>620</v>
      </c>
      <c r="H613" s="12" t="s">
        <v>121</v>
      </c>
      <c r="I613" s="15">
        <f>83970-6010-936-4874+228</f>
        <v>72378</v>
      </c>
      <c r="J613" s="15">
        <v>30424</v>
      </c>
      <c r="K613" s="354">
        <f t="shared" si="98"/>
        <v>42.034872475061483</v>
      </c>
      <c r="L613" s="15"/>
      <c r="M613" s="15"/>
      <c r="N613" s="354"/>
      <c r="O613" s="16">
        <f t="shared" si="91"/>
        <v>72378</v>
      </c>
      <c r="P613" s="16">
        <f t="shared" si="92"/>
        <v>30424</v>
      </c>
      <c r="Q613" s="354">
        <f t="shared" si="93"/>
        <v>42.034872475061483</v>
      </c>
    </row>
    <row r="614" spans="2:17" x14ac:dyDescent="0.2">
      <c r="B614" s="6">
        <f t="shared" si="94"/>
        <v>124</v>
      </c>
      <c r="C614" s="12"/>
      <c r="D614" s="12"/>
      <c r="E614" s="12"/>
      <c r="F614" s="13" t="s">
        <v>184</v>
      </c>
      <c r="G614" s="14">
        <v>630</v>
      </c>
      <c r="H614" s="12" t="s">
        <v>118</v>
      </c>
      <c r="I614" s="15">
        <f>SUM(I615:I620)</f>
        <v>60041</v>
      </c>
      <c r="J614" s="15">
        <f>SUM(J615:J620)</f>
        <v>16627</v>
      </c>
      <c r="K614" s="354">
        <f t="shared" si="98"/>
        <v>27.692743292083744</v>
      </c>
      <c r="L614" s="15"/>
      <c r="M614" s="15"/>
      <c r="N614" s="354"/>
      <c r="O614" s="16">
        <f t="shared" si="91"/>
        <v>60041</v>
      </c>
      <c r="P614" s="16">
        <f t="shared" si="92"/>
        <v>16627</v>
      </c>
      <c r="Q614" s="354">
        <f t="shared" si="93"/>
        <v>27.692743292083744</v>
      </c>
    </row>
    <row r="615" spans="2:17" x14ac:dyDescent="0.2">
      <c r="B615" s="6">
        <f t="shared" si="94"/>
        <v>125</v>
      </c>
      <c r="C615" s="17"/>
      <c r="D615" s="17"/>
      <c r="E615" s="17"/>
      <c r="F615" s="18"/>
      <c r="G615" s="19">
        <v>632</v>
      </c>
      <c r="H615" s="17" t="s">
        <v>131</v>
      </c>
      <c r="I615" s="20">
        <f>17462-5250</f>
        <v>12212</v>
      </c>
      <c r="J615" s="20">
        <v>6950</v>
      </c>
      <c r="K615" s="354">
        <f t="shared" si="98"/>
        <v>56.911234850966267</v>
      </c>
      <c r="L615" s="20"/>
      <c r="M615" s="20"/>
      <c r="N615" s="354"/>
      <c r="O615" s="21">
        <f t="shared" si="91"/>
        <v>12212</v>
      </c>
      <c r="P615" s="21">
        <f t="shared" si="92"/>
        <v>6950</v>
      </c>
      <c r="Q615" s="354">
        <f t="shared" si="93"/>
        <v>56.911234850966267</v>
      </c>
    </row>
    <row r="616" spans="2:17" x14ac:dyDescent="0.2">
      <c r="B616" s="6">
        <f t="shared" si="94"/>
        <v>126</v>
      </c>
      <c r="C616" s="17"/>
      <c r="D616" s="17"/>
      <c r="E616" s="17"/>
      <c r="F616" s="18"/>
      <c r="G616" s="19">
        <v>633</v>
      </c>
      <c r="H616" s="17" t="s">
        <v>122</v>
      </c>
      <c r="I616" s="20">
        <f>24475+205</f>
        <v>24680</v>
      </c>
      <c r="J616" s="20">
        <v>1972</v>
      </c>
      <c r="K616" s="354">
        <f t="shared" si="98"/>
        <v>7.9902755267423018</v>
      </c>
      <c r="L616" s="20"/>
      <c r="M616" s="20"/>
      <c r="N616" s="354"/>
      <c r="O616" s="21">
        <f t="shared" si="91"/>
        <v>24680</v>
      </c>
      <c r="P616" s="21">
        <f t="shared" si="92"/>
        <v>1972</v>
      </c>
      <c r="Q616" s="354">
        <f t="shared" si="93"/>
        <v>7.9902755267423018</v>
      </c>
    </row>
    <row r="617" spans="2:17" x14ac:dyDescent="0.2">
      <c r="B617" s="6">
        <f t="shared" si="94"/>
        <v>127</v>
      </c>
      <c r="C617" s="17"/>
      <c r="D617" s="17"/>
      <c r="E617" s="17"/>
      <c r="F617" s="18"/>
      <c r="G617" s="19">
        <v>634</v>
      </c>
      <c r="H617" s="17" t="s">
        <v>129</v>
      </c>
      <c r="I617" s="20">
        <f>350+211</f>
        <v>561</v>
      </c>
      <c r="J617" s="20">
        <v>96</v>
      </c>
      <c r="K617" s="354">
        <f t="shared" si="98"/>
        <v>17.112299465240639</v>
      </c>
      <c r="L617" s="20"/>
      <c r="M617" s="20"/>
      <c r="N617" s="354"/>
      <c r="O617" s="21">
        <f t="shared" si="91"/>
        <v>561</v>
      </c>
      <c r="P617" s="21">
        <f t="shared" si="92"/>
        <v>96</v>
      </c>
      <c r="Q617" s="354">
        <f t="shared" si="93"/>
        <v>17.112299465240639</v>
      </c>
    </row>
    <row r="618" spans="2:17" x14ac:dyDescent="0.2">
      <c r="B618" s="6">
        <f t="shared" si="94"/>
        <v>128</v>
      </c>
      <c r="C618" s="17"/>
      <c r="D618" s="17"/>
      <c r="E618" s="17"/>
      <c r="F618" s="18"/>
      <c r="G618" s="19">
        <v>635</v>
      </c>
      <c r="H618" s="17" t="s">
        <v>130</v>
      </c>
      <c r="I618" s="20">
        <f>4000+4520</f>
        <v>8520</v>
      </c>
      <c r="J618" s="20">
        <v>1476</v>
      </c>
      <c r="K618" s="354">
        <f t="shared" si="98"/>
        <v>17.323943661971832</v>
      </c>
      <c r="L618" s="20"/>
      <c r="M618" s="20"/>
      <c r="N618" s="354"/>
      <c r="O618" s="21">
        <f t="shared" si="91"/>
        <v>8520</v>
      </c>
      <c r="P618" s="21">
        <f t="shared" si="92"/>
        <v>1476</v>
      </c>
      <c r="Q618" s="354">
        <f t="shared" si="93"/>
        <v>17.323943661971832</v>
      </c>
    </row>
    <row r="619" spans="2:17" x14ac:dyDescent="0.2">
      <c r="B619" s="6">
        <f t="shared" si="94"/>
        <v>129</v>
      </c>
      <c r="C619" s="17"/>
      <c r="D619" s="17"/>
      <c r="E619" s="17"/>
      <c r="F619" s="18"/>
      <c r="G619" s="19">
        <v>636</v>
      </c>
      <c r="H619" s="17" t="s">
        <v>123</v>
      </c>
      <c r="I619" s="20">
        <v>317</v>
      </c>
      <c r="J619" s="20">
        <v>59</v>
      </c>
      <c r="K619" s="354">
        <f t="shared" si="98"/>
        <v>18.611987381703472</v>
      </c>
      <c r="L619" s="20"/>
      <c r="M619" s="20"/>
      <c r="N619" s="354"/>
      <c r="O619" s="21">
        <f t="shared" ref="O619:O682" si="99">I619+L619</f>
        <v>317</v>
      </c>
      <c r="P619" s="21">
        <f t="shared" ref="P619:P682" si="100">J619+M619</f>
        <v>59</v>
      </c>
      <c r="Q619" s="354">
        <f t="shared" ref="Q619:Q682" si="101">P619/O619*100</f>
        <v>18.611987381703472</v>
      </c>
    </row>
    <row r="620" spans="2:17" x14ac:dyDescent="0.2">
      <c r="B620" s="6">
        <f t="shared" ref="B620:B683" si="102">B619+1</f>
        <v>130</v>
      </c>
      <c r="C620" s="17"/>
      <c r="D620" s="17"/>
      <c r="E620" s="17"/>
      <c r="F620" s="18"/>
      <c r="G620" s="19">
        <v>637</v>
      </c>
      <c r="H620" s="17" t="s">
        <v>119</v>
      </c>
      <c r="I620" s="20">
        <f>9160+4591</f>
        <v>13751</v>
      </c>
      <c r="J620" s="20">
        <v>6074</v>
      </c>
      <c r="K620" s="354">
        <f t="shared" si="98"/>
        <v>44.171332993964072</v>
      </c>
      <c r="L620" s="20"/>
      <c r="M620" s="20"/>
      <c r="N620" s="354"/>
      <c r="O620" s="21">
        <f t="shared" si="99"/>
        <v>13751</v>
      </c>
      <c r="P620" s="21">
        <f t="shared" si="100"/>
        <v>6074</v>
      </c>
      <c r="Q620" s="354">
        <f t="shared" si="101"/>
        <v>44.171332993964072</v>
      </c>
    </row>
    <row r="621" spans="2:17" x14ac:dyDescent="0.2">
      <c r="B621" s="6">
        <f t="shared" si="102"/>
        <v>131</v>
      </c>
      <c r="C621" s="12"/>
      <c r="D621" s="12"/>
      <c r="E621" s="12"/>
      <c r="F621" s="13" t="s">
        <v>184</v>
      </c>
      <c r="G621" s="14">
        <v>640</v>
      </c>
      <c r="H621" s="12" t="s">
        <v>126</v>
      </c>
      <c r="I621" s="15">
        <f>1206+216</f>
        <v>1422</v>
      </c>
      <c r="J621" s="15">
        <v>307</v>
      </c>
      <c r="K621" s="354">
        <f t="shared" si="98"/>
        <v>21.589310829817158</v>
      </c>
      <c r="L621" s="15"/>
      <c r="M621" s="15"/>
      <c r="N621" s="354"/>
      <c r="O621" s="16">
        <f t="shared" si="99"/>
        <v>1422</v>
      </c>
      <c r="P621" s="16">
        <f t="shared" si="100"/>
        <v>307</v>
      </c>
      <c r="Q621" s="354">
        <f t="shared" si="101"/>
        <v>21.589310829817158</v>
      </c>
    </row>
    <row r="622" spans="2:17" x14ac:dyDescent="0.2">
      <c r="B622" s="6">
        <f t="shared" si="102"/>
        <v>132</v>
      </c>
      <c r="C622" s="12"/>
      <c r="D622" s="12"/>
      <c r="E622" s="12"/>
      <c r="F622" s="13" t="s">
        <v>184</v>
      </c>
      <c r="G622" s="14">
        <v>710</v>
      </c>
      <c r="H622" s="12" t="s">
        <v>172</v>
      </c>
      <c r="I622" s="15"/>
      <c r="J622" s="15"/>
      <c r="K622" s="354"/>
      <c r="L622" s="15">
        <f>L623</f>
        <v>25500</v>
      </c>
      <c r="M622" s="15">
        <f>M623</f>
        <v>0</v>
      </c>
      <c r="N622" s="354">
        <f>M622/L622*100</f>
        <v>0</v>
      </c>
      <c r="O622" s="21">
        <f t="shared" si="99"/>
        <v>25500</v>
      </c>
      <c r="P622" s="21">
        <f t="shared" si="100"/>
        <v>0</v>
      </c>
      <c r="Q622" s="354">
        <f t="shared" si="101"/>
        <v>0</v>
      </c>
    </row>
    <row r="623" spans="2:17" x14ac:dyDescent="0.2">
      <c r="B623" s="6">
        <f t="shared" si="102"/>
        <v>133</v>
      </c>
      <c r="C623" s="12"/>
      <c r="D623" s="12"/>
      <c r="E623" s="12"/>
      <c r="F623" s="13"/>
      <c r="G623" s="19">
        <v>717</v>
      </c>
      <c r="H623" s="17" t="s">
        <v>179</v>
      </c>
      <c r="I623" s="20"/>
      <c r="J623" s="20"/>
      <c r="K623" s="354"/>
      <c r="L623" s="20">
        <f>L624</f>
        <v>25500</v>
      </c>
      <c r="M623" s="20">
        <f>M624</f>
        <v>0</v>
      </c>
      <c r="N623" s="354">
        <f>M623/L623*100</f>
        <v>0</v>
      </c>
      <c r="O623" s="21">
        <f t="shared" si="99"/>
        <v>25500</v>
      </c>
      <c r="P623" s="21">
        <f t="shared" si="100"/>
        <v>0</v>
      </c>
      <c r="Q623" s="354">
        <f t="shared" si="101"/>
        <v>0</v>
      </c>
    </row>
    <row r="624" spans="2:17" x14ac:dyDescent="0.2">
      <c r="B624" s="6">
        <f t="shared" si="102"/>
        <v>134</v>
      </c>
      <c r="C624" s="109"/>
      <c r="D624" s="109"/>
      <c r="E624" s="109"/>
      <c r="F624" s="301"/>
      <c r="G624" s="23"/>
      <c r="H624" s="1" t="s">
        <v>614</v>
      </c>
      <c r="I624" s="24"/>
      <c r="J624" s="24"/>
      <c r="K624" s="354"/>
      <c r="L624" s="24">
        <f>10000+15500</f>
        <v>25500</v>
      </c>
      <c r="M624" s="24">
        <v>0</v>
      </c>
      <c r="N624" s="354">
        <f>M624/L624*100</f>
        <v>0</v>
      </c>
      <c r="O624" s="26">
        <f t="shared" si="99"/>
        <v>25500</v>
      </c>
      <c r="P624" s="26">
        <f t="shared" si="100"/>
        <v>0</v>
      </c>
      <c r="Q624" s="354">
        <f t="shared" si="101"/>
        <v>0</v>
      </c>
    </row>
    <row r="625" spans="2:17" x14ac:dyDescent="0.2">
      <c r="B625" s="6">
        <f t="shared" si="102"/>
        <v>135</v>
      </c>
      <c r="C625" s="105"/>
      <c r="D625" s="105"/>
      <c r="E625" s="105" t="s">
        <v>97</v>
      </c>
      <c r="F625" s="106"/>
      <c r="G625" s="106"/>
      <c r="H625" s="105" t="s">
        <v>60</v>
      </c>
      <c r="I625" s="107">
        <f>I626+I627+I628+I635</f>
        <v>487545</v>
      </c>
      <c r="J625" s="107">
        <f>J626+J627+J628+J635</f>
        <v>196193</v>
      </c>
      <c r="K625" s="354">
        <f t="shared" ref="K625:K635" si="103">J625/I625*100</f>
        <v>40.241003394558447</v>
      </c>
      <c r="L625" s="107">
        <f>L636</f>
        <v>40000</v>
      </c>
      <c r="M625" s="107">
        <f>M636</f>
        <v>20000</v>
      </c>
      <c r="N625" s="354">
        <f>M625/L625*100</f>
        <v>50</v>
      </c>
      <c r="O625" s="108">
        <f t="shared" si="99"/>
        <v>527545</v>
      </c>
      <c r="P625" s="108">
        <f t="shared" si="100"/>
        <v>216193</v>
      </c>
      <c r="Q625" s="354">
        <f t="shared" si="101"/>
        <v>40.980958970324807</v>
      </c>
    </row>
    <row r="626" spans="2:17" x14ac:dyDescent="0.2">
      <c r="B626" s="6">
        <f t="shared" si="102"/>
        <v>136</v>
      </c>
      <c r="C626" s="12"/>
      <c r="D626" s="12"/>
      <c r="E626" s="12"/>
      <c r="F626" s="13" t="s">
        <v>184</v>
      </c>
      <c r="G626" s="14">
        <v>610</v>
      </c>
      <c r="H626" s="12" t="s">
        <v>128</v>
      </c>
      <c r="I626" s="15">
        <f>276192-19728+13975</f>
        <v>270439</v>
      </c>
      <c r="J626" s="15">
        <v>112165</v>
      </c>
      <c r="K626" s="354">
        <f t="shared" si="103"/>
        <v>41.475157059447788</v>
      </c>
      <c r="L626" s="15"/>
      <c r="M626" s="15"/>
      <c r="N626" s="354"/>
      <c r="O626" s="16">
        <f t="shared" si="99"/>
        <v>270439</v>
      </c>
      <c r="P626" s="16">
        <f t="shared" si="100"/>
        <v>112165</v>
      </c>
      <c r="Q626" s="354">
        <f t="shared" si="101"/>
        <v>41.475157059447788</v>
      </c>
    </row>
    <row r="627" spans="2:17" x14ac:dyDescent="0.2">
      <c r="B627" s="6">
        <f t="shared" si="102"/>
        <v>137</v>
      </c>
      <c r="C627" s="12"/>
      <c r="D627" s="12"/>
      <c r="E627" s="12"/>
      <c r="F627" s="13" t="s">
        <v>184</v>
      </c>
      <c r="G627" s="14">
        <v>620</v>
      </c>
      <c r="H627" s="12" t="s">
        <v>121</v>
      </c>
      <c r="I627" s="15">
        <f>107241-7487+2516</f>
        <v>102270</v>
      </c>
      <c r="J627" s="15">
        <v>40862</v>
      </c>
      <c r="K627" s="354">
        <f t="shared" si="103"/>
        <v>39.95502102278283</v>
      </c>
      <c r="L627" s="15"/>
      <c r="M627" s="15"/>
      <c r="N627" s="354"/>
      <c r="O627" s="16">
        <f t="shared" si="99"/>
        <v>102270</v>
      </c>
      <c r="P627" s="16">
        <f t="shared" si="100"/>
        <v>40862</v>
      </c>
      <c r="Q627" s="354">
        <f t="shared" si="101"/>
        <v>39.95502102278283</v>
      </c>
    </row>
    <row r="628" spans="2:17" x14ac:dyDescent="0.2">
      <c r="B628" s="6">
        <f t="shared" si="102"/>
        <v>138</v>
      </c>
      <c r="C628" s="12"/>
      <c r="D628" s="12"/>
      <c r="E628" s="12"/>
      <c r="F628" s="13" t="s">
        <v>184</v>
      </c>
      <c r="G628" s="14">
        <v>630</v>
      </c>
      <c r="H628" s="12" t="s">
        <v>118</v>
      </c>
      <c r="I628" s="15">
        <f>SUM(I629:I634)</f>
        <v>106106</v>
      </c>
      <c r="J628" s="15">
        <f>SUM(J629:J634)</f>
        <v>42410</v>
      </c>
      <c r="K628" s="354">
        <f t="shared" si="103"/>
        <v>39.969464497766381</v>
      </c>
      <c r="L628" s="15"/>
      <c r="M628" s="15"/>
      <c r="N628" s="354"/>
      <c r="O628" s="16">
        <f t="shared" si="99"/>
        <v>106106</v>
      </c>
      <c r="P628" s="16">
        <f t="shared" si="100"/>
        <v>42410</v>
      </c>
      <c r="Q628" s="354">
        <f t="shared" si="101"/>
        <v>39.969464497766381</v>
      </c>
    </row>
    <row r="629" spans="2:17" x14ac:dyDescent="0.2">
      <c r="B629" s="6">
        <f t="shared" si="102"/>
        <v>139</v>
      </c>
      <c r="C629" s="17"/>
      <c r="D629" s="17"/>
      <c r="E629" s="17"/>
      <c r="F629" s="18"/>
      <c r="G629" s="19">
        <v>632</v>
      </c>
      <c r="H629" s="17" t="s">
        <v>131</v>
      </c>
      <c r="I629" s="20">
        <f>44120-12934</f>
        <v>31186</v>
      </c>
      <c r="J629" s="20">
        <v>22819</v>
      </c>
      <c r="K629" s="354">
        <f t="shared" si="103"/>
        <v>73.170653498364643</v>
      </c>
      <c r="L629" s="20"/>
      <c r="M629" s="20"/>
      <c r="N629" s="354"/>
      <c r="O629" s="21">
        <f t="shared" si="99"/>
        <v>31186</v>
      </c>
      <c r="P629" s="21">
        <f t="shared" si="100"/>
        <v>22819</v>
      </c>
      <c r="Q629" s="354">
        <f t="shared" si="101"/>
        <v>73.170653498364643</v>
      </c>
    </row>
    <row r="630" spans="2:17" x14ac:dyDescent="0.2">
      <c r="B630" s="6">
        <f t="shared" si="102"/>
        <v>140</v>
      </c>
      <c r="C630" s="17"/>
      <c r="D630" s="17"/>
      <c r="E630" s="17"/>
      <c r="F630" s="18"/>
      <c r="G630" s="19">
        <v>633</v>
      </c>
      <c r="H630" s="17" t="s">
        <v>122</v>
      </c>
      <c r="I630" s="20">
        <f>37887+273</f>
        <v>38160</v>
      </c>
      <c r="J630" s="20">
        <v>7558</v>
      </c>
      <c r="K630" s="354">
        <f t="shared" si="103"/>
        <v>19.80607966457023</v>
      </c>
      <c r="L630" s="20"/>
      <c r="M630" s="20"/>
      <c r="N630" s="354"/>
      <c r="O630" s="21">
        <f t="shared" si="99"/>
        <v>38160</v>
      </c>
      <c r="P630" s="21">
        <f t="shared" si="100"/>
        <v>7558</v>
      </c>
      <c r="Q630" s="354">
        <f t="shared" si="101"/>
        <v>19.80607966457023</v>
      </c>
    </row>
    <row r="631" spans="2:17" x14ac:dyDescent="0.2">
      <c r="B631" s="6">
        <f t="shared" si="102"/>
        <v>141</v>
      </c>
      <c r="C631" s="17"/>
      <c r="D631" s="17"/>
      <c r="E631" s="17"/>
      <c r="F631" s="18"/>
      <c r="G631" s="19">
        <v>634</v>
      </c>
      <c r="H631" s="17" t="s">
        <v>129</v>
      </c>
      <c r="I631" s="20">
        <f>100+282</f>
        <v>382</v>
      </c>
      <c r="J631" s="20">
        <v>80</v>
      </c>
      <c r="K631" s="354">
        <f t="shared" si="103"/>
        <v>20.94240837696335</v>
      </c>
      <c r="L631" s="20"/>
      <c r="M631" s="20"/>
      <c r="N631" s="354"/>
      <c r="O631" s="21">
        <f t="shared" si="99"/>
        <v>382</v>
      </c>
      <c r="P631" s="21">
        <f t="shared" si="100"/>
        <v>80</v>
      </c>
      <c r="Q631" s="354">
        <f t="shared" si="101"/>
        <v>20.94240837696335</v>
      </c>
    </row>
    <row r="632" spans="2:17" x14ac:dyDescent="0.2">
      <c r="B632" s="6">
        <f t="shared" si="102"/>
        <v>142</v>
      </c>
      <c r="C632" s="17"/>
      <c r="D632" s="17"/>
      <c r="E632" s="17"/>
      <c r="F632" s="18"/>
      <c r="G632" s="19">
        <v>635</v>
      </c>
      <c r="H632" s="17" t="s">
        <v>130</v>
      </c>
      <c r="I632" s="20">
        <f>10500+5574</f>
        <v>16074</v>
      </c>
      <c r="J632" s="20">
        <v>1796</v>
      </c>
      <c r="K632" s="354">
        <f t="shared" si="103"/>
        <v>11.173323379370412</v>
      </c>
      <c r="L632" s="20"/>
      <c r="M632" s="20"/>
      <c r="N632" s="354"/>
      <c r="O632" s="21">
        <f t="shared" si="99"/>
        <v>16074</v>
      </c>
      <c r="P632" s="21">
        <f t="shared" si="100"/>
        <v>1796</v>
      </c>
      <c r="Q632" s="354">
        <f t="shared" si="101"/>
        <v>11.173323379370412</v>
      </c>
    </row>
    <row r="633" spans="2:17" x14ac:dyDescent="0.2">
      <c r="B633" s="6">
        <f t="shared" si="102"/>
        <v>143</v>
      </c>
      <c r="C633" s="17"/>
      <c r="D633" s="17"/>
      <c r="E633" s="17"/>
      <c r="F633" s="18"/>
      <c r="G633" s="19">
        <v>636</v>
      </c>
      <c r="H633" s="17" t="s">
        <v>123</v>
      </c>
      <c r="I633" s="20">
        <v>423</v>
      </c>
      <c r="J633" s="20">
        <v>79</v>
      </c>
      <c r="K633" s="354">
        <f t="shared" si="103"/>
        <v>18.67612293144208</v>
      </c>
      <c r="L633" s="20"/>
      <c r="M633" s="20"/>
      <c r="N633" s="354"/>
      <c r="O633" s="21">
        <f t="shared" si="99"/>
        <v>423</v>
      </c>
      <c r="P633" s="21">
        <f t="shared" si="100"/>
        <v>79</v>
      </c>
      <c r="Q633" s="354">
        <f t="shared" si="101"/>
        <v>18.67612293144208</v>
      </c>
    </row>
    <row r="634" spans="2:17" x14ac:dyDescent="0.2">
      <c r="B634" s="6">
        <f t="shared" si="102"/>
        <v>144</v>
      </c>
      <c r="C634" s="17"/>
      <c r="D634" s="17"/>
      <c r="E634" s="17"/>
      <c r="F634" s="18"/>
      <c r="G634" s="19">
        <v>637</v>
      </c>
      <c r="H634" s="17" t="s">
        <v>119</v>
      </c>
      <c r="I634" s="20">
        <f>11660+8221</f>
        <v>19881</v>
      </c>
      <c r="J634" s="20">
        <v>10078</v>
      </c>
      <c r="K634" s="354">
        <f t="shared" si="103"/>
        <v>50.691615109903928</v>
      </c>
      <c r="L634" s="20"/>
      <c r="M634" s="20"/>
      <c r="N634" s="354"/>
      <c r="O634" s="21">
        <f t="shared" si="99"/>
        <v>19881</v>
      </c>
      <c r="P634" s="21">
        <f t="shared" si="100"/>
        <v>10078</v>
      </c>
      <c r="Q634" s="354">
        <f t="shared" si="101"/>
        <v>50.691615109903928</v>
      </c>
    </row>
    <row r="635" spans="2:17" x14ac:dyDescent="0.2">
      <c r="B635" s="6">
        <f t="shared" si="102"/>
        <v>145</v>
      </c>
      <c r="C635" s="12"/>
      <c r="D635" s="12"/>
      <c r="E635" s="12"/>
      <c r="F635" s="13" t="s">
        <v>184</v>
      </c>
      <c r="G635" s="14">
        <v>640</v>
      </c>
      <c r="H635" s="12" t="s">
        <v>126</v>
      </c>
      <c r="I635" s="15">
        <f>8442+288</f>
        <v>8730</v>
      </c>
      <c r="J635" s="15">
        <v>756</v>
      </c>
      <c r="K635" s="354">
        <f t="shared" si="103"/>
        <v>8.6597938144329891</v>
      </c>
      <c r="L635" s="15"/>
      <c r="M635" s="15"/>
      <c r="N635" s="354"/>
      <c r="O635" s="16">
        <f t="shared" si="99"/>
        <v>8730</v>
      </c>
      <c r="P635" s="16">
        <f t="shared" si="100"/>
        <v>756</v>
      </c>
      <c r="Q635" s="354">
        <f t="shared" si="101"/>
        <v>8.6597938144329891</v>
      </c>
    </row>
    <row r="636" spans="2:17" x14ac:dyDescent="0.2">
      <c r="B636" s="6">
        <f t="shared" si="102"/>
        <v>146</v>
      </c>
      <c r="C636" s="12"/>
      <c r="D636" s="12"/>
      <c r="E636" s="12"/>
      <c r="F636" s="13" t="s">
        <v>184</v>
      </c>
      <c r="G636" s="14">
        <v>710</v>
      </c>
      <c r="H636" s="12" t="s">
        <v>172</v>
      </c>
      <c r="I636" s="15"/>
      <c r="J636" s="15"/>
      <c r="K636" s="354"/>
      <c r="L636" s="15">
        <f>L637</f>
        <v>40000</v>
      </c>
      <c r="M636" s="15">
        <f>M637</f>
        <v>20000</v>
      </c>
      <c r="N636" s="354">
        <f>M636/L636*100</f>
        <v>50</v>
      </c>
      <c r="O636" s="16">
        <f t="shared" si="99"/>
        <v>40000</v>
      </c>
      <c r="P636" s="16">
        <f t="shared" si="100"/>
        <v>20000</v>
      </c>
      <c r="Q636" s="354">
        <f t="shared" si="101"/>
        <v>50</v>
      </c>
    </row>
    <row r="637" spans="2:17" x14ac:dyDescent="0.2">
      <c r="B637" s="6">
        <f t="shared" si="102"/>
        <v>147</v>
      </c>
      <c r="C637" s="17"/>
      <c r="D637" s="17"/>
      <c r="E637" s="17"/>
      <c r="F637" s="18"/>
      <c r="G637" s="19">
        <v>717</v>
      </c>
      <c r="H637" s="17" t="s">
        <v>179</v>
      </c>
      <c r="I637" s="20"/>
      <c r="J637" s="20"/>
      <c r="K637" s="354"/>
      <c r="L637" s="20">
        <f>L638+L639</f>
        <v>40000</v>
      </c>
      <c r="M637" s="20">
        <f>M638+M639</f>
        <v>20000</v>
      </c>
      <c r="N637" s="354">
        <f>M637/L637*100</f>
        <v>50</v>
      </c>
      <c r="O637" s="21">
        <f t="shared" si="99"/>
        <v>40000</v>
      </c>
      <c r="P637" s="21">
        <f t="shared" si="100"/>
        <v>20000</v>
      </c>
      <c r="Q637" s="354">
        <f t="shared" si="101"/>
        <v>50</v>
      </c>
    </row>
    <row r="638" spans="2:17" x14ac:dyDescent="0.2">
      <c r="B638" s="6">
        <f t="shared" si="102"/>
        <v>148</v>
      </c>
      <c r="C638" s="1"/>
      <c r="D638" s="1"/>
      <c r="E638" s="1"/>
      <c r="F638" s="99"/>
      <c r="G638" s="23"/>
      <c r="H638" s="1" t="s">
        <v>598</v>
      </c>
      <c r="I638" s="24"/>
      <c r="J638" s="24"/>
      <c r="K638" s="354"/>
      <c r="L638" s="24">
        <f>15000+5000</f>
        <v>20000</v>
      </c>
      <c r="M638" s="24">
        <v>20000</v>
      </c>
      <c r="N638" s="354">
        <f>M638/L638*100</f>
        <v>100</v>
      </c>
      <c r="O638" s="26">
        <f t="shared" si="99"/>
        <v>20000</v>
      </c>
      <c r="P638" s="26">
        <f t="shared" si="100"/>
        <v>20000</v>
      </c>
      <c r="Q638" s="354">
        <f t="shared" si="101"/>
        <v>100</v>
      </c>
    </row>
    <row r="639" spans="2:17" x14ac:dyDescent="0.2">
      <c r="B639" s="6">
        <f t="shared" si="102"/>
        <v>149</v>
      </c>
      <c r="C639" s="1"/>
      <c r="D639" s="1"/>
      <c r="E639" s="1"/>
      <c r="F639" s="99"/>
      <c r="G639" s="23"/>
      <c r="H639" s="1" t="s">
        <v>599</v>
      </c>
      <c r="I639" s="24"/>
      <c r="J639" s="24"/>
      <c r="K639" s="354"/>
      <c r="L639" s="24">
        <v>20000</v>
      </c>
      <c r="M639" s="24">
        <v>0</v>
      </c>
      <c r="N639" s="354">
        <f>M639/L639*100</f>
        <v>0</v>
      </c>
      <c r="O639" s="26">
        <f t="shared" si="99"/>
        <v>20000</v>
      </c>
      <c r="P639" s="26">
        <f t="shared" si="100"/>
        <v>0</v>
      </c>
      <c r="Q639" s="354">
        <f t="shared" si="101"/>
        <v>0</v>
      </c>
    </row>
    <row r="640" spans="2:17" x14ac:dyDescent="0.2">
      <c r="B640" s="6">
        <f t="shared" si="102"/>
        <v>150</v>
      </c>
      <c r="C640" s="105"/>
      <c r="D640" s="105"/>
      <c r="E640" s="105" t="s">
        <v>93</v>
      </c>
      <c r="F640" s="106"/>
      <c r="G640" s="106"/>
      <c r="H640" s="105" t="s">
        <v>66</v>
      </c>
      <c r="I640" s="107">
        <f>I641+I642+I643+I650</f>
        <v>486504</v>
      </c>
      <c r="J640" s="107">
        <f>J641+J642+J643+J650</f>
        <v>201825</v>
      </c>
      <c r="K640" s="354">
        <f t="shared" ref="K640:K672" si="104">J640/I640*100</f>
        <v>41.484756548764246</v>
      </c>
      <c r="L640" s="107"/>
      <c r="M640" s="107"/>
      <c r="N640" s="354"/>
      <c r="O640" s="108">
        <f t="shared" si="99"/>
        <v>486504</v>
      </c>
      <c r="P640" s="108">
        <f t="shared" si="100"/>
        <v>201825</v>
      </c>
      <c r="Q640" s="354">
        <f t="shared" si="101"/>
        <v>41.484756548764246</v>
      </c>
    </row>
    <row r="641" spans="2:17" x14ac:dyDescent="0.2">
      <c r="B641" s="6">
        <f t="shared" si="102"/>
        <v>151</v>
      </c>
      <c r="C641" s="12"/>
      <c r="D641" s="12"/>
      <c r="E641" s="12"/>
      <c r="F641" s="13" t="s">
        <v>184</v>
      </c>
      <c r="G641" s="14">
        <v>610</v>
      </c>
      <c r="H641" s="12" t="s">
        <v>128</v>
      </c>
      <c r="I641" s="15">
        <f>292880-22017+25703-21786+3800</f>
        <v>278580</v>
      </c>
      <c r="J641" s="15">
        <v>122123</v>
      </c>
      <c r="K641" s="354">
        <f t="shared" si="104"/>
        <v>43.837676789432116</v>
      </c>
      <c r="L641" s="15"/>
      <c r="M641" s="15"/>
      <c r="N641" s="354"/>
      <c r="O641" s="16">
        <f t="shared" si="99"/>
        <v>278580</v>
      </c>
      <c r="P641" s="16">
        <f t="shared" si="100"/>
        <v>122123</v>
      </c>
      <c r="Q641" s="354">
        <f t="shared" si="101"/>
        <v>43.837676789432116</v>
      </c>
    </row>
    <row r="642" spans="2:17" x14ac:dyDescent="0.2">
      <c r="B642" s="6">
        <f t="shared" si="102"/>
        <v>152</v>
      </c>
      <c r="C642" s="12"/>
      <c r="D642" s="12"/>
      <c r="E642" s="12"/>
      <c r="F642" s="13" t="s">
        <v>184</v>
      </c>
      <c r="G642" s="14">
        <v>620</v>
      </c>
      <c r="H642" s="12" t="s">
        <v>121</v>
      </c>
      <c r="I642" s="15">
        <f>110701-8355+10200-8268+1366</f>
        <v>105644</v>
      </c>
      <c r="J642" s="15">
        <v>45853</v>
      </c>
      <c r="K642" s="354">
        <f t="shared" si="104"/>
        <v>43.403316799818256</v>
      </c>
      <c r="L642" s="15"/>
      <c r="M642" s="15"/>
      <c r="N642" s="354"/>
      <c r="O642" s="16">
        <f t="shared" si="99"/>
        <v>105644</v>
      </c>
      <c r="P642" s="16">
        <f t="shared" si="100"/>
        <v>45853</v>
      </c>
      <c r="Q642" s="354">
        <f t="shared" si="101"/>
        <v>43.403316799818256</v>
      </c>
    </row>
    <row r="643" spans="2:17" x14ac:dyDescent="0.2">
      <c r="B643" s="6">
        <f t="shared" si="102"/>
        <v>153</v>
      </c>
      <c r="C643" s="12"/>
      <c r="D643" s="12"/>
      <c r="E643" s="12"/>
      <c r="F643" s="13" t="s">
        <v>184</v>
      </c>
      <c r="G643" s="14">
        <v>630</v>
      </c>
      <c r="H643" s="12" t="s">
        <v>118</v>
      </c>
      <c r="I643" s="15">
        <f>SUM(I644:I649)</f>
        <v>101494</v>
      </c>
      <c r="J643" s="15">
        <f>SUM(J644:J649)</f>
        <v>33220</v>
      </c>
      <c r="K643" s="354">
        <f t="shared" si="104"/>
        <v>32.730998876780895</v>
      </c>
      <c r="L643" s="15"/>
      <c r="M643" s="15"/>
      <c r="N643" s="354"/>
      <c r="O643" s="16">
        <f t="shared" si="99"/>
        <v>101494</v>
      </c>
      <c r="P643" s="16">
        <f t="shared" si="100"/>
        <v>33220</v>
      </c>
      <c r="Q643" s="354">
        <f t="shared" si="101"/>
        <v>32.730998876780895</v>
      </c>
    </row>
    <row r="644" spans="2:17" x14ac:dyDescent="0.2">
      <c r="B644" s="6">
        <f t="shared" si="102"/>
        <v>154</v>
      </c>
      <c r="C644" s="17"/>
      <c r="D644" s="17"/>
      <c r="E644" s="17"/>
      <c r="F644" s="18"/>
      <c r="G644" s="19">
        <v>632</v>
      </c>
      <c r="H644" s="17" t="s">
        <v>131</v>
      </c>
      <c r="I644" s="20">
        <f>29553-8423</f>
        <v>21130</v>
      </c>
      <c r="J644" s="20">
        <v>10197</v>
      </c>
      <c r="K644" s="354">
        <f t="shared" si="104"/>
        <v>48.258400378608613</v>
      </c>
      <c r="L644" s="20"/>
      <c r="M644" s="20"/>
      <c r="N644" s="354"/>
      <c r="O644" s="21">
        <f t="shared" si="99"/>
        <v>21130</v>
      </c>
      <c r="P644" s="21">
        <f t="shared" si="100"/>
        <v>10197</v>
      </c>
      <c r="Q644" s="354">
        <f t="shared" si="101"/>
        <v>48.258400378608613</v>
      </c>
    </row>
    <row r="645" spans="2:17" x14ac:dyDescent="0.2">
      <c r="B645" s="6">
        <f t="shared" si="102"/>
        <v>155</v>
      </c>
      <c r="C645" s="17"/>
      <c r="D645" s="17"/>
      <c r="E645" s="17"/>
      <c r="F645" s="18"/>
      <c r="G645" s="19">
        <v>633</v>
      </c>
      <c r="H645" s="17" t="s">
        <v>122</v>
      </c>
      <c r="I645" s="20">
        <f>35008+318</f>
        <v>35326</v>
      </c>
      <c r="J645" s="20">
        <v>10547</v>
      </c>
      <c r="K645" s="354">
        <f t="shared" si="104"/>
        <v>29.856196569099247</v>
      </c>
      <c r="L645" s="20"/>
      <c r="M645" s="20"/>
      <c r="N645" s="354"/>
      <c r="O645" s="21">
        <f t="shared" si="99"/>
        <v>35326</v>
      </c>
      <c r="P645" s="21">
        <f t="shared" si="100"/>
        <v>10547</v>
      </c>
      <c r="Q645" s="354">
        <f t="shared" si="101"/>
        <v>29.856196569099247</v>
      </c>
    </row>
    <row r="646" spans="2:17" x14ac:dyDescent="0.2">
      <c r="B646" s="6">
        <f t="shared" si="102"/>
        <v>156</v>
      </c>
      <c r="C646" s="17"/>
      <c r="D646" s="17"/>
      <c r="E646" s="17"/>
      <c r="F646" s="18"/>
      <c r="G646" s="19">
        <v>634</v>
      </c>
      <c r="H646" s="17" t="s">
        <v>129</v>
      </c>
      <c r="I646" s="20">
        <f>500+329</f>
        <v>829</v>
      </c>
      <c r="J646" s="20">
        <v>401</v>
      </c>
      <c r="K646" s="354">
        <f t="shared" si="104"/>
        <v>48.371531966224367</v>
      </c>
      <c r="L646" s="20"/>
      <c r="M646" s="20"/>
      <c r="N646" s="354"/>
      <c r="O646" s="21">
        <f t="shared" si="99"/>
        <v>829</v>
      </c>
      <c r="P646" s="21">
        <f t="shared" si="100"/>
        <v>401</v>
      </c>
      <c r="Q646" s="354">
        <f t="shared" si="101"/>
        <v>48.371531966224367</v>
      </c>
    </row>
    <row r="647" spans="2:17" x14ac:dyDescent="0.2">
      <c r="B647" s="6">
        <f t="shared" si="102"/>
        <v>157</v>
      </c>
      <c r="C647" s="17"/>
      <c r="D647" s="17"/>
      <c r="E647" s="17"/>
      <c r="F647" s="18"/>
      <c r="G647" s="19">
        <v>635</v>
      </c>
      <c r="H647" s="17" t="s">
        <v>130</v>
      </c>
      <c r="I647" s="20">
        <f>8200+11074</f>
        <v>19274</v>
      </c>
      <c r="J647" s="20">
        <v>3819</v>
      </c>
      <c r="K647" s="354">
        <f t="shared" si="104"/>
        <v>19.814257549029783</v>
      </c>
      <c r="L647" s="20"/>
      <c r="M647" s="20"/>
      <c r="N647" s="354"/>
      <c r="O647" s="21">
        <f t="shared" si="99"/>
        <v>19274</v>
      </c>
      <c r="P647" s="21">
        <f t="shared" si="100"/>
        <v>3819</v>
      </c>
      <c r="Q647" s="354">
        <f t="shared" si="101"/>
        <v>19.814257549029783</v>
      </c>
    </row>
    <row r="648" spans="2:17" x14ac:dyDescent="0.2">
      <c r="B648" s="6">
        <f t="shared" si="102"/>
        <v>158</v>
      </c>
      <c r="C648" s="17"/>
      <c r="D648" s="17"/>
      <c r="E648" s="17"/>
      <c r="F648" s="18"/>
      <c r="G648" s="19">
        <v>636</v>
      </c>
      <c r="H648" s="17" t="s">
        <v>123</v>
      </c>
      <c r="I648" s="20">
        <v>494</v>
      </c>
      <c r="J648" s="20">
        <v>92</v>
      </c>
      <c r="K648" s="354">
        <f t="shared" si="104"/>
        <v>18.623481781376519</v>
      </c>
      <c r="L648" s="20"/>
      <c r="M648" s="20"/>
      <c r="N648" s="354"/>
      <c r="O648" s="21">
        <f t="shared" si="99"/>
        <v>494</v>
      </c>
      <c r="P648" s="21">
        <f t="shared" si="100"/>
        <v>92</v>
      </c>
      <c r="Q648" s="354">
        <f t="shared" si="101"/>
        <v>18.623481781376519</v>
      </c>
    </row>
    <row r="649" spans="2:17" x14ac:dyDescent="0.2">
      <c r="B649" s="6">
        <f t="shared" si="102"/>
        <v>159</v>
      </c>
      <c r="C649" s="17"/>
      <c r="D649" s="17"/>
      <c r="E649" s="17"/>
      <c r="F649" s="18"/>
      <c r="G649" s="19">
        <v>637</v>
      </c>
      <c r="H649" s="17" t="s">
        <v>119</v>
      </c>
      <c r="I649" s="20">
        <f>15450+8991</f>
        <v>24441</v>
      </c>
      <c r="J649" s="20">
        <v>8164</v>
      </c>
      <c r="K649" s="354">
        <f t="shared" si="104"/>
        <v>33.402888588846608</v>
      </c>
      <c r="L649" s="20"/>
      <c r="M649" s="20"/>
      <c r="N649" s="354"/>
      <c r="O649" s="21">
        <f t="shared" si="99"/>
        <v>24441</v>
      </c>
      <c r="P649" s="21">
        <f t="shared" si="100"/>
        <v>8164</v>
      </c>
      <c r="Q649" s="354">
        <f t="shared" si="101"/>
        <v>33.402888588846608</v>
      </c>
    </row>
    <row r="650" spans="2:17" x14ac:dyDescent="0.2">
      <c r="B650" s="6">
        <f t="shared" si="102"/>
        <v>160</v>
      </c>
      <c r="C650" s="12"/>
      <c r="D650" s="12"/>
      <c r="E650" s="12"/>
      <c r="F650" s="13" t="s">
        <v>184</v>
      </c>
      <c r="G650" s="14">
        <v>640</v>
      </c>
      <c r="H650" s="12" t="s">
        <v>126</v>
      </c>
      <c r="I650" s="15">
        <f>450+336</f>
        <v>786</v>
      </c>
      <c r="J650" s="15">
        <v>629</v>
      </c>
      <c r="K650" s="354">
        <f t="shared" si="104"/>
        <v>80.025445292620873</v>
      </c>
      <c r="L650" s="15"/>
      <c r="M650" s="15"/>
      <c r="N650" s="354"/>
      <c r="O650" s="16">
        <f t="shared" si="99"/>
        <v>786</v>
      </c>
      <c r="P650" s="16">
        <f t="shared" si="100"/>
        <v>629</v>
      </c>
      <c r="Q650" s="354">
        <f t="shared" si="101"/>
        <v>80.025445292620873</v>
      </c>
    </row>
    <row r="651" spans="2:17" x14ac:dyDescent="0.2">
      <c r="B651" s="6">
        <f t="shared" si="102"/>
        <v>161</v>
      </c>
      <c r="C651" s="105"/>
      <c r="D651" s="105"/>
      <c r="E651" s="105" t="s">
        <v>96</v>
      </c>
      <c r="F651" s="106"/>
      <c r="G651" s="106"/>
      <c r="H651" s="105" t="s">
        <v>67</v>
      </c>
      <c r="I651" s="107">
        <f>I652+I653+I654+I661</f>
        <v>404022</v>
      </c>
      <c r="J651" s="107">
        <f>J652+J653+J654+J661</f>
        <v>173135</v>
      </c>
      <c r="K651" s="354">
        <f t="shared" si="104"/>
        <v>42.852864447975605</v>
      </c>
      <c r="L651" s="107"/>
      <c r="M651" s="107"/>
      <c r="N651" s="354"/>
      <c r="O651" s="108">
        <f t="shared" si="99"/>
        <v>404022</v>
      </c>
      <c r="P651" s="108">
        <f t="shared" si="100"/>
        <v>173135</v>
      </c>
      <c r="Q651" s="354">
        <f t="shared" si="101"/>
        <v>42.852864447975605</v>
      </c>
    </row>
    <row r="652" spans="2:17" x14ac:dyDescent="0.2">
      <c r="B652" s="6">
        <f t="shared" si="102"/>
        <v>162</v>
      </c>
      <c r="C652" s="12"/>
      <c r="D652" s="12"/>
      <c r="E652" s="12"/>
      <c r="F652" s="13" t="s">
        <v>184</v>
      </c>
      <c r="G652" s="14">
        <v>610</v>
      </c>
      <c r="H652" s="12" t="s">
        <v>128</v>
      </c>
      <c r="I652" s="15">
        <f>263573-18828+13026+100-18895+633</f>
        <v>239609</v>
      </c>
      <c r="J652" s="15">
        <v>110124</v>
      </c>
      <c r="K652" s="354">
        <f t="shared" si="104"/>
        <v>45.959876298469588</v>
      </c>
      <c r="L652" s="15"/>
      <c r="M652" s="15"/>
      <c r="N652" s="354"/>
      <c r="O652" s="16">
        <f t="shared" si="99"/>
        <v>239609</v>
      </c>
      <c r="P652" s="16">
        <f t="shared" si="100"/>
        <v>110124</v>
      </c>
      <c r="Q652" s="354">
        <f t="shared" si="101"/>
        <v>45.959876298469588</v>
      </c>
    </row>
    <row r="653" spans="2:17" x14ac:dyDescent="0.2">
      <c r="B653" s="6">
        <f t="shared" si="102"/>
        <v>163</v>
      </c>
      <c r="C653" s="12"/>
      <c r="D653" s="12"/>
      <c r="E653" s="12"/>
      <c r="F653" s="13" t="s">
        <v>184</v>
      </c>
      <c r="G653" s="14">
        <v>620</v>
      </c>
      <c r="H653" s="12" t="s">
        <v>121</v>
      </c>
      <c r="I653" s="15">
        <f>99745-7145+5224+35-7171+228</f>
        <v>90916</v>
      </c>
      <c r="J653" s="15">
        <v>40538</v>
      </c>
      <c r="K653" s="354">
        <f t="shared" si="104"/>
        <v>44.588411280742662</v>
      </c>
      <c r="L653" s="15"/>
      <c r="M653" s="15"/>
      <c r="N653" s="354"/>
      <c r="O653" s="16">
        <f t="shared" si="99"/>
        <v>90916</v>
      </c>
      <c r="P653" s="16">
        <f t="shared" si="100"/>
        <v>40538</v>
      </c>
      <c r="Q653" s="354">
        <f t="shared" si="101"/>
        <v>44.588411280742662</v>
      </c>
    </row>
    <row r="654" spans="2:17" x14ac:dyDescent="0.2">
      <c r="B654" s="6">
        <f t="shared" si="102"/>
        <v>164</v>
      </c>
      <c r="C654" s="12"/>
      <c r="D654" s="12"/>
      <c r="E654" s="12"/>
      <c r="F654" s="13" t="s">
        <v>184</v>
      </c>
      <c r="G654" s="14">
        <v>630</v>
      </c>
      <c r="H654" s="12" t="s">
        <v>118</v>
      </c>
      <c r="I654" s="15">
        <f>SUM(I655:I660)</f>
        <v>72754</v>
      </c>
      <c r="J654" s="15">
        <f>SUM(J655:J660)</f>
        <v>21883</v>
      </c>
      <c r="K654" s="354">
        <f t="shared" si="104"/>
        <v>30.078071308794019</v>
      </c>
      <c r="L654" s="15"/>
      <c r="M654" s="15"/>
      <c r="N654" s="354"/>
      <c r="O654" s="16">
        <f t="shared" si="99"/>
        <v>72754</v>
      </c>
      <c r="P654" s="16">
        <f t="shared" si="100"/>
        <v>21883</v>
      </c>
      <c r="Q654" s="354">
        <f t="shared" si="101"/>
        <v>30.078071308794019</v>
      </c>
    </row>
    <row r="655" spans="2:17" x14ac:dyDescent="0.2">
      <c r="B655" s="6">
        <f t="shared" si="102"/>
        <v>165</v>
      </c>
      <c r="C655" s="17"/>
      <c r="D655" s="17"/>
      <c r="E655" s="17"/>
      <c r="F655" s="18"/>
      <c r="G655" s="19">
        <v>632</v>
      </c>
      <c r="H655" s="17" t="s">
        <v>131</v>
      </c>
      <c r="I655" s="20">
        <f>23268-6433</f>
        <v>16835</v>
      </c>
      <c r="J655" s="20">
        <v>9468</v>
      </c>
      <c r="K655" s="354">
        <f t="shared" si="104"/>
        <v>56.239976239976244</v>
      </c>
      <c r="L655" s="20"/>
      <c r="M655" s="20"/>
      <c r="N655" s="354"/>
      <c r="O655" s="21">
        <f t="shared" si="99"/>
        <v>16835</v>
      </c>
      <c r="P655" s="21">
        <f t="shared" si="100"/>
        <v>9468</v>
      </c>
      <c r="Q655" s="354">
        <f t="shared" si="101"/>
        <v>56.239976239976244</v>
      </c>
    </row>
    <row r="656" spans="2:17" x14ac:dyDescent="0.2">
      <c r="B656" s="6">
        <f t="shared" si="102"/>
        <v>166</v>
      </c>
      <c r="C656" s="17"/>
      <c r="D656" s="17"/>
      <c r="E656" s="17"/>
      <c r="F656" s="18"/>
      <c r="G656" s="19">
        <v>633</v>
      </c>
      <c r="H656" s="17" t="s">
        <v>122</v>
      </c>
      <c r="I656" s="20">
        <f>24489+5685</f>
        <v>30174</v>
      </c>
      <c r="J656" s="20">
        <v>4129</v>
      </c>
      <c r="K656" s="354">
        <f t="shared" si="104"/>
        <v>13.683966328627296</v>
      </c>
      <c r="L656" s="20"/>
      <c r="M656" s="20"/>
      <c r="N656" s="354"/>
      <c r="O656" s="21">
        <f t="shared" si="99"/>
        <v>30174</v>
      </c>
      <c r="P656" s="21">
        <f t="shared" si="100"/>
        <v>4129</v>
      </c>
      <c r="Q656" s="354">
        <f t="shared" si="101"/>
        <v>13.683966328627296</v>
      </c>
    </row>
    <row r="657" spans="2:17" x14ac:dyDescent="0.2">
      <c r="B657" s="6">
        <f t="shared" si="102"/>
        <v>167</v>
      </c>
      <c r="C657" s="17"/>
      <c r="D657" s="17"/>
      <c r="E657" s="17"/>
      <c r="F657" s="18"/>
      <c r="G657" s="19">
        <v>634</v>
      </c>
      <c r="H657" s="17" t="s">
        <v>129</v>
      </c>
      <c r="I657" s="20">
        <f>310+287</f>
        <v>597</v>
      </c>
      <c r="J657" s="20">
        <v>82</v>
      </c>
      <c r="K657" s="354">
        <f t="shared" si="104"/>
        <v>13.735343383584588</v>
      </c>
      <c r="L657" s="20"/>
      <c r="M657" s="20"/>
      <c r="N657" s="354"/>
      <c r="O657" s="21">
        <f t="shared" si="99"/>
        <v>597</v>
      </c>
      <c r="P657" s="21">
        <f t="shared" si="100"/>
        <v>82</v>
      </c>
      <c r="Q657" s="354">
        <f t="shared" si="101"/>
        <v>13.735343383584588</v>
      </c>
    </row>
    <row r="658" spans="2:17" x14ac:dyDescent="0.2">
      <c r="B658" s="6">
        <f t="shared" si="102"/>
        <v>168</v>
      </c>
      <c r="C658" s="17"/>
      <c r="D658" s="17"/>
      <c r="E658" s="17"/>
      <c r="F658" s="18"/>
      <c r="G658" s="19">
        <v>635</v>
      </c>
      <c r="H658" s="17" t="s">
        <v>130</v>
      </c>
      <c r="I658" s="20">
        <f>3400+2376</f>
        <v>5776</v>
      </c>
      <c r="J658" s="20">
        <v>906</v>
      </c>
      <c r="K658" s="354">
        <f t="shared" si="104"/>
        <v>15.685595567867036</v>
      </c>
      <c r="L658" s="20"/>
      <c r="M658" s="20"/>
      <c r="N658" s="354"/>
      <c r="O658" s="21">
        <f t="shared" si="99"/>
        <v>5776</v>
      </c>
      <c r="P658" s="21">
        <f t="shared" si="100"/>
        <v>906</v>
      </c>
      <c r="Q658" s="354">
        <f t="shared" si="101"/>
        <v>15.685595567867036</v>
      </c>
    </row>
    <row r="659" spans="2:17" x14ac:dyDescent="0.2">
      <c r="B659" s="6">
        <f t="shared" si="102"/>
        <v>169</v>
      </c>
      <c r="C659" s="17"/>
      <c r="D659" s="17"/>
      <c r="E659" s="17"/>
      <c r="F659" s="18"/>
      <c r="G659" s="19">
        <v>636</v>
      </c>
      <c r="H659" s="17" t="s">
        <v>123</v>
      </c>
      <c r="I659" s="20">
        <v>430</v>
      </c>
      <c r="J659" s="20">
        <v>80</v>
      </c>
      <c r="K659" s="354">
        <f t="shared" si="104"/>
        <v>18.604651162790699</v>
      </c>
      <c r="L659" s="20"/>
      <c r="M659" s="20"/>
      <c r="N659" s="354"/>
      <c r="O659" s="21">
        <f t="shared" si="99"/>
        <v>430</v>
      </c>
      <c r="P659" s="21">
        <f t="shared" si="100"/>
        <v>80</v>
      </c>
      <c r="Q659" s="354">
        <f t="shared" si="101"/>
        <v>18.604651162790699</v>
      </c>
    </row>
    <row r="660" spans="2:17" x14ac:dyDescent="0.2">
      <c r="B660" s="6">
        <f t="shared" si="102"/>
        <v>170</v>
      </c>
      <c r="C660" s="17"/>
      <c r="D660" s="17"/>
      <c r="E660" s="17"/>
      <c r="F660" s="18"/>
      <c r="G660" s="19">
        <v>637</v>
      </c>
      <c r="H660" s="17" t="s">
        <v>119</v>
      </c>
      <c r="I660" s="20">
        <f>12340+6602</f>
        <v>18942</v>
      </c>
      <c r="J660" s="20">
        <v>7218</v>
      </c>
      <c r="K660" s="354">
        <f t="shared" si="104"/>
        <v>38.105796642382003</v>
      </c>
      <c r="L660" s="20"/>
      <c r="M660" s="20"/>
      <c r="N660" s="354"/>
      <c r="O660" s="21">
        <f t="shared" si="99"/>
        <v>18942</v>
      </c>
      <c r="P660" s="21">
        <f t="shared" si="100"/>
        <v>7218</v>
      </c>
      <c r="Q660" s="354">
        <f t="shared" si="101"/>
        <v>38.105796642382003</v>
      </c>
    </row>
    <row r="661" spans="2:17" x14ac:dyDescent="0.2">
      <c r="B661" s="6">
        <f t="shared" si="102"/>
        <v>171</v>
      </c>
      <c r="C661" s="12"/>
      <c r="D661" s="12"/>
      <c r="E661" s="12"/>
      <c r="F661" s="13" t="s">
        <v>184</v>
      </c>
      <c r="G661" s="14">
        <v>640</v>
      </c>
      <c r="H661" s="12" t="s">
        <v>126</v>
      </c>
      <c r="I661" s="15">
        <f>450+293</f>
        <v>743</v>
      </c>
      <c r="J661" s="15">
        <v>590</v>
      </c>
      <c r="K661" s="354">
        <f t="shared" si="104"/>
        <v>79.407806191117089</v>
      </c>
      <c r="L661" s="15"/>
      <c r="M661" s="15"/>
      <c r="N661" s="354"/>
      <c r="O661" s="16">
        <f t="shared" si="99"/>
        <v>743</v>
      </c>
      <c r="P661" s="16">
        <f t="shared" si="100"/>
        <v>590</v>
      </c>
      <c r="Q661" s="354">
        <f t="shared" si="101"/>
        <v>79.407806191117089</v>
      </c>
    </row>
    <row r="662" spans="2:17" x14ac:dyDescent="0.2">
      <c r="B662" s="6">
        <f t="shared" si="102"/>
        <v>172</v>
      </c>
      <c r="C662" s="105"/>
      <c r="D662" s="105"/>
      <c r="E662" s="105" t="s">
        <v>90</v>
      </c>
      <c r="F662" s="106"/>
      <c r="G662" s="106"/>
      <c r="H662" s="105" t="s">
        <v>91</v>
      </c>
      <c r="I662" s="107">
        <f>I663+I664+I665+I672</f>
        <v>148347</v>
      </c>
      <c r="J662" s="107">
        <f>J663+J664+J665+J672</f>
        <v>61805</v>
      </c>
      <c r="K662" s="354">
        <f t="shared" si="104"/>
        <v>41.662453571693391</v>
      </c>
      <c r="L662" s="107">
        <f>L673</f>
        <v>48500</v>
      </c>
      <c r="M662" s="107">
        <f>M673</f>
        <v>0</v>
      </c>
      <c r="N662" s="354">
        <f>M662/L662*100</f>
        <v>0</v>
      </c>
      <c r="O662" s="108">
        <f t="shared" si="99"/>
        <v>196847</v>
      </c>
      <c r="P662" s="108">
        <f t="shared" si="100"/>
        <v>61805</v>
      </c>
      <c r="Q662" s="354">
        <f t="shared" si="101"/>
        <v>31.397481292577485</v>
      </c>
    </row>
    <row r="663" spans="2:17" x14ac:dyDescent="0.2">
      <c r="B663" s="6">
        <f t="shared" si="102"/>
        <v>173</v>
      </c>
      <c r="C663" s="12"/>
      <c r="D663" s="12"/>
      <c r="E663" s="12"/>
      <c r="F663" s="13" t="s">
        <v>184</v>
      </c>
      <c r="G663" s="14">
        <v>610</v>
      </c>
      <c r="H663" s="12" t="s">
        <v>128</v>
      </c>
      <c r="I663" s="15">
        <f>91420-6531+2209+100-5843</f>
        <v>81355</v>
      </c>
      <c r="J663" s="15">
        <v>36715</v>
      </c>
      <c r="K663" s="354">
        <f t="shared" si="104"/>
        <v>45.129371274045852</v>
      </c>
      <c r="L663" s="15"/>
      <c r="M663" s="15"/>
      <c r="N663" s="354"/>
      <c r="O663" s="16">
        <f t="shared" si="99"/>
        <v>81355</v>
      </c>
      <c r="P663" s="16">
        <f t="shared" si="100"/>
        <v>36715</v>
      </c>
      <c r="Q663" s="354">
        <f t="shared" si="101"/>
        <v>45.129371274045852</v>
      </c>
    </row>
    <row r="664" spans="2:17" x14ac:dyDescent="0.2">
      <c r="B664" s="6">
        <f t="shared" si="102"/>
        <v>174</v>
      </c>
      <c r="C664" s="12"/>
      <c r="D664" s="12"/>
      <c r="E664" s="12"/>
      <c r="F664" s="13" t="s">
        <v>184</v>
      </c>
      <c r="G664" s="14">
        <v>620</v>
      </c>
      <c r="H664" s="12" t="s">
        <v>121</v>
      </c>
      <c r="I664" s="15">
        <f>34801-2479+731+35-2217</f>
        <v>30871</v>
      </c>
      <c r="J664" s="15">
        <v>13487</v>
      </c>
      <c r="K664" s="354">
        <f t="shared" si="104"/>
        <v>43.688251109455479</v>
      </c>
      <c r="L664" s="15"/>
      <c r="M664" s="15"/>
      <c r="N664" s="354"/>
      <c r="O664" s="16">
        <f t="shared" si="99"/>
        <v>30871</v>
      </c>
      <c r="P664" s="16">
        <f t="shared" si="100"/>
        <v>13487</v>
      </c>
      <c r="Q664" s="354">
        <f t="shared" si="101"/>
        <v>43.688251109455479</v>
      </c>
    </row>
    <row r="665" spans="2:17" x14ac:dyDescent="0.2">
      <c r="B665" s="6">
        <f t="shared" si="102"/>
        <v>175</v>
      </c>
      <c r="C665" s="12"/>
      <c r="D665" s="12"/>
      <c r="E665" s="12"/>
      <c r="F665" s="13" t="s">
        <v>184</v>
      </c>
      <c r="G665" s="14">
        <v>630</v>
      </c>
      <c r="H665" s="12" t="s">
        <v>118</v>
      </c>
      <c r="I665" s="15">
        <f>SUM(I666:I671)</f>
        <v>35575</v>
      </c>
      <c r="J665" s="15">
        <f>SUM(J666:J671)</f>
        <v>11364</v>
      </c>
      <c r="K665" s="354">
        <f t="shared" si="104"/>
        <v>31.94378074490513</v>
      </c>
      <c r="L665" s="15"/>
      <c r="M665" s="15"/>
      <c r="N665" s="354"/>
      <c r="O665" s="16">
        <f t="shared" si="99"/>
        <v>35575</v>
      </c>
      <c r="P665" s="16">
        <f t="shared" si="100"/>
        <v>11364</v>
      </c>
      <c r="Q665" s="354">
        <f t="shared" si="101"/>
        <v>31.94378074490513</v>
      </c>
    </row>
    <row r="666" spans="2:17" x14ac:dyDescent="0.2">
      <c r="B666" s="6">
        <f t="shared" si="102"/>
        <v>176</v>
      </c>
      <c r="C666" s="17"/>
      <c r="D666" s="17"/>
      <c r="E666" s="17"/>
      <c r="F666" s="18"/>
      <c r="G666" s="19">
        <v>632</v>
      </c>
      <c r="H666" s="17" t="s">
        <v>131</v>
      </c>
      <c r="I666" s="20">
        <f>11382-3378</f>
        <v>8004</v>
      </c>
      <c r="J666" s="20">
        <v>4619</v>
      </c>
      <c r="K666" s="354">
        <f t="shared" si="104"/>
        <v>57.708645677161421</v>
      </c>
      <c r="L666" s="20"/>
      <c r="M666" s="20"/>
      <c r="N666" s="354"/>
      <c r="O666" s="21">
        <f t="shared" si="99"/>
        <v>8004</v>
      </c>
      <c r="P666" s="21">
        <f t="shared" si="100"/>
        <v>4619</v>
      </c>
      <c r="Q666" s="354">
        <f t="shared" si="101"/>
        <v>57.708645677161421</v>
      </c>
    </row>
    <row r="667" spans="2:17" x14ac:dyDescent="0.2">
      <c r="B667" s="6">
        <f t="shared" si="102"/>
        <v>177</v>
      </c>
      <c r="C667" s="17"/>
      <c r="D667" s="17"/>
      <c r="E667" s="17"/>
      <c r="F667" s="18"/>
      <c r="G667" s="19">
        <v>633</v>
      </c>
      <c r="H667" s="17" t="s">
        <v>122</v>
      </c>
      <c r="I667" s="20">
        <f>15305+91</f>
        <v>15396</v>
      </c>
      <c r="J667" s="20">
        <v>3499</v>
      </c>
      <c r="K667" s="354">
        <f t="shared" si="104"/>
        <v>22.726682255131202</v>
      </c>
      <c r="L667" s="20"/>
      <c r="M667" s="20"/>
      <c r="N667" s="354"/>
      <c r="O667" s="21">
        <f t="shared" si="99"/>
        <v>15396</v>
      </c>
      <c r="P667" s="21">
        <f t="shared" si="100"/>
        <v>3499</v>
      </c>
      <c r="Q667" s="354">
        <f t="shared" si="101"/>
        <v>22.726682255131202</v>
      </c>
    </row>
    <row r="668" spans="2:17" x14ac:dyDescent="0.2">
      <c r="B668" s="6">
        <f t="shared" si="102"/>
        <v>178</v>
      </c>
      <c r="C668" s="17"/>
      <c r="D668" s="17"/>
      <c r="E668" s="17"/>
      <c r="F668" s="18"/>
      <c r="G668" s="19">
        <v>634</v>
      </c>
      <c r="H668" s="17" t="s">
        <v>129</v>
      </c>
      <c r="I668" s="20">
        <f>200+94-200</f>
        <v>94</v>
      </c>
      <c r="J668" s="20">
        <v>27</v>
      </c>
      <c r="K668" s="354">
        <f t="shared" si="104"/>
        <v>28.723404255319153</v>
      </c>
      <c r="L668" s="20"/>
      <c r="M668" s="20"/>
      <c r="N668" s="354"/>
      <c r="O668" s="21">
        <f t="shared" si="99"/>
        <v>94</v>
      </c>
      <c r="P668" s="21">
        <f t="shared" si="100"/>
        <v>27</v>
      </c>
      <c r="Q668" s="354">
        <f t="shared" si="101"/>
        <v>28.723404255319153</v>
      </c>
    </row>
    <row r="669" spans="2:17" x14ac:dyDescent="0.2">
      <c r="B669" s="6">
        <f t="shared" si="102"/>
        <v>179</v>
      </c>
      <c r="C669" s="17"/>
      <c r="D669" s="17"/>
      <c r="E669" s="17"/>
      <c r="F669" s="18"/>
      <c r="G669" s="19">
        <v>635</v>
      </c>
      <c r="H669" s="17" t="s">
        <v>130</v>
      </c>
      <c r="I669" s="20">
        <f>3000+270</f>
        <v>3270</v>
      </c>
      <c r="J669" s="20">
        <v>161</v>
      </c>
      <c r="K669" s="354">
        <f t="shared" si="104"/>
        <v>4.9235474006116204</v>
      </c>
      <c r="L669" s="20"/>
      <c r="M669" s="20"/>
      <c r="N669" s="354"/>
      <c r="O669" s="21">
        <f t="shared" si="99"/>
        <v>3270</v>
      </c>
      <c r="P669" s="21">
        <f t="shared" si="100"/>
        <v>161</v>
      </c>
      <c r="Q669" s="354">
        <f t="shared" si="101"/>
        <v>4.9235474006116204</v>
      </c>
    </row>
    <row r="670" spans="2:17" x14ac:dyDescent="0.2">
      <c r="B670" s="6">
        <f t="shared" si="102"/>
        <v>180</v>
      </c>
      <c r="C670" s="17"/>
      <c r="D670" s="17"/>
      <c r="E670" s="17"/>
      <c r="F670" s="18"/>
      <c r="G670" s="19">
        <v>636</v>
      </c>
      <c r="H670" s="17" t="s">
        <v>123</v>
      </c>
      <c r="I670" s="20">
        <v>141</v>
      </c>
      <c r="J670" s="20">
        <v>26</v>
      </c>
      <c r="K670" s="354">
        <f t="shared" si="104"/>
        <v>18.439716312056735</v>
      </c>
      <c r="L670" s="20"/>
      <c r="M670" s="20"/>
      <c r="N670" s="354"/>
      <c r="O670" s="21">
        <f t="shared" si="99"/>
        <v>141</v>
      </c>
      <c r="P670" s="21">
        <f t="shared" si="100"/>
        <v>26</v>
      </c>
      <c r="Q670" s="354">
        <f t="shared" si="101"/>
        <v>18.439716312056735</v>
      </c>
    </row>
    <row r="671" spans="2:17" x14ac:dyDescent="0.2">
      <c r="B671" s="6">
        <f t="shared" si="102"/>
        <v>181</v>
      </c>
      <c r="C671" s="17"/>
      <c r="D671" s="17"/>
      <c r="E671" s="17"/>
      <c r="F671" s="18"/>
      <c r="G671" s="19">
        <v>637</v>
      </c>
      <c r="H671" s="17" t="s">
        <v>119</v>
      </c>
      <c r="I671" s="20">
        <f>5280+3190+200</f>
        <v>8670</v>
      </c>
      <c r="J671" s="20">
        <v>3032</v>
      </c>
      <c r="K671" s="354">
        <f t="shared" si="104"/>
        <v>34.971164936562857</v>
      </c>
      <c r="L671" s="20"/>
      <c r="M671" s="20"/>
      <c r="N671" s="354"/>
      <c r="O671" s="21">
        <f t="shared" si="99"/>
        <v>8670</v>
      </c>
      <c r="P671" s="21">
        <f t="shared" si="100"/>
        <v>3032</v>
      </c>
      <c r="Q671" s="354">
        <f t="shared" si="101"/>
        <v>34.971164936562857</v>
      </c>
    </row>
    <row r="672" spans="2:17" x14ac:dyDescent="0.2">
      <c r="B672" s="6">
        <f t="shared" si="102"/>
        <v>182</v>
      </c>
      <c r="C672" s="12"/>
      <c r="D672" s="12"/>
      <c r="E672" s="12"/>
      <c r="F672" s="13" t="s">
        <v>184</v>
      </c>
      <c r="G672" s="14">
        <v>640</v>
      </c>
      <c r="H672" s="12" t="s">
        <v>126</v>
      </c>
      <c r="I672" s="15">
        <f>450+96</f>
        <v>546</v>
      </c>
      <c r="J672" s="15">
        <v>239</v>
      </c>
      <c r="K672" s="354">
        <f t="shared" si="104"/>
        <v>43.772893772893774</v>
      </c>
      <c r="L672" s="15"/>
      <c r="M672" s="15"/>
      <c r="N672" s="354"/>
      <c r="O672" s="16">
        <f t="shared" si="99"/>
        <v>546</v>
      </c>
      <c r="P672" s="16">
        <f t="shared" si="100"/>
        <v>239</v>
      </c>
      <c r="Q672" s="354">
        <f t="shared" si="101"/>
        <v>43.772893772893774</v>
      </c>
    </row>
    <row r="673" spans="2:17" x14ac:dyDescent="0.2">
      <c r="B673" s="6">
        <f t="shared" si="102"/>
        <v>183</v>
      </c>
      <c r="C673" s="12"/>
      <c r="D673" s="12"/>
      <c r="E673" s="12"/>
      <c r="F673" s="13" t="s">
        <v>184</v>
      </c>
      <c r="G673" s="14">
        <v>710</v>
      </c>
      <c r="H673" s="12" t="s">
        <v>172</v>
      </c>
      <c r="I673" s="15"/>
      <c r="J673" s="15"/>
      <c r="K673" s="354"/>
      <c r="L673" s="15">
        <f>L674</f>
        <v>48500</v>
      </c>
      <c r="M673" s="15">
        <f>M674</f>
        <v>0</v>
      </c>
      <c r="N673" s="354">
        <f>M673/L673*100</f>
        <v>0</v>
      </c>
      <c r="O673" s="16">
        <f t="shared" si="99"/>
        <v>48500</v>
      </c>
      <c r="P673" s="16">
        <f t="shared" si="100"/>
        <v>0</v>
      </c>
      <c r="Q673" s="354">
        <f t="shared" si="101"/>
        <v>0</v>
      </c>
    </row>
    <row r="674" spans="2:17" x14ac:dyDescent="0.2">
      <c r="B674" s="6">
        <f t="shared" si="102"/>
        <v>184</v>
      </c>
      <c r="C674" s="12"/>
      <c r="D674" s="12"/>
      <c r="E674" s="12"/>
      <c r="F674" s="18"/>
      <c r="G674" s="19">
        <v>717</v>
      </c>
      <c r="H674" s="17" t="s">
        <v>179</v>
      </c>
      <c r="I674" s="20"/>
      <c r="J674" s="20"/>
      <c r="K674" s="354"/>
      <c r="L674" s="20">
        <f>L675</f>
        <v>48500</v>
      </c>
      <c r="M674" s="20">
        <f>M675</f>
        <v>0</v>
      </c>
      <c r="N674" s="354">
        <f>M674/L674*100</f>
        <v>0</v>
      </c>
      <c r="O674" s="21">
        <f t="shared" si="99"/>
        <v>48500</v>
      </c>
      <c r="P674" s="21">
        <f t="shared" si="100"/>
        <v>0</v>
      </c>
      <c r="Q674" s="354">
        <f t="shared" si="101"/>
        <v>0</v>
      </c>
    </row>
    <row r="675" spans="2:17" x14ac:dyDescent="0.2">
      <c r="B675" s="6">
        <f t="shared" si="102"/>
        <v>185</v>
      </c>
      <c r="C675" s="12"/>
      <c r="D675" s="12"/>
      <c r="E675" s="12"/>
      <c r="F675" s="99"/>
      <c r="G675" s="23"/>
      <c r="H675" s="1" t="s">
        <v>590</v>
      </c>
      <c r="I675" s="24"/>
      <c r="J675" s="24"/>
      <c r="K675" s="354"/>
      <c r="L675" s="281">
        <v>48500</v>
      </c>
      <c r="M675" s="281">
        <v>0</v>
      </c>
      <c r="N675" s="354">
        <f>M675/L675*100</f>
        <v>0</v>
      </c>
      <c r="O675" s="26">
        <f t="shared" si="99"/>
        <v>48500</v>
      </c>
      <c r="P675" s="26">
        <f t="shared" si="100"/>
        <v>0</v>
      </c>
      <c r="Q675" s="354">
        <f t="shared" si="101"/>
        <v>0</v>
      </c>
    </row>
    <row r="676" spans="2:17" x14ac:dyDescent="0.2">
      <c r="B676" s="6">
        <f t="shared" si="102"/>
        <v>186</v>
      </c>
      <c r="C676" s="105"/>
      <c r="D676" s="105"/>
      <c r="E676" s="105" t="s">
        <v>85</v>
      </c>
      <c r="F676" s="106"/>
      <c r="G676" s="106"/>
      <c r="H676" s="105" t="s">
        <v>193</v>
      </c>
      <c r="I676" s="107">
        <f>I677+I678+I679+I686</f>
        <v>192540</v>
      </c>
      <c r="J676" s="107">
        <f>J677+J678+J679+J686</f>
        <v>73372</v>
      </c>
      <c r="K676" s="354">
        <f t="shared" ref="K676:K686" si="105">J676/I676*100</f>
        <v>38.107406253246076</v>
      </c>
      <c r="L676" s="107">
        <f>L687</f>
        <v>10000</v>
      </c>
      <c r="M676" s="107">
        <f>M687</f>
        <v>0</v>
      </c>
      <c r="N676" s="354">
        <f>M676/L676*100</f>
        <v>0</v>
      </c>
      <c r="O676" s="108">
        <f t="shared" si="99"/>
        <v>202540</v>
      </c>
      <c r="P676" s="108">
        <f t="shared" si="100"/>
        <v>73372</v>
      </c>
      <c r="Q676" s="354">
        <f t="shared" si="101"/>
        <v>36.225930680359433</v>
      </c>
    </row>
    <row r="677" spans="2:17" x14ac:dyDescent="0.2">
      <c r="B677" s="6">
        <f t="shared" si="102"/>
        <v>187</v>
      </c>
      <c r="C677" s="12"/>
      <c r="D677" s="12"/>
      <c r="E677" s="12"/>
      <c r="F677" s="13" t="s">
        <v>184</v>
      </c>
      <c r="G677" s="14">
        <v>610</v>
      </c>
      <c r="H677" s="12" t="s">
        <v>128</v>
      </c>
      <c r="I677" s="15">
        <f>116421-8317+7553-8287+1267</f>
        <v>108637</v>
      </c>
      <c r="J677" s="15">
        <v>45244</v>
      </c>
      <c r="K677" s="354">
        <f t="shared" si="105"/>
        <v>41.646952695674585</v>
      </c>
      <c r="L677" s="15"/>
      <c r="M677" s="15"/>
      <c r="N677" s="354"/>
      <c r="O677" s="16">
        <f t="shared" si="99"/>
        <v>108637</v>
      </c>
      <c r="P677" s="16">
        <f t="shared" si="100"/>
        <v>45244</v>
      </c>
      <c r="Q677" s="354">
        <f t="shared" si="101"/>
        <v>41.646952695674585</v>
      </c>
    </row>
    <row r="678" spans="2:17" x14ac:dyDescent="0.2">
      <c r="B678" s="6">
        <f t="shared" si="102"/>
        <v>188</v>
      </c>
      <c r="C678" s="12"/>
      <c r="D678" s="12"/>
      <c r="E678" s="12"/>
      <c r="F678" s="13" t="s">
        <v>184</v>
      </c>
      <c r="G678" s="14">
        <v>620</v>
      </c>
      <c r="H678" s="12" t="s">
        <v>121</v>
      </c>
      <c r="I678" s="15">
        <f>45226-3156+1822-3145+455</f>
        <v>41202</v>
      </c>
      <c r="J678" s="15">
        <v>16751</v>
      </c>
      <c r="K678" s="354">
        <f t="shared" si="105"/>
        <v>40.655793408086986</v>
      </c>
      <c r="L678" s="15"/>
      <c r="M678" s="15"/>
      <c r="N678" s="354"/>
      <c r="O678" s="16">
        <f t="shared" si="99"/>
        <v>41202</v>
      </c>
      <c r="P678" s="16">
        <f t="shared" si="100"/>
        <v>16751</v>
      </c>
      <c r="Q678" s="354">
        <f t="shared" si="101"/>
        <v>40.655793408086986</v>
      </c>
    </row>
    <row r="679" spans="2:17" x14ac:dyDescent="0.2">
      <c r="B679" s="6">
        <f t="shared" si="102"/>
        <v>189</v>
      </c>
      <c r="C679" s="12"/>
      <c r="D679" s="12"/>
      <c r="E679" s="12"/>
      <c r="F679" s="13" t="s">
        <v>184</v>
      </c>
      <c r="G679" s="14">
        <v>630</v>
      </c>
      <c r="H679" s="12" t="s">
        <v>118</v>
      </c>
      <c r="I679" s="15">
        <f>SUM(I680:I685)</f>
        <v>39518</v>
      </c>
      <c r="J679" s="15">
        <f>SUM(J680:J685)</f>
        <v>10787</v>
      </c>
      <c r="K679" s="354">
        <f t="shared" si="105"/>
        <v>27.296421883698567</v>
      </c>
      <c r="L679" s="15"/>
      <c r="M679" s="15"/>
      <c r="N679" s="354"/>
      <c r="O679" s="16">
        <f t="shared" si="99"/>
        <v>39518</v>
      </c>
      <c r="P679" s="16">
        <f t="shared" si="100"/>
        <v>10787</v>
      </c>
      <c r="Q679" s="354">
        <f t="shared" si="101"/>
        <v>27.296421883698567</v>
      </c>
    </row>
    <row r="680" spans="2:17" x14ac:dyDescent="0.2">
      <c r="B680" s="6">
        <f t="shared" si="102"/>
        <v>190</v>
      </c>
      <c r="C680" s="17"/>
      <c r="D680" s="17"/>
      <c r="E680" s="17"/>
      <c r="F680" s="18"/>
      <c r="G680" s="19">
        <v>632</v>
      </c>
      <c r="H680" s="17" t="s">
        <v>131</v>
      </c>
      <c r="I680" s="20">
        <f>13060-3871</f>
        <v>9189</v>
      </c>
      <c r="J680" s="20">
        <v>4195</v>
      </c>
      <c r="K680" s="354">
        <f t="shared" si="105"/>
        <v>45.652410490804222</v>
      </c>
      <c r="L680" s="20"/>
      <c r="M680" s="20"/>
      <c r="N680" s="354"/>
      <c r="O680" s="21">
        <f t="shared" si="99"/>
        <v>9189</v>
      </c>
      <c r="P680" s="21">
        <f t="shared" si="100"/>
        <v>4195</v>
      </c>
      <c r="Q680" s="354">
        <f t="shared" si="101"/>
        <v>45.652410490804222</v>
      </c>
    </row>
    <row r="681" spans="2:17" x14ac:dyDescent="0.2">
      <c r="B681" s="6">
        <f t="shared" si="102"/>
        <v>191</v>
      </c>
      <c r="C681" s="17"/>
      <c r="D681" s="17"/>
      <c r="E681" s="17"/>
      <c r="F681" s="18"/>
      <c r="G681" s="19">
        <v>633</v>
      </c>
      <c r="H681" s="17" t="s">
        <v>122</v>
      </c>
      <c r="I681" s="20">
        <f>12589+118</f>
        <v>12707</v>
      </c>
      <c r="J681" s="20">
        <v>3173</v>
      </c>
      <c r="K681" s="354">
        <f t="shared" si="105"/>
        <v>24.970488707011885</v>
      </c>
      <c r="L681" s="20"/>
      <c r="M681" s="20"/>
      <c r="N681" s="354"/>
      <c r="O681" s="21">
        <f t="shared" si="99"/>
        <v>12707</v>
      </c>
      <c r="P681" s="21">
        <f t="shared" si="100"/>
        <v>3173</v>
      </c>
      <c r="Q681" s="354">
        <f t="shared" si="101"/>
        <v>24.970488707011885</v>
      </c>
    </row>
    <row r="682" spans="2:17" x14ac:dyDescent="0.2">
      <c r="B682" s="6">
        <f t="shared" si="102"/>
        <v>192</v>
      </c>
      <c r="C682" s="17"/>
      <c r="D682" s="17"/>
      <c r="E682" s="17"/>
      <c r="F682" s="18"/>
      <c r="G682" s="19">
        <v>634</v>
      </c>
      <c r="H682" s="17" t="s">
        <v>129</v>
      </c>
      <c r="I682" s="20">
        <f>500+122-300</f>
        <v>322</v>
      </c>
      <c r="J682" s="20">
        <v>70</v>
      </c>
      <c r="K682" s="354">
        <f t="shared" si="105"/>
        <v>21.739130434782609</v>
      </c>
      <c r="L682" s="20"/>
      <c r="M682" s="20"/>
      <c r="N682" s="354"/>
      <c r="O682" s="21">
        <f t="shared" si="99"/>
        <v>322</v>
      </c>
      <c r="P682" s="21">
        <f t="shared" si="100"/>
        <v>70</v>
      </c>
      <c r="Q682" s="354">
        <f t="shared" si="101"/>
        <v>21.739130434782609</v>
      </c>
    </row>
    <row r="683" spans="2:17" x14ac:dyDescent="0.2">
      <c r="B683" s="6">
        <f t="shared" si="102"/>
        <v>193</v>
      </c>
      <c r="C683" s="17"/>
      <c r="D683" s="17"/>
      <c r="E683" s="17"/>
      <c r="F683" s="18"/>
      <c r="G683" s="19">
        <v>635</v>
      </c>
      <c r="H683" s="17" t="s">
        <v>130</v>
      </c>
      <c r="I683" s="20">
        <f>3000+2814+3000</f>
        <v>8814</v>
      </c>
      <c r="J683" s="20">
        <v>1284</v>
      </c>
      <c r="K683" s="354">
        <f t="shared" si="105"/>
        <v>14.567733151803949</v>
      </c>
      <c r="L683" s="20"/>
      <c r="M683" s="20"/>
      <c r="N683" s="354"/>
      <c r="O683" s="21">
        <f t="shared" ref="O683:O746" si="106">I683+L683</f>
        <v>8814</v>
      </c>
      <c r="P683" s="21">
        <f t="shared" ref="P683:P746" si="107">J683+M683</f>
        <v>1284</v>
      </c>
      <c r="Q683" s="354">
        <f t="shared" ref="Q683:Q746" si="108">P683/O683*100</f>
        <v>14.567733151803949</v>
      </c>
    </row>
    <row r="684" spans="2:17" x14ac:dyDescent="0.2">
      <c r="B684" s="6">
        <f t="shared" ref="B684:B747" si="109">B683+1</f>
        <v>194</v>
      </c>
      <c r="C684" s="17"/>
      <c r="D684" s="17"/>
      <c r="E684" s="17"/>
      <c r="F684" s="18"/>
      <c r="G684" s="19">
        <v>636</v>
      </c>
      <c r="H684" s="17" t="s">
        <v>123</v>
      </c>
      <c r="I684" s="20">
        <v>183</v>
      </c>
      <c r="J684" s="20">
        <v>34</v>
      </c>
      <c r="K684" s="354">
        <f t="shared" si="105"/>
        <v>18.579234972677597</v>
      </c>
      <c r="L684" s="20"/>
      <c r="M684" s="20"/>
      <c r="N684" s="354"/>
      <c r="O684" s="21">
        <f t="shared" si="106"/>
        <v>183</v>
      </c>
      <c r="P684" s="21">
        <f t="shared" si="107"/>
        <v>34</v>
      </c>
      <c r="Q684" s="354">
        <f t="shared" si="108"/>
        <v>18.579234972677597</v>
      </c>
    </row>
    <row r="685" spans="2:17" x14ac:dyDescent="0.2">
      <c r="B685" s="6">
        <f t="shared" si="109"/>
        <v>195</v>
      </c>
      <c r="C685" s="17"/>
      <c r="D685" s="17"/>
      <c r="E685" s="17"/>
      <c r="F685" s="18"/>
      <c r="G685" s="19">
        <v>637</v>
      </c>
      <c r="H685" s="17" t="s">
        <v>119</v>
      </c>
      <c r="I685" s="20">
        <f>5370+2633+300</f>
        <v>8303</v>
      </c>
      <c r="J685" s="20">
        <v>2031</v>
      </c>
      <c r="K685" s="354">
        <f t="shared" si="105"/>
        <v>24.461038178971457</v>
      </c>
      <c r="L685" s="20"/>
      <c r="M685" s="20"/>
      <c r="N685" s="354"/>
      <c r="O685" s="21">
        <f t="shared" si="106"/>
        <v>8303</v>
      </c>
      <c r="P685" s="21">
        <f t="shared" si="107"/>
        <v>2031</v>
      </c>
      <c r="Q685" s="354">
        <f t="shared" si="108"/>
        <v>24.461038178971457</v>
      </c>
    </row>
    <row r="686" spans="2:17" x14ac:dyDescent="0.2">
      <c r="B686" s="6">
        <f t="shared" si="109"/>
        <v>196</v>
      </c>
      <c r="C686" s="12"/>
      <c r="D686" s="12"/>
      <c r="E686" s="12"/>
      <c r="F686" s="13" t="s">
        <v>184</v>
      </c>
      <c r="G686" s="14">
        <v>640</v>
      </c>
      <c r="H686" s="12" t="s">
        <v>126</v>
      </c>
      <c r="I686" s="15">
        <f>3058+125</f>
        <v>3183</v>
      </c>
      <c r="J686" s="15">
        <v>590</v>
      </c>
      <c r="K686" s="354">
        <f t="shared" si="105"/>
        <v>18.535972353125981</v>
      </c>
      <c r="L686" s="15"/>
      <c r="M686" s="15"/>
      <c r="N686" s="354"/>
      <c r="O686" s="16">
        <f t="shared" si="106"/>
        <v>3183</v>
      </c>
      <c r="P686" s="16">
        <f t="shared" si="107"/>
        <v>590</v>
      </c>
      <c r="Q686" s="354">
        <f t="shared" si="108"/>
        <v>18.535972353125981</v>
      </c>
    </row>
    <row r="687" spans="2:17" x14ac:dyDescent="0.2">
      <c r="B687" s="6">
        <f t="shared" si="109"/>
        <v>197</v>
      </c>
      <c r="C687" s="12"/>
      <c r="D687" s="12"/>
      <c r="E687" s="12"/>
      <c r="F687" s="13" t="s">
        <v>184</v>
      </c>
      <c r="G687" s="14">
        <v>710</v>
      </c>
      <c r="H687" s="12" t="s">
        <v>172</v>
      </c>
      <c r="I687" s="15"/>
      <c r="J687" s="15"/>
      <c r="K687" s="354"/>
      <c r="L687" s="15">
        <f>L688</f>
        <v>10000</v>
      </c>
      <c r="M687" s="15">
        <f>M688</f>
        <v>0</v>
      </c>
      <c r="N687" s="354">
        <f>M687/L687*100</f>
        <v>0</v>
      </c>
      <c r="O687" s="16">
        <f t="shared" si="106"/>
        <v>10000</v>
      </c>
      <c r="P687" s="16">
        <f t="shared" si="107"/>
        <v>0</v>
      </c>
      <c r="Q687" s="354">
        <f t="shared" si="108"/>
        <v>0</v>
      </c>
    </row>
    <row r="688" spans="2:17" x14ac:dyDescent="0.2">
      <c r="B688" s="6">
        <f t="shared" si="109"/>
        <v>198</v>
      </c>
      <c r="C688" s="12"/>
      <c r="D688" s="12"/>
      <c r="E688" s="12"/>
      <c r="F688" s="13"/>
      <c r="G688" s="19">
        <v>713</v>
      </c>
      <c r="H688" s="17" t="s">
        <v>215</v>
      </c>
      <c r="I688" s="20"/>
      <c r="J688" s="20"/>
      <c r="K688" s="354"/>
      <c r="L688" s="20">
        <f>L689</f>
        <v>10000</v>
      </c>
      <c r="M688" s="20">
        <f>M689</f>
        <v>0</v>
      </c>
      <c r="N688" s="354">
        <f>M688/L688*100</f>
        <v>0</v>
      </c>
      <c r="O688" s="16">
        <f t="shared" si="106"/>
        <v>10000</v>
      </c>
      <c r="P688" s="16">
        <f t="shared" si="107"/>
        <v>0</v>
      </c>
      <c r="Q688" s="354">
        <f t="shared" si="108"/>
        <v>0</v>
      </c>
    </row>
    <row r="689" spans="2:17" x14ac:dyDescent="0.2">
      <c r="B689" s="6">
        <f t="shared" si="109"/>
        <v>199</v>
      </c>
      <c r="C689" s="12"/>
      <c r="D689" s="12"/>
      <c r="E689" s="12"/>
      <c r="F689" s="13"/>
      <c r="G689" s="19"/>
      <c r="H689" s="1" t="s">
        <v>486</v>
      </c>
      <c r="I689" s="20"/>
      <c r="J689" s="20"/>
      <c r="K689" s="354"/>
      <c r="L689" s="24">
        <v>10000</v>
      </c>
      <c r="M689" s="24">
        <v>0</v>
      </c>
      <c r="N689" s="354">
        <f>M689/L689*100</f>
        <v>0</v>
      </c>
      <c r="O689" s="16">
        <f t="shared" si="106"/>
        <v>10000</v>
      </c>
      <c r="P689" s="16">
        <f t="shared" si="107"/>
        <v>0</v>
      </c>
      <c r="Q689" s="354">
        <f t="shared" si="108"/>
        <v>0</v>
      </c>
    </row>
    <row r="690" spans="2:17" x14ac:dyDescent="0.2">
      <c r="B690" s="6">
        <f t="shared" si="109"/>
        <v>200</v>
      </c>
      <c r="C690" s="105"/>
      <c r="D690" s="105"/>
      <c r="E690" s="105" t="s">
        <v>100</v>
      </c>
      <c r="F690" s="106"/>
      <c r="G690" s="106"/>
      <c r="H690" s="105" t="s">
        <v>68</v>
      </c>
      <c r="I690" s="107">
        <f>I691+I692+I693+I700</f>
        <v>221819</v>
      </c>
      <c r="J690" s="107">
        <f>J691+J692+J693+J700</f>
        <v>85801</v>
      </c>
      <c r="K690" s="354">
        <f t="shared" ref="K690:K721" si="110">J690/I690*100</f>
        <v>38.680636014047487</v>
      </c>
      <c r="L690" s="107"/>
      <c r="M690" s="107"/>
      <c r="N690" s="354"/>
      <c r="O690" s="108">
        <f t="shared" si="106"/>
        <v>221819</v>
      </c>
      <c r="P690" s="108">
        <f t="shared" si="107"/>
        <v>85801</v>
      </c>
      <c r="Q690" s="354">
        <f t="shared" si="108"/>
        <v>38.680636014047487</v>
      </c>
    </row>
    <row r="691" spans="2:17" x14ac:dyDescent="0.2">
      <c r="B691" s="6">
        <f t="shared" si="109"/>
        <v>201</v>
      </c>
      <c r="C691" s="12"/>
      <c r="D691" s="12"/>
      <c r="E691" s="12"/>
      <c r="F691" s="13" t="s">
        <v>184</v>
      </c>
      <c r="G691" s="14">
        <v>610</v>
      </c>
      <c r="H691" s="12" t="s">
        <v>128</v>
      </c>
      <c r="I691" s="15">
        <f>138358-9884-12264-1627+633</f>
        <v>115216</v>
      </c>
      <c r="J691" s="15">
        <v>51616</v>
      </c>
      <c r="K691" s="354">
        <f t="shared" si="110"/>
        <v>44.799333425913069</v>
      </c>
      <c r="L691" s="15"/>
      <c r="M691" s="15"/>
      <c r="N691" s="354"/>
      <c r="O691" s="16">
        <f t="shared" si="106"/>
        <v>115216</v>
      </c>
      <c r="P691" s="16">
        <f t="shared" si="107"/>
        <v>51616</v>
      </c>
      <c r="Q691" s="354">
        <f t="shared" si="108"/>
        <v>44.799333425913069</v>
      </c>
    </row>
    <row r="692" spans="2:17" x14ac:dyDescent="0.2">
      <c r="B692" s="6">
        <f t="shared" si="109"/>
        <v>202</v>
      </c>
      <c r="C692" s="12"/>
      <c r="D692" s="12"/>
      <c r="E692" s="12"/>
      <c r="F692" s="13" t="s">
        <v>184</v>
      </c>
      <c r="G692" s="14">
        <v>620</v>
      </c>
      <c r="H692" s="12" t="s">
        <v>121</v>
      </c>
      <c r="I692" s="15">
        <f>53663-3751-5810-618+228</f>
        <v>43712</v>
      </c>
      <c r="J692" s="15">
        <v>19444</v>
      </c>
      <c r="K692" s="354">
        <f t="shared" si="110"/>
        <v>44.482064421669101</v>
      </c>
      <c r="L692" s="15"/>
      <c r="M692" s="15"/>
      <c r="N692" s="354"/>
      <c r="O692" s="16">
        <f t="shared" si="106"/>
        <v>43712</v>
      </c>
      <c r="P692" s="16">
        <f t="shared" si="107"/>
        <v>19444</v>
      </c>
      <c r="Q692" s="354">
        <f t="shared" si="108"/>
        <v>44.482064421669101</v>
      </c>
    </row>
    <row r="693" spans="2:17" x14ac:dyDescent="0.2">
      <c r="B693" s="6">
        <f t="shared" si="109"/>
        <v>203</v>
      </c>
      <c r="C693" s="12"/>
      <c r="D693" s="12"/>
      <c r="E693" s="12"/>
      <c r="F693" s="13" t="s">
        <v>184</v>
      </c>
      <c r="G693" s="14">
        <v>630</v>
      </c>
      <c r="H693" s="12" t="s">
        <v>118</v>
      </c>
      <c r="I693" s="15">
        <f>SUM(I694:I699)</f>
        <v>58872</v>
      </c>
      <c r="J693" s="15">
        <f>SUM(J694:J699)</f>
        <v>14680</v>
      </c>
      <c r="K693" s="354">
        <f t="shared" si="110"/>
        <v>24.935453186574264</v>
      </c>
      <c r="L693" s="15"/>
      <c r="M693" s="15"/>
      <c r="N693" s="354"/>
      <c r="O693" s="16">
        <f t="shared" si="106"/>
        <v>58872</v>
      </c>
      <c r="P693" s="16">
        <f t="shared" si="107"/>
        <v>14680</v>
      </c>
      <c r="Q693" s="354">
        <f t="shared" si="108"/>
        <v>24.935453186574264</v>
      </c>
    </row>
    <row r="694" spans="2:17" x14ac:dyDescent="0.2">
      <c r="B694" s="6">
        <f t="shared" si="109"/>
        <v>204</v>
      </c>
      <c r="C694" s="17"/>
      <c r="D694" s="17"/>
      <c r="E694" s="17"/>
      <c r="F694" s="18"/>
      <c r="G694" s="19">
        <v>632</v>
      </c>
      <c r="H694" s="17" t="s">
        <v>131</v>
      </c>
      <c r="I694" s="20">
        <f>630+26</f>
        <v>656</v>
      </c>
      <c r="J694" s="20">
        <v>308</v>
      </c>
      <c r="K694" s="354">
        <f t="shared" si="110"/>
        <v>46.951219512195117</v>
      </c>
      <c r="L694" s="20"/>
      <c r="M694" s="20"/>
      <c r="N694" s="354"/>
      <c r="O694" s="21">
        <f t="shared" si="106"/>
        <v>656</v>
      </c>
      <c r="P694" s="21">
        <f t="shared" si="107"/>
        <v>308</v>
      </c>
      <c r="Q694" s="354">
        <f t="shared" si="108"/>
        <v>46.951219512195117</v>
      </c>
    </row>
    <row r="695" spans="2:17" x14ac:dyDescent="0.2">
      <c r="B695" s="6">
        <f t="shared" si="109"/>
        <v>205</v>
      </c>
      <c r="C695" s="17"/>
      <c r="D695" s="17"/>
      <c r="E695" s="17"/>
      <c r="F695" s="18"/>
      <c r="G695" s="19">
        <v>633</v>
      </c>
      <c r="H695" s="17" t="s">
        <v>122</v>
      </c>
      <c r="I695" s="20">
        <f>13719+109</f>
        <v>13828</v>
      </c>
      <c r="J695" s="20">
        <v>1740</v>
      </c>
      <c r="K695" s="354">
        <f t="shared" si="110"/>
        <v>12.583164593578248</v>
      </c>
      <c r="L695" s="20"/>
      <c r="M695" s="20"/>
      <c r="N695" s="354"/>
      <c r="O695" s="21">
        <f t="shared" si="106"/>
        <v>13828</v>
      </c>
      <c r="P695" s="21">
        <f t="shared" si="107"/>
        <v>1740</v>
      </c>
      <c r="Q695" s="354">
        <f t="shared" si="108"/>
        <v>12.583164593578248</v>
      </c>
    </row>
    <row r="696" spans="2:17" x14ac:dyDescent="0.2">
      <c r="B696" s="6">
        <f t="shared" si="109"/>
        <v>206</v>
      </c>
      <c r="C696" s="17"/>
      <c r="D696" s="17"/>
      <c r="E696" s="17"/>
      <c r="F696" s="18"/>
      <c r="G696" s="19">
        <v>634</v>
      </c>
      <c r="H696" s="17" t="s">
        <v>129</v>
      </c>
      <c r="I696" s="20">
        <f>300+113</f>
        <v>413</v>
      </c>
      <c r="J696" s="20">
        <v>80</v>
      </c>
      <c r="K696" s="354">
        <f t="shared" si="110"/>
        <v>19.37046004842615</v>
      </c>
      <c r="L696" s="20"/>
      <c r="M696" s="20"/>
      <c r="N696" s="354"/>
      <c r="O696" s="21">
        <f t="shared" si="106"/>
        <v>413</v>
      </c>
      <c r="P696" s="21">
        <f t="shared" si="107"/>
        <v>80</v>
      </c>
      <c r="Q696" s="354">
        <f t="shared" si="108"/>
        <v>19.37046004842615</v>
      </c>
    </row>
    <row r="697" spans="2:17" x14ac:dyDescent="0.2">
      <c r="B697" s="6">
        <f t="shared" si="109"/>
        <v>207</v>
      </c>
      <c r="C697" s="17"/>
      <c r="D697" s="17"/>
      <c r="E697" s="17"/>
      <c r="F697" s="18"/>
      <c r="G697" s="19">
        <v>635</v>
      </c>
      <c r="H697" s="17" t="s">
        <v>130</v>
      </c>
      <c r="I697" s="20">
        <f>1700+4633</f>
        <v>6333</v>
      </c>
      <c r="J697" s="20">
        <v>2690</v>
      </c>
      <c r="K697" s="354">
        <f t="shared" si="110"/>
        <v>42.475919785251854</v>
      </c>
      <c r="L697" s="20"/>
      <c r="M697" s="20"/>
      <c r="N697" s="354"/>
      <c r="O697" s="21">
        <f t="shared" si="106"/>
        <v>6333</v>
      </c>
      <c r="P697" s="21">
        <f t="shared" si="107"/>
        <v>2690</v>
      </c>
      <c r="Q697" s="354">
        <f t="shared" si="108"/>
        <v>42.475919785251854</v>
      </c>
    </row>
    <row r="698" spans="2:17" x14ac:dyDescent="0.2">
      <c r="B698" s="6">
        <f t="shared" si="109"/>
        <v>208</v>
      </c>
      <c r="C698" s="17"/>
      <c r="D698" s="17"/>
      <c r="E698" s="17"/>
      <c r="F698" s="18"/>
      <c r="G698" s="19">
        <v>636</v>
      </c>
      <c r="H698" s="17" t="s">
        <v>123</v>
      </c>
      <c r="I698" s="20">
        <f>28000+169</f>
        <v>28169</v>
      </c>
      <c r="J698" s="20">
        <v>6810</v>
      </c>
      <c r="K698" s="354">
        <f t="shared" si="110"/>
        <v>24.175512087756044</v>
      </c>
      <c r="L698" s="20"/>
      <c r="M698" s="20"/>
      <c r="N698" s="354"/>
      <c r="O698" s="21">
        <f t="shared" si="106"/>
        <v>28169</v>
      </c>
      <c r="P698" s="21">
        <f t="shared" si="107"/>
        <v>6810</v>
      </c>
      <c r="Q698" s="354">
        <f t="shared" si="108"/>
        <v>24.175512087756044</v>
      </c>
    </row>
    <row r="699" spans="2:17" x14ac:dyDescent="0.2">
      <c r="B699" s="6">
        <f t="shared" si="109"/>
        <v>209</v>
      </c>
      <c r="C699" s="17"/>
      <c r="D699" s="17"/>
      <c r="E699" s="17"/>
      <c r="F699" s="18"/>
      <c r="G699" s="19">
        <v>637</v>
      </c>
      <c r="H699" s="17" t="s">
        <v>119</v>
      </c>
      <c r="I699" s="20">
        <f>6754+2719</f>
        <v>9473</v>
      </c>
      <c r="J699" s="20">
        <v>3052</v>
      </c>
      <c r="K699" s="354">
        <f t="shared" si="110"/>
        <v>32.217882402617967</v>
      </c>
      <c r="L699" s="20"/>
      <c r="M699" s="20"/>
      <c r="N699" s="354"/>
      <c r="O699" s="21">
        <f t="shared" si="106"/>
        <v>9473</v>
      </c>
      <c r="P699" s="21">
        <f t="shared" si="107"/>
        <v>3052</v>
      </c>
      <c r="Q699" s="354">
        <f t="shared" si="108"/>
        <v>32.217882402617967</v>
      </c>
    </row>
    <row r="700" spans="2:17" x14ac:dyDescent="0.2">
      <c r="B700" s="6">
        <f t="shared" si="109"/>
        <v>210</v>
      </c>
      <c r="C700" s="12"/>
      <c r="D700" s="12"/>
      <c r="E700" s="12"/>
      <c r="F700" s="13" t="s">
        <v>184</v>
      </c>
      <c r="G700" s="14">
        <v>640</v>
      </c>
      <c r="H700" s="12" t="s">
        <v>126</v>
      </c>
      <c r="I700" s="15">
        <f>3904+115</f>
        <v>4019</v>
      </c>
      <c r="J700" s="15">
        <v>61</v>
      </c>
      <c r="K700" s="354">
        <f t="shared" si="110"/>
        <v>1.5177904951480468</v>
      </c>
      <c r="L700" s="15"/>
      <c r="M700" s="15"/>
      <c r="N700" s="354"/>
      <c r="O700" s="16">
        <f t="shared" si="106"/>
        <v>4019</v>
      </c>
      <c r="P700" s="16">
        <f t="shared" si="107"/>
        <v>61</v>
      </c>
      <c r="Q700" s="354">
        <f t="shared" si="108"/>
        <v>1.5177904951480468</v>
      </c>
    </row>
    <row r="701" spans="2:17" x14ac:dyDescent="0.2">
      <c r="B701" s="6">
        <f t="shared" si="109"/>
        <v>211</v>
      </c>
      <c r="C701" s="105"/>
      <c r="D701" s="105"/>
      <c r="E701" s="105" t="s">
        <v>101</v>
      </c>
      <c r="F701" s="106"/>
      <c r="G701" s="106"/>
      <c r="H701" s="105" t="s">
        <v>102</v>
      </c>
      <c r="I701" s="107">
        <f>I702+I703+I704+I711</f>
        <v>617027</v>
      </c>
      <c r="J701" s="107">
        <f>J702+J703+J704+J711</f>
        <v>258384</v>
      </c>
      <c r="K701" s="354">
        <f t="shared" si="110"/>
        <v>41.875639153554054</v>
      </c>
      <c r="L701" s="107"/>
      <c r="M701" s="107"/>
      <c r="N701" s="354"/>
      <c r="O701" s="108">
        <f t="shared" si="106"/>
        <v>617027</v>
      </c>
      <c r="P701" s="108">
        <f t="shared" si="107"/>
        <v>258384</v>
      </c>
      <c r="Q701" s="354">
        <f t="shared" si="108"/>
        <v>41.875639153554054</v>
      </c>
    </row>
    <row r="702" spans="2:17" x14ac:dyDescent="0.2">
      <c r="B702" s="6">
        <f t="shared" si="109"/>
        <v>212</v>
      </c>
      <c r="C702" s="12"/>
      <c r="D702" s="12"/>
      <c r="E702" s="12"/>
      <c r="F702" s="13" t="s">
        <v>184</v>
      </c>
      <c r="G702" s="14">
        <v>610</v>
      </c>
      <c r="H702" s="12" t="s">
        <v>128</v>
      </c>
      <c r="I702" s="15">
        <f>381269-27234+10946-26672+1267</f>
        <v>339576</v>
      </c>
      <c r="J702" s="15">
        <v>153628</v>
      </c>
      <c r="K702" s="354">
        <f t="shared" si="110"/>
        <v>45.241124225504748</v>
      </c>
      <c r="L702" s="15"/>
      <c r="M702" s="15"/>
      <c r="N702" s="354"/>
      <c r="O702" s="16">
        <f t="shared" si="106"/>
        <v>339576</v>
      </c>
      <c r="P702" s="16">
        <f t="shared" si="107"/>
        <v>153628</v>
      </c>
      <c r="Q702" s="354">
        <f t="shared" si="108"/>
        <v>45.241124225504748</v>
      </c>
    </row>
    <row r="703" spans="2:17" x14ac:dyDescent="0.2">
      <c r="B703" s="6">
        <f t="shared" si="109"/>
        <v>213</v>
      </c>
      <c r="C703" s="12"/>
      <c r="D703" s="12"/>
      <c r="E703" s="12"/>
      <c r="F703" s="13" t="s">
        <v>184</v>
      </c>
      <c r="G703" s="14">
        <v>620</v>
      </c>
      <c r="H703" s="12" t="s">
        <v>121</v>
      </c>
      <c r="I703" s="15">
        <f>146934-10335+1911-10122+455</f>
        <v>128843</v>
      </c>
      <c r="J703" s="15">
        <v>56278</v>
      </c>
      <c r="K703" s="354">
        <f t="shared" si="110"/>
        <v>43.679516931459219</v>
      </c>
      <c r="L703" s="15"/>
      <c r="M703" s="15"/>
      <c r="N703" s="354"/>
      <c r="O703" s="16">
        <f t="shared" si="106"/>
        <v>128843</v>
      </c>
      <c r="P703" s="16">
        <f t="shared" si="107"/>
        <v>56278</v>
      </c>
      <c r="Q703" s="354">
        <f t="shared" si="108"/>
        <v>43.679516931459219</v>
      </c>
    </row>
    <row r="704" spans="2:17" x14ac:dyDescent="0.2">
      <c r="B704" s="6">
        <f t="shared" si="109"/>
        <v>214</v>
      </c>
      <c r="C704" s="12"/>
      <c r="D704" s="12"/>
      <c r="E704" s="12"/>
      <c r="F704" s="13" t="s">
        <v>184</v>
      </c>
      <c r="G704" s="14">
        <v>630</v>
      </c>
      <c r="H704" s="12" t="s">
        <v>118</v>
      </c>
      <c r="I704" s="15">
        <f>SUM(I705:I710)</f>
        <v>140999</v>
      </c>
      <c r="J704" s="15">
        <f>SUM(J705:J710)</f>
        <v>47798</v>
      </c>
      <c r="K704" s="354">
        <f t="shared" si="110"/>
        <v>33.899531202348953</v>
      </c>
      <c r="L704" s="15"/>
      <c r="M704" s="15"/>
      <c r="N704" s="354"/>
      <c r="O704" s="16">
        <f t="shared" si="106"/>
        <v>140999</v>
      </c>
      <c r="P704" s="16">
        <f t="shared" si="107"/>
        <v>47798</v>
      </c>
      <c r="Q704" s="354">
        <f t="shared" si="108"/>
        <v>33.899531202348953</v>
      </c>
    </row>
    <row r="705" spans="2:17" x14ac:dyDescent="0.2">
      <c r="B705" s="6">
        <f t="shared" si="109"/>
        <v>215</v>
      </c>
      <c r="C705" s="17"/>
      <c r="D705" s="17"/>
      <c r="E705" s="17"/>
      <c r="F705" s="18"/>
      <c r="G705" s="19">
        <v>632</v>
      </c>
      <c r="H705" s="17" t="s">
        <v>131</v>
      </c>
      <c r="I705" s="20">
        <f>25771+99</f>
        <v>25870</v>
      </c>
      <c r="J705" s="20">
        <v>12894</v>
      </c>
      <c r="K705" s="354">
        <f t="shared" si="110"/>
        <v>49.841515268650951</v>
      </c>
      <c r="L705" s="20"/>
      <c r="M705" s="20"/>
      <c r="N705" s="354"/>
      <c r="O705" s="21">
        <f t="shared" si="106"/>
        <v>25870</v>
      </c>
      <c r="P705" s="21">
        <f t="shared" si="107"/>
        <v>12894</v>
      </c>
      <c r="Q705" s="354">
        <f t="shared" si="108"/>
        <v>49.841515268650951</v>
      </c>
    </row>
    <row r="706" spans="2:17" x14ac:dyDescent="0.2">
      <c r="B706" s="6">
        <f t="shared" si="109"/>
        <v>216</v>
      </c>
      <c r="C706" s="17"/>
      <c r="D706" s="17"/>
      <c r="E706" s="17"/>
      <c r="F706" s="18"/>
      <c r="G706" s="19">
        <v>633</v>
      </c>
      <c r="H706" s="17" t="s">
        <v>122</v>
      </c>
      <c r="I706" s="20">
        <f>45482+409</f>
        <v>45891</v>
      </c>
      <c r="J706" s="20">
        <v>14501</v>
      </c>
      <c r="K706" s="354">
        <f t="shared" si="110"/>
        <v>31.598788433461898</v>
      </c>
      <c r="L706" s="20"/>
      <c r="M706" s="20"/>
      <c r="N706" s="354"/>
      <c r="O706" s="21">
        <f t="shared" si="106"/>
        <v>45891</v>
      </c>
      <c r="P706" s="21">
        <f t="shared" si="107"/>
        <v>14501</v>
      </c>
      <c r="Q706" s="354">
        <f t="shared" si="108"/>
        <v>31.598788433461898</v>
      </c>
    </row>
    <row r="707" spans="2:17" x14ac:dyDescent="0.2">
      <c r="B707" s="6">
        <f t="shared" si="109"/>
        <v>217</v>
      </c>
      <c r="C707" s="17"/>
      <c r="D707" s="17"/>
      <c r="E707" s="17"/>
      <c r="F707" s="18"/>
      <c r="G707" s="19">
        <v>634</v>
      </c>
      <c r="H707" s="17" t="s">
        <v>129</v>
      </c>
      <c r="I707" s="20">
        <f>800+423</f>
        <v>1223</v>
      </c>
      <c r="J707" s="20">
        <v>470</v>
      </c>
      <c r="K707" s="354">
        <f t="shared" si="110"/>
        <v>38.430089942763694</v>
      </c>
      <c r="L707" s="20"/>
      <c r="M707" s="20"/>
      <c r="N707" s="354"/>
      <c r="O707" s="21">
        <f t="shared" si="106"/>
        <v>1223</v>
      </c>
      <c r="P707" s="21">
        <f t="shared" si="107"/>
        <v>470</v>
      </c>
      <c r="Q707" s="354">
        <f t="shared" si="108"/>
        <v>38.430089942763694</v>
      </c>
    </row>
    <row r="708" spans="2:17" x14ac:dyDescent="0.2">
      <c r="B708" s="6">
        <f t="shared" si="109"/>
        <v>218</v>
      </c>
      <c r="C708" s="17"/>
      <c r="D708" s="17"/>
      <c r="E708" s="17"/>
      <c r="F708" s="18"/>
      <c r="G708" s="19">
        <v>635</v>
      </c>
      <c r="H708" s="17" t="s">
        <v>130</v>
      </c>
      <c r="I708" s="20">
        <f>11000+5000+6259</f>
        <v>22259</v>
      </c>
      <c r="J708" s="20">
        <v>3064</v>
      </c>
      <c r="K708" s="354">
        <f t="shared" si="110"/>
        <v>13.765218563277775</v>
      </c>
      <c r="L708" s="20"/>
      <c r="M708" s="20"/>
      <c r="N708" s="354"/>
      <c r="O708" s="21">
        <f t="shared" si="106"/>
        <v>22259</v>
      </c>
      <c r="P708" s="21">
        <f t="shared" si="107"/>
        <v>3064</v>
      </c>
      <c r="Q708" s="354">
        <f t="shared" si="108"/>
        <v>13.765218563277775</v>
      </c>
    </row>
    <row r="709" spans="2:17" x14ac:dyDescent="0.2">
      <c r="B709" s="6">
        <f t="shared" si="109"/>
        <v>219</v>
      </c>
      <c r="C709" s="17"/>
      <c r="D709" s="17"/>
      <c r="E709" s="17"/>
      <c r="F709" s="18"/>
      <c r="G709" s="19">
        <v>636</v>
      </c>
      <c r="H709" s="17" t="s">
        <v>123</v>
      </c>
      <c r="I709" s="20">
        <f>10000+634</f>
        <v>10634</v>
      </c>
      <c r="J709" s="20">
        <v>2137</v>
      </c>
      <c r="K709" s="354">
        <f t="shared" si="110"/>
        <v>20.095918751175475</v>
      </c>
      <c r="L709" s="20"/>
      <c r="M709" s="20"/>
      <c r="N709" s="354"/>
      <c r="O709" s="21">
        <f t="shared" si="106"/>
        <v>10634</v>
      </c>
      <c r="P709" s="21">
        <f t="shared" si="107"/>
        <v>2137</v>
      </c>
      <c r="Q709" s="354">
        <f t="shared" si="108"/>
        <v>20.095918751175475</v>
      </c>
    </row>
    <row r="710" spans="2:17" x14ac:dyDescent="0.2">
      <c r="B710" s="6">
        <f t="shared" si="109"/>
        <v>220</v>
      </c>
      <c r="C710" s="17"/>
      <c r="D710" s="17"/>
      <c r="E710" s="17"/>
      <c r="F710" s="18"/>
      <c r="G710" s="19">
        <v>637</v>
      </c>
      <c r="H710" s="17" t="s">
        <v>119</v>
      </c>
      <c r="I710" s="20">
        <f>24890+10232</f>
        <v>35122</v>
      </c>
      <c r="J710" s="20">
        <v>14732</v>
      </c>
      <c r="K710" s="354">
        <f t="shared" si="110"/>
        <v>41.94521952052844</v>
      </c>
      <c r="L710" s="20"/>
      <c r="M710" s="20"/>
      <c r="N710" s="354"/>
      <c r="O710" s="21">
        <f t="shared" si="106"/>
        <v>35122</v>
      </c>
      <c r="P710" s="21">
        <f t="shared" si="107"/>
        <v>14732</v>
      </c>
      <c r="Q710" s="354">
        <f t="shared" si="108"/>
        <v>41.94521952052844</v>
      </c>
    </row>
    <row r="711" spans="2:17" x14ac:dyDescent="0.2">
      <c r="B711" s="6">
        <f t="shared" si="109"/>
        <v>221</v>
      </c>
      <c r="C711" s="12"/>
      <c r="D711" s="12"/>
      <c r="E711" s="12"/>
      <c r="F711" s="13" t="s">
        <v>184</v>
      </c>
      <c r="G711" s="14">
        <v>640</v>
      </c>
      <c r="H711" s="12" t="s">
        <v>126</v>
      </c>
      <c r="I711" s="15">
        <f>7176+433</f>
        <v>7609</v>
      </c>
      <c r="J711" s="15">
        <v>680</v>
      </c>
      <c r="K711" s="354">
        <f t="shared" si="110"/>
        <v>8.9367853857274273</v>
      </c>
      <c r="L711" s="15"/>
      <c r="M711" s="15"/>
      <c r="N711" s="354"/>
      <c r="O711" s="16">
        <f t="shared" si="106"/>
        <v>7609</v>
      </c>
      <c r="P711" s="16">
        <f t="shared" si="107"/>
        <v>680</v>
      </c>
      <c r="Q711" s="354">
        <f t="shared" si="108"/>
        <v>8.9367853857274273</v>
      </c>
    </row>
    <row r="712" spans="2:17" ht="15" x14ac:dyDescent="0.2">
      <c r="B712" s="6">
        <f t="shared" si="109"/>
        <v>222</v>
      </c>
      <c r="C712" s="9">
        <v>2</v>
      </c>
      <c r="D712" s="459" t="s">
        <v>178</v>
      </c>
      <c r="E712" s="460"/>
      <c r="F712" s="460"/>
      <c r="G712" s="460"/>
      <c r="H712" s="460"/>
      <c r="I712" s="10">
        <f>I713+I717+I742+I766+I792+I819+I846+I872+I899</f>
        <v>16275016</v>
      </c>
      <c r="J712" s="10">
        <f>J713+J717+J742+J766+J792+J819+J846+J872+J899</f>
        <v>7168413</v>
      </c>
      <c r="K712" s="354">
        <f t="shared" si="110"/>
        <v>44.045505085832175</v>
      </c>
      <c r="L712" s="10">
        <f>L717+L742+L766+L792+L819+L846+L872+L899</f>
        <v>2065409</v>
      </c>
      <c r="M712" s="10">
        <f>M717+M742+M766+M792+M819+M846+M872+M899</f>
        <v>33091</v>
      </c>
      <c r="N712" s="354">
        <f>M712/L712*100</f>
        <v>1.602152406617769</v>
      </c>
      <c r="O712" s="31">
        <f t="shared" si="106"/>
        <v>18340425</v>
      </c>
      <c r="P712" s="31">
        <f t="shared" si="107"/>
        <v>7201504</v>
      </c>
      <c r="Q712" s="354">
        <f t="shared" si="108"/>
        <v>39.265742206083011</v>
      </c>
    </row>
    <row r="713" spans="2:17" x14ac:dyDescent="0.2">
      <c r="B713" s="6">
        <f t="shared" si="109"/>
        <v>223</v>
      </c>
      <c r="C713" s="12"/>
      <c r="D713" s="12"/>
      <c r="E713" s="12"/>
      <c r="F713" s="13" t="s">
        <v>116</v>
      </c>
      <c r="G713" s="14">
        <v>630</v>
      </c>
      <c r="H713" s="12" t="s">
        <v>118</v>
      </c>
      <c r="I713" s="15">
        <f>SUM(I714:I716)</f>
        <v>8015</v>
      </c>
      <c r="J713" s="15">
        <f>SUM(J714:J716)</f>
        <v>9870</v>
      </c>
      <c r="K713" s="354">
        <f t="shared" si="110"/>
        <v>123.14410480349345</v>
      </c>
      <c r="L713" s="15"/>
      <c r="M713" s="15"/>
      <c r="N713" s="354"/>
      <c r="O713" s="16">
        <f t="shared" si="106"/>
        <v>8015</v>
      </c>
      <c r="P713" s="16">
        <f t="shared" si="107"/>
        <v>9870</v>
      </c>
      <c r="Q713" s="354">
        <f t="shared" si="108"/>
        <v>123.14410480349345</v>
      </c>
    </row>
    <row r="714" spans="2:17" x14ac:dyDescent="0.2">
      <c r="B714" s="6">
        <f t="shared" si="109"/>
        <v>224</v>
      </c>
      <c r="C714" s="12"/>
      <c r="D714" s="12"/>
      <c r="E714" s="12"/>
      <c r="F714" s="13"/>
      <c r="G714" s="19">
        <v>633</v>
      </c>
      <c r="H714" s="17" t="s">
        <v>122</v>
      </c>
      <c r="I714" s="20">
        <f>12000-10800</f>
        <v>1200</v>
      </c>
      <c r="J714" s="20"/>
      <c r="K714" s="354">
        <f t="shared" si="110"/>
        <v>0</v>
      </c>
      <c r="L714" s="15"/>
      <c r="M714" s="15"/>
      <c r="N714" s="354"/>
      <c r="O714" s="21">
        <f t="shared" si="106"/>
        <v>1200</v>
      </c>
      <c r="P714" s="21">
        <f t="shared" si="107"/>
        <v>0</v>
      </c>
      <c r="Q714" s="354">
        <f t="shared" si="108"/>
        <v>0</v>
      </c>
    </row>
    <row r="715" spans="2:17" x14ac:dyDescent="0.2">
      <c r="B715" s="6">
        <f t="shared" si="109"/>
        <v>225</v>
      </c>
      <c r="C715" s="17"/>
      <c r="D715" s="17"/>
      <c r="E715" s="17"/>
      <c r="F715" s="18"/>
      <c r="G715" s="19">
        <v>635</v>
      </c>
      <c r="H715" s="17" t="s">
        <v>130</v>
      </c>
      <c r="I715" s="20">
        <f>40000-25361-13824</f>
        <v>815</v>
      </c>
      <c r="J715" s="20"/>
      <c r="K715" s="354">
        <f t="shared" si="110"/>
        <v>0</v>
      </c>
      <c r="L715" s="20"/>
      <c r="M715" s="20"/>
      <c r="N715" s="354"/>
      <c r="O715" s="21">
        <f t="shared" si="106"/>
        <v>815</v>
      </c>
      <c r="P715" s="21">
        <f t="shared" si="107"/>
        <v>0</v>
      </c>
      <c r="Q715" s="354">
        <f t="shared" si="108"/>
        <v>0</v>
      </c>
    </row>
    <row r="716" spans="2:17" x14ac:dyDescent="0.2">
      <c r="B716" s="6">
        <f t="shared" si="109"/>
        <v>226</v>
      </c>
      <c r="C716" s="17"/>
      <c r="D716" s="17"/>
      <c r="E716" s="17"/>
      <c r="F716" s="18"/>
      <c r="G716" s="19">
        <v>637</v>
      </c>
      <c r="H716" s="17" t="s">
        <v>119</v>
      </c>
      <c r="I716" s="20">
        <v>6000</v>
      </c>
      <c r="J716" s="20">
        <v>9870</v>
      </c>
      <c r="K716" s="354">
        <f t="shared" si="110"/>
        <v>164.5</v>
      </c>
      <c r="L716" s="20"/>
      <c r="M716" s="20"/>
      <c r="N716" s="354"/>
      <c r="O716" s="21">
        <f t="shared" si="106"/>
        <v>6000</v>
      </c>
      <c r="P716" s="21">
        <f t="shared" si="107"/>
        <v>9870</v>
      </c>
      <c r="Q716" s="354">
        <f t="shared" si="108"/>
        <v>164.5</v>
      </c>
    </row>
    <row r="717" spans="2:17" ht="15" x14ac:dyDescent="0.25">
      <c r="B717" s="6">
        <f t="shared" si="109"/>
        <v>227</v>
      </c>
      <c r="C717" s="95"/>
      <c r="D717" s="95"/>
      <c r="E717" s="95">
        <v>6</v>
      </c>
      <c r="F717" s="96"/>
      <c r="G717" s="96"/>
      <c r="H717" s="95" t="s">
        <v>279</v>
      </c>
      <c r="I717" s="97">
        <f>I718+I719+I720+I727+I728+I729+I730+I737+I738</f>
        <v>1382167</v>
      </c>
      <c r="J717" s="97">
        <f>J718+J719+J720+J727+J728+J729+J730+J737+J738</f>
        <v>591473</v>
      </c>
      <c r="K717" s="354">
        <f t="shared" si="110"/>
        <v>42.793164646529689</v>
      </c>
      <c r="L717" s="97">
        <f>L739</f>
        <v>18000</v>
      </c>
      <c r="M717" s="97">
        <f>M739</f>
        <v>471</v>
      </c>
      <c r="N717" s="354">
        <f>M717/L717*100</f>
        <v>2.6166666666666667</v>
      </c>
      <c r="O717" s="98">
        <f t="shared" si="106"/>
        <v>1400167</v>
      </c>
      <c r="P717" s="98">
        <f t="shared" si="107"/>
        <v>591944</v>
      </c>
      <c r="Q717" s="354">
        <f t="shared" si="108"/>
        <v>42.276671282782694</v>
      </c>
    </row>
    <row r="718" spans="2:17" x14ac:dyDescent="0.2">
      <c r="B718" s="6">
        <f t="shared" si="109"/>
        <v>228</v>
      </c>
      <c r="C718" s="12"/>
      <c r="D718" s="12"/>
      <c r="E718" s="12"/>
      <c r="F718" s="13" t="s">
        <v>116</v>
      </c>
      <c r="G718" s="14">
        <v>610</v>
      </c>
      <c r="H718" s="12" t="s">
        <v>128</v>
      </c>
      <c r="I718" s="15">
        <f>525646-198776-11916</f>
        <v>314954</v>
      </c>
      <c r="J718" s="15">
        <v>117817</v>
      </c>
      <c r="K718" s="354">
        <f t="shared" si="110"/>
        <v>37.407684931767818</v>
      </c>
      <c r="L718" s="15"/>
      <c r="M718" s="15"/>
      <c r="N718" s="354"/>
      <c r="O718" s="16">
        <f t="shared" si="106"/>
        <v>314954</v>
      </c>
      <c r="P718" s="16">
        <f t="shared" si="107"/>
        <v>117817</v>
      </c>
      <c r="Q718" s="354">
        <f t="shared" si="108"/>
        <v>37.407684931767818</v>
      </c>
    </row>
    <row r="719" spans="2:17" x14ac:dyDescent="0.2">
      <c r="B719" s="6">
        <f t="shared" si="109"/>
        <v>229</v>
      </c>
      <c r="C719" s="12"/>
      <c r="D719" s="12"/>
      <c r="E719" s="12"/>
      <c r="F719" s="13" t="s">
        <v>116</v>
      </c>
      <c r="G719" s="14">
        <v>620</v>
      </c>
      <c r="H719" s="12" t="s">
        <v>121</v>
      </c>
      <c r="I719" s="15">
        <f>183254-69957-4284</f>
        <v>109013</v>
      </c>
      <c r="J719" s="15">
        <v>42335</v>
      </c>
      <c r="K719" s="354">
        <f t="shared" si="110"/>
        <v>38.834817865759128</v>
      </c>
      <c r="L719" s="15"/>
      <c r="M719" s="15"/>
      <c r="N719" s="354"/>
      <c r="O719" s="16">
        <f t="shared" si="106"/>
        <v>109013</v>
      </c>
      <c r="P719" s="16">
        <f t="shared" si="107"/>
        <v>42335</v>
      </c>
      <c r="Q719" s="354">
        <f t="shared" si="108"/>
        <v>38.834817865759128</v>
      </c>
    </row>
    <row r="720" spans="2:17" x14ac:dyDescent="0.2">
      <c r="B720" s="6">
        <f t="shared" si="109"/>
        <v>230</v>
      </c>
      <c r="C720" s="12"/>
      <c r="D720" s="12"/>
      <c r="E720" s="12"/>
      <c r="F720" s="13" t="s">
        <v>116</v>
      </c>
      <c r="G720" s="14">
        <v>630</v>
      </c>
      <c r="H720" s="12" t="s">
        <v>118</v>
      </c>
      <c r="I720" s="15">
        <f>SUM(I721:I726)</f>
        <v>112177</v>
      </c>
      <c r="J720" s="15">
        <f>SUM(J721:J726)</f>
        <v>19821</v>
      </c>
      <c r="K720" s="354">
        <f t="shared" si="110"/>
        <v>17.669397470069622</v>
      </c>
      <c r="L720" s="15"/>
      <c r="M720" s="15"/>
      <c r="N720" s="354"/>
      <c r="O720" s="16">
        <f t="shared" si="106"/>
        <v>112177</v>
      </c>
      <c r="P720" s="16">
        <f t="shared" si="107"/>
        <v>19821</v>
      </c>
      <c r="Q720" s="354">
        <f t="shared" si="108"/>
        <v>17.669397470069622</v>
      </c>
    </row>
    <row r="721" spans="2:17" x14ac:dyDescent="0.2">
      <c r="B721" s="6">
        <f t="shared" si="109"/>
        <v>231</v>
      </c>
      <c r="C721" s="17"/>
      <c r="D721" s="17"/>
      <c r="E721" s="17"/>
      <c r="F721" s="18"/>
      <c r="G721" s="19">
        <v>631</v>
      </c>
      <c r="H721" s="17" t="s">
        <v>124</v>
      </c>
      <c r="I721" s="20">
        <f>377+78</f>
        <v>455</v>
      </c>
      <c r="J721" s="20">
        <v>91</v>
      </c>
      <c r="K721" s="354">
        <f t="shared" si="110"/>
        <v>20</v>
      </c>
      <c r="L721" s="20"/>
      <c r="M721" s="20"/>
      <c r="N721" s="354"/>
      <c r="O721" s="21">
        <f t="shared" si="106"/>
        <v>455</v>
      </c>
      <c r="P721" s="21">
        <f t="shared" si="107"/>
        <v>91</v>
      </c>
      <c r="Q721" s="354">
        <f t="shared" si="108"/>
        <v>20</v>
      </c>
    </row>
    <row r="722" spans="2:17" x14ac:dyDescent="0.2">
      <c r="B722" s="6">
        <f t="shared" si="109"/>
        <v>232</v>
      </c>
      <c r="C722" s="17"/>
      <c r="D722" s="17"/>
      <c r="E722" s="17"/>
      <c r="F722" s="18"/>
      <c r="G722" s="19">
        <v>632</v>
      </c>
      <c r="H722" s="17" t="s">
        <v>131</v>
      </c>
      <c r="I722" s="20">
        <f>59025+12127-4500</f>
        <v>66652</v>
      </c>
      <c r="J722" s="20">
        <v>3022</v>
      </c>
      <c r="K722" s="354">
        <f t="shared" ref="K722:K738" si="111">J722/I722*100</f>
        <v>4.5339974794454774</v>
      </c>
      <c r="L722" s="20"/>
      <c r="M722" s="20"/>
      <c r="N722" s="354"/>
      <c r="O722" s="21">
        <f t="shared" si="106"/>
        <v>66652</v>
      </c>
      <c r="P722" s="21">
        <f t="shared" si="107"/>
        <v>3022</v>
      </c>
      <c r="Q722" s="354">
        <f t="shared" si="108"/>
        <v>4.5339974794454774</v>
      </c>
    </row>
    <row r="723" spans="2:17" x14ac:dyDescent="0.2">
      <c r="B723" s="6">
        <f t="shared" si="109"/>
        <v>233</v>
      </c>
      <c r="C723" s="17"/>
      <c r="D723" s="17"/>
      <c r="E723" s="17"/>
      <c r="F723" s="18"/>
      <c r="G723" s="19">
        <v>633</v>
      </c>
      <c r="H723" s="17" t="s">
        <v>122</v>
      </c>
      <c r="I723" s="20">
        <f>13220-4351</f>
        <v>8869</v>
      </c>
      <c r="J723" s="20">
        <v>1234</v>
      </c>
      <c r="K723" s="354">
        <f t="shared" si="111"/>
        <v>13.91363175104296</v>
      </c>
      <c r="L723" s="20"/>
      <c r="M723" s="20"/>
      <c r="N723" s="354"/>
      <c r="O723" s="21">
        <f t="shared" si="106"/>
        <v>8869</v>
      </c>
      <c r="P723" s="21">
        <f t="shared" si="107"/>
        <v>1234</v>
      </c>
      <c r="Q723" s="354">
        <f t="shared" si="108"/>
        <v>13.91363175104296</v>
      </c>
    </row>
    <row r="724" spans="2:17" x14ac:dyDescent="0.2">
      <c r="B724" s="6">
        <f t="shared" si="109"/>
        <v>234</v>
      </c>
      <c r="C724" s="17"/>
      <c r="D724" s="17"/>
      <c r="E724" s="17"/>
      <c r="F724" s="18"/>
      <c r="G724" s="19">
        <v>634</v>
      </c>
      <c r="H724" s="17" t="s">
        <v>129</v>
      </c>
      <c r="I724" s="20">
        <f>3673-2609</f>
        <v>1064</v>
      </c>
      <c r="J724" s="20">
        <v>33</v>
      </c>
      <c r="K724" s="354">
        <f t="shared" si="111"/>
        <v>3.1015037593984962</v>
      </c>
      <c r="L724" s="20"/>
      <c r="M724" s="20"/>
      <c r="N724" s="354"/>
      <c r="O724" s="21">
        <f t="shared" si="106"/>
        <v>1064</v>
      </c>
      <c r="P724" s="21">
        <f t="shared" si="107"/>
        <v>33</v>
      </c>
      <c r="Q724" s="354">
        <f t="shared" si="108"/>
        <v>3.1015037593984962</v>
      </c>
    </row>
    <row r="725" spans="2:17" x14ac:dyDescent="0.2">
      <c r="B725" s="6">
        <f t="shared" si="109"/>
        <v>235</v>
      </c>
      <c r="C725" s="17"/>
      <c r="D725" s="17"/>
      <c r="E725" s="17"/>
      <c r="F725" s="18"/>
      <c r="G725" s="19">
        <v>635</v>
      </c>
      <c r="H725" s="17" t="s">
        <v>130</v>
      </c>
      <c r="I725" s="20">
        <f>8970+2429</f>
        <v>11399</v>
      </c>
      <c r="J725" s="20">
        <v>1581</v>
      </c>
      <c r="K725" s="354">
        <f t="shared" si="111"/>
        <v>13.869637687516448</v>
      </c>
      <c r="L725" s="20"/>
      <c r="M725" s="20"/>
      <c r="N725" s="354"/>
      <c r="O725" s="21">
        <f t="shared" si="106"/>
        <v>11399</v>
      </c>
      <c r="P725" s="21">
        <f t="shared" si="107"/>
        <v>1581</v>
      </c>
      <c r="Q725" s="354">
        <f t="shared" si="108"/>
        <v>13.869637687516448</v>
      </c>
    </row>
    <row r="726" spans="2:17" x14ac:dyDescent="0.2">
      <c r="B726" s="6">
        <f t="shared" si="109"/>
        <v>236</v>
      </c>
      <c r="C726" s="17"/>
      <c r="D726" s="17"/>
      <c r="E726" s="17"/>
      <c r="F726" s="18"/>
      <c r="G726" s="19">
        <v>637</v>
      </c>
      <c r="H726" s="17" t="s">
        <v>119</v>
      </c>
      <c r="I726" s="20">
        <f>28698-4960</f>
        <v>23738</v>
      </c>
      <c r="J726" s="20">
        <v>13860</v>
      </c>
      <c r="K726" s="354">
        <f t="shared" si="111"/>
        <v>58.387395736793323</v>
      </c>
      <c r="L726" s="20"/>
      <c r="M726" s="20"/>
      <c r="N726" s="354"/>
      <c r="O726" s="21">
        <f t="shared" si="106"/>
        <v>23738</v>
      </c>
      <c r="P726" s="21">
        <f t="shared" si="107"/>
        <v>13860</v>
      </c>
      <c r="Q726" s="354">
        <f t="shared" si="108"/>
        <v>58.387395736793323</v>
      </c>
    </row>
    <row r="727" spans="2:17" x14ac:dyDescent="0.2">
      <c r="B727" s="6">
        <f t="shared" si="109"/>
        <v>237</v>
      </c>
      <c r="C727" s="12"/>
      <c r="D727" s="12"/>
      <c r="E727" s="12"/>
      <c r="F727" s="13" t="s">
        <v>116</v>
      </c>
      <c r="G727" s="14">
        <v>640</v>
      </c>
      <c r="H727" s="12" t="s">
        <v>126</v>
      </c>
      <c r="I727" s="15">
        <f>2659-566-664</f>
        <v>1429</v>
      </c>
      <c r="J727" s="15">
        <v>324</v>
      </c>
      <c r="K727" s="354">
        <f t="shared" si="111"/>
        <v>22.673198040587824</v>
      </c>
      <c r="L727" s="15"/>
      <c r="M727" s="15"/>
      <c r="N727" s="354"/>
      <c r="O727" s="16">
        <f t="shared" si="106"/>
        <v>1429</v>
      </c>
      <c r="P727" s="16">
        <f t="shared" si="107"/>
        <v>324</v>
      </c>
      <c r="Q727" s="354">
        <f t="shared" si="108"/>
        <v>22.673198040587824</v>
      </c>
    </row>
    <row r="728" spans="2:17" x14ac:dyDescent="0.2">
      <c r="B728" s="6">
        <f t="shared" si="109"/>
        <v>238</v>
      </c>
      <c r="C728" s="12"/>
      <c r="D728" s="12"/>
      <c r="E728" s="12"/>
      <c r="F728" s="13" t="s">
        <v>105</v>
      </c>
      <c r="G728" s="14">
        <v>610</v>
      </c>
      <c r="H728" s="12" t="s">
        <v>128</v>
      </c>
      <c r="I728" s="15">
        <f>326870+198776+259-14564+100</f>
        <v>511441</v>
      </c>
      <c r="J728" s="15">
        <v>248651</v>
      </c>
      <c r="K728" s="354">
        <f t="shared" si="111"/>
        <v>48.617729122225242</v>
      </c>
      <c r="L728" s="15"/>
      <c r="M728" s="15"/>
      <c r="N728" s="354"/>
      <c r="O728" s="16">
        <f t="shared" si="106"/>
        <v>511441</v>
      </c>
      <c r="P728" s="16">
        <f t="shared" si="107"/>
        <v>248651</v>
      </c>
      <c r="Q728" s="354">
        <f t="shared" si="108"/>
        <v>48.617729122225242</v>
      </c>
    </row>
    <row r="729" spans="2:17" x14ac:dyDescent="0.2">
      <c r="B729" s="6">
        <f t="shared" si="109"/>
        <v>239</v>
      </c>
      <c r="C729" s="12"/>
      <c r="D729" s="12"/>
      <c r="E729" s="12"/>
      <c r="F729" s="13" t="s">
        <v>105</v>
      </c>
      <c r="G729" s="14">
        <v>620</v>
      </c>
      <c r="H729" s="12" t="s">
        <v>121</v>
      </c>
      <c r="I729" s="15">
        <f>113297+69957+91-5236+35</f>
        <v>178144</v>
      </c>
      <c r="J729" s="15">
        <v>88196</v>
      </c>
      <c r="K729" s="354">
        <f t="shared" si="111"/>
        <v>49.508262978264774</v>
      </c>
      <c r="L729" s="15"/>
      <c r="M729" s="15"/>
      <c r="N729" s="354"/>
      <c r="O729" s="16">
        <f t="shared" si="106"/>
        <v>178144</v>
      </c>
      <c r="P729" s="16">
        <f t="shared" si="107"/>
        <v>88196</v>
      </c>
      <c r="Q729" s="354">
        <f t="shared" si="108"/>
        <v>49.508262978264774</v>
      </c>
    </row>
    <row r="730" spans="2:17" x14ac:dyDescent="0.2">
      <c r="B730" s="6">
        <f t="shared" si="109"/>
        <v>240</v>
      </c>
      <c r="C730" s="12"/>
      <c r="D730" s="12"/>
      <c r="E730" s="12"/>
      <c r="F730" s="13" t="s">
        <v>105</v>
      </c>
      <c r="G730" s="14">
        <v>630</v>
      </c>
      <c r="H730" s="12" t="s">
        <v>118</v>
      </c>
      <c r="I730" s="15">
        <f>SUM(I731:I736)</f>
        <v>109463</v>
      </c>
      <c r="J730" s="15">
        <f>SUM(J731:J736)</f>
        <v>28403</v>
      </c>
      <c r="K730" s="354">
        <f t="shared" si="111"/>
        <v>25.947580460977683</v>
      </c>
      <c r="L730" s="15"/>
      <c r="M730" s="15"/>
      <c r="N730" s="354"/>
      <c r="O730" s="16">
        <f t="shared" si="106"/>
        <v>109463</v>
      </c>
      <c r="P730" s="16">
        <f t="shared" si="107"/>
        <v>28403</v>
      </c>
      <c r="Q730" s="354">
        <f t="shared" si="108"/>
        <v>25.947580460977683</v>
      </c>
    </row>
    <row r="731" spans="2:17" x14ac:dyDescent="0.2">
      <c r="B731" s="6">
        <f t="shared" si="109"/>
        <v>241</v>
      </c>
      <c r="C731" s="17"/>
      <c r="D731" s="17"/>
      <c r="E731" s="17"/>
      <c r="F731" s="18"/>
      <c r="G731" s="19">
        <v>631</v>
      </c>
      <c r="H731" s="17" t="s">
        <v>124</v>
      </c>
      <c r="I731" s="20">
        <f>455-78</f>
        <v>377</v>
      </c>
      <c r="J731" s="20">
        <v>0</v>
      </c>
      <c r="K731" s="354">
        <f t="shared" si="111"/>
        <v>0</v>
      </c>
      <c r="L731" s="20"/>
      <c r="M731" s="20"/>
      <c r="N731" s="354"/>
      <c r="O731" s="21">
        <f t="shared" si="106"/>
        <v>377</v>
      </c>
      <c r="P731" s="21">
        <f t="shared" si="107"/>
        <v>0</v>
      </c>
      <c r="Q731" s="354">
        <f t="shared" si="108"/>
        <v>0</v>
      </c>
    </row>
    <row r="732" spans="2:17" x14ac:dyDescent="0.2">
      <c r="B732" s="6">
        <f t="shared" si="109"/>
        <v>242</v>
      </c>
      <c r="C732" s="17"/>
      <c r="D732" s="17"/>
      <c r="E732" s="17"/>
      <c r="F732" s="18"/>
      <c r="G732" s="19">
        <v>632</v>
      </c>
      <c r="H732" s="17" t="s">
        <v>131</v>
      </c>
      <c r="I732" s="20">
        <f>71152-12127-5500</f>
        <v>53525</v>
      </c>
      <c r="J732" s="20">
        <v>2473</v>
      </c>
      <c r="K732" s="354">
        <f t="shared" si="111"/>
        <v>4.6202709014479222</v>
      </c>
      <c r="L732" s="20"/>
      <c r="M732" s="20"/>
      <c r="N732" s="354"/>
      <c r="O732" s="21">
        <f t="shared" si="106"/>
        <v>53525</v>
      </c>
      <c r="P732" s="21">
        <f t="shared" si="107"/>
        <v>2473</v>
      </c>
      <c r="Q732" s="354">
        <f t="shared" si="108"/>
        <v>4.6202709014479222</v>
      </c>
    </row>
    <row r="733" spans="2:17" x14ac:dyDescent="0.2">
      <c r="B733" s="6">
        <f t="shared" si="109"/>
        <v>243</v>
      </c>
      <c r="C733" s="17"/>
      <c r="D733" s="17"/>
      <c r="E733" s="17"/>
      <c r="F733" s="18"/>
      <c r="G733" s="19">
        <v>633</v>
      </c>
      <c r="H733" s="17" t="s">
        <v>122</v>
      </c>
      <c r="I733" s="20">
        <f>8869+4351+1000</f>
        <v>14220</v>
      </c>
      <c r="J733" s="20">
        <v>6120</v>
      </c>
      <c r="K733" s="354">
        <f t="shared" si="111"/>
        <v>43.037974683544306</v>
      </c>
      <c r="L733" s="20"/>
      <c r="M733" s="20"/>
      <c r="N733" s="354"/>
      <c r="O733" s="21">
        <f t="shared" si="106"/>
        <v>14220</v>
      </c>
      <c r="P733" s="21">
        <f t="shared" si="107"/>
        <v>6120</v>
      </c>
      <c r="Q733" s="354">
        <f t="shared" si="108"/>
        <v>43.037974683544306</v>
      </c>
    </row>
    <row r="734" spans="2:17" x14ac:dyDescent="0.2">
      <c r="B734" s="6">
        <f t="shared" si="109"/>
        <v>244</v>
      </c>
      <c r="C734" s="17"/>
      <c r="D734" s="17"/>
      <c r="E734" s="17"/>
      <c r="F734" s="18"/>
      <c r="G734" s="19">
        <v>634</v>
      </c>
      <c r="H734" s="17" t="s">
        <v>129</v>
      </c>
      <c r="I734" s="20">
        <f>1064+2609</f>
        <v>3673</v>
      </c>
      <c r="J734" s="20">
        <v>962</v>
      </c>
      <c r="K734" s="354">
        <f t="shared" si="111"/>
        <v>26.191124421453853</v>
      </c>
      <c r="L734" s="20"/>
      <c r="M734" s="20"/>
      <c r="N734" s="354"/>
      <c r="O734" s="21">
        <f t="shared" si="106"/>
        <v>3673</v>
      </c>
      <c r="P734" s="21">
        <f t="shared" si="107"/>
        <v>962</v>
      </c>
      <c r="Q734" s="354">
        <f t="shared" si="108"/>
        <v>26.191124421453853</v>
      </c>
    </row>
    <row r="735" spans="2:17" x14ac:dyDescent="0.2">
      <c r="B735" s="6">
        <f t="shared" si="109"/>
        <v>245</v>
      </c>
      <c r="C735" s="17"/>
      <c r="D735" s="17"/>
      <c r="E735" s="17"/>
      <c r="F735" s="18"/>
      <c r="G735" s="19">
        <v>635</v>
      </c>
      <c r="H735" s="17" t="s">
        <v>130</v>
      </c>
      <c r="I735" s="20">
        <f>11399-2429</f>
        <v>8970</v>
      </c>
      <c r="J735" s="20">
        <v>1293</v>
      </c>
      <c r="K735" s="354">
        <f t="shared" si="111"/>
        <v>14.414715719063546</v>
      </c>
      <c r="L735" s="20"/>
      <c r="M735" s="20"/>
      <c r="N735" s="354"/>
      <c r="O735" s="21">
        <f t="shared" si="106"/>
        <v>8970</v>
      </c>
      <c r="P735" s="21">
        <f t="shared" si="107"/>
        <v>1293</v>
      </c>
      <c r="Q735" s="354">
        <f t="shared" si="108"/>
        <v>14.414715719063546</v>
      </c>
    </row>
    <row r="736" spans="2:17" x14ac:dyDescent="0.2">
      <c r="B736" s="6">
        <f t="shared" si="109"/>
        <v>246</v>
      </c>
      <c r="C736" s="17"/>
      <c r="D736" s="17"/>
      <c r="E736" s="17"/>
      <c r="F736" s="18"/>
      <c r="G736" s="19">
        <v>637</v>
      </c>
      <c r="H736" s="17" t="s">
        <v>119</v>
      </c>
      <c r="I736" s="20">
        <f>2093+26605</f>
        <v>28698</v>
      </c>
      <c r="J736" s="20">
        <v>17555</v>
      </c>
      <c r="K736" s="354">
        <f t="shared" si="111"/>
        <v>61.171510209770716</v>
      </c>
      <c r="L736" s="20"/>
      <c r="M736" s="20"/>
      <c r="N736" s="354"/>
      <c r="O736" s="21">
        <f t="shared" si="106"/>
        <v>28698</v>
      </c>
      <c r="P736" s="21">
        <f t="shared" si="107"/>
        <v>17555</v>
      </c>
      <c r="Q736" s="354">
        <f t="shared" si="108"/>
        <v>61.171510209770716</v>
      </c>
    </row>
    <row r="737" spans="2:17" x14ac:dyDescent="0.2">
      <c r="B737" s="6">
        <f t="shared" si="109"/>
        <v>247</v>
      </c>
      <c r="C737" s="17"/>
      <c r="D737" s="17"/>
      <c r="E737" s="17"/>
      <c r="F737" s="13" t="s">
        <v>105</v>
      </c>
      <c r="G737" s="14">
        <v>640</v>
      </c>
      <c r="H737" s="12" t="s">
        <v>126</v>
      </c>
      <c r="I737" s="15">
        <f>2659-811</f>
        <v>1848</v>
      </c>
      <c r="J737" s="15">
        <v>2228</v>
      </c>
      <c r="K737" s="354">
        <f t="shared" si="111"/>
        <v>120.56277056277057</v>
      </c>
      <c r="L737" s="15"/>
      <c r="M737" s="15"/>
      <c r="N737" s="354"/>
      <c r="O737" s="16">
        <f t="shared" si="106"/>
        <v>1848</v>
      </c>
      <c r="P737" s="16">
        <f t="shared" si="107"/>
        <v>2228</v>
      </c>
      <c r="Q737" s="354">
        <f t="shared" si="108"/>
        <v>120.56277056277057</v>
      </c>
    </row>
    <row r="738" spans="2:17" x14ac:dyDescent="0.2">
      <c r="B738" s="6">
        <f t="shared" si="109"/>
        <v>248</v>
      </c>
      <c r="C738" s="17"/>
      <c r="D738" s="17"/>
      <c r="E738" s="17"/>
      <c r="F738" s="13" t="s">
        <v>105</v>
      </c>
      <c r="G738" s="14">
        <v>630</v>
      </c>
      <c r="H738" s="12" t="s">
        <v>662</v>
      </c>
      <c r="I738" s="15">
        <v>43698</v>
      </c>
      <c r="J738" s="15">
        <v>43698</v>
      </c>
      <c r="K738" s="354">
        <f t="shared" si="111"/>
        <v>100</v>
      </c>
      <c r="L738" s="15"/>
      <c r="M738" s="15"/>
      <c r="N738" s="354"/>
      <c r="O738" s="16">
        <f t="shared" si="106"/>
        <v>43698</v>
      </c>
      <c r="P738" s="16">
        <f t="shared" si="107"/>
        <v>43698</v>
      </c>
      <c r="Q738" s="354">
        <f t="shared" si="108"/>
        <v>100</v>
      </c>
    </row>
    <row r="739" spans="2:17" x14ac:dyDescent="0.2">
      <c r="B739" s="6">
        <f t="shared" si="109"/>
        <v>249</v>
      </c>
      <c r="C739" s="17"/>
      <c r="D739" s="17"/>
      <c r="E739" s="17"/>
      <c r="F739" s="13" t="s">
        <v>105</v>
      </c>
      <c r="G739" s="14">
        <v>710</v>
      </c>
      <c r="H739" s="12" t="s">
        <v>172</v>
      </c>
      <c r="I739" s="15"/>
      <c r="J739" s="15"/>
      <c r="K739" s="354"/>
      <c r="L739" s="15">
        <f>L740</f>
        <v>18000</v>
      </c>
      <c r="M739" s="15">
        <f>M740</f>
        <v>471</v>
      </c>
      <c r="N739" s="354">
        <f>M739/L739*100</f>
        <v>2.6166666666666667</v>
      </c>
      <c r="O739" s="16">
        <f t="shared" si="106"/>
        <v>18000</v>
      </c>
      <c r="P739" s="16">
        <f t="shared" si="107"/>
        <v>471</v>
      </c>
      <c r="Q739" s="354">
        <f t="shared" si="108"/>
        <v>2.6166666666666667</v>
      </c>
    </row>
    <row r="740" spans="2:17" x14ac:dyDescent="0.2">
      <c r="B740" s="6">
        <f t="shared" si="109"/>
        <v>250</v>
      </c>
      <c r="C740" s="17"/>
      <c r="D740" s="17"/>
      <c r="E740" s="17"/>
      <c r="F740" s="18"/>
      <c r="G740" s="19">
        <v>717</v>
      </c>
      <c r="H740" s="17" t="s">
        <v>179</v>
      </c>
      <c r="I740" s="20"/>
      <c r="J740" s="20"/>
      <c r="K740" s="354"/>
      <c r="L740" s="20">
        <f>L741</f>
        <v>18000</v>
      </c>
      <c r="M740" s="20">
        <f>M741</f>
        <v>471</v>
      </c>
      <c r="N740" s="354">
        <f>M740/L740*100</f>
        <v>2.6166666666666667</v>
      </c>
      <c r="O740" s="21">
        <f t="shared" si="106"/>
        <v>18000</v>
      </c>
      <c r="P740" s="21">
        <f t="shared" si="107"/>
        <v>471</v>
      </c>
      <c r="Q740" s="354">
        <f t="shared" si="108"/>
        <v>2.6166666666666667</v>
      </c>
    </row>
    <row r="741" spans="2:17" x14ac:dyDescent="0.2">
      <c r="B741" s="6">
        <f t="shared" si="109"/>
        <v>251</v>
      </c>
      <c r="C741" s="1"/>
      <c r="D741" s="1"/>
      <c r="E741" s="1"/>
      <c r="F741" s="99"/>
      <c r="G741" s="23"/>
      <c r="H741" s="1" t="s">
        <v>465</v>
      </c>
      <c r="I741" s="24"/>
      <c r="J741" s="24"/>
      <c r="K741" s="354"/>
      <c r="L741" s="24">
        <v>18000</v>
      </c>
      <c r="M741" s="24">
        <v>471</v>
      </c>
      <c r="N741" s="354">
        <f>M741/L741*100</f>
        <v>2.6166666666666667</v>
      </c>
      <c r="O741" s="26">
        <f t="shared" si="106"/>
        <v>18000</v>
      </c>
      <c r="P741" s="26">
        <f t="shared" si="107"/>
        <v>471</v>
      </c>
      <c r="Q741" s="354">
        <f t="shared" si="108"/>
        <v>2.6166666666666667</v>
      </c>
    </row>
    <row r="742" spans="2:17" ht="15" x14ac:dyDescent="0.25">
      <c r="B742" s="6">
        <f t="shared" si="109"/>
        <v>252</v>
      </c>
      <c r="C742" s="95"/>
      <c r="D742" s="95"/>
      <c r="E742" s="95">
        <v>7</v>
      </c>
      <c r="F742" s="96"/>
      <c r="G742" s="96"/>
      <c r="H742" s="95" t="s">
        <v>281</v>
      </c>
      <c r="I742" s="97">
        <f>I743+I744+I745+I750+I751+I752+I753+I760+I761</f>
        <v>2043329</v>
      </c>
      <c r="J742" s="97">
        <f>J743+J744+J745+J750+J751+J752+J753+J760+J761</f>
        <v>875260</v>
      </c>
      <c r="K742" s="354">
        <f t="shared" ref="K742:K761" si="112">J742/I742*100</f>
        <v>42.835001118273169</v>
      </c>
      <c r="L742" s="97">
        <f>L762</f>
        <v>1576739</v>
      </c>
      <c r="M742" s="97">
        <f>M762</f>
        <v>0</v>
      </c>
      <c r="N742" s="354">
        <f>M742/L742*100</f>
        <v>0</v>
      </c>
      <c r="O742" s="98">
        <f t="shared" si="106"/>
        <v>3620068</v>
      </c>
      <c r="P742" s="98">
        <f t="shared" si="107"/>
        <v>875260</v>
      </c>
      <c r="Q742" s="354">
        <f t="shared" si="108"/>
        <v>24.177998866319641</v>
      </c>
    </row>
    <row r="743" spans="2:17" x14ac:dyDescent="0.2">
      <c r="B743" s="6">
        <f t="shared" si="109"/>
        <v>253</v>
      </c>
      <c r="C743" s="12"/>
      <c r="D743" s="12"/>
      <c r="E743" s="12"/>
      <c r="F743" s="13" t="s">
        <v>116</v>
      </c>
      <c r="G743" s="14">
        <v>610</v>
      </c>
      <c r="H743" s="12" t="s">
        <v>128</v>
      </c>
      <c r="I743" s="15">
        <f>490681-15000</f>
        <v>475681</v>
      </c>
      <c r="J743" s="15">
        <v>192693</v>
      </c>
      <c r="K743" s="354">
        <f t="shared" si="112"/>
        <v>40.508870440484273</v>
      </c>
      <c r="L743" s="15"/>
      <c r="M743" s="15"/>
      <c r="N743" s="354"/>
      <c r="O743" s="16">
        <f t="shared" si="106"/>
        <v>475681</v>
      </c>
      <c r="P743" s="16">
        <f t="shared" si="107"/>
        <v>192693</v>
      </c>
      <c r="Q743" s="354">
        <f t="shared" si="108"/>
        <v>40.508870440484273</v>
      </c>
    </row>
    <row r="744" spans="2:17" x14ac:dyDescent="0.2">
      <c r="B744" s="6">
        <f t="shared" si="109"/>
        <v>254</v>
      </c>
      <c r="C744" s="12"/>
      <c r="D744" s="12"/>
      <c r="E744" s="12"/>
      <c r="F744" s="13" t="s">
        <v>116</v>
      </c>
      <c r="G744" s="14">
        <v>620</v>
      </c>
      <c r="H744" s="12" t="s">
        <v>121</v>
      </c>
      <c r="I744" s="15">
        <f>185179-5000</f>
        <v>180179</v>
      </c>
      <c r="J744" s="15">
        <v>72671</v>
      </c>
      <c r="K744" s="354">
        <f t="shared" si="112"/>
        <v>40.332669178983124</v>
      </c>
      <c r="L744" s="15"/>
      <c r="M744" s="15"/>
      <c r="N744" s="354"/>
      <c r="O744" s="16">
        <f t="shared" si="106"/>
        <v>180179</v>
      </c>
      <c r="P744" s="16">
        <f t="shared" si="107"/>
        <v>72671</v>
      </c>
      <c r="Q744" s="354">
        <f t="shared" si="108"/>
        <v>40.332669178983124</v>
      </c>
    </row>
    <row r="745" spans="2:17" x14ac:dyDescent="0.2">
      <c r="B745" s="6">
        <f t="shared" si="109"/>
        <v>255</v>
      </c>
      <c r="C745" s="12"/>
      <c r="D745" s="12"/>
      <c r="E745" s="12"/>
      <c r="F745" s="13" t="s">
        <v>116</v>
      </c>
      <c r="G745" s="14">
        <v>630</v>
      </c>
      <c r="H745" s="12" t="s">
        <v>118</v>
      </c>
      <c r="I745" s="15">
        <f>SUM(I746:I749)</f>
        <v>51241</v>
      </c>
      <c r="J745" s="15">
        <f>SUM(J746:J749)</f>
        <v>41390</v>
      </c>
      <c r="K745" s="354">
        <f t="shared" si="112"/>
        <v>80.775160515993051</v>
      </c>
      <c r="L745" s="15"/>
      <c r="M745" s="15"/>
      <c r="N745" s="354"/>
      <c r="O745" s="16">
        <f t="shared" si="106"/>
        <v>51241</v>
      </c>
      <c r="P745" s="16">
        <f t="shared" si="107"/>
        <v>41390</v>
      </c>
      <c r="Q745" s="354">
        <f t="shared" si="108"/>
        <v>80.775160515993051</v>
      </c>
    </row>
    <row r="746" spans="2:17" x14ac:dyDescent="0.2">
      <c r="B746" s="6">
        <f t="shared" si="109"/>
        <v>256</v>
      </c>
      <c r="C746" s="17"/>
      <c r="D746" s="17"/>
      <c r="E746" s="17"/>
      <c r="F746" s="18"/>
      <c r="G746" s="19">
        <v>632</v>
      </c>
      <c r="H746" s="17" t="s">
        <v>131</v>
      </c>
      <c r="I746" s="20">
        <f>40801-24000</f>
        <v>16801</v>
      </c>
      <c r="J746" s="20">
        <v>11885</v>
      </c>
      <c r="K746" s="354">
        <f t="shared" si="112"/>
        <v>70.739836914469379</v>
      </c>
      <c r="L746" s="20"/>
      <c r="M746" s="20"/>
      <c r="N746" s="354"/>
      <c r="O746" s="21">
        <f t="shared" si="106"/>
        <v>16801</v>
      </c>
      <c r="P746" s="21">
        <f t="shared" si="107"/>
        <v>11885</v>
      </c>
      <c r="Q746" s="354">
        <f t="shared" si="108"/>
        <v>70.739836914469379</v>
      </c>
    </row>
    <row r="747" spans="2:17" x14ac:dyDescent="0.2">
      <c r="B747" s="6">
        <f t="shared" si="109"/>
        <v>257</v>
      </c>
      <c r="C747" s="17"/>
      <c r="D747" s="17"/>
      <c r="E747" s="17"/>
      <c r="F747" s="18"/>
      <c r="G747" s="19">
        <v>633</v>
      </c>
      <c r="H747" s="17" t="s">
        <v>122</v>
      </c>
      <c r="I747" s="20">
        <v>6500</v>
      </c>
      <c r="J747" s="20">
        <v>12368</v>
      </c>
      <c r="K747" s="354">
        <f t="shared" si="112"/>
        <v>190.27692307692308</v>
      </c>
      <c r="L747" s="20"/>
      <c r="M747" s="20"/>
      <c r="N747" s="354"/>
      <c r="O747" s="21">
        <f t="shared" ref="O747:O809" si="113">I747+L747</f>
        <v>6500</v>
      </c>
      <c r="P747" s="21">
        <f t="shared" ref="P747:P809" si="114">J747+M747</f>
        <v>12368</v>
      </c>
      <c r="Q747" s="354">
        <f t="shared" ref="Q747:Q809" si="115">P747/O747*100</f>
        <v>190.27692307692308</v>
      </c>
    </row>
    <row r="748" spans="2:17" x14ac:dyDescent="0.2">
      <c r="B748" s="6">
        <f t="shared" ref="B748:B809" si="116">B747+1</f>
        <v>258</v>
      </c>
      <c r="C748" s="17"/>
      <c r="D748" s="17"/>
      <c r="E748" s="17"/>
      <c r="F748" s="18"/>
      <c r="G748" s="19">
        <v>635</v>
      </c>
      <c r="H748" s="17" t="s">
        <v>130</v>
      </c>
      <c r="I748" s="20">
        <v>7500</v>
      </c>
      <c r="J748" s="20">
        <v>0</v>
      </c>
      <c r="K748" s="354">
        <f t="shared" si="112"/>
        <v>0</v>
      </c>
      <c r="L748" s="20"/>
      <c r="M748" s="20"/>
      <c r="N748" s="354"/>
      <c r="O748" s="21">
        <f t="shared" si="113"/>
        <v>7500</v>
      </c>
      <c r="P748" s="21">
        <f t="shared" si="114"/>
        <v>0</v>
      </c>
      <c r="Q748" s="354">
        <f t="shared" si="115"/>
        <v>0</v>
      </c>
    </row>
    <row r="749" spans="2:17" x14ac:dyDescent="0.2">
      <c r="B749" s="6">
        <f t="shared" si="116"/>
        <v>259</v>
      </c>
      <c r="C749" s="17"/>
      <c r="D749" s="17"/>
      <c r="E749" s="17"/>
      <c r="F749" s="18"/>
      <c r="G749" s="19">
        <v>637</v>
      </c>
      <c r="H749" s="17" t="s">
        <v>119</v>
      </c>
      <c r="I749" s="20">
        <v>20440</v>
      </c>
      <c r="J749" s="20">
        <v>17137</v>
      </c>
      <c r="K749" s="354">
        <f t="shared" si="112"/>
        <v>83.840508806262221</v>
      </c>
      <c r="L749" s="20"/>
      <c r="M749" s="20"/>
      <c r="N749" s="354"/>
      <c r="O749" s="21">
        <f t="shared" si="113"/>
        <v>20440</v>
      </c>
      <c r="P749" s="21">
        <f t="shared" si="114"/>
        <v>17137</v>
      </c>
      <c r="Q749" s="354">
        <f t="shared" si="115"/>
        <v>83.840508806262221</v>
      </c>
    </row>
    <row r="750" spans="2:17" x14ac:dyDescent="0.2">
      <c r="B750" s="6">
        <f t="shared" si="116"/>
        <v>260</v>
      </c>
      <c r="C750" s="12"/>
      <c r="D750" s="12"/>
      <c r="E750" s="12"/>
      <c r="F750" s="13" t="s">
        <v>116</v>
      </c>
      <c r="G750" s="14">
        <v>640</v>
      </c>
      <c r="H750" s="12" t="s">
        <v>126</v>
      </c>
      <c r="I750" s="15">
        <v>1450</v>
      </c>
      <c r="J750" s="15">
        <v>3077</v>
      </c>
      <c r="K750" s="354">
        <f t="shared" si="112"/>
        <v>212.20689655172413</v>
      </c>
      <c r="L750" s="15"/>
      <c r="M750" s="15"/>
      <c r="N750" s="354"/>
      <c r="O750" s="16">
        <f t="shared" si="113"/>
        <v>1450</v>
      </c>
      <c r="P750" s="16">
        <f t="shared" si="114"/>
        <v>3077</v>
      </c>
      <c r="Q750" s="354">
        <f t="shared" si="115"/>
        <v>212.20689655172413</v>
      </c>
    </row>
    <row r="751" spans="2:17" x14ac:dyDescent="0.2">
      <c r="B751" s="6">
        <f t="shared" si="116"/>
        <v>261</v>
      </c>
      <c r="C751" s="12"/>
      <c r="D751" s="12"/>
      <c r="E751" s="12"/>
      <c r="F751" s="13" t="s">
        <v>105</v>
      </c>
      <c r="G751" s="14">
        <v>610</v>
      </c>
      <c r="H751" s="12" t="s">
        <v>128</v>
      </c>
      <c r="I751" s="15">
        <f>869425+259-20000+100</f>
        <v>849784</v>
      </c>
      <c r="J751" s="15">
        <v>337433</v>
      </c>
      <c r="K751" s="354">
        <f t="shared" si="112"/>
        <v>39.708090526533802</v>
      </c>
      <c r="L751" s="15"/>
      <c r="M751" s="15"/>
      <c r="N751" s="354"/>
      <c r="O751" s="16">
        <f t="shared" si="113"/>
        <v>849784</v>
      </c>
      <c r="P751" s="16">
        <f t="shared" si="114"/>
        <v>337433</v>
      </c>
      <c r="Q751" s="354">
        <f t="shared" si="115"/>
        <v>39.708090526533802</v>
      </c>
    </row>
    <row r="752" spans="2:17" x14ac:dyDescent="0.2">
      <c r="B752" s="6">
        <f t="shared" si="116"/>
        <v>262</v>
      </c>
      <c r="C752" s="12"/>
      <c r="D752" s="12"/>
      <c r="E752" s="12"/>
      <c r="F752" s="13" t="s">
        <v>105</v>
      </c>
      <c r="G752" s="14">
        <v>620</v>
      </c>
      <c r="H752" s="12" t="s">
        <v>121</v>
      </c>
      <c r="I752" s="15">
        <f>330950+91-9000+35</f>
        <v>322076</v>
      </c>
      <c r="J752" s="15">
        <v>127932</v>
      </c>
      <c r="K752" s="354">
        <f t="shared" si="112"/>
        <v>39.721059625678414</v>
      </c>
      <c r="L752" s="15"/>
      <c r="M752" s="15"/>
      <c r="N752" s="354"/>
      <c r="O752" s="16">
        <f t="shared" si="113"/>
        <v>322076</v>
      </c>
      <c r="P752" s="16">
        <f t="shared" si="114"/>
        <v>127932</v>
      </c>
      <c r="Q752" s="354">
        <f t="shared" si="115"/>
        <v>39.721059625678414</v>
      </c>
    </row>
    <row r="753" spans="2:17" x14ac:dyDescent="0.2">
      <c r="B753" s="6">
        <f t="shared" si="116"/>
        <v>263</v>
      </c>
      <c r="C753" s="12"/>
      <c r="D753" s="12"/>
      <c r="E753" s="12"/>
      <c r="F753" s="13" t="s">
        <v>105</v>
      </c>
      <c r="G753" s="14">
        <v>630</v>
      </c>
      <c r="H753" s="12" t="s">
        <v>118</v>
      </c>
      <c r="I753" s="15">
        <f>SUM(I754:I759)</f>
        <v>106552</v>
      </c>
      <c r="J753" s="15">
        <f>SUM(J754:J759)</f>
        <v>44313</v>
      </c>
      <c r="K753" s="354">
        <f t="shared" si="112"/>
        <v>41.588144755612284</v>
      </c>
      <c r="L753" s="15"/>
      <c r="M753" s="15"/>
      <c r="N753" s="354"/>
      <c r="O753" s="16">
        <f t="shared" si="113"/>
        <v>106552</v>
      </c>
      <c r="P753" s="16">
        <f t="shared" si="114"/>
        <v>44313</v>
      </c>
      <c r="Q753" s="354">
        <f t="shared" si="115"/>
        <v>41.588144755612284</v>
      </c>
    </row>
    <row r="754" spans="2:17" x14ac:dyDescent="0.2">
      <c r="B754" s="6">
        <f t="shared" si="116"/>
        <v>264</v>
      </c>
      <c r="C754" s="17"/>
      <c r="D754" s="17"/>
      <c r="E754" s="17"/>
      <c r="F754" s="18"/>
      <c r="G754" s="19">
        <v>631</v>
      </c>
      <c r="H754" s="17" t="s">
        <v>124</v>
      </c>
      <c r="I754" s="20">
        <v>1450</v>
      </c>
      <c r="J754" s="20">
        <v>803</v>
      </c>
      <c r="K754" s="354">
        <f t="shared" si="112"/>
        <v>55.37931034482758</v>
      </c>
      <c r="L754" s="20"/>
      <c r="M754" s="20"/>
      <c r="N754" s="354"/>
      <c r="O754" s="21">
        <f t="shared" si="113"/>
        <v>1450</v>
      </c>
      <c r="P754" s="21">
        <f t="shared" si="114"/>
        <v>803</v>
      </c>
      <c r="Q754" s="354">
        <f t="shared" si="115"/>
        <v>55.37931034482758</v>
      </c>
    </row>
    <row r="755" spans="2:17" x14ac:dyDescent="0.2">
      <c r="B755" s="6">
        <f t="shared" si="116"/>
        <v>265</v>
      </c>
      <c r="C755" s="17"/>
      <c r="D755" s="17"/>
      <c r="E755" s="17"/>
      <c r="F755" s="18"/>
      <c r="G755" s="19">
        <v>632</v>
      </c>
      <c r="H755" s="17" t="s">
        <v>131</v>
      </c>
      <c r="I755" s="20">
        <f>39550-18223</f>
        <v>21327</v>
      </c>
      <c r="J755" s="20">
        <v>10205</v>
      </c>
      <c r="K755" s="354">
        <f t="shared" si="112"/>
        <v>47.850143011206455</v>
      </c>
      <c r="L755" s="20"/>
      <c r="M755" s="20"/>
      <c r="N755" s="354"/>
      <c r="O755" s="21">
        <f t="shared" si="113"/>
        <v>21327</v>
      </c>
      <c r="P755" s="21">
        <f t="shared" si="114"/>
        <v>10205</v>
      </c>
      <c r="Q755" s="354">
        <f t="shared" si="115"/>
        <v>47.850143011206455</v>
      </c>
    </row>
    <row r="756" spans="2:17" x14ac:dyDescent="0.2">
      <c r="B756" s="6">
        <f t="shared" si="116"/>
        <v>266</v>
      </c>
      <c r="C756" s="17"/>
      <c r="D756" s="17"/>
      <c r="E756" s="17"/>
      <c r="F756" s="18"/>
      <c r="G756" s="19">
        <v>633</v>
      </c>
      <c r="H756" s="17" t="s">
        <v>122</v>
      </c>
      <c r="I756" s="20">
        <f>15875+1000</f>
        <v>16875</v>
      </c>
      <c r="J756" s="20">
        <v>2599</v>
      </c>
      <c r="K756" s="354">
        <f t="shared" si="112"/>
        <v>15.401481481481483</v>
      </c>
      <c r="L756" s="20"/>
      <c r="M756" s="20"/>
      <c r="N756" s="354"/>
      <c r="O756" s="21">
        <f t="shared" si="113"/>
        <v>16875</v>
      </c>
      <c r="P756" s="21">
        <f t="shared" si="114"/>
        <v>2599</v>
      </c>
      <c r="Q756" s="354">
        <f t="shared" si="115"/>
        <v>15.401481481481483</v>
      </c>
    </row>
    <row r="757" spans="2:17" x14ac:dyDescent="0.2">
      <c r="B757" s="6">
        <f t="shared" si="116"/>
        <v>267</v>
      </c>
      <c r="C757" s="17"/>
      <c r="D757" s="17"/>
      <c r="E757" s="17"/>
      <c r="F757" s="18"/>
      <c r="G757" s="19">
        <v>634</v>
      </c>
      <c r="H757" s="17" t="s">
        <v>129</v>
      </c>
      <c r="I757" s="20">
        <v>1200</v>
      </c>
      <c r="J757" s="20">
        <v>1200</v>
      </c>
      <c r="K757" s="354">
        <f t="shared" si="112"/>
        <v>100</v>
      </c>
      <c r="L757" s="20"/>
      <c r="M757" s="20"/>
      <c r="N757" s="354"/>
      <c r="O757" s="21">
        <f t="shared" si="113"/>
        <v>1200</v>
      </c>
      <c r="P757" s="21">
        <f t="shared" si="114"/>
        <v>1200</v>
      </c>
      <c r="Q757" s="354">
        <f t="shared" si="115"/>
        <v>100</v>
      </c>
    </row>
    <row r="758" spans="2:17" x14ac:dyDescent="0.2">
      <c r="B758" s="6">
        <f t="shared" si="116"/>
        <v>268</v>
      </c>
      <c r="C758" s="17"/>
      <c r="D758" s="17"/>
      <c r="E758" s="17"/>
      <c r="F758" s="18"/>
      <c r="G758" s="19">
        <v>635</v>
      </c>
      <c r="H758" s="17" t="s">
        <v>130</v>
      </c>
      <c r="I758" s="20">
        <v>17900</v>
      </c>
      <c r="J758" s="20">
        <v>658</v>
      </c>
      <c r="K758" s="354">
        <f t="shared" si="112"/>
        <v>3.6759776536312847</v>
      </c>
      <c r="L758" s="20"/>
      <c r="M758" s="20"/>
      <c r="N758" s="354"/>
      <c r="O758" s="21">
        <f t="shared" si="113"/>
        <v>17900</v>
      </c>
      <c r="P758" s="21">
        <f t="shared" si="114"/>
        <v>658</v>
      </c>
      <c r="Q758" s="354">
        <f t="shared" si="115"/>
        <v>3.6759776536312847</v>
      </c>
    </row>
    <row r="759" spans="2:17" x14ac:dyDescent="0.2">
      <c r="B759" s="6">
        <f t="shared" si="116"/>
        <v>269</v>
      </c>
      <c r="C759" s="17"/>
      <c r="D759" s="17"/>
      <c r="E759" s="17"/>
      <c r="F759" s="18"/>
      <c r="G759" s="19">
        <v>637</v>
      </c>
      <c r="H759" s="17" t="s">
        <v>119</v>
      </c>
      <c r="I759" s="20">
        <v>47800</v>
      </c>
      <c r="J759" s="20">
        <v>28848</v>
      </c>
      <c r="K759" s="354">
        <f t="shared" si="112"/>
        <v>60.35146443514644</v>
      </c>
      <c r="L759" s="20"/>
      <c r="M759" s="20"/>
      <c r="N759" s="354"/>
      <c r="O759" s="21">
        <f t="shared" si="113"/>
        <v>47800</v>
      </c>
      <c r="P759" s="21">
        <f t="shared" si="114"/>
        <v>28848</v>
      </c>
      <c r="Q759" s="354">
        <f t="shared" si="115"/>
        <v>60.35146443514644</v>
      </c>
    </row>
    <row r="760" spans="2:17" x14ac:dyDescent="0.2">
      <c r="B760" s="6">
        <f t="shared" si="116"/>
        <v>270</v>
      </c>
      <c r="C760" s="12"/>
      <c r="D760" s="12"/>
      <c r="E760" s="12"/>
      <c r="F760" s="13" t="s">
        <v>105</v>
      </c>
      <c r="G760" s="14">
        <v>640</v>
      </c>
      <c r="H760" s="12" t="s">
        <v>126</v>
      </c>
      <c r="I760" s="15">
        <v>2400</v>
      </c>
      <c r="J760" s="15">
        <v>1784</v>
      </c>
      <c r="K760" s="354">
        <f t="shared" si="112"/>
        <v>74.333333333333329</v>
      </c>
      <c r="L760" s="15"/>
      <c r="M760" s="15"/>
      <c r="N760" s="354"/>
      <c r="O760" s="16">
        <f t="shared" si="113"/>
        <v>2400</v>
      </c>
      <c r="P760" s="16">
        <f t="shared" si="114"/>
        <v>1784</v>
      </c>
      <c r="Q760" s="354">
        <f t="shared" si="115"/>
        <v>74.333333333333329</v>
      </c>
    </row>
    <row r="761" spans="2:17" x14ac:dyDescent="0.2">
      <c r="B761" s="6">
        <f t="shared" si="116"/>
        <v>271</v>
      </c>
      <c r="C761" s="12"/>
      <c r="D761" s="12"/>
      <c r="E761" s="12"/>
      <c r="F761" s="13" t="s">
        <v>105</v>
      </c>
      <c r="G761" s="14">
        <v>630</v>
      </c>
      <c r="H761" s="12" t="s">
        <v>662</v>
      </c>
      <c r="I761" s="15">
        <v>53966</v>
      </c>
      <c r="J761" s="15">
        <v>53967</v>
      </c>
      <c r="K761" s="354">
        <f t="shared" si="112"/>
        <v>100.00185301856726</v>
      </c>
      <c r="L761" s="15"/>
      <c r="M761" s="15"/>
      <c r="N761" s="354"/>
      <c r="O761" s="16">
        <f t="shared" si="113"/>
        <v>53966</v>
      </c>
      <c r="P761" s="16">
        <f t="shared" si="114"/>
        <v>53967</v>
      </c>
      <c r="Q761" s="354">
        <f t="shared" si="115"/>
        <v>100.00185301856726</v>
      </c>
    </row>
    <row r="762" spans="2:17" x14ac:dyDescent="0.2">
      <c r="B762" s="6">
        <f t="shared" si="116"/>
        <v>272</v>
      </c>
      <c r="C762" s="12"/>
      <c r="D762" s="12"/>
      <c r="E762" s="12"/>
      <c r="F762" s="13" t="s">
        <v>105</v>
      </c>
      <c r="G762" s="14">
        <v>710</v>
      </c>
      <c r="H762" s="12" t="s">
        <v>172</v>
      </c>
      <c r="I762" s="15"/>
      <c r="J762" s="15"/>
      <c r="K762" s="354"/>
      <c r="L762" s="15">
        <f>L763</f>
        <v>1576739</v>
      </c>
      <c r="M762" s="15">
        <f>M763</f>
        <v>0</v>
      </c>
      <c r="N762" s="354">
        <f>M762/L762*100</f>
        <v>0</v>
      </c>
      <c r="O762" s="16">
        <f t="shared" si="113"/>
        <v>1576739</v>
      </c>
      <c r="P762" s="16">
        <f t="shared" si="114"/>
        <v>0</v>
      </c>
      <c r="Q762" s="354">
        <f t="shared" si="115"/>
        <v>0</v>
      </c>
    </row>
    <row r="763" spans="2:17" x14ac:dyDescent="0.2">
      <c r="B763" s="6">
        <f t="shared" si="116"/>
        <v>273</v>
      </c>
      <c r="C763" s="17"/>
      <c r="D763" s="17"/>
      <c r="E763" s="17"/>
      <c r="F763" s="18"/>
      <c r="G763" s="19">
        <v>717</v>
      </c>
      <c r="H763" s="17" t="s">
        <v>179</v>
      </c>
      <c r="I763" s="20"/>
      <c r="J763" s="20"/>
      <c r="K763" s="354"/>
      <c r="L763" s="20">
        <f>L764+L765</f>
        <v>1576739</v>
      </c>
      <c r="M763" s="20">
        <f>M764+M765</f>
        <v>0</v>
      </c>
      <c r="N763" s="354">
        <f>M763/L763*100</f>
        <v>0</v>
      </c>
      <c r="O763" s="21">
        <f t="shared" si="113"/>
        <v>1576739</v>
      </c>
      <c r="P763" s="21">
        <f t="shared" si="114"/>
        <v>0</v>
      </c>
      <c r="Q763" s="354">
        <f t="shared" si="115"/>
        <v>0</v>
      </c>
    </row>
    <row r="764" spans="2:17" x14ac:dyDescent="0.2">
      <c r="B764" s="6">
        <f t="shared" si="116"/>
        <v>274</v>
      </c>
      <c r="C764" s="1"/>
      <c r="D764" s="1"/>
      <c r="E764" s="1"/>
      <c r="F764" s="99"/>
      <c r="G764" s="23"/>
      <c r="H764" s="1" t="s">
        <v>466</v>
      </c>
      <c r="I764" s="24"/>
      <c r="J764" s="24"/>
      <c r="K764" s="354"/>
      <c r="L764" s="24">
        <f>1431200+33423</f>
        <v>1464623</v>
      </c>
      <c r="M764" s="24">
        <v>0</v>
      </c>
      <c r="N764" s="354">
        <f>M764/L764*100</f>
        <v>0</v>
      </c>
      <c r="O764" s="26">
        <f t="shared" si="113"/>
        <v>1464623</v>
      </c>
      <c r="P764" s="26">
        <f t="shared" si="114"/>
        <v>0</v>
      </c>
      <c r="Q764" s="354">
        <f t="shared" si="115"/>
        <v>0</v>
      </c>
    </row>
    <row r="765" spans="2:17" x14ac:dyDescent="0.2">
      <c r="B765" s="6">
        <f t="shared" si="116"/>
        <v>275</v>
      </c>
      <c r="C765" s="1"/>
      <c r="D765" s="1"/>
      <c r="E765" s="1"/>
      <c r="F765" s="99"/>
      <c r="G765" s="23"/>
      <c r="H765" s="1" t="s">
        <v>633</v>
      </c>
      <c r="I765" s="24"/>
      <c r="J765" s="24"/>
      <c r="K765" s="354"/>
      <c r="L765" s="24">
        <f>160166-48050</f>
        <v>112116</v>
      </c>
      <c r="M765" s="24">
        <v>0</v>
      </c>
      <c r="N765" s="354">
        <f>M765/L765*100</f>
        <v>0</v>
      </c>
      <c r="O765" s="26">
        <f t="shared" si="113"/>
        <v>112116</v>
      </c>
      <c r="P765" s="26">
        <f t="shared" si="114"/>
        <v>0</v>
      </c>
      <c r="Q765" s="354">
        <f t="shared" si="115"/>
        <v>0</v>
      </c>
    </row>
    <row r="766" spans="2:17" ht="15" x14ac:dyDescent="0.25">
      <c r="B766" s="6">
        <f t="shared" si="116"/>
        <v>276</v>
      </c>
      <c r="C766" s="95"/>
      <c r="D766" s="95"/>
      <c r="E766" s="95">
        <v>8</v>
      </c>
      <c r="F766" s="96"/>
      <c r="G766" s="96"/>
      <c r="H766" s="95" t="s">
        <v>6</v>
      </c>
      <c r="I766" s="97">
        <f>I767+I768+I769+I776+I777+I778+I779+I786+I787+I788</f>
        <v>2919206</v>
      </c>
      <c r="J766" s="97">
        <f>J767+J768+J769+J776+J777+J778+J779+J786+J787+J788</f>
        <v>1328369</v>
      </c>
      <c r="K766" s="354">
        <f t="shared" ref="K766:K788" si="117">J766/I766*100</f>
        <v>45.504462514807109</v>
      </c>
      <c r="L766" s="97">
        <f>L789</f>
        <v>75000</v>
      </c>
      <c r="M766" s="97">
        <f>M789</f>
        <v>0</v>
      </c>
      <c r="N766" s="354">
        <f>M766/L766*100</f>
        <v>0</v>
      </c>
      <c r="O766" s="98">
        <f t="shared" si="113"/>
        <v>2994206</v>
      </c>
      <c r="P766" s="98">
        <f t="shared" si="114"/>
        <v>1328369</v>
      </c>
      <c r="Q766" s="354">
        <f t="shared" si="115"/>
        <v>44.364649593247755</v>
      </c>
    </row>
    <row r="767" spans="2:17" x14ac:dyDescent="0.2">
      <c r="B767" s="6">
        <f t="shared" si="116"/>
        <v>277</v>
      </c>
      <c r="C767" s="12"/>
      <c r="D767" s="12"/>
      <c r="E767" s="12"/>
      <c r="F767" s="13" t="s">
        <v>116</v>
      </c>
      <c r="G767" s="14">
        <v>610</v>
      </c>
      <c r="H767" s="12" t="s">
        <v>128</v>
      </c>
      <c r="I767" s="15">
        <f>557660-40000</f>
        <v>517660</v>
      </c>
      <c r="J767" s="15">
        <v>223905</v>
      </c>
      <c r="K767" s="354">
        <f t="shared" si="117"/>
        <v>43.253293667658312</v>
      </c>
      <c r="L767" s="15"/>
      <c r="M767" s="15"/>
      <c r="N767" s="354"/>
      <c r="O767" s="16">
        <f t="shared" si="113"/>
        <v>517660</v>
      </c>
      <c r="P767" s="16">
        <f t="shared" si="114"/>
        <v>223905</v>
      </c>
      <c r="Q767" s="354">
        <f t="shared" si="115"/>
        <v>43.253293667658312</v>
      </c>
    </row>
    <row r="768" spans="2:17" x14ac:dyDescent="0.2">
      <c r="B768" s="6">
        <f t="shared" si="116"/>
        <v>278</v>
      </c>
      <c r="C768" s="12"/>
      <c r="D768" s="12"/>
      <c r="E768" s="12"/>
      <c r="F768" s="13" t="s">
        <v>116</v>
      </c>
      <c r="G768" s="14">
        <v>620</v>
      </c>
      <c r="H768" s="12" t="s">
        <v>121</v>
      </c>
      <c r="I768" s="15">
        <f>209270-17565</f>
        <v>191705</v>
      </c>
      <c r="J768" s="15">
        <v>85826</v>
      </c>
      <c r="K768" s="354">
        <f t="shared" si="117"/>
        <v>44.769828642967056</v>
      </c>
      <c r="L768" s="15"/>
      <c r="M768" s="15"/>
      <c r="N768" s="354"/>
      <c r="O768" s="16">
        <f t="shared" si="113"/>
        <v>191705</v>
      </c>
      <c r="P768" s="16">
        <f t="shared" si="114"/>
        <v>85826</v>
      </c>
      <c r="Q768" s="354">
        <f t="shared" si="115"/>
        <v>44.769828642967056</v>
      </c>
    </row>
    <row r="769" spans="2:17" x14ac:dyDescent="0.2">
      <c r="B769" s="6">
        <f t="shared" si="116"/>
        <v>279</v>
      </c>
      <c r="C769" s="12"/>
      <c r="D769" s="12"/>
      <c r="E769" s="12"/>
      <c r="F769" s="13" t="s">
        <v>116</v>
      </c>
      <c r="G769" s="14">
        <v>630</v>
      </c>
      <c r="H769" s="12" t="s">
        <v>118</v>
      </c>
      <c r="I769" s="15">
        <f>SUM(I770:I775)</f>
        <v>91720</v>
      </c>
      <c r="J769" s="15">
        <f>SUM(J770:J775)</f>
        <v>52257</v>
      </c>
      <c r="K769" s="354">
        <f t="shared" si="117"/>
        <v>56.974487570867858</v>
      </c>
      <c r="L769" s="15"/>
      <c r="M769" s="15"/>
      <c r="N769" s="354"/>
      <c r="O769" s="16">
        <f t="shared" si="113"/>
        <v>91720</v>
      </c>
      <c r="P769" s="16">
        <f t="shared" si="114"/>
        <v>52257</v>
      </c>
      <c r="Q769" s="354">
        <f t="shared" si="115"/>
        <v>56.974487570867858</v>
      </c>
    </row>
    <row r="770" spans="2:17" x14ac:dyDescent="0.2">
      <c r="B770" s="6">
        <f t="shared" si="116"/>
        <v>280</v>
      </c>
      <c r="C770" s="17"/>
      <c r="D770" s="17"/>
      <c r="E770" s="17"/>
      <c r="F770" s="18"/>
      <c r="G770" s="19">
        <v>631</v>
      </c>
      <c r="H770" s="17" t="s">
        <v>124</v>
      </c>
      <c r="I770" s="20">
        <v>100</v>
      </c>
      <c r="J770" s="20">
        <v>0</v>
      </c>
      <c r="K770" s="354">
        <f t="shared" si="117"/>
        <v>0</v>
      </c>
      <c r="L770" s="20"/>
      <c r="M770" s="20"/>
      <c r="N770" s="354"/>
      <c r="O770" s="21">
        <f t="shared" si="113"/>
        <v>100</v>
      </c>
      <c r="P770" s="21">
        <f t="shared" si="114"/>
        <v>0</v>
      </c>
      <c r="Q770" s="354">
        <f t="shared" si="115"/>
        <v>0</v>
      </c>
    </row>
    <row r="771" spans="2:17" x14ac:dyDescent="0.2">
      <c r="B771" s="6">
        <f t="shared" si="116"/>
        <v>281</v>
      </c>
      <c r="C771" s="17"/>
      <c r="D771" s="17"/>
      <c r="E771" s="17"/>
      <c r="F771" s="18"/>
      <c r="G771" s="19">
        <v>632</v>
      </c>
      <c r="H771" s="17" t="s">
        <v>131</v>
      </c>
      <c r="I771" s="20">
        <v>41950</v>
      </c>
      <c r="J771" s="20">
        <v>15852</v>
      </c>
      <c r="K771" s="354">
        <f t="shared" si="117"/>
        <v>37.787842669845048</v>
      </c>
      <c r="L771" s="20"/>
      <c r="M771" s="20"/>
      <c r="N771" s="354"/>
      <c r="O771" s="21">
        <f t="shared" si="113"/>
        <v>41950</v>
      </c>
      <c r="P771" s="21">
        <f t="shared" si="114"/>
        <v>15852</v>
      </c>
      <c r="Q771" s="354">
        <f t="shared" si="115"/>
        <v>37.787842669845048</v>
      </c>
    </row>
    <row r="772" spans="2:17" x14ac:dyDescent="0.2">
      <c r="B772" s="6">
        <f t="shared" si="116"/>
        <v>282</v>
      </c>
      <c r="C772" s="17"/>
      <c r="D772" s="17"/>
      <c r="E772" s="17"/>
      <c r="F772" s="18"/>
      <c r="G772" s="19">
        <v>633</v>
      </c>
      <c r="H772" s="17" t="s">
        <v>122</v>
      </c>
      <c r="I772" s="20">
        <v>11590</v>
      </c>
      <c r="J772" s="20">
        <v>16676</v>
      </c>
      <c r="K772" s="354">
        <f t="shared" si="117"/>
        <v>143.88265746333047</v>
      </c>
      <c r="L772" s="20"/>
      <c r="M772" s="20"/>
      <c r="N772" s="354"/>
      <c r="O772" s="21">
        <f t="shared" si="113"/>
        <v>11590</v>
      </c>
      <c r="P772" s="21">
        <f t="shared" si="114"/>
        <v>16676</v>
      </c>
      <c r="Q772" s="354">
        <f t="shared" si="115"/>
        <v>143.88265746333047</v>
      </c>
    </row>
    <row r="773" spans="2:17" x14ac:dyDescent="0.2">
      <c r="B773" s="6">
        <f t="shared" si="116"/>
        <v>283</v>
      </c>
      <c r="C773" s="17"/>
      <c r="D773" s="17"/>
      <c r="E773" s="17"/>
      <c r="F773" s="18"/>
      <c r="G773" s="19">
        <v>635</v>
      </c>
      <c r="H773" s="17" t="s">
        <v>130</v>
      </c>
      <c r="I773" s="20">
        <f>5600</f>
        <v>5600</v>
      </c>
      <c r="J773" s="20">
        <v>119</v>
      </c>
      <c r="K773" s="354">
        <f t="shared" si="117"/>
        <v>2.125</v>
      </c>
      <c r="L773" s="20"/>
      <c r="M773" s="20"/>
      <c r="N773" s="354"/>
      <c r="O773" s="21">
        <f t="shared" si="113"/>
        <v>5600</v>
      </c>
      <c r="P773" s="21">
        <f t="shared" si="114"/>
        <v>119</v>
      </c>
      <c r="Q773" s="354">
        <f t="shared" si="115"/>
        <v>2.125</v>
      </c>
    </row>
    <row r="774" spans="2:17" x14ac:dyDescent="0.2">
      <c r="B774" s="6">
        <f t="shared" si="116"/>
        <v>284</v>
      </c>
      <c r="C774" s="17"/>
      <c r="D774" s="17"/>
      <c r="E774" s="17"/>
      <c r="F774" s="18"/>
      <c r="G774" s="19">
        <v>636</v>
      </c>
      <c r="H774" s="17" t="s">
        <v>123</v>
      </c>
      <c r="I774" s="20">
        <v>1600</v>
      </c>
      <c r="J774" s="20">
        <v>1112</v>
      </c>
      <c r="K774" s="354">
        <f t="shared" si="117"/>
        <v>69.5</v>
      </c>
      <c r="L774" s="20"/>
      <c r="M774" s="20"/>
      <c r="N774" s="354"/>
      <c r="O774" s="21">
        <f t="shared" si="113"/>
        <v>1600</v>
      </c>
      <c r="P774" s="21">
        <f t="shared" si="114"/>
        <v>1112</v>
      </c>
      <c r="Q774" s="354">
        <f t="shared" si="115"/>
        <v>69.5</v>
      </c>
    </row>
    <row r="775" spans="2:17" x14ac:dyDescent="0.2">
      <c r="B775" s="6">
        <f t="shared" si="116"/>
        <v>285</v>
      </c>
      <c r="C775" s="17"/>
      <c r="D775" s="17"/>
      <c r="E775" s="17"/>
      <c r="F775" s="18"/>
      <c r="G775" s="19">
        <v>637</v>
      </c>
      <c r="H775" s="17" t="s">
        <v>119</v>
      </c>
      <c r="I775" s="20">
        <v>30880</v>
      </c>
      <c r="J775" s="20">
        <v>18498</v>
      </c>
      <c r="K775" s="354">
        <f t="shared" si="117"/>
        <v>59.902849740932638</v>
      </c>
      <c r="L775" s="20"/>
      <c r="M775" s="20"/>
      <c r="N775" s="354"/>
      <c r="O775" s="21">
        <f t="shared" si="113"/>
        <v>30880</v>
      </c>
      <c r="P775" s="21">
        <f t="shared" si="114"/>
        <v>18498</v>
      </c>
      <c r="Q775" s="354">
        <f t="shared" si="115"/>
        <v>59.902849740932638</v>
      </c>
    </row>
    <row r="776" spans="2:17" x14ac:dyDescent="0.2">
      <c r="B776" s="6">
        <f t="shared" si="116"/>
        <v>286</v>
      </c>
      <c r="C776" s="12"/>
      <c r="D776" s="12"/>
      <c r="E776" s="12"/>
      <c r="F776" s="13" t="s">
        <v>116</v>
      </c>
      <c r="G776" s="14">
        <v>640</v>
      </c>
      <c r="H776" s="12" t="s">
        <v>126</v>
      </c>
      <c r="I776" s="15">
        <v>11300</v>
      </c>
      <c r="J776" s="15">
        <v>7261</v>
      </c>
      <c r="K776" s="354">
        <f t="shared" si="117"/>
        <v>64.256637168141594</v>
      </c>
      <c r="L776" s="15"/>
      <c r="M776" s="15"/>
      <c r="N776" s="354"/>
      <c r="O776" s="16">
        <f t="shared" si="113"/>
        <v>11300</v>
      </c>
      <c r="P776" s="16">
        <f t="shared" si="114"/>
        <v>7261</v>
      </c>
      <c r="Q776" s="354">
        <f t="shared" si="115"/>
        <v>64.256637168141594</v>
      </c>
    </row>
    <row r="777" spans="2:17" x14ac:dyDescent="0.2">
      <c r="B777" s="6">
        <f t="shared" si="116"/>
        <v>287</v>
      </c>
      <c r="C777" s="12"/>
      <c r="D777" s="12"/>
      <c r="E777" s="12"/>
      <c r="F777" s="13" t="s">
        <v>105</v>
      </c>
      <c r="G777" s="14">
        <v>610</v>
      </c>
      <c r="H777" s="12" t="s">
        <v>128</v>
      </c>
      <c r="I777" s="15">
        <f>1162010+259-77455+100</f>
        <v>1084914</v>
      </c>
      <c r="J777" s="15">
        <v>485570</v>
      </c>
      <c r="K777" s="354">
        <f t="shared" si="117"/>
        <v>44.756542914922285</v>
      </c>
      <c r="L777" s="15"/>
      <c r="M777" s="15"/>
      <c r="N777" s="354"/>
      <c r="O777" s="16">
        <f t="shared" si="113"/>
        <v>1084914</v>
      </c>
      <c r="P777" s="16">
        <f t="shared" si="114"/>
        <v>485570</v>
      </c>
      <c r="Q777" s="354">
        <f t="shared" si="115"/>
        <v>44.756542914922285</v>
      </c>
    </row>
    <row r="778" spans="2:17" x14ac:dyDescent="0.2">
      <c r="B778" s="6">
        <f t="shared" si="116"/>
        <v>288</v>
      </c>
      <c r="C778" s="12"/>
      <c r="D778" s="12"/>
      <c r="E778" s="12"/>
      <c r="F778" s="13" t="s">
        <v>105</v>
      </c>
      <c r="G778" s="14">
        <v>620</v>
      </c>
      <c r="H778" s="12" t="s">
        <v>121</v>
      </c>
      <c r="I778" s="15">
        <f>443005+91-47990+35</f>
        <v>395141</v>
      </c>
      <c r="J778" s="15">
        <v>189664</v>
      </c>
      <c r="K778" s="354">
        <f t="shared" si="117"/>
        <v>47.999068686873798</v>
      </c>
      <c r="L778" s="15"/>
      <c r="M778" s="15"/>
      <c r="N778" s="354"/>
      <c r="O778" s="16">
        <f t="shared" si="113"/>
        <v>395141</v>
      </c>
      <c r="P778" s="16">
        <f t="shared" si="114"/>
        <v>189664</v>
      </c>
      <c r="Q778" s="354">
        <f t="shared" si="115"/>
        <v>47.999068686873798</v>
      </c>
    </row>
    <row r="779" spans="2:17" x14ac:dyDescent="0.2">
      <c r="B779" s="6">
        <f t="shared" si="116"/>
        <v>289</v>
      </c>
      <c r="C779" s="12"/>
      <c r="D779" s="12"/>
      <c r="E779" s="12"/>
      <c r="F779" s="13" t="s">
        <v>105</v>
      </c>
      <c r="G779" s="14">
        <v>630</v>
      </c>
      <c r="H779" s="12" t="s">
        <v>118</v>
      </c>
      <c r="I779" s="15">
        <f>SUM(I780:I785)</f>
        <v>381230</v>
      </c>
      <c r="J779" s="15">
        <f>SUM(J780:J785)</f>
        <v>79467</v>
      </c>
      <c r="K779" s="354">
        <f t="shared" si="117"/>
        <v>20.844896781470503</v>
      </c>
      <c r="L779" s="15"/>
      <c r="M779" s="15"/>
      <c r="N779" s="354"/>
      <c r="O779" s="16">
        <f t="shared" si="113"/>
        <v>381230</v>
      </c>
      <c r="P779" s="16">
        <f t="shared" si="114"/>
        <v>79467</v>
      </c>
      <c r="Q779" s="354">
        <f t="shared" si="115"/>
        <v>20.844896781470503</v>
      </c>
    </row>
    <row r="780" spans="2:17" x14ac:dyDescent="0.2">
      <c r="B780" s="6">
        <f t="shared" si="116"/>
        <v>290</v>
      </c>
      <c r="C780" s="17"/>
      <c r="D780" s="17"/>
      <c r="E780" s="17"/>
      <c r="F780" s="18"/>
      <c r="G780" s="19">
        <v>631</v>
      </c>
      <c r="H780" s="17" t="s">
        <v>124</v>
      </c>
      <c r="I780" s="20">
        <v>250</v>
      </c>
      <c r="J780" s="20">
        <v>315</v>
      </c>
      <c r="K780" s="354">
        <f t="shared" si="117"/>
        <v>126</v>
      </c>
      <c r="L780" s="20"/>
      <c r="M780" s="20"/>
      <c r="N780" s="354"/>
      <c r="O780" s="21">
        <f t="shared" si="113"/>
        <v>250</v>
      </c>
      <c r="P780" s="21">
        <f t="shared" si="114"/>
        <v>315</v>
      </c>
      <c r="Q780" s="354">
        <f t="shared" si="115"/>
        <v>126</v>
      </c>
    </row>
    <row r="781" spans="2:17" x14ac:dyDescent="0.2">
      <c r="B781" s="6">
        <f t="shared" si="116"/>
        <v>291</v>
      </c>
      <c r="C781" s="17"/>
      <c r="D781" s="17"/>
      <c r="E781" s="17"/>
      <c r="F781" s="18"/>
      <c r="G781" s="19">
        <v>632</v>
      </c>
      <c r="H781" s="17" t="s">
        <v>131</v>
      </c>
      <c r="I781" s="20">
        <f>174360-37000</f>
        <v>137360</v>
      </c>
      <c r="J781" s="20">
        <v>25139</v>
      </c>
      <c r="K781" s="354">
        <f t="shared" si="117"/>
        <v>18.301543389633082</v>
      </c>
      <c r="L781" s="20"/>
      <c r="M781" s="20"/>
      <c r="N781" s="354"/>
      <c r="O781" s="21">
        <f t="shared" si="113"/>
        <v>137360</v>
      </c>
      <c r="P781" s="21">
        <f t="shared" si="114"/>
        <v>25139</v>
      </c>
      <c r="Q781" s="354">
        <f t="shared" si="115"/>
        <v>18.301543389633082</v>
      </c>
    </row>
    <row r="782" spans="2:17" x14ac:dyDescent="0.2">
      <c r="B782" s="6">
        <f t="shared" si="116"/>
        <v>292</v>
      </c>
      <c r="C782" s="17"/>
      <c r="D782" s="17"/>
      <c r="E782" s="17"/>
      <c r="F782" s="18"/>
      <c r="G782" s="19">
        <v>633</v>
      </c>
      <c r="H782" s="17" t="s">
        <v>122</v>
      </c>
      <c r="I782" s="20">
        <f>73986+1000-2000</f>
        <v>72986</v>
      </c>
      <c r="J782" s="20">
        <v>8643</v>
      </c>
      <c r="K782" s="354">
        <f t="shared" si="117"/>
        <v>11.841997095333353</v>
      </c>
      <c r="L782" s="20"/>
      <c r="M782" s="20"/>
      <c r="N782" s="354"/>
      <c r="O782" s="21">
        <f t="shared" si="113"/>
        <v>72986</v>
      </c>
      <c r="P782" s="21">
        <f t="shared" si="114"/>
        <v>8643</v>
      </c>
      <c r="Q782" s="354">
        <f t="shared" si="115"/>
        <v>11.841997095333353</v>
      </c>
    </row>
    <row r="783" spans="2:17" x14ac:dyDescent="0.2">
      <c r="B783" s="6">
        <f t="shared" si="116"/>
        <v>293</v>
      </c>
      <c r="C783" s="17"/>
      <c r="D783" s="17"/>
      <c r="E783" s="17"/>
      <c r="F783" s="18"/>
      <c r="G783" s="19">
        <v>635</v>
      </c>
      <c r="H783" s="17" t="s">
        <v>130</v>
      </c>
      <c r="I783" s="20">
        <f>24700-4000+2000+14568+61624</f>
        <v>98892</v>
      </c>
      <c r="J783" s="20">
        <v>2525</v>
      </c>
      <c r="K783" s="354">
        <f t="shared" si="117"/>
        <v>2.5532904582777172</v>
      </c>
      <c r="L783" s="20"/>
      <c r="M783" s="20"/>
      <c r="N783" s="354"/>
      <c r="O783" s="21">
        <f t="shared" si="113"/>
        <v>98892</v>
      </c>
      <c r="P783" s="21">
        <f t="shared" si="114"/>
        <v>2525</v>
      </c>
      <c r="Q783" s="354">
        <f t="shared" si="115"/>
        <v>2.5532904582777172</v>
      </c>
    </row>
    <row r="784" spans="2:17" x14ac:dyDescent="0.2">
      <c r="B784" s="6">
        <f t="shared" si="116"/>
        <v>294</v>
      </c>
      <c r="C784" s="17"/>
      <c r="D784" s="17"/>
      <c r="E784" s="17"/>
      <c r="F784" s="18"/>
      <c r="G784" s="19">
        <v>636</v>
      </c>
      <c r="H784" s="17" t="s">
        <v>123</v>
      </c>
      <c r="I784" s="20">
        <v>3300</v>
      </c>
      <c r="J784" s="20">
        <v>1090</v>
      </c>
      <c r="K784" s="354">
        <f t="shared" si="117"/>
        <v>33.030303030303031</v>
      </c>
      <c r="L784" s="20"/>
      <c r="M784" s="20"/>
      <c r="N784" s="354"/>
      <c r="O784" s="21">
        <f t="shared" si="113"/>
        <v>3300</v>
      </c>
      <c r="P784" s="21">
        <f t="shared" si="114"/>
        <v>1090</v>
      </c>
      <c r="Q784" s="354">
        <f t="shared" si="115"/>
        <v>33.030303030303031</v>
      </c>
    </row>
    <row r="785" spans="2:17" x14ac:dyDescent="0.2">
      <c r="B785" s="6">
        <f t="shared" si="116"/>
        <v>295</v>
      </c>
      <c r="C785" s="17"/>
      <c r="D785" s="17"/>
      <c r="E785" s="17"/>
      <c r="F785" s="18"/>
      <c r="G785" s="19">
        <v>637</v>
      </c>
      <c r="H785" s="17" t="s">
        <v>119</v>
      </c>
      <c r="I785" s="20">
        <f>94150-25708</f>
        <v>68442</v>
      </c>
      <c r="J785" s="20">
        <v>41755</v>
      </c>
      <c r="K785" s="354">
        <f t="shared" si="117"/>
        <v>61.007860670348613</v>
      </c>
      <c r="L785" s="20"/>
      <c r="M785" s="20"/>
      <c r="N785" s="354"/>
      <c r="O785" s="21">
        <f t="shared" si="113"/>
        <v>68442</v>
      </c>
      <c r="P785" s="21">
        <f t="shared" si="114"/>
        <v>41755</v>
      </c>
      <c r="Q785" s="354">
        <f t="shared" si="115"/>
        <v>61.007860670348613</v>
      </c>
    </row>
    <row r="786" spans="2:17" x14ac:dyDescent="0.2">
      <c r="B786" s="6">
        <f t="shared" si="116"/>
        <v>296</v>
      </c>
      <c r="C786" s="12"/>
      <c r="D786" s="12"/>
      <c r="E786" s="12"/>
      <c r="F786" s="13" t="s">
        <v>105</v>
      </c>
      <c r="G786" s="14">
        <v>640</v>
      </c>
      <c r="H786" s="12" t="s">
        <v>126</v>
      </c>
      <c r="I786" s="15">
        <f>20110-2000</f>
        <v>18110</v>
      </c>
      <c r="J786" s="15">
        <v>4367</v>
      </c>
      <c r="K786" s="354">
        <f t="shared" si="117"/>
        <v>24.113749309773606</v>
      </c>
      <c r="L786" s="15"/>
      <c r="M786" s="15"/>
      <c r="N786" s="354"/>
      <c r="O786" s="16">
        <f t="shared" si="113"/>
        <v>18110</v>
      </c>
      <c r="P786" s="16">
        <f t="shared" si="114"/>
        <v>4367</v>
      </c>
      <c r="Q786" s="354">
        <f t="shared" si="115"/>
        <v>24.113749309773606</v>
      </c>
    </row>
    <row r="787" spans="2:17" x14ac:dyDescent="0.2">
      <c r="B787" s="6">
        <f t="shared" si="116"/>
        <v>297</v>
      </c>
      <c r="C787" s="12"/>
      <c r="D787" s="12"/>
      <c r="E787" s="12"/>
      <c r="F787" s="13" t="s">
        <v>75</v>
      </c>
      <c r="G787" s="14">
        <v>633</v>
      </c>
      <c r="H787" s="12" t="s">
        <v>433</v>
      </c>
      <c r="I787" s="15">
        <v>170000</v>
      </c>
      <c r="J787" s="15">
        <v>142626</v>
      </c>
      <c r="K787" s="354">
        <f t="shared" si="117"/>
        <v>83.897647058823537</v>
      </c>
      <c r="L787" s="15"/>
      <c r="M787" s="15"/>
      <c r="N787" s="354"/>
      <c r="O787" s="16">
        <f t="shared" si="113"/>
        <v>170000</v>
      </c>
      <c r="P787" s="16">
        <f t="shared" si="114"/>
        <v>142626</v>
      </c>
      <c r="Q787" s="354">
        <f t="shared" si="115"/>
        <v>83.897647058823537</v>
      </c>
    </row>
    <row r="788" spans="2:17" x14ac:dyDescent="0.2">
      <c r="B788" s="6">
        <f t="shared" si="116"/>
        <v>298</v>
      </c>
      <c r="C788" s="12"/>
      <c r="D788" s="12"/>
      <c r="E788" s="12"/>
      <c r="F788" s="13" t="s">
        <v>105</v>
      </c>
      <c r="G788" s="14">
        <v>630</v>
      </c>
      <c r="H788" s="12" t="s">
        <v>662</v>
      </c>
      <c r="I788" s="15">
        <v>57426</v>
      </c>
      <c r="J788" s="15">
        <v>57426</v>
      </c>
      <c r="K788" s="354">
        <f t="shared" si="117"/>
        <v>100</v>
      </c>
      <c r="L788" s="15"/>
      <c r="M788" s="15"/>
      <c r="N788" s="354"/>
      <c r="O788" s="16">
        <f t="shared" si="113"/>
        <v>57426</v>
      </c>
      <c r="P788" s="16">
        <f t="shared" si="114"/>
        <v>57426</v>
      </c>
      <c r="Q788" s="354">
        <f t="shared" si="115"/>
        <v>100</v>
      </c>
    </row>
    <row r="789" spans="2:17" x14ac:dyDescent="0.2">
      <c r="B789" s="6">
        <f t="shared" si="116"/>
        <v>299</v>
      </c>
      <c r="C789" s="12"/>
      <c r="D789" s="12"/>
      <c r="E789" s="12"/>
      <c r="F789" s="13" t="s">
        <v>116</v>
      </c>
      <c r="G789" s="14">
        <v>710</v>
      </c>
      <c r="H789" s="12" t="s">
        <v>172</v>
      </c>
      <c r="I789" s="15"/>
      <c r="J789" s="15"/>
      <c r="K789" s="354"/>
      <c r="L789" s="15">
        <f>L790</f>
        <v>75000</v>
      </c>
      <c r="M789" s="15">
        <f>M790</f>
        <v>0</v>
      </c>
      <c r="N789" s="354">
        <f>M789/L789*100</f>
        <v>0</v>
      </c>
      <c r="O789" s="16">
        <f t="shared" si="113"/>
        <v>75000</v>
      </c>
      <c r="P789" s="16">
        <f t="shared" si="114"/>
        <v>0</v>
      </c>
      <c r="Q789" s="354">
        <f t="shared" si="115"/>
        <v>0</v>
      </c>
    </row>
    <row r="790" spans="2:17" x14ac:dyDescent="0.2">
      <c r="B790" s="6">
        <f t="shared" si="116"/>
        <v>300</v>
      </c>
      <c r="C790" s="12"/>
      <c r="D790" s="12"/>
      <c r="E790" s="12"/>
      <c r="F790" s="13"/>
      <c r="G790" s="19">
        <v>717</v>
      </c>
      <c r="H790" s="17" t="s">
        <v>179</v>
      </c>
      <c r="I790" s="20"/>
      <c r="J790" s="20"/>
      <c r="K790" s="354"/>
      <c r="L790" s="20">
        <f>L791</f>
        <v>75000</v>
      </c>
      <c r="M790" s="20">
        <f>M791</f>
        <v>0</v>
      </c>
      <c r="N790" s="354">
        <f>M790/L790*100</f>
        <v>0</v>
      </c>
      <c r="O790" s="21">
        <f t="shared" si="113"/>
        <v>75000</v>
      </c>
      <c r="P790" s="21">
        <f t="shared" si="114"/>
        <v>0</v>
      </c>
      <c r="Q790" s="354">
        <f t="shared" si="115"/>
        <v>0</v>
      </c>
    </row>
    <row r="791" spans="2:17" x14ac:dyDescent="0.2">
      <c r="B791" s="6">
        <f t="shared" si="116"/>
        <v>301</v>
      </c>
      <c r="C791" s="109"/>
      <c r="D791" s="109"/>
      <c r="E791" s="109"/>
      <c r="F791" s="99"/>
      <c r="G791" s="23"/>
      <c r="H791" s="1" t="s">
        <v>600</v>
      </c>
      <c r="I791" s="24"/>
      <c r="J791" s="24"/>
      <c r="K791" s="354"/>
      <c r="L791" s="24">
        <v>75000</v>
      </c>
      <c r="M791" s="24">
        <v>0</v>
      </c>
      <c r="N791" s="354">
        <f>M791/L791*100</f>
        <v>0</v>
      </c>
      <c r="O791" s="26">
        <f t="shared" si="113"/>
        <v>75000</v>
      </c>
      <c r="P791" s="26">
        <f t="shared" si="114"/>
        <v>0</v>
      </c>
      <c r="Q791" s="354">
        <f t="shared" si="115"/>
        <v>0</v>
      </c>
    </row>
    <row r="792" spans="2:17" ht="15" x14ac:dyDescent="0.25">
      <c r="B792" s="6">
        <f t="shared" si="116"/>
        <v>302</v>
      </c>
      <c r="C792" s="95"/>
      <c r="D792" s="95"/>
      <c r="E792" s="95">
        <v>9</v>
      </c>
      <c r="F792" s="96"/>
      <c r="G792" s="96"/>
      <c r="H792" s="95" t="s">
        <v>4</v>
      </c>
      <c r="I792" s="97">
        <f>I793+I794+I795+I803+I804+I805+I806+I814+I815</f>
        <v>2262568</v>
      </c>
      <c r="J792" s="97">
        <f>J793+J794+J795+J803+J804+J805+J806+J814+J815</f>
        <v>1012730</v>
      </c>
      <c r="K792" s="354">
        <f t="shared" ref="K792:K809" si="118">J792/I792*100</f>
        <v>44.760201682336174</v>
      </c>
      <c r="L792" s="97">
        <f>L816</f>
        <v>90000</v>
      </c>
      <c r="M792" s="97">
        <f>M816</f>
        <v>0</v>
      </c>
      <c r="N792" s="354">
        <f>M792/L792*100</f>
        <v>0</v>
      </c>
      <c r="O792" s="98">
        <f t="shared" si="113"/>
        <v>2352568</v>
      </c>
      <c r="P792" s="98">
        <f t="shared" si="114"/>
        <v>1012730</v>
      </c>
      <c r="Q792" s="354">
        <f t="shared" si="115"/>
        <v>43.047852389388957</v>
      </c>
    </row>
    <row r="793" spans="2:17" x14ac:dyDescent="0.2">
      <c r="B793" s="6">
        <f t="shared" si="116"/>
        <v>303</v>
      </c>
      <c r="C793" s="12"/>
      <c r="D793" s="12"/>
      <c r="E793" s="12"/>
      <c r="F793" s="13" t="s">
        <v>116</v>
      </c>
      <c r="G793" s="14">
        <v>610</v>
      </c>
      <c r="H793" s="12" t="s">
        <v>128</v>
      </c>
      <c r="I793" s="15">
        <v>606500</v>
      </c>
      <c r="J793" s="15">
        <v>251661</v>
      </c>
      <c r="K793" s="354">
        <f t="shared" si="118"/>
        <v>41.493981863149216</v>
      </c>
      <c r="L793" s="15"/>
      <c r="M793" s="15"/>
      <c r="N793" s="354"/>
      <c r="O793" s="16">
        <f t="shared" si="113"/>
        <v>606500</v>
      </c>
      <c r="P793" s="16">
        <f t="shared" si="114"/>
        <v>251661</v>
      </c>
      <c r="Q793" s="354">
        <f t="shared" si="115"/>
        <v>41.493981863149216</v>
      </c>
    </row>
    <row r="794" spans="2:17" x14ac:dyDescent="0.2">
      <c r="B794" s="6">
        <f t="shared" si="116"/>
        <v>304</v>
      </c>
      <c r="C794" s="12"/>
      <c r="D794" s="12"/>
      <c r="E794" s="12"/>
      <c r="F794" s="13" t="s">
        <v>116</v>
      </c>
      <c r="G794" s="14">
        <v>620</v>
      </c>
      <c r="H794" s="12" t="s">
        <v>121</v>
      </c>
      <c r="I794" s="15">
        <v>225375</v>
      </c>
      <c r="J794" s="15">
        <v>94253</v>
      </c>
      <c r="K794" s="354">
        <f t="shared" si="118"/>
        <v>41.820521353300052</v>
      </c>
      <c r="L794" s="15"/>
      <c r="M794" s="15"/>
      <c r="N794" s="354"/>
      <c r="O794" s="16">
        <f t="shared" si="113"/>
        <v>225375</v>
      </c>
      <c r="P794" s="16">
        <f t="shared" si="114"/>
        <v>94253</v>
      </c>
      <c r="Q794" s="354">
        <f t="shared" si="115"/>
        <v>41.820521353300052</v>
      </c>
    </row>
    <row r="795" spans="2:17" x14ac:dyDescent="0.2">
      <c r="B795" s="6">
        <f t="shared" si="116"/>
        <v>305</v>
      </c>
      <c r="C795" s="12"/>
      <c r="D795" s="12"/>
      <c r="E795" s="12"/>
      <c r="F795" s="13" t="s">
        <v>116</v>
      </c>
      <c r="G795" s="14">
        <v>630</v>
      </c>
      <c r="H795" s="12" t="s">
        <v>118</v>
      </c>
      <c r="I795" s="15">
        <f>SUM(I796:I802)</f>
        <v>93655</v>
      </c>
      <c r="J795" s="15">
        <f>SUM(J796:J802)</f>
        <v>67156</v>
      </c>
      <c r="K795" s="354">
        <f t="shared" si="118"/>
        <v>71.705728471517801</v>
      </c>
      <c r="L795" s="15"/>
      <c r="M795" s="15"/>
      <c r="N795" s="354"/>
      <c r="O795" s="16">
        <f t="shared" si="113"/>
        <v>93655</v>
      </c>
      <c r="P795" s="16">
        <f t="shared" si="114"/>
        <v>67156</v>
      </c>
      <c r="Q795" s="354">
        <f t="shared" si="115"/>
        <v>71.705728471517801</v>
      </c>
    </row>
    <row r="796" spans="2:17" x14ac:dyDescent="0.2">
      <c r="B796" s="6">
        <f t="shared" si="116"/>
        <v>306</v>
      </c>
      <c r="C796" s="17"/>
      <c r="D796" s="17"/>
      <c r="E796" s="17"/>
      <c r="F796" s="18"/>
      <c r="G796" s="19">
        <v>631</v>
      </c>
      <c r="H796" s="17" t="s">
        <v>124</v>
      </c>
      <c r="I796" s="20">
        <v>300</v>
      </c>
      <c r="J796" s="20">
        <v>312</v>
      </c>
      <c r="K796" s="354">
        <f t="shared" si="118"/>
        <v>104</v>
      </c>
      <c r="L796" s="20"/>
      <c r="M796" s="20"/>
      <c r="N796" s="354"/>
      <c r="O796" s="21">
        <f t="shared" si="113"/>
        <v>300</v>
      </c>
      <c r="P796" s="21">
        <f t="shared" si="114"/>
        <v>312</v>
      </c>
      <c r="Q796" s="354">
        <f t="shared" si="115"/>
        <v>104</v>
      </c>
    </row>
    <row r="797" spans="2:17" x14ac:dyDescent="0.2">
      <c r="B797" s="6">
        <f t="shared" si="116"/>
        <v>307</v>
      </c>
      <c r="C797" s="17"/>
      <c r="D797" s="17"/>
      <c r="E797" s="17"/>
      <c r="F797" s="18"/>
      <c r="G797" s="19">
        <v>632</v>
      </c>
      <c r="H797" s="17" t="s">
        <v>131</v>
      </c>
      <c r="I797" s="20">
        <v>47400</v>
      </c>
      <c r="J797" s="20">
        <v>10237</v>
      </c>
      <c r="K797" s="354">
        <f t="shared" si="118"/>
        <v>21.59704641350211</v>
      </c>
      <c r="L797" s="20"/>
      <c r="M797" s="20"/>
      <c r="N797" s="354"/>
      <c r="O797" s="21">
        <f t="shared" si="113"/>
        <v>47400</v>
      </c>
      <c r="P797" s="21">
        <f t="shared" si="114"/>
        <v>10237</v>
      </c>
      <c r="Q797" s="354">
        <f t="shared" si="115"/>
        <v>21.59704641350211</v>
      </c>
    </row>
    <row r="798" spans="2:17" x14ac:dyDescent="0.2">
      <c r="B798" s="6">
        <f t="shared" si="116"/>
        <v>308</v>
      </c>
      <c r="C798" s="17"/>
      <c r="D798" s="17"/>
      <c r="E798" s="17"/>
      <c r="F798" s="18"/>
      <c r="G798" s="19">
        <v>633</v>
      </c>
      <c r="H798" s="17" t="s">
        <v>122</v>
      </c>
      <c r="I798" s="20">
        <v>7650</v>
      </c>
      <c r="J798" s="20">
        <v>28593</v>
      </c>
      <c r="K798" s="354">
        <f t="shared" si="118"/>
        <v>373.76470588235293</v>
      </c>
      <c r="L798" s="20"/>
      <c r="M798" s="20"/>
      <c r="N798" s="354"/>
      <c r="O798" s="21">
        <f t="shared" si="113"/>
        <v>7650</v>
      </c>
      <c r="P798" s="21">
        <f t="shared" si="114"/>
        <v>28593</v>
      </c>
      <c r="Q798" s="354">
        <f t="shared" si="115"/>
        <v>373.76470588235293</v>
      </c>
    </row>
    <row r="799" spans="2:17" x14ac:dyDescent="0.2">
      <c r="B799" s="6">
        <f t="shared" si="116"/>
        <v>309</v>
      </c>
      <c r="C799" s="17"/>
      <c r="D799" s="17"/>
      <c r="E799" s="17"/>
      <c r="F799" s="18"/>
      <c r="G799" s="19">
        <v>634</v>
      </c>
      <c r="H799" s="17" t="s">
        <v>129</v>
      </c>
      <c r="I799" s="20">
        <v>1500</v>
      </c>
      <c r="J799" s="20">
        <v>1181</v>
      </c>
      <c r="K799" s="354">
        <f t="shared" si="118"/>
        <v>78.733333333333334</v>
      </c>
      <c r="L799" s="20"/>
      <c r="M799" s="20"/>
      <c r="N799" s="354"/>
      <c r="O799" s="21">
        <f t="shared" si="113"/>
        <v>1500</v>
      </c>
      <c r="P799" s="21">
        <f t="shared" si="114"/>
        <v>1181</v>
      </c>
      <c r="Q799" s="354">
        <f t="shared" si="115"/>
        <v>78.733333333333334</v>
      </c>
    </row>
    <row r="800" spans="2:17" x14ac:dyDescent="0.2">
      <c r="B800" s="6">
        <f t="shared" si="116"/>
        <v>310</v>
      </c>
      <c r="C800" s="17"/>
      <c r="D800" s="17"/>
      <c r="E800" s="17"/>
      <c r="F800" s="18"/>
      <c r="G800" s="19">
        <v>635</v>
      </c>
      <c r="H800" s="17" t="s">
        <v>130</v>
      </c>
      <c r="I800" s="20">
        <v>2500</v>
      </c>
      <c r="J800" s="20">
        <v>733</v>
      </c>
      <c r="K800" s="354">
        <f t="shared" si="118"/>
        <v>29.32</v>
      </c>
      <c r="L800" s="20"/>
      <c r="M800" s="20"/>
      <c r="N800" s="354"/>
      <c r="O800" s="21">
        <f t="shared" si="113"/>
        <v>2500</v>
      </c>
      <c r="P800" s="21">
        <f t="shared" si="114"/>
        <v>733</v>
      </c>
      <c r="Q800" s="354">
        <f t="shared" si="115"/>
        <v>29.32</v>
      </c>
    </row>
    <row r="801" spans="2:17" x14ac:dyDescent="0.2">
      <c r="B801" s="6">
        <f t="shared" si="116"/>
        <v>311</v>
      </c>
      <c r="C801" s="17"/>
      <c r="D801" s="17"/>
      <c r="E801" s="17"/>
      <c r="F801" s="18"/>
      <c r="G801" s="19">
        <v>636</v>
      </c>
      <c r="H801" s="17" t="s">
        <v>123</v>
      </c>
      <c r="I801" s="20">
        <v>500</v>
      </c>
      <c r="J801" s="20">
        <v>572</v>
      </c>
      <c r="K801" s="354">
        <f t="shared" si="118"/>
        <v>114.39999999999999</v>
      </c>
      <c r="L801" s="20"/>
      <c r="M801" s="20"/>
      <c r="N801" s="354"/>
      <c r="O801" s="21">
        <f t="shared" si="113"/>
        <v>500</v>
      </c>
      <c r="P801" s="21">
        <f t="shared" si="114"/>
        <v>572</v>
      </c>
      <c r="Q801" s="354">
        <f t="shared" si="115"/>
        <v>114.39999999999999</v>
      </c>
    </row>
    <row r="802" spans="2:17" x14ac:dyDescent="0.2">
      <c r="B802" s="6">
        <f t="shared" si="116"/>
        <v>312</v>
      </c>
      <c r="C802" s="17"/>
      <c r="D802" s="17"/>
      <c r="E802" s="17"/>
      <c r="F802" s="18"/>
      <c r="G802" s="19">
        <v>637</v>
      </c>
      <c r="H802" s="17" t="s">
        <v>119</v>
      </c>
      <c r="I802" s="20">
        <v>33805</v>
      </c>
      <c r="J802" s="20">
        <v>25528</v>
      </c>
      <c r="K802" s="354">
        <f t="shared" si="118"/>
        <v>75.515456293447713</v>
      </c>
      <c r="L802" s="20"/>
      <c r="M802" s="20"/>
      <c r="N802" s="354"/>
      <c r="O802" s="21">
        <f t="shared" si="113"/>
        <v>33805</v>
      </c>
      <c r="P802" s="21">
        <f t="shared" si="114"/>
        <v>25528</v>
      </c>
      <c r="Q802" s="354">
        <f t="shared" si="115"/>
        <v>75.515456293447713</v>
      </c>
    </row>
    <row r="803" spans="2:17" x14ac:dyDescent="0.2">
      <c r="B803" s="6">
        <f t="shared" si="116"/>
        <v>313</v>
      </c>
      <c r="C803" s="12"/>
      <c r="D803" s="12"/>
      <c r="E803" s="12"/>
      <c r="F803" s="13" t="s">
        <v>116</v>
      </c>
      <c r="G803" s="14">
        <v>640</v>
      </c>
      <c r="H803" s="12" t="s">
        <v>126</v>
      </c>
      <c r="I803" s="15">
        <v>5000</v>
      </c>
      <c r="J803" s="15">
        <v>4250</v>
      </c>
      <c r="K803" s="354">
        <f t="shared" si="118"/>
        <v>85</v>
      </c>
      <c r="L803" s="15"/>
      <c r="M803" s="15"/>
      <c r="N803" s="354"/>
      <c r="O803" s="16">
        <f t="shared" si="113"/>
        <v>5000</v>
      </c>
      <c r="P803" s="16">
        <f t="shared" si="114"/>
        <v>4250</v>
      </c>
      <c r="Q803" s="354">
        <f t="shared" si="115"/>
        <v>85</v>
      </c>
    </row>
    <row r="804" spans="2:17" x14ac:dyDescent="0.2">
      <c r="B804" s="6">
        <f t="shared" si="116"/>
        <v>314</v>
      </c>
      <c r="C804" s="12"/>
      <c r="D804" s="12"/>
      <c r="E804" s="12"/>
      <c r="F804" s="13" t="s">
        <v>105</v>
      </c>
      <c r="G804" s="14">
        <v>610</v>
      </c>
      <c r="H804" s="12" t="s">
        <v>128</v>
      </c>
      <c r="I804" s="15">
        <f>709420+259+28250+100</f>
        <v>738029</v>
      </c>
      <c r="J804" s="15">
        <v>301016</v>
      </c>
      <c r="K804" s="354">
        <f t="shared" si="118"/>
        <v>40.78647316026877</v>
      </c>
      <c r="L804" s="15"/>
      <c r="M804" s="15"/>
      <c r="N804" s="354"/>
      <c r="O804" s="16">
        <f t="shared" si="113"/>
        <v>738029</v>
      </c>
      <c r="P804" s="16">
        <f t="shared" si="114"/>
        <v>301016</v>
      </c>
      <c r="Q804" s="354">
        <f t="shared" si="115"/>
        <v>40.78647316026877</v>
      </c>
    </row>
    <row r="805" spans="2:17" x14ac:dyDescent="0.2">
      <c r="B805" s="6">
        <f t="shared" si="116"/>
        <v>315</v>
      </c>
      <c r="C805" s="12"/>
      <c r="D805" s="12"/>
      <c r="E805" s="12"/>
      <c r="F805" s="13" t="s">
        <v>105</v>
      </c>
      <c r="G805" s="14">
        <v>620</v>
      </c>
      <c r="H805" s="12" t="s">
        <v>121</v>
      </c>
      <c r="I805" s="15">
        <f>263325+91+10154+35</f>
        <v>273605</v>
      </c>
      <c r="J805" s="15">
        <v>113898</v>
      </c>
      <c r="K805" s="354">
        <f t="shared" si="118"/>
        <v>41.628625207872659</v>
      </c>
      <c r="L805" s="15"/>
      <c r="M805" s="15"/>
      <c r="N805" s="354"/>
      <c r="O805" s="16">
        <f t="shared" si="113"/>
        <v>273605</v>
      </c>
      <c r="P805" s="16">
        <f t="shared" si="114"/>
        <v>113898</v>
      </c>
      <c r="Q805" s="354">
        <f t="shared" si="115"/>
        <v>41.628625207872659</v>
      </c>
    </row>
    <row r="806" spans="2:17" x14ac:dyDescent="0.2">
      <c r="B806" s="6">
        <f t="shared" si="116"/>
        <v>316</v>
      </c>
      <c r="C806" s="12"/>
      <c r="D806" s="12"/>
      <c r="E806" s="12"/>
      <c r="F806" s="13" t="s">
        <v>105</v>
      </c>
      <c r="G806" s="14">
        <v>630</v>
      </c>
      <c r="H806" s="12" t="s">
        <v>118</v>
      </c>
      <c r="I806" s="15">
        <f>SUM(I807:I813)</f>
        <v>149535</v>
      </c>
      <c r="J806" s="15">
        <f>SUM(J807:J813)</f>
        <v>87908</v>
      </c>
      <c r="K806" s="354">
        <f t="shared" si="118"/>
        <v>58.787574815260648</v>
      </c>
      <c r="L806" s="15"/>
      <c r="M806" s="15"/>
      <c r="N806" s="354"/>
      <c r="O806" s="16">
        <f t="shared" si="113"/>
        <v>149535</v>
      </c>
      <c r="P806" s="16">
        <f t="shared" si="114"/>
        <v>87908</v>
      </c>
      <c r="Q806" s="354">
        <f t="shared" si="115"/>
        <v>58.787574815260648</v>
      </c>
    </row>
    <row r="807" spans="2:17" x14ac:dyDescent="0.2">
      <c r="B807" s="6">
        <f t="shared" si="116"/>
        <v>317</v>
      </c>
      <c r="C807" s="17"/>
      <c r="D807" s="17"/>
      <c r="E807" s="17"/>
      <c r="F807" s="18"/>
      <c r="G807" s="19">
        <v>631</v>
      </c>
      <c r="H807" s="17" t="s">
        <v>124</v>
      </c>
      <c r="I807" s="20">
        <v>300</v>
      </c>
      <c r="J807" s="20">
        <v>312</v>
      </c>
      <c r="K807" s="354">
        <f t="shared" si="118"/>
        <v>104</v>
      </c>
      <c r="L807" s="20"/>
      <c r="M807" s="20"/>
      <c r="N807" s="354"/>
      <c r="O807" s="21">
        <f t="shared" si="113"/>
        <v>300</v>
      </c>
      <c r="P807" s="21">
        <f t="shared" si="114"/>
        <v>312</v>
      </c>
      <c r="Q807" s="354">
        <f t="shared" si="115"/>
        <v>104</v>
      </c>
    </row>
    <row r="808" spans="2:17" x14ac:dyDescent="0.2">
      <c r="B808" s="6">
        <f t="shared" si="116"/>
        <v>318</v>
      </c>
      <c r="C808" s="17"/>
      <c r="D808" s="17"/>
      <c r="E808" s="17"/>
      <c r="F808" s="18"/>
      <c r="G808" s="19">
        <v>632</v>
      </c>
      <c r="H808" s="17" t="s">
        <v>131</v>
      </c>
      <c r="I808" s="20">
        <v>47400</v>
      </c>
      <c r="J808" s="20">
        <v>7124</v>
      </c>
      <c r="K808" s="354">
        <f t="shared" si="118"/>
        <v>15.029535864978902</v>
      </c>
      <c r="L808" s="20"/>
      <c r="M808" s="20"/>
      <c r="N808" s="354"/>
      <c r="O808" s="21">
        <f t="shared" si="113"/>
        <v>47400</v>
      </c>
      <c r="P808" s="21">
        <f t="shared" si="114"/>
        <v>7124</v>
      </c>
      <c r="Q808" s="354">
        <f t="shared" si="115"/>
        <v>15.029535864978902</v>
      </c>
    </row>
    <row r="809" spans="2:17" x14ac:dyDescent="0.2">
      <c r="B809" s="6">
        <f t="shared" si="116"/>
        <v>319</v>
      </c>
      <c r="C809" s="17"/>
      <c r="D809" s="17"/>
      <c r="E809" s="17"/>
      <c r="F809" s="18"/>
      <c r="G809" s="19">
        <v>633</v>
      </c>
      <c r="H809" s="17" t="s">
        <v>122</v>
      </c>
      <c r="I809" s="20">
        <f>16254+1000</f>
        <v>17254</v>
      </c>
      <c r="J809" s="20">
        <v>21672</v>
      </c>
      <c r="K809" s="354">
        <f t="shared" si="118"/>
        <v>125.60565665932538</v>
      </c>
      <c r="L809" s="20"/>
      <c r="M809" s="20"/>
      <c r="N809" s="354"/>
      <c r="O809" s="21">
        <f t="shared" si="113"/>
        <v>17254</v>
      </c>
      <c r="P809" s="21">
        <f t="shared" si="114"/>
        <v>21672</v>
      </c>
      <c r="Q809" s="354">
        <f t="shared" si="115"/>
        <v>125.60565665932538</v>
      </c>
    </row>
    <row r="810" spans="2:17" x14ac:dyDescent="0.2">
      <c r="B810" s="6"/>
      <c r="C810" s="17"/>
      <c r="D810" s="17"/>
      <c r="E810" s="17"/>
      <c r="F810" s="18"/>
      <c r="G810" s="19">
        <v>634</v>
      </c>
      <c r="H810" s="17" t="s">
        <v>129</v>
      </c>
      <c r="I810" s="20">
        <v>0</v>
      </c>
      <c r="J810" s="20">
        <v>1028</v>
      </c>
      <c r="K810" s="354"/>
      <c r="L810" s="20"/>
      <c r="M810" s="20"/>
      <c r="N810" s="354"/>
      <c r="O810" s="21"/>
      <c r="P810" s="21">
        <f t="shared" ref="P810:P873" si="119">J810+M810</f>
        <v>1028</v>
      </c>
      <c r="Q810" s="354"/>
    </row>
    <row r="811" spans="2:17" x14ac:dyDescent="0.2">
      <c r="B811" s="6">
        <f>B809+1</f>
        <v>320</v>
      </c>
      <c r="C811" s="17"/>
      <c r="D811" s="17"/>
      <c r="E811" s="17"/>
      <c r="F811" s="18"/>
      <c r="G811" s="19">
        <v>635</v>
      </c>
      <c r="H811" s="17" t="s">
        <v>130</v>
      </c>
      <c r="I811" s="20">
        <f>7500+20000</f>
        <v>27500</v>
      </c>
      <c r="J811" s="20">
        <v>1105</v>
      </c>
      <c r="K811" s="354">
        <f>J811/I811*100</f>
        <v>4.0181818181818176</v>
      </c>
      <c r="L811" s="20"/>
      <c r="M811" s="20"/>
      <c r="N811" s="354"/>
      <c r="O811" s="21">
        <f t="shared" ref="O811:O874" si="120">I811+L811</f>
        <v>27500</v>
      </c>
      <c r="P811" s="21">
        <f t="shared" si="119"/>
        <v>1105</v>
      </c>
      <c r="Q811" s="354">
        <f t="shared" ref="Q811:Q874" si="121">P811/O811*100</f>
        <v>4.0181818181818176</v>
      </c>
    </row>
    <row r="812" spans="2:17" x14ac:dyDescent="0.2">
      <c r="B812" s="6">
        <f t="shared" ref="B812:B843" si="122">B811+1</f>
        <v>321</v>
      </c>
      <c r="C812" s="17"/>
      <c r="D812" s="17"/>
      <c r="E812" s="17"/>
      <c r="F812" s="18"/>
      <c r="G812" s="19">
        <v>636</v>
      </c>
      <c r="H812" s="17" t="s">
        <v>123</v>
      </c>
      <c r="I812" s="20">
        <v>500</v>
      </c>
      <c r="J812" s="20">
        <v>362</v>
      </c>
      <c r="K812" s="354">
        <f>J812/I812*100</f>
        <v>72.399999999999991</v>
      </c>
      <c r="L812" s="20"/>
      <c r="M812" s="20"/>
      <c r="N812" s="354"/>
      <c r="O812" s="21">
        <f t="shared" si="120"/>
        <v>500</v>
      </c>
      <c r="P812" s="21">
        <f t="shared" si="119"/>
        <v>362</v>
      </c>
      <c r="Q812" s="354">
        <f t="shared" si="121"/>
        <v>72.399999999999991</v>
      </c>
    </row>
    <row r="813" spans="2:17" x14ac:dyDescent="0.2">
      <c r="B813" s="6">
        <f t="shared" si="122"/>
        <v>322</v>
      </c>
      <c r="C813" s="17"/>
      <c r="D813" s="17"/>
      <c r="E813" s="17"/>
      <c r="F813" s="18"/>
      <c r="G813" s="19">
        <v>637</v>
      </c>
      <c r="H813" s="17" t="s">
        <v>119</v>
      </c>
      <c r="I813" s="20">
        <f>40850+15731</f>
        <v>56581</v>
      </c>
      <c r="J813" s="20">
        <v>56305</v>
      </c>
      <c r="K813" s="354">
        <f>J813/I813*100</f>
        <v>99.51220374330606</v>
      </c>
      <c r="L813" s="20"/>
      <c r="M813" s="20"/>
      <c r="N813" s="354"/>
      <c r="O813" s="21">
        <f t="shared" si="120"/>
        <v>56581</v>
      </c>
      <c r="P813" s="21">
        <f t="shared" si="119"/>
        <v>56305</v>
      </c>
      <c r="Q813" s="354">
        <f t="shared" si="121"/>
        <v>99.51220374330606</v>
      </c>
    </row>
    <row r="814" spans="2:17" x14ac:dyDescent="0.2">
      <c r="B814" s="6">
        <f t="shared" si="122"/>
        <v>323</v>
      </c>
      <c r="C814" s="12"/>
      <c r="D814" s="12"/>
      <c r="E814" s="12"/>
      <c r="F814" s="13" t="s">
        <v>105</v>
      </c>
      <c r="G814" s="14">
        <v>640</v>
      </c>
      <c r="H814" s="12" t="s">
        <v>126</v>
      </c>
      <c r="I814" s="15">
        <v>74000</v>
      </c>
      <c r="J814" s="15">
        <v>5828</v>
      </c>
      <c r="K814" s="354">
        <f>J814/I814*100</f>
        <v>7.8756756756756747</v>
      </c>
      <c r="L814" s="15"/>
      <c r="M814" s="15"/>
      <c r="N814" s="354"/>
      <c r="O814" s="16">
        <f t="shared" si="120"/>
        <v>74000</v>
      </c>
      <c r="P814" s="16">
        <f t="shared" si="119"/>
        <v>5828</v>
      </c>
      <c r="Q814" s="354">
        <f t="shared" si="121"/>
        <v>7.8756756756756747</v>
      </c>
    </row>
    <row r="815" spans="2:17" x14ac:dyDescent="0.2">
      <c r="B815" s="6">
        <f t="shared" si="122"/>
        <v>324</v>
      </c>
      <c r="C815" s="12"/>
      <c r="D815" s="12"/>
      <c r="E815" s="12"/>
      <c r="F815" s="13" t="s">
        <v>105</v>
      </c>
      <c r="G815" s="14">
        <v>630</v>
      </c>
      <c r="H815" s="12" t="s">
        <v>662</v>
      </c>
      <c r="I815" s="15">
        <v>96869</v>
      </c>
      <c r="J815" s="15">
        <v>86760</v>
      </c>
      <c r="K815" s="354">
        <f>J815/I815*100</f>
        <v>89.564256883006948</v>
      </c>
      <c r="L815" s="15"/>
      <c r="M815" s="15"/>
      <c r="N815" s="354"/>
      <c r="O815" s="16">
        <f t="shared" si="120"/>
        <v>96869</v>
      </c>
      <c r="P815" s="16">
        <f t="shared" si="119"/>
        <v>86760</v>
      </c>
      <c r="Q815" s="354">
        <f t="shared" si="121"/>
        <v>89.564256883006948</v>
      </c>
    </row>
    <row r="816" spans="2:17" x14ac:dyDescent="0.2">
      <c r="B816" s="6">
        <f t="shared" si="122"/>
        <v>325</v>
      </c>
      <c r="C816" s="12"/>
      <c r="D816" s="12"/>
      <c r="E816" s="12"/>
      <c r="F816" s="13" t="s">
        <v>105</v>
      </c>
      <c r="G816" s="14">
        <v>710</v>
      </c>
      <c r="H816" s="12" t="s">
        <v>172</v>
      </c>
      <c r="I816" s="15"/>
      <c r="J816" s="15"/>
      <c r="K816" s="354"/>
      <c r="L816" s="15">
        <f>L817</f>
        <v>90000</v>
      </c>
      <c r="M816" s="15">
        <f>M817</f>
        <v>0</v>
      </c>
      <c r="N816" s="354">
        <f>M816/L816*100</f>
        <v>0</v>
      </c>
      <c r="O816" s="16">
        <f t="shared" si="120"/>
        <v>90000</v>
      </c>
      <c r="P816" s="16">
        <f t="shared" si="119"/>
        <v>0</v>
      </c>
      <c r="Q816" s="354">
        <f t="shared" si="121"/>
        <v>0</v>
      </c>
    </row>
    <row r="817" spans="2:17" x14ac:dyDescent="0.2">
      <c r="B817" s="6">
        <f t="shared" si="122"/>
        <v>326</v>
      </c>
      <c r="C817" s="17"/>
      <c r="D817" s="17"/>
      <c r="E817" s="17"/>
      <c r="F817" s="18"/>
      <c r="G817" s="19">
        <v>717</v>
      </c>
      <c r="H817" s="17" t="s">
        <v>179</v>
      </c>
      <c r="I817" s="20"/>
      <c r="J817" s="20"/>
      <c r="K817" s="354"/>
      <c r="L817" s="20">
        <f>L818</f>
        <v>90000</v>
      </c>
      <c r="M817" s="20">
        <f>M818</f>
        <v>0</v>
      </c>
      <c r="N817" s="354">
        <f>M817/L817*100</f>
        <v>0</v>
      </c>
      <c r="O817" s="21">
        <f t="shared" si="120"/>
        <v>90000</v>
      </c>
      <c r="P817" s="21">
        <f t="shared" si="119"/>
        <v>0</v>
      </c>
      <c r="Q817" s="354">
        <f t="shared" si="121"/>
        <v>0</v>
      </c>
    </row>
    <row r="818" spans="2:17" x14ac:dyDescent="0.2">
      <c r="B818" s="6">
        <f t="shared" si="122"/>
        <v>327</v>
      </c>
      <c r="C818" s="1"/>
      <c r="D818" s="1"/>
      <c r="E818" s="1"/>
      <c r="F818" s="99"/>
      <c r="G818" s="23"/>
      <c r="H818" s="1" t="s">
        <v>601</v>
      </c>
      <c r="I818" s="24"/>
      <c r="J818" s="24"/>
      <c r="K818" s="354"/>
      <c r="L818" s="24">
        <v>90000</v>
      </c>
      <c r="M818" s="24">
        <v>0</v>
      </c>
      <c r="N818" s="354">
        <f>M818/L818*100</f>
        <v>0</v>
      </c>
      <c r="O818" s="26">
        <f t="shared" si="120"/>
        <v>90000</v>
      </c>
      <c r="P818" s="26">
        <f t="shared" si="119"/>
        <v>0</v>
      </c>
      <c r="Q818" s="354">
        <f t="shared" si="121"/>
        <v>0</v>
      </c>
    </row>
    <row r="819" spans="2:17" ht="15" x14ac:dyDescent="0.25">
      <c r="B819" s="6">
        <f t="shared" si="122"/>
        <v>328</v>
      </c>
      <c r="C819" s="95"/>
      <c r="D819" s="95"/>
      <c r="E819" s="95">
        <v>10</v>
      </c>
      <c r="F819" s="96"/>
      <c r="G819" s="96"/>
      <c r="H819" s="95" t="s">
        <v>0</v>
      </c>
      <c r="I819" s="97">
        <f>I820+I821+I822+I829+I830+I831+I832+I839+I840</f>
        <v>1472012</v>
      </c>
      <c r="J819" s="97">
        <f>J820+J821+J822+J829+J830+J831+J832+J839+J840</f>
        <v>650783</v>
      </c>
      <c r="K819" s="354">
        <f t="shared" ref="K819:K840" si="123">J819/I819*100</f>
        <v>44.210441219229189</v>
      </c>
      <c r="L819" s="97">
        <f>L841</f>
        <v>198536</v>
      </c>
      <c r="M819" s="97">
        <f>M841</f>
        <v>31488</v>
      </c>
      <c r="N819" s="354">
        <f>M819/L819*100</f>
        <v>15.86009590200266</v>
      </c>
      <c r="O819" s="98">
        <f t="shared" si="120"/>
        <v>1670548</v>
      </c>
      <c r="P819" s="98">
        <f t="shared" si="119"/>
        <v>682271</v>
      </c>
      <c r="Q819" s="354">
        <f t="shared" si="121"/>
        <v>40.841149131901631</v>
      </c>
    </row>
    <row r="820" spans="2:17" x14ac:dyDescent="0.2">
      <c r="B820" s="6">
        <f t="shared" si="122"/>
        <v>329</v>
      </c>
      <c r="C820" s="12"/>
      <c r="D820" s="12"/>
      <c r="E820" s="12"/>
      <c r="F820" s="13" t="s">
        <v>116</v>
      </c>
      <c r="G820" s="14">
        <v>610</v>
      </c>
      <c r="H820" s="12" t="s">
        <v>128</v>
      </c>
      <c r="I820" s="15">
        <f>311352-7000</f>
        <v>304352</v>
      </c>
      <c r="J820" s="15">
        <v>131177</v>
      </c>
      <c r="K820" s="354">
        <f t="shared" si="123"/>
        <v>43.100423194196189</v>
      </c>
      <c r="L820" s="15"/>
      <c r="M820" s="15"/>
      <c r="N820" s="354"/>
      <c r="O820" s="16">
        <f t="shared" si="120"/>
        <v>304352</v>
      </c>
      <c r="P820" s="16">
        <f t="shared" si="119"/>
        <v>131177</v>
      </c>
      <c r="Q820" s="354">
        <f t="shared" si="121"/>
        <v>43.100423194196189</v>
      </c>
    </row>
    <row r="821" spans="2:17" x14ac:dyDescent="0.2">
      <c r="B821" s="6">
        <f t="shared" si="122"/>
        <v>330</v>
      </c>
      <c r="C821" s="12"/>
      <c r="D821" s="12"/>
      <c r="E821" s="12"/>
      <c r="F821" s="13" t="s">
        <v>116</v>
      </c>
      <c r="G821" s="14">
        <v>620</v>
      </c>
      <c r="H821" s="12" t="s">
        <v>121</v>
      </c>
      <c r="I821" s="15">
        <f>119879-7421+1521</f>
        <v>113979</v>
      </c>
      <c r="J821" s="15">
        <v>48506</v>
      </c>
      <c r="K821" s="354">
        <f t="shared" si="123"/>
        <v>42.556962247431542</v>
      </c>
      <c r="L821" s="15"/>
      <c r="M821" s="15"/>
      <c r="N821" s="354"/>
      <c r="O821" s="16">
        <f t="shared" si="120"/>
        <v>113979</v>
      </c>
      <c r="P821" s="16">
        <f t="shared" si="119"/>
        <v>48506</v>
      </c>
      <c r="Q821" s="354">
        <f t="shared" si="121"/>
        <v>42.556962247431542</v>
      </c>
    </row>
    <row r="822" spans="2:17" x14ac:dyDescent="0.2">
      <c r="B822" s="6">
        <f t="shared" si="122"/>
        <v>331</v>
      </c>
      <c r="C822" s="12"/>
      <c r="D822" s="12"/>
      <c r="E822" s="12"/>
      <c r="F822" s="13" t="s">
        <v>116</v>
      </c>
      <c r="G822" s="14">
        <v>630</v>
      </c>
      <c r="H822" s="12" t="s">
        <v>118</v>
      </c>
      <c r="I822" s="15">
        <f>SUM(I823:I828)</f>
        <v>62140</v>
      </c>
      <c r="J822" s="15">
        <f>SUM(J823:J828)</f>
        <v>46037</v>
      </c>
      <c r="K822" s="354">
        <f t="shared" si="123"/>
        <v>74.085934985516573</v>
      </c>
      <c r="L822" s="15"/>
      <c r="M822" s="15"/>
      <c r="N822" s="354"/>
      <c r="O822" s="16">
        <f t="shared" si="120"/>
        <v>62140</v>
      </c>
      <c r="P822" s="16">
        <f t="shared" si="119"/>
        <v>46037</v>
      </c>
      <c r="Q822" s="354">
        <f t="shared" si="121"/>
        <v>74.085934985516573</v>
      </c>
    </row>
    <row r="823" spans="2:17" x14ac:dyDescent="0.2">
      <c r="B823" s="6">
        <f t="shared" si="122"/>
        <v>332</v>
      </c>
      <c r="C823" s="17"/>
      <c r="D823" s="17"/>
      <c r="E823" s="17"/>
      <c r="F823" s="18"/>
      <c r="G823" s="19">
        <v>631</v>
      </c>
      <c r="H823" s="17" t="s">
        <v>124</v>
      </c>
      <c r="I823" s="20">
        <v>100</v>
      </c>
      <c r="J823" s="20">
        <v>4</v>
      </c>
      <c r="K823" s="354">
        <f t="shared" si="123"/>
        <v>4</v>
      </c>
      <c r="L823" s="20"/>
      <c r="M823" s="20"/>
      <c r="N823" s="354"/>
      <c r="O823" s="21">
        <f t="shared" si="120"/>
        <v>100</v>
      </c>
      <c r="P823" s="21">
        <f t="shared" si="119"/>
        <v>4</v>
      </c>
      <c r="Q823" s="354">
        <f t="shared" si="121"/>
        <v>4</v>
      </c>
    </row>
    <row r="824" spans="2:17" x14ac:dyDescent="0.2">
      <c r="B824" s="6">
        <f t="shared" si="122"/>
        <v>333</v>
      </c>
      <c r="C824" s="17"/>
      <c r="D824" s="17"/>
      <c r="E824" s="17"/>
      <c r="F824" s="18"/>
      <c r="G824" s="19">
        <v>632</v>
      </c>
      <c r="H824" s="17" t="s">
        <v>131</v>
      </c>
      <c r="I824" s="20">
        <f>44140-4500</f>
        <v>39640</v>
      </c>
      <c r="J824" s="20">
        <v>20923</v>
      </c>
      <c r="K824" s="354">
        <f t="shared" si="123"/>
        <v>52.782542885973761</v>
      </c>
      <c r="L824" s="20"/>
      <c r="M824" s="20"/>
      <c r="N824" s="354"/>
      <c r="O824" s="21">
        <f t="shared" si="120"/>
        <v>39640</v>
      </c>
      <c r="P824" s="21">
        <f t="shared" si="119"/>
        <v>20923</v>
      </c>
      <c r="Q824" s="354">
        <f t="shared" si="121"/>
        <v>52.782542885973761</v>
      </c>
    </row>
    <row r="825" spans="2:17" x14ac:dyDescent="0.2">
      <c r="B825" s="6">
        <f t="shared" si="122"/>
        <v>334</v>
      </c>
      <c r="C825" s="17"/>
      <c r="D825" s="17"/>
      <c r="E825" s="17"/>
      <c r="F825" s="18"/>
      <c r="G825" s="19">
        <v>633</v>
      </c>
      <c r="H825" s="17" t="s">
        <v>122</v>
      </c>
      <c r="I825" s="20">
        <v>5100</v>
      </c>
      <c r="J825" s="20">
        <v>11382</v>
      </c>
      <c r="K825" s="354">
        <f t="shared" si="123"/>
        <v>223.1764705882353</v>
      </c>
      <c r="L825" s="20"/>
      <c r="M825" s="20"/>
      <c r="N825" s="354"/>
      <c r="O825" s="21">
        <f t="shared" si="120"/>
        <v>5100</v>
      </c>
      <c r="P825" s="21">
        <f t="shared" si="119"/>
        <v>11382</v>
      </c>
      <c r="Q825" s="354">
        <f t="shared" si="121"/>
        <v>223.1764705882353</v>
      </c>
    </row>
    <row r="826" spans="2:17" x14ac:dyDescent="0.2">
      <c r="B826" s="6">
        <f t="shared" si="122"/>
        <v>335</v>
      </c>
      <c r="C826" s="17"/>
      <c r="D826" s="17"/>
      <c r="E826" s="17"/>
      <c r="F826" s="18"/>
      <c r="G826" s="19">
        <v>634</v>
      </c>
      <c r="H826" s="17" t="s">
        <v>129</v>
      </c>
      <c r="I826" s="20">
        <v>1500</v>
      </c>
      <c r="J826" s="20">
        <v>0</v>
      </c>
      <c r="K826" s="354">
        <f t="shared" si="123"/>
        <v>0</v>
      </c>
      <c r="L826" s="20"/>
      <c r="M826" s="20"/>
      <c r="N826" s="354"/>
      <c r="O826" s="21">
        <f t="shared" si="120"/>
        <v>1500</v>
      </c>
      <c r="P826" s="21">
        <f t="shared" si="119"/>
        <v>0</v>
      </c>
      <c r="Q826" s="354">
        <f t="shared" si="121"/>
        <v>0</v>
      </c>
    </row>
    <row r="827" spans="2:17" x14ac:dyDescent="0.2">
      <c r="B827" s="6">
        <f t="shared" si="122"/>
        <v>336</v>
      </c>
      <c r="C827" s="17"/>
      <c r="D827" s="17"/>
      <c r="E827" s="17"/>
      <c r="F827" s="18"/>
      <c r="G827" s="19">
        <v>635</v>
      </c>
      <c r="H827" s="17" t="s">
        <v>130</v>
      </c>
      <c r="I827" s="20">
        <v>1300</v>
      </c>
      <c r="J827" s="20">
        <v>1152</v>
      </c>
      <c r="K827" s="354">
        <f t="shared" si="123"/>
        <v>88.615384615384613</v>
      </c>
      <c r="L827" s="20"/>
      <c r="M827" s="20"/>
      <c r="N827" s="354"/>
      <c r="O827" s="21">
        <f t="shared" si="120"/>
        <v>1300</v>
      </c>
      <c r="P827" s="21">
        <f t="shared" si="119"/>
        <v>1152</v>
      </c>
      <c r="Q827" s="354">
        <f t="shared" si="121"/>
        <v>88.615384615384613</v>
      </c>
    </row>
    <row r="828" spans="2:17" x14ac:dyDescent="0.2">
      <c r="B828" s="6">
        <f t="shared" si="122"/>
        <v>337</v>
      </c>
      <c r="C828" s="17"/>
      <c r="D828" s="17"/>
      <c r="E828" s="17"/>
      <c r="F828" s="18"/>
      <c r="G828" s="19">
        <v>637</v>
      </c>
      <c r="H828" s="17" t="s">
        <v>119</v>
      </c>
      <c r="I828" s="20">
        <f>17450-2950</f>
        <v>14500</v>
      </c>
      <c r="J828" s="20">
        <v>12576</v>
      </c>
      <c r="K828" s="354">
        <f t="shared" si="123"/>
        <v>86.731034482758616</v>
      </c>
      <c r="L828" s="20"/>
      <c r="M828" s="20"/>
      <c r="N828" s="354"/>
      <c r="O828" s="21">
        <f t="shared" si="120"/>
        <v>14500</v>
      </c>
      <c r="P828" s="21">
        <f t="shared" si="119"/>
        <v>12576</v>
      </c>
      <c r="Q828" s="354">
        <f t="shared" si="121"/>
        <v>86.731034482758616</v>
      </c>
    </row>
    <row r="829" spans="2:17" x14ac:dyDescent="0.2">
      <c r="B829" s="6">
        <f t="shared" si="122"/>
        <v>338</v>
      </c>
      <c r="C829" s="12"/>
      <c r="D829" s="12"/>
      <c r="E829" s="12"/>
      <c r="F829" s="13" t="s">
        <v>116</v>
      </c>
      <c r="G829" s="14">
        <v>640</v>
      </c>
      <c r="H829" s="12" t="s">
        <v>126</v>
      </c>
      <c r="I829" s="15">
        <v>8900</v>
      </c>
      <c r="J829" s="15">
        <v>1091</v>
      </c>
      <c r="K829" s="354">
        <f t="shared" si="123"/>
        <v>12.258426966292134</v>
      </c>
      <c r="L829" s="15"/>
      <c r="M829" s="15"/>
      <c r="N829" s="354"/>
      <c r="O829" s="16">
        <f t="shared" si="120"/>
        <v>8900</v>
      </c>
      <c r="P829" s="16">
        <f t="shared" si="119"/>
        <v>1091</v>
      </c>
      <c r="Q829" s="354">
        <f t="shared" si="121"/>
        <v>12.258426966292134</v>
      </c>
    </row>
    <row r="830" spans="2:17" x14ac:dyDescent="0.2">
      <c r="B830" s="6">
        <f t="shared" si="122"/>
        <v>339</v>
      </c>
      <c r="C830" s="12"/>
      <c r="D830" s="12"/>
      <c r="E830" s="12"/>
      <c r="F830" s="13" t="s">
        <v>105</v>
      </c>
      <c r="G830" s="14">
        <v>610</v>
      </c>
      <c r="H830" s="12" t="s">
        <v>128</v>
      </c>
      <c r="I830" s="15">
        <f>656533+259-36994</f>
        <v>619798</v>
      </c>
      <c r="J830" s="15">
        <v>248048</v>
      </c>
      <c r="K830" s="354">
        <f t="shared" si="123"/>
        <v>40.020780964120569</v>
      </c>
      <c r="L830" s="15"/>
      <c r="M830" s="15"/>
      <c r="N830" s="354"/>
      <c r="O830" s="16">
        <f t="shared" si="120"/>
        <v>619798</v>
      </c>
      <c r="P830" s="16">
        <f t="shared" si="119"/>
        <v>248048</v>
      </c>
      <c r="Q830" s="354">
        <f t="shared" si="121"/>
        <v>40.020780964120569</v>
      </c>
    </row>
    <row r="831" spans="2:17" x14ac:dyDescent="0.2">
      <c r="B831" s="6">
        <f t="shared" si="122"/>
        <v>340</v>
      </c>
      <c r="C831" s="12"/>
      <c r="D831" s="12"/>
      <c r="E831" s="12"/>
      <c r="F831" s="13" t="s">
        <v>105</v>
      </c>
      <c r="G831" s="14">
        <v>620</v>
      </c>
      <c r="H831" s="12" t="s">
        <v>121</v>
      </c>
      <c r="I831" s="15">
        <f>250234+91-18362+141</f>
        <v>232104</v>
      </c>
      <c r="J831" s="15">
        <v>90381</v>
      </c>
      <c r="K831" s="354">
        <f t="shared" si="123"/>
        <v>38.939871781615139</v>
      </c>
      <c r="L831" s="15"/>
      <c r="M831" s="15"/>
      <c r="N831" s="354"/>
      <c r="O831" s="16">
        <f t="shared" si="120"/>
        <v>232104</v>
      </c>
      <c r="P831" s="16">
        <f t="shared" si="119"/>
        <v>90381</v>
      </c>
      <c r="Q831" s="354">
        <f t="shared" si="121"/>
        <v>38.939871781615139</v>
      </c>
    </row>
    <row r="832" spans="2:17" x14ac:dyDescent="0.2">
      <c r="B832" s="6">
        <f t="shared" si="122"/>
        <v>341</v>
      </c>
      <c r="C832" s="12"/>
      <c r="D832" s="12"/>
      <c r="E832" s="12"/>
      <c r="F832" s="13" t="s">
        <v>105</v>
      </c>
      <c r="G832" s="14">
        <v>630</v>
      </c>
      <c r="H832" s="12" t="s">
        <v>118</v>
      </c>
      <c r="I832" s="15">
        <f>SUM(I833:I838)</f>
        <v>88862</v>
      </c>
      <c r="J832" s="15">
        <f>SUM(J833:J838)</f>
        <v>49023</v>
      </c>
      <c r="K832" s="354">
        <f t="shared" si="123"/>
        <v>55.167563187864332</v>
      </c>
      <c r="L832" s="15"/>
      <c r="M832" s="15"/>
      <c r="N832" s="354"/>
      <c r="O832" s="16">
        <f t="shared" si="120"/>
        <v>88862</v>
      </c>
      <c r="P832" s="16">
        <f t="shared" si="119"/>
        <v>49023</v>
      </c>
      <c r="Q832" s="354">
        <f t="shared" si="121"/>
        <v>55.167563187864332</v>
      </c>
    </row>
    <row r="833" spans="2:17" x14ac:dyDescent="0.2">
      <c r="B833" s="6">
        <f t="shared" si="122"/>
        <v>342</v>
      </c>
      <c r="C833" s="17"/>
      <c r="D833" s="17"/>
      <c r="E833" s="17"/>
      <c r="F833" s="18"/>
      <c r="G833" s="19">
        <v>631</v>
      </c>
      <c r="H833" s="17" t="s">
        <v>124</v>
      </c>
      <c r="I833" s="20">
        <v>100</v>
      </c>
      <c r="J833" s="20">
        <v>4</v>
      </c>
      <c r="K833" s="354">
        <f t="shared" si="123"/>
        <v>4</v>
      </c>
      <c r="L833" s="20"/>
      <c r="M833" s="20"/>
      <c r="N833" s="354"/>
      <c r="O833" s="21">
        <f t="shared" si="120"/>
        <v>100</v>
      </c>
      <c r="P833" s="21">
        <f t="shared" si="119"/>
        <v>4</v>
      </c>
      <c r="Q833" s="354">
        <f t="shared" si="121"/>
        <v>4</v>
      </c>
    </row>
    <row r="834" spans="2:17" x14ac:dyDescent="0.2">
      <c r="B834" s="6">
        <f t="shared" si="122"/>
        <v>343</v>
      </c>
      <c r="C834" s="17"/>
      <c r="D834" s="17"/>
      <c r="E834" s="17"/>
      <c r="F834" s="18"/>
      <c r="G834" s="19">
        <v>632</v>
      </c>
      <c r="H834" s="17" t="s">
        <v>131</v>
      </c>
      <c r="I834" s="20">
        <f>49140-4500</f>
        <v>44640</v>
      </c>
      <c r="J834" s="20">
        <v>17734</v>
      </c>
      <c r="K834" s="354">
        <f t="shared" si="123"/>
        <v>39.726702508960571</v>
      </c>
      <c r="L834" s="20"/>
      <c r="M834" s="20"/>
      <c r="N834" s="354"/>
      <c r="O834" s="21">
        <f t="shared" si="120"/>
        <v>44640</v>
      </c>
      <c r="P834" s="21">
        <f t="shared" si="119"/>
        <v>17734</v>
      </c>
      <c r="Q834" s="354">
        <f t="shared" si="121"/>
        <v>39.726702508960571</v>
      </c>
    </row>
    <row r="835" spans="2:17" x14ac:dyDescent="0.2">
      <c r="B835" s="6">
        <f t="shared" si="122"/>
        <v>344</v>
      </c>
      <c r="C835" s="17"/>
      <c r="D835" s="17"/>
      <c r="E835" s="17"/>
      <c r="F835" s="18"/>
      <c r="G835" s="19">
        <v>633</v>
      </c>
      <c r="H835" s="17" t="s">
        <v>122</v>
      </c>
      <c r="I835" s="20">
        <f>16300+1000-1000</f>
        <v>16300</v>
      </c>
      <c r="J835" s="20">
        <v>5256</v>
      </c>
      <c r="K835" s="354">
        <f t="shared" si="123"/>
        <v>32.245398773006137</v>
      </c>
      <c r="L835" s="20"/>
      <c r="M835" s="20"/>
      <c r="N835" s="354"/>
      <c r="O835" s="21">
        <f t="shared" si="120"/>
        <v>16300</v>
      </c>
      <c r="P835" s="21">
        <f t="shared" si="119"/>
        <v>5256</v>
      </c>
      <c r="Q835" s="354">
        <f t="shared" si="121"/>
        <v>32.245398773006137</v>
      </c>
    </row>
    <row r="836" spans="2:17" x14ac:dyDescent="0.2">
      <c r="B836" s="6">
        <f t="shared" si="122"/>
        <v>345</v>
      </c>
      <c r="C836" s="17"/>
      <c r="D836" s="17"/>
      <c r="E836" s="17"/>
      <c r="F836" s="18"/>
      <c r="G836" s="19">
        <v>634</v>
      </c>
      <c r="H836" s="17" t="s">
        <v>129</v>
      </c>
      <c r="I836" s="20">
        <v>100</v>
      </c>
      <c r="J836" s="20">
        <v>42</v>
      </c>
      <c r="K836" s="354">
        <f t="shared" si="123"/>
        <v>42</v>
      </c>
      <c r="L836" s="20"/>
      <c r="M836" s="20"/>
      <c r="N836" s="354"/>
      <c r="O836" s="21">
        <f t="shared" si="120"/>
        <v>100</v>
      </c>
      <c r="P836" s="21">
        <f t="shared" si="119"/>
        <v>42</v>
      </c>
      <c r="Q836" s="354">
        <f t="shared" si="121"/>
        <v>42</v>
      </c>
    </row>
    <row r="837" spans="2:17" x14ac:dyDescent="0.2">
      <c r="B837" s="6">
        <f t="shared" si="122"/>
        <v>346</v>
      </c>
      <c r="C837" s="17"/>
      <c r="D837" s="17"/>
      <c r="E837" s="17"/>
      <c r="F837" s="18"/>
      <c r="G837" s="19">
        <v>635</v>
      </c>
      <c r="H837" s="17" t="s">
        <v>130</v>
      </c>
      <c r="I837" s="20">
        <v>1300</v>
      </c>
      <c r="J837" s="20">
        <v>7091</v>
      </c>
      <c r="K837" s="354">
        <f t="shared" si="123"/>
        <v>545.46153846153845</v>
      </c>
      <c r="L837" s="20"/>
      <c r="M837" s="20"/>
      <c r="N837" s="354"/>
      <c r="O837" s="21">
        <f t="shared" si="120"/>
        <v>1300</v>
      </c>
      <c r="P837" s="21">
        <f t="shared" si="119"/>
        <v>7091</v>
      </c>
      <c r="Q837" s="354">
        <f t="shared" si="121"/>
        <v>545.46153846153845</v>
      </c>
    </row>
    <row r="838" spans="2:17" x14ac:dyDescent="0.2">
      <c r="B838" s="6">
        <f t="shared" si="122"/>
        <v>347</v>
      </c>
      <c r="C838" s="17"/>
      <c r="D838" s="17"/>
      <c r="E838" s="17"/>
      <c r="F838" s="18"/>
      <c r="G838" s="19">
        <v>637</v>
      </c>
      <c r="H838" s="17" t="s">
        <v>119</v>
      </c>
      <c r="I838" s="20">
        <f>28410-2847+859</f>
        <v>26422</v>
      </c>
      <c r="J838" s="20">
        <v>18896</v>
      </c>
      <c r="K838" s="354">
        <f t="shared" si="123"/>
        <v>71.516160775111643</v>
      </c>
      <c r="L838" s="20"/>
      <c r="M838" s="20"/>
      <c r="N838" s="354"/>
      <c r="O838" s="21">
        <f t="shared" si="120"/>
        <v>26422</v>
      </c>
      <c r="P838" s="21">
        <f t="shared" si="119"/>
        <v>18896</v>
      </c>
      <c r="Q838" s="354">
        <f t="shared" si="121"/>
        <v>71.516160775111643</v>
      </c>
    </row>
    <row r="839" spans="2:17" x14ac:dyDescent="0.2">
      <c r="B839" s="6">
        <f t="shared" si="122"/>
        <v>348</v>
      </c>
      <c r="C839" s="12"/>
      <c r="D839" s="12"/>
      <c r="E839" s="12"/>
      <c r="F839" s="13" t="s">
        <v>105</v>
      </c>
      <c r="G839" s="14">
        <v>640</v>
      </c>
      <c r="H839" s="12" t="s">
        <v>126</v>
      </c>
      <c r="I839" s="15">
        <v>7110</v>
      </c>
      <c r="J839" s="15">
        <v>1752</v>
      </c>
      <c r="K839" s="354">
        <f t="shared" si="123"/>
        <v>24.641350210970465</v>
      </c>
      <c r="L839" s="15"/>
      <c r="M839" s="15"/>
      <c r="N839" s="354"/>
      <c r="O839" s="16">
        <f t="shared" si="120"/>
        <v>7110</v>
      </c>
      <c r="P839" s="16">
        <f t="shared" si="119"/>
        <v>1752</v>
      </c>
      <c r="Q839" s="354">
        <f t="shared" si="121"/>
        <v>24.641350210970465</v>
      </c>
    </row>
    <row r="840" spans="2:17" x14ac:dyDescent="0.2">
      <c r="B840" s="6">
        <f t="shared" si="122"/>
        <v>349</v>
      </c>
      <c r="C840" s="12"/>
      <c r="D840" s="12"/>
      <c r="E840" s="12"/>
      <c r="F840" s="13" t="s">
        <v>105</v>
      </c>
      <c r="G840" s="14">
        <v>630</v>
      </c>
      <c r="H840" s="12" t="s">
        <v>662</v>
      </c>
      <c r="I840" s="15">
        <v>34767</v>
      </c>
      <c r="J840" s="15">
        <v>34768</v>
      </c>
      <c r="K840" s="354">
        <f t="shared" si="123"/>
        <v>100.00287629073547</v>
      </c>
      <c r="L840" s="15"/>
      <c r="M840" s="15"/>
      <c r="N840" s="354"/>
      <c r="O840" s="16">
        <f t="shared" si="120"/>
        <v>34767</v>
      </c>
      <c r="P840" s="16">
        <f t="shared" si="119"/>
        <v>34768</v>
      </c>
      <c r="Q840" s="354">
        <f t="shared" si="121"/>
        <v>100.00287629073547</v>
      </c>
    </row>
    <row r="841" spans="2:17" x14ac:dyDescent="0.2">
      <c r="B841" s="6">
        <f t="shared" si="122"/>
        <v>350</v>
      </c>
      <c r="C841" s="12"/>
      <c r="D841" s="12"/>
      <c r="E841" s="12"/>
      <c r="F841" s="13" t="s">
        <v>105</v>
      </c>
      <c r="G841" s="14">
        <v>710</v>
      </c>
      <c r="H841" s="12" t="s">
        <v>172</v>
      </c>
      <c r="I841" s="15"/>
      <c r="J841" s="15"/>
      <c r="K841" s="354"/>
      <c r="L841" s="15">
        <f>L842+L844</f>
        <v>198536</v>
      </c>
      <c r="M841" s="15">
        <f>M842+M844</f>
        <v>31488</v>
      </c>
      <c r="N841" s="354">
        <f t="shared" ref="N841:N846" si="124">M841/L841*100</f>
        <v>15.86009590200266</v>
      </c>
      <c r="O841" s="16">
        <f t="shared" si="120"/>
        <v>198536</v>
      </c>
      <c r="P841" s="16">
        <f t="shared" si="119"/>
        <v>31488</v>
      </c>
      <c r="Q841" s="354">
        <f t="shared" si="121"/>
        <v>15.86009590200266</v>
      </c>
    </row>
    <row r="842" spans="2:17" x14ac:dyDescent="0.2">
      <c r="B842" s="6">
        <f t="shared" si="122"/>
        <v>351</v>
      </c>
      <c r="C842" s="12"/>
      <c r="D842" s="12"/>
      <c r="E842" s="12"/>
      <c r="F842" s="18"/>
      <c r="G842" s="19">
        <v>716</v>
      </c>
      <c r="H842" s="17" t="s">
        <v>212</v>
      </c>
      <c r="I842" s="20"/>
      <c r="J842" s="20"/>
      <c r="K842" s="354"/>
      <c r="L842" s="20">
        <f>L843</f>
        <v>22500</v>
      </c>
      <c r="M842" s="20">
        <f>M843</f>
        <v>22140</v>
      </c>
      <c r="N842" s="354">
        <f t="shared" si="124"/>
        <v>98.4</v>
      </c>
      <c r="O842" s="21">
        <f t="shared" si="120"/>
        <v>22500</v>
      </c>
      <c r="P842" s="21">
        <f t="shared" si="119"/>
        <v>22140</v>
      </c>
      <c r="Q842" s="354">
        <f t="shared" si="121"/>
        <v>98.4</v>
      </c>
    </row>
    <row r="843" spans="2:17" x14ac:dyDescent="0.2">
      <c r="B843" s="6">
        <f t="shared" si="122"/>
        <v>352</v>
      </c>
      <c r="C843" s="109"/>
      <c r="D843" s="109"/>
      <c r="E843" s="109"/>
      <c r="F843" s="99"/>
      <c r="G843" s="23"/>
      <c r="H843" s="1" t="s">
        <v>467</v>
      </c>
      <c r="I843" s="24"/>
      <c r="J843" s="24"/>
      <c r="K843" s="354"/>
      <c r="L843" s="24">
        <f>98536-98536+22500</f>
        <v>22500</v>
      </c>
      <c r="M843" s="24">
        <v>22140</v>
      </c>
      <c r="N843" s="354">
        <f t="shared" si="124"/>
        <v>98.4</v>
      </c>
      <c r="O843" s="26">
        <f t="shared" si="120"/>
        <v>22500</v>
      </c>
      <c r="P843" s="26">
        <f t="shared" si="119"/>
        <v>22140</v>
      </c>
      <c r="Q843" s="354">
        <f t="shared" si="121"/>
        <v>98.4</v>
      </c>
    </row>
    <row r="844" spans="2:17" x14ac:dyDescent="0.2">
      <c r="B844" s="6">
        <f t="shared" ref="B844:B875" si="125">B843+1</f>
        <v>353</v>
      </c>
      <c r="C844" s="17"/>
      <c r="D844" s="17"/>
      <c r="E844" s="17"/>
      <c r="F844" s="18"/>
      <c r="G844" s="19">
        <v>717</v>
      </c>
      <c r="H844" s="17" t="s">
        <v>179</v>
      </c>
      <c r="I844" s="20"/>
      <c r="J844" s="20"/>
      <c r="K844" s="354"/>
      <c r="L844" s="20">
        <f>L845</f>
        <v>176036</v>
      </c>
      <c r="M844" s="20">
        <f>M845</f>
        <v>9348</v>
      </c>
      <c r="N844" s="354">
        <f t="shared" si="124"/>
        <v>5.3102774432502446</v>
      </c>
      <c r="O844" s="21">
        <f t="shared" si="120"/>
        <v>176036</v>
      </c>
      <c r="P844" s="21">
        <f t="shared" si="119"/>
        <v>9348</v>
      </c>
      <c r="Q844" s="354">
        <f t="shared" si="121"/>
        <v>5.3102774432502446</v>
      </c>
    </row>
    <row r="845" spans="2:17" x14ac:dyDescent="0.2">
      <c r="B845" s="6">
        <f t="shared" si="125"/>
        <v>354</v>
      </c>
      <c r="C845" s="1"/>
      <c r="D845" s="1"/>
      <c r="E845" s="1"/>
      <c r="F845" s="99"/>
      <c r="G845" s="23"/>
      <c r="H845" s="1" t="s">
        <v>623</v>
      </c>
      <c r="I845" s="24"/>
      <c r="J845" s="24"/>
      <c r="K845" s="354"/>
      <c r="L845" s="24">
        <f>100000+98536-22500</f>
        <v>176036</v>
      </c>
      <c r="M845" s="24">
        <v>9348</v>
      </c>
      <c r="N845" s="354">
        <f t="shared" si="124"/>
        <v>5.3102774432502446</v>
      </c>
      <c r="O845" s="26">
        <f t="shared" si="120"/>
        <v>176036</v>
      </c>
      <c r="P845" s="26">
        <f t="shared" si="119"/>
        <v>9348</v>
      </c>
      <c r="Q845" s="354">
        <f t="shared" si="121"/>
        <v>5.3102774432502446</v>
      </c>
    </row>
    <row r="846" spans="2:17" ht="15" x14ac:dyDescent="0.25">
      <c r="B846" s="6">
        <f t="shared" si="125"/>
        <v>355</v>
      </c>
      <c r="C846" s="95"/>
      <c r="D846" s="95"/>
      <c r="E846" s="95">
        <v>11</v>
      </c>
      <c r="F846" s="96"/>
      <c r="G846" s="96"/>
      <c r="H846" s="95" t="s">
        <v>7</v>
      </c>
      <c r="I846" s="97">
        <f>I847+I848+I849+I856+I858+I857+I859+I867+I868</f>
        <v>2686351</v>
      </c>
      <c r="J846" s="97">
        <f>J847+J848+J849+J856+J858+J857+J859+J867+J868</f>
        <v>1184051</v>
      </c>
      <c r="K846" s="354">
        <f t="shared" ref="K846:K868" si="126">J846/I846*100</f>
        <v>44.076555893105557</v>
      </c>
      <c r="L846" s="97">
        <f>L869</f>
        <v>41034</v>
      </c>
      <c r="M846" s="97">
        <f>M869</f>
        <v>0</v>
      </c>
      <c r="N846" s="354">
        <f t="shared" si="124"/>
        <v>0</v>
      </c>
      <c r="O846" s="98">
        <f t="shared" si="120"/>
        <v>2727385</v>
      </c>
      <c r="P846" s="98">
        <f t="shared" si="119"/>
        <v>1184051</v>
      </c>
      <c r="Q846" s="354">
        <f t="shared" si="121"/>
        <v>43.413416147701923</v>
      </c>
    </row>
    <row r="847" spans="2:17" x14ac:dyDescent="0.2">
      <c r="B847" s="6">
        <f t="shared" si="125"/>
        <v>356</v>
      </c>
      <c r="C847" s="12"/>
      <c r="D847" s="12"/>
      <c r="E847" s="12"/>
      <c r="F847" s="13" t="s">
        <v>116</v>
      </c>
      <c r="G847" s="14">
        <v>610</v>
      </c>
      <c r="H847" s="12" t="s">
        <v>128</v>
      </c>
      <c r="I847" s="15">
        <f>501500+45400</f>
        <v>546900</v>
      </c>
      <c r="J847" s="15">
        <v>195781</v>
      </c>
      <c r="K847" s="354">
        <f t="shared" si="126"/>
        <v>35.79831779118669</v>
      </c>
      <c r="L847" s="15"/>
      <c r="M847" s="15"/>
      <c r="N847" s="354"/>
      <c r="O847" s="16">
        <f t="shared" si="120"/>
        <v>546900</v>
      </c>
      <c r="P847" s="16">
        <f t="shared" si="119"/>
        <v>195781</v>
      </c>
      <c r="Q847" s="354">
        <f t="shared" si="121"/>
        <v>35.79831779118669</v>
      </c>
    </row>
    <row r="848" spans="2:17" x14ac:dyDescent="0.2">
      <c r="B848" s="6">
        <f t="shared" si="125"/>
        <v>357</v>
      </c>
      <c r="C848" s="12"/>
      <c r="D848" s="12"/>
      <c r="E848" s="12"/>
      <c r="F848" s="13" t="s">
        <v>116</v>
      </c>
      <c r="G848" s="14">
        <v>620</v>
      </c>
      <c r="H848" s="12" t="s">
        <v>121</v>
      </c>
      <c r="I848" s="15">
        <f>195636+1089</f>
        <v>196725</v>
      </c>
      <c r="J848" s="15">
        <v>73362</v>
      </c>
      <c r="K848" s="354">
        <f t="shared" si="126"/>
        <v>37.291650781547844</v>
      </c>
      <c r="L848" s="15"/>
      <c r="M848" s="15"/>
      <c r="N848" s="354"/>
      <c r="O848" s="16">
        <f t="shared" si="120"/>
        <v>196725</v>
      </c>
      <c r="P848" s="16">
        <f t="shared" si="119"/>
        <v>73362</v>
      </c>
      <c r="Q848" s="354">
        <f t="shared" si="121"/>
        <v>37.291650781547844</v>
      </c>
    </row>
    <row r="849" spans="2:17" x14ac:dyDescent="0.2">
      <c r="B849" s="6">
        <f t="shared" si="125"/>
        <v>358</v>
      </c>
      <c r="C849" s="12"/>
      <c r="D849" s="12"/>
      <c r="E849" s="12"/>
      <c r="F849" s="13" t="s">
        <v>116</v>
      </c>
      <c r="G849" s="14">
        <v>630</v>
      </c>
      <c r="H849" s="12" t="s">
        <v>118</v>
      </c>
      <c r="I849" s="15">
        <f>SUM(I850:I855)</f>
        <v>84825</v>
      </c>
      <c r="J849" s="15">
        <f>SUM(J850:J855)</f>
        <v>60209</v>
      </c>
      <c r="K849" s="354">
        <f t="shared" si="126"/>
        <v>70.98025346301209</v>
      </c>
      <c r="L849" s="15"/>
      <c r="M849" s="15"/>
      <c r="N849" s="354"/>
      <c r="O849" s="16">
        <f t="shared" si="120"/>
        <v>84825</v>
      </c>
      <c r="P849" s="16">
        <f t="shared" si="119"/>
        <v>60209</v>
      </c>
      <c r="Q849" s="354">
        <f t="shared" si="121"/>
        <v>70.98025346301209</v>
      </c>
    </row>
    <row r="850" spans="2:17" x14ac:dyDescent="0.2">
      <c r="B850" s="6">
        <f t="shared" si="125"/>
        <v>359</v>
      </c>
      <c r="C850" s="17"/>
      <c r="D850" s="17"/>
      <c r="E850" s="17"/>
      <c r="F850" s="18"/>
      <c r="G850" s="19">
        <v>631</v>
      </c>
      <c r="H850" s="17" t="s">
        <v>124</v>
      </c>
      <c r="I850" s="20">
        <v>100</v>
      </c>
      <c r="J850" s="20">
        <v>3</v>
      </c>
      <c r="K850" s="354">
        <f t="shared" si="126"/>
        <v>3</v>
      </c>
      <c r="L850" s="20"/>
      <c r="M850" s="20"/>
      <c r="N850" s="354"/>
      <c r="O850" s="21">
        <f t="shared" si="120"/>
        <v>100</v>
      </c>
      <c r="P850" s="21">
        <f t="shared" si="119"/>
        <v>3</v>
      </c>
      <c r="Q850" s="354">
        <f t="shared" si="121"/>
        <v>3</v>
      </c>
    </row>
    <row r="851" spans="2:17" x14ac:dyDescent="0.2">
      <c r="B851" s="6">
        <f t="shared" si="125"/>
        <v>360</v>
      </c>
      <c r="C851" s="17"/>
      <c r="D851" s="17"/>
      <c r="E851" s="17"/>
      <c r="F851" s="18"/>
      <c r="G851" s="19">
        <v>632</v>
      </c>
      <c r="H851" s="17" t="s">
        <v>131</v>
      </c>
      <c r="I851" s="20">
        <f>25888-18388</f>
        <v>7500</v>
      </c>
      <c r="J851" s="20">
        <v>3585</v>
      </c>
      <c r="K851" s="354">
        <f t="shared" si="126"/>
        <v>47.8</v>
      </c>
      <c r="L851" s="20"/>
      <c r="M851" s="20"/>
      <c r="N851" s="354"/>
      <c r="O851" s="21">
        <f t="shared" si="120"/>
        <v>7500</v>
      </c>
      <c r="P851" s="21">
        <f t="shared" si="119"/>
        <v>3585</v>
      </c>
      <c r="Q851" s="354">
        <f t="shared" si="121"/>
        <v>47.8</v>
      </c>
    </row>
    <row r="852" spans="2:17" x14ac:dyDescent="0.2">
      <c r="B852" s="6">
        <f t="shared" si="125"/>
        <v>361</v>
      </c>
      <c r="C852" s="17"/>
      <c r="D852" s="17"/>
      <c r="E852" s="17"/>
      <c r="F852" s="18"/>
      <c r="G852" s="19">
        <v>633</v>
      </c>
      <c r="H852" s="17" t="s">
        <v>122</v>
      </c>
      <c r="I852" s="20">
        <f>24165-5200</f>
        <v>18965</v>
      </c>
      <c r="J852" s="20">
        <v>19667</v>
      </c>
      <c r="K852" s="354">
        <f t="shared" si="126"/>
        <v>103.70155549696808</v>
      </c>
      <c r="L852" s="20"/>
      <c r="M852" s="20"/>
      <c r="N852" s="354"/>
      <c r="O852" s="21">
        <f t="shared" si="120"/>
        <v>18965</v>
      </c>
      <c r="P852" s="21">
        <f t="shared" si="119"/>
        <v>19667</v>
      </c>
      <c r="Q852" s="354">
        <f t="shared" si="121"/>
        <v>103.70155549696808</v>
      </c>
    </row>
    <row r="853" spans="2:17" x14ac:dyDescent="0.2">
      <c r="B853" s="6">
        <f t="shared" si="125"/>
        <v>362</v>
      </c>
      <c r="C853" s="17"/>
      <c r="D853" s="17"/>
      <c r="E853" s="17"/>
      <c r="F853" s="18"/>
      <c r="G853" s="19">
        <v>635</v>
      </c>
      <c r="H853" s="17" t="s">
        <v>130</v>
      </c>
      <c r="I853" s="20">
        <f>11570+2430</f>
        <v>14000</v>
      </c>
      <c r="J853" s="20">
        <v>13432</v>
      </c>
      <c r="K853" s="354">
        <f t="shared" si="126"/>
        <v>95.942857142857136</v>
      </c>
      <c r="L853" s="20"/>
      <c r="M853" s="20"/>
      <c r="N853" s="354"/>
      <c r="O853" s="21">
        <f t="shared" si="120"/>
        <v>14000</v>
      </c>
      <c r="P853" s="21">
        <f t="shared" si="119"/>
        <v>13432</v>
      </c>
      <c r="Q853" s="354">
        <f t="shared" si="121"/>
        <v>95.942857142857136</v>
      </c>
    </row>
    <row r="854" spans="2:17" x14ac:dyDescent="0.2">
      <c r="B854" s="6">
        <f t="shared" si="125"/>
        <v>363</v>
      </c>
      <c r="C854" s="17"/>
      <c r="D854" s="17"/>
      <c r="E854" s="17"/>
      <c r="F854" s="18"/>
      <c r="G854" s="19">
        <v>636</v>
      </c>
      <c r="H854" s="17" t="s">
        <v>123</v>
      </c>
      <c r="I854" s="20">
        <f>1700+400</f>
        <v>2100</v>
      </c>
      <c r="J854" s="20">
        <v>1777</v>
      </c>
      <c r="K854" s="354">
        <f t="shared" si="126"/>
        <v>84.61904761904762</v>
      </c>
      <c r="L854" s="20"/>
      <c r="M854" s="20"/>
      <c r="N854" s="354"/>
      <c r="O854" s="21">
        <f t="shared" si="120"/>
        <v>2100</v>
      </c>
      <c r="P854" s="21">
        <f t="shared" si="119"/>
        <v>1777</v>
      </c>
      <c r="Q854" s="354">
        <f t="shared" si="121"/>
        <v>84.61904761904762</v>
      </c>
    </row>
    <row r="855" spans="2:17" x14ac:dyDescent="0.2">
      <c r="B855" s="6">
        <f t="shared" si="125"/>
        <v>364</v>
      </c>
      <c r="C855" s="17"/>
      <c r="D855" s="17"/>
      <c r="E855" s="17"/>
      <c r="F855" s="18"/>
      <c r="G855" s="19">
        <v>637</v>
      </c>
      <c r="H855" s="17" t="s">
        <v>119</v>
      </c>
      <c r="I855" s="20">
        <f>40429+1731</f>
        <v>42160</v>
      </c>
      <c r="J855" s="20">
        <v>21745</v>
      </c>
      <c r="K855" s="354">
        <f t="shared" si="126"/>
        <v>51.577324478178369</v>
      </c>
      <c r="L855" s="20"/>
      <c r="M855" s="20"/>
      <c r="N855" s="354"/>
      <c r="O855" s="21">
        <f t="shared" si="120"/>
        <v>42160</v>
      </c>
      <c r="P855" s="21">
        <f t="shared" si="119"/>
        <v>21745</v>
      </c>
      <c r="Q855" s="354">
        <f t="shared" si="121"/>
        <v>51.577324478178369</v>
      </c>
    </row>
    <row r="856" spans="2:17" x14ac:dyDescent="0.2">
      <c r="B856" s="6">
        <f t="shared" si="125"/>
        <v>365</v>
      </c>
      <c r="C856" s="12"/>
      <c r="D856" s="12"/>
      <c r="E856" s="12"/>
      <c r="F856" s="13" t="s">
        <v>116</v>
      </c>
      <c r="G856" s="14">
        <v>640</v>
      </c>
      <c r="H856" s="12" t="s">
        <v>126</v>
      </c>
      <c r="I856" s="15">
        <f>8500+700</f>
        <v>9200</v>
      </c>
      <c r="J856" s="15">
        <v>1622</v>
      </c>
      <c r="K856" s="354">
        <f t="shared" si="126"/>
        <v>17.630434782608695</v>
      </c>
      <c r="L856" s="15"/>
      <c r="M856" s="15"/>
      <c r="N856" s="354"/>
      <c r="O856" s="16">
        <f t="shared" si="120"/>
        <v>9200</v>
      </c>
      <c r="P856" s="16">
        <f t="shared" si="119"/>
        <v>1622</v>
      </c>
      <c r="Q856" s="354">
        <f t="shared" si="121"/>
        <v>17.630434782608695</v>
      </c>
    </row>
    <row r="857" spans="2:17" x14ac:dyDescent="0.2">
      <c r="B857" s="6">
        <f t="shared" si="125"/>
        <v>366</v>
      </c>
      <c r="C857" s="12"/>
      <c r="D857" s="12"/>
      <c r="E857" s="12"/>
      <c r="F857" s="13" t="s">
        <v>105</v>
      </c>
      <c r="G857" s="14">
        <v>610</v>
      </c>
      <c r="H857" s="12" t="s">
        <v>128</v>
      </c>
      <c r="I857" s="15">
        <f>1066507+259+21800+100</f>
        <v>1088666</v>
      </c>
      <c r="J857" s="15">
        <v>472325</v>
      </c>
      <c r="K857" s="354">
        <f t="shared" si="126"/>
        <v>43.38566649459063</v>
      </c>
      <c r="L857" s="15"/>
      <c r="M857" s="15"/>
      <c r="N857" s="354"/>
      <c r="O857" s="16">
        <f t="shared" si="120"/>
        <v>1088666</v>
      </c>
      <c r="P857" s="16">
        <f t="shared" si="119"/>
        <v>472325</v>
      </c>
      <c r="Q857" s="354">
        <f t="shared" si="121"/>
        <v>43.38566649459063</v>
      </c>
    </row>
    <row r="858" spans="2:17" x14ac:dyDescent="0.2">
      <c r="B858" s="6">
        <f t="shared" si="125"/>
        <v>367</v>
      </c>
      <c r="C858" s="12"/>
      <c r="D858" s="12"/>
      <c r="E858" s="12"/>
      <c r="F858" s="13" t="s">
        <v>105</v>
      </c>
      <c r="G858" s="14">
        <v>620</v>
      </c>
      <c r="H858" s="12" t="s">
        <v>121</v>
      </c>
      <c r="I858" s="15">
        <f>385843+91+19642+35</f>
        <v>405611</v>
      </c>
      <c r="J858" s="15">
        <v>174214</v>
      </c>
      <c r="K858" s="354">
        <f t="shared" si="126"/>
        <v>42.951004780442339</v>
      </c>
      <c r="L858" s="15"/>
      <c r="M858" s="15"/>
      <c r="N858" s="354"/>
      <c r="O858" s="16">
        <f t="shared" si="120"/>
        <v>405611</v>
      </c>
      <c r="P858" s="16">
        <f t="shared" si="119"/>
        <v>174214</v>
      </c>
      <c r="Q858" s="354">
        <f t="shared" si="121"/>
        <v>42.951004780442339</v>
      </c>
    </row>
    <row r="859" spans="2:17" x14ac:dyDescent="0.2">
      <c r="B859" s="6">
        <f t="shared" si="125"/>
        <v>368</v>
      </c>
      <c r="C859" s="12"/>
      <c r="D859" s="12"/>
      <c r="E859" s="12"/>
      <c r="F859" s="13" t="s">
        <v>105</v>
      </c>
      <c r="G859" s="14">
        <v>630</v>
      </c>
      <c r="H859" s="12" t="s">
        <v>118</v>
      </c>
      <c r="I859" s="15">
        <f>SUM(I860:I866)</f>
        <v>293303</v>
      </c>
      <c r="J859" s="15">
        <f>SUM(J860:J866)</f>
        <v>156288</v>
      </c>
      <c r="K859" s="354">
        <f t="shared" si="126"/>
        <v>53.28551020616905</v>
      </c>
      <c r="L859" s="15"/>
      <c r="M859" s="15"/>
      <c r="N859" s="354"/>
      <c r="O859" s="16">
        <f t="shared" si="120"/>
        <v>293303</v>
      </c>
      <c r="P859" s="16">
        <f t="shared" si="119"/>
        <v>156288</v>
      </c>
      <c r="Q859" s="354">
        <f t="shared" si="121"/>
        <v>53.28551020616905</v>
      </c>
    </row>
    <row r="860" spans="2:17" x14ac:dyDescent="0.2">
      <c r="B860" s="6">
        <f t="shared" si="125"/>
        <v>369</v>
      </c>
      <c r="C860" s="17"/>
      <c r="D860" s="17"/>
      <c r="E860" s="17"/>
      <c r="F860" s="18"/>
      <c r="G860" s="19">
        <v>631</v>
      </c>
      <c r="H860" s="17" t="s">
        <v>124</v>
      </c>
      <c r="I860" s="20">
        <f>170-10</f>
        <v>160</v>
      </c>
      <c r="J860" s="20">
        <v>143</v>
      </c>
      <c r="K860" s="354">
        <f t="shared" si="126"/>
        <v>89.375</v>
      </c>
      <c r="L860" s="20"/>
      <c r="M860" s="20"/>
      <c r="N860" s="354"/>
      <c r="O860" s="21">
        <f t="shared" si="120"/>
        <v>160</v>
      </c>
      <c r="P860" s="21">
        <f t="shared" si="119"/>
        <v>143</v>
      </c>
      <c r="Q860" s="354">
        <f t="shared" si="121"/>
        <v>89.375</v>
      </c>
    </row>
    <row r="861" spans="2:17" x14ac:dyDescent="0.2">
      <c r="B861" s="6">
        <f t="shared" si="125"/>
        <v>370</v>
      </c>
      <c r="C861" s="17"/>
      <c r="D861" s="17"/>
      <c r="E861" s="17"/>
      <c r="F861" s="18"/>
      <c r="G861" s="19">
        <v>632</v>
      </c>
      <c r="H861" s="17" t="s">
        <v>131</v>
      </c>
      <c r="I861" s="20">
        <f>157630-26630</f>
        <v>131000</v>
      </c>
      <c r="J861" s="20">
        <v>42815</v>
      </c>
      <c r="K861" s="354">
        <f t="shared" si="126"/>
        <v>32.68320610687023</v>
      </c>
      <c r="L861" s="20"/>
      <c r="M861" s="20"/>
      <c r="N861" s="354"/>
      <c r="O861" s="21">
        <f t="shared" si="120"/>
        <v>131000</v>
      </c>
      <c r="P861" s="21">
        <f t="shared" si="119"/>
        <v>42815</v>
      </c>
      <c r="Q861" s="354">
        <f t="shared" si="121"/>
        <v>32.68320610687023</v>
      </c>
    </row>
    <row r="862" spans="2:17" x14ac:dyDescent="0.2">
      <c r="B862" s="6">
        <f t="shared" si="125"/>
        <v>371</v>
      </c>
      <c r="C862" s="17"/>
      <c r="D862" s="17"/>
      <c r="E862" s="17"/>
      <c r="F862" s="18"/>
      <c r="G862" s="19">
        <v>633</v>
      </c>
      <c r="H862" s="17" t="s">
        <v>122</v>
      </c>
      <c r="I862" s="20">
        <f>56330+1000-10060+4000-11534</f>
        <v>39736</v>
      </c>
      <c r="J862" s="20">
        <v>38252</v>
      </c>
      <c r="K862" s="354">
        <f t="shared" si="126"/>
        <v>96.265351318703438</v>
      </c>
      <c r="L862" s="20"/>
      <c r="M862" s="20"/>
      <c r="N862" s="354"/>
      <c r="O862" s="21">
        <f t="shared" si="120"/>
        <v>39736</v>
      </c>
      <c r="P862" s="21">
        <f t="shared" si="119"/>
        <v>38252</v>
      </c>
      <c r="Q862" s="354">
        <f t="shared" si="121"/>
        <v>96.265351318703438</v>
      </c>
    </row>
    <row r="863" spans="2:17" x14ac:dyDescent="0.2">
      <c r="B863" s="6">
        <f t="shared" si="125"/>
        <v>372</v>
      </c>
      <c r="C863" s="17"/>
      <c r="D863" s="17"/>
      <c r="E863" s="17"/>
      <c r="F863" s="18"/>
      <c r="G863" s="19">
        <v>634</v>
      </c>
      <c r="H863" s="17" t="s">
        <v>129</v>
      </c>
      <c r="I863" s="20">
        <v>1610</v>
      </c>
      <c r="J863" s="20">
        <v>0</v>
      </c>
      <c r="K863" s="354">
        <f t="shared" si="126"/>
        <v>0</v>
      </c>
      <c r="L863" s="20"/>
      <c r="M863" s="20"/>
      <c r="N863" s="354"/>
      <c r="O863" s="21">
        <f t="shared" si="120"/>
        <v>1610</v>
      </c>
      <c r="P863" s="21">
        <f t="shared" si="119"/>
        <v>0</v>
      </c>
      <c r="Q863" s="354">
        <f t="shared" si="121"/>
        <v>0</v>
      </c>
    </row>
    <row r="864" spans="2:17" x14ac:dyDescent="0.2">
      <c r="B864" s="6">
        <f t="shared" si="125"/>
        <v>373</v>
      </c>
      <c r="C864" s="17"/>
      <c r="D864" s="17"/>
      <c r="E864" s="17"/>
      <c r="F864" s="18"/>
      <c r="G864" s="19">
        <v>635</v>
      </c>
      <c r="H864" s="17" t="s">
        <v>130</v>
      </c>
      <c r="I864" s="20">
        <f>24340+660</f>
        <v>25000</v>
      </c>
      <c r="J864" s="20">
        <v>22885</v>
      </c>
      <c r="K864" s="354">
        <f t="shared" si="126"/>
        <v>91.539999999999992</v>
      </c>
      <c r="L864" s="20"/>
      <c r="M864" s="20"/>
      <c r="N864" s="354"/>
      <c r="O864" s="21">
        <f t="shared" si="120"/>
        <v>25000</v>
      </c>
      <c r="P864" s="21">
        <f t="shared" si="119"/>
        <v>22885</v>
      </c>
      <c r="Q864" s="354">
        <f t="shared" si="121"/>
        <v>91.539999999999992</v>
      </c>
    </row>
    <row r="865" spans="2:17" x14ac:dyDescent="0.2">
      <c r="B865" s="6">
        <f t="shared" si="125"/>
        <v>374</v>
      </c>
      <c r="C865" s="17"/>
      <c r="D865" s="17"/>
      <c r="E865" s="17"/>
      <c r="F865" s="18"/>
      <c r="G865" s="19">
        <v>636</v>
      </c>
      <c r="H865" s="17" t="s">
        <v>123</v>
      </c>
      <c r="I865" s="20">
        <f>2600+900</f>
        <v>3500</v>
      </c>
      <c r="J865" s="20">
        <v>1670</v>
      </c>
      <c r="K865" s="354">
        <f t="shared" si="126"/>
        <v>47.714285714285715</v>
      </c>
      <c r="L865" s="20"/>
      <c r="M865" s="20"/>
      <c r="N865" s="354"/>
      <c r="O865" s="21">
        <f t="shared" si="120"/>
        <v>3500</v>
      </c>
      <c r="P865" s="21">
        <f t="shared" si="119"/>
        <v>1670</v>
      </c>
      <c r="Q865" s="354">
        <f t="shared" si="121"/>
        <v>47.714285714285715</v>
      </c>
    </row>
    <row r="866" spans="2:17" x14ac:dyDescent="0.2">
      <c r="B866" s="6">
        <f t="shared" si="125"/>
        <v>375</v>
      </c>
      <c r="C866" s="17"/>
      <c r="D866" s="17"/>
      <c r="E866" s="17"/>
      <c r="F866" s="18"/>
      <c r="G866" s="19">
        <v>637</v>
      </c>
      <c r="H866" s="17" t="s">
        <v>119</v>
      </c>
      <c r="I866" s="20">
        <f>89450+2847</f>
        <v>92297</v>
      </c>
      <c r="J866" s="20">
        <v>50523</v>
      </c>
      <c r="K866" s="354">
        <f t="shared" si="126"/>
        <v>54.739590669252522</v>
      </c>
      <c r="L866" s="20"/>
      <c r="M866" s="20"/>
      <c r="N866" s="354"/>
      <c r="O866" s="21">
        <f t="shared" si="120"/>
        <v>92297</v>
      </c>
      <c r="P866" s="21">
        <f t="shared" si="119"/>
        <v>50523</v>
      </c>
      <c r="Q866" s="354">
        <f t="shared" si="121"/>
        <v>54.739590669252522</v>
      </c>
    </row>
    <row r="867" spans="2:17" x14ac:dyDescent="0.2">
      <c r="B867" s="6">
        <f t="shared" si="125"/>
        <v>376</v>
      </c>
      <c r="C867" s="12"/>
      <c r="D867" s="12"/>
      <c r="E867" s="12"/>
      <c r="F867" s="13" t="s">
        <v>105</v>
      </c>
      <c r="G867" s="14">
        <v>640</v>
      </c>
      <c r="H867" s="12" t="s">
        <v>126</v>
      </c>
      <c r="I867" s="15">
        <f>13200-150</f>
        <v>13050</v>
      </c>
      <c r="J867" s="15">
        <v>2179</v>
      </c>
      <c r="K867" s="354">
        <f t="shared" si="126"/>
        <v>16.697318007662833</v>
      </c>
      <c r="L867" s="15"/>
      <c r="M867" s="15"/>
      <c r="N867" s="354"/>
      <c r="O867" s="16">
        <f t="shared" si="120"/>
        <v>13050</v>
      </c>
      <c r="P867" s="16">
        <f t="shared" si="119"/>
        <v>2179</v>
      </c>
      <c r="Q867" s="354">
        <f t="shared" si="121"/>
        <v>16.697318007662833</v>
      </c>
    </row>
    <row r="868" spans="2:17" x14ac:dyDescent="0.2">
      <c r="B868" s="6">
        <f t="shared" si="125"/>
        <v>377</v>
      </c>
      <c r="C868" s="12"/>
      <c r="D868" s="12"/>
      <c r="E868" s="12"/>
      <c r="F868" s="13" t="s">
        <v>105</v>
      </c>
      <c r="G868" s="14">
        <v>630</v>
      </c>
      <c r="H868" s="12" t="s">
        <v>662</v>
      </c>
      <c r="I868" s="15">
        <v>48071</v>
      </c>
      <c r="J868" s="15">
        <v>48071</v>
      </c>
      <c r="K868" s="354">
        <f t="shared" si="126"/>
        <v>100</v>
      </c>
      <c r="L868" s="15"/>
      <c r="M868" s="15"/>
      <c r="N868" s="354"/>
      <c r="O868" s="16">
        <f t="shared" si="120"/>
        <v>48071</v>
      </c>
      <c r="P868" s="16">
        <f t="shared" si="119"/>
        <v>48071</v>
      </c>
      <c r="Q868" s="354">
        <f t="shared" si="121"/>
        <v>100</v>
      </c>
    </row>
    <row r="869" spans="2:17" x14ac:dyDescent="0.2">
      <c r="B869" s="6">
        <f t="shared" si="125"/>
        <v>378</v>
      </c>
      <c r="C869" s="12"/>
      <c r="D869" s="12"/>
      <c r="E869" s="12"/>
      <c r="F869" s="13" t="s">
        <v>105</v>
      </c>
      <c r="G869" s="14">
        <v>710</v>
      </c>
      <c r="H869" s="12" t="s">
        <v>172</v>
      </c>
      <c r="I869" s="15"/>
      <c r="J869" s="15"/>
      <c r="K869" s="354"/>
      <c r="L869" s="15">
        <f>L870</f>
        <v>41034</v>
      </c>
      <c r="M869" s="15">
        <f>M870</f>
        <v>0</v>
      </c>
      <c r="N869" s="354">
        <f>M869/L869*100</f>
        <v>0</v>
      </c>
      <c r="O869" s="16">
        <f t="shared" si="120"/>
        <v>41034</v>
      </c>
      <c r="P869" s="16">
        <f t="shared" si="119"/>
        <v>0</v>
      </c>
      <c r="Q869" s="354">
        <f t="shared" si="121"/>
        <v>0</v>
      </c>
    </row>
    <row r="870" spans="2:17" x14ac:dyDescent="0.2">
      <c r="B870" s="6">
        <f t="shared" si="125"/>
        <v>379</v>
      </c>
      <c r="C870" s="17"/>
      <c r="D870" s="17"/>
      <c r="E870" s="17"/>
      <c r="F870" s="18"/>
      <c r="G870" s="19">
        <v>717</v>
      </c>
      <c r="H870" s="17" t="s">
        <v>179</v>
      </c>
      <c r="I870" s="20"/>
      <c r="J870" s="20"/>
      <c r="K870" s="354"/>
      <c r="L870" s="20">
        <f>L871</f>
        <v>41034</v>
      </c>
      <c r="M870" s="20">
        <f>M871</f>
        <v>0</v>
      </c>
      <c r="N870" s="354">
        <f>M870/L870*100</f>
        <v>0</v>
      </c>
      <c r="O870" s="21">
        <f t="shared" si="120"/>
        <v>41034</v>
      </c>
      <c r="P870" s="21">
        <f t="shared" si="119"/>
        <v>0</v>
      </c>
      <c r="Q870" s="354">
        <f t="shared" si="121"/>
        <v>0</v>
      </c>
    </row>
    <row r="871" spans="2:17" x14ac:dyDescent="0.2">
      <c r="B871" s="6">
        <f t="shared" si="125"/>
        <v>380</v>
      </c>
      <c r="C871" s="1"/>
      <c r="D871" s="1"/>
      <c r="E871" s="1"/>
      <c r="F871" s="99"/>
      <c r="G871" s="23"/>
      <c r="H871" s="1" t="s">
        <v>589</v>
      </c>
      <c r="I871" s="24"/>
      <c r="J871" s="24"/>
      <c r="K871" s="354"/>
      <c r="L871" s="24">
        <f>29500+11534</f>
        <v>41034</v>
      </c>
      <c r="M871" s="24">
        <v>0</v>
      </c>
      <c r="N871" s="354">
        <f>M871/L871*100</f>
        <v>0</v>
      </c>
      <c r="O871" s="26">
        <f t="shared" si="120"/>
        <v>41034</v>
      </c>
      <c r="P871" s="26">
        <f t="shared" si="119"/>
        <v>0</v>
      </c>
      <c r="Q871" s="354">
        <f t="shared" si="121"/>
        <v>0</v>
      </c>
    </row>
    <row r="872" spans="2:17" ht="15" x14ac:dyDescent="0.25">
      <c r="B872" s="6">
        <f t="shared" si="125"/>
        <v>381</v>
      </c>
      <c r="C872" s="95"/>
      <c r="D872" s="95"/>
      <c r="E872" s="95">
        <v>12</v>
      </c>
      <c r="F872" s="96"/>
      <c r="G872" s="96"/>
      <c r="H872" s="95" t="s">
        <v>5</v>
      </c>
      <c r="I872" s="97">
        <f>I873+I874+I875+I882+I883+I884+I885+I892+I893</f>
        <v>2476193</v>
      </c>
      <c r="J872" s="97">
        <f>J873+J874+J875+J882+J883+J884+J885+J892+J893</f>
        <v>1116982</v>
      </c>
      <c r="K872" s="354">
        <f t="shared" ref="K872:K893" si="127">J872/I872*100</f>
        <v>45.10884248521824</v>
      </c>
      <c r="L872" s="97">
        <f>L894</f>
        <v>6100</v>
      </c>
      <c r="M872" s="97">
        <f>M894</f>
        <v>1132</v>
      </c>
      <c r="N872" s="354">
        <f>M872/L872*100</f>
        <v>18.557377049180328</v>
      </c>
      <c r="O872" s="98">
        <f t="shared" si="120"/>
        <v>2482293</v>
      </c>
      <c r="P872" s="98">
        <f t="shared" si="119"/>
        <v>1118114</v>
      </c>
      <c r="Q872" s="354">
        <f t="shared" si="121"/>
        <v>45.043594773058622</v>
      </c>
    </row>
    <row r="873" spans="2:17" x14ac:dyDescent="0.2">
      <c r="B873" s="6">
        <f t="shared" si="125"/>
        <v>382</v>
      </c>
      <c r="C873" s="12"/>
      <c r="D873" s="12"/>
      <c r="E873" s="12"/>
      <c r="F873" s="13" t="s">
        <v>116</v>
      </c>
      <c r="G873" s="14">
        <v>610</v>
      </c>
      <c r="H873" s="12" t="s">
        <v>128</v>
      </c>
      <c r="I873" s="15">
        <f>785500-30000</f>
        <v>755500</v>
      </c>
      <c r="J873" s="15">
        <v>583466</v>
      </c>
      <c r="K873" s="354">
        <f t="shared" si="127"/>
        <v>77.22911978821972</v>
      </c>
      <c r="L873" s="15"/>
      <c r="M873" s="15"/>
      <c r="N873" s="354"/>
      <c r="O873" s="16">
        <f t="shared" si="120"/>
        <v>755500</v>
      </c>
      <c r="P873" s="16">
        <f t="shared" si="119"/>
        <v>583466</v>
      </c>
      <c r="Q873" s="354">
        <f t="shared" si="121"/>
        <v>77.22911978821972</v>
      </c>
    </row>
    <row r="874" spans="2:17" x14ac:dyDescent="0.2">
      <c r="B874" s="6">
        <f t="shared" si="125"/>
        <v>383</v>
      </c>
      <c r="C874" s="12"/>
      <c r="D874" s="12"/>
      <c r="E874" s="12"/>
      <c r="F874" s="13" t="s">
        <v>116</v>
      </c>
      <c r="G874" s="14">
        <v>620</v>
      </c>
      <c r="H874" s="12" t="s">
        <v>121</v>
      </c>
      <c r="I874" s="15">
        <f>277480-10000</f>
        <v>267480</v>
      </c>
      <c r="J874" s="15">
        <v>217116</v>
      </c>
      <c r="K874" s="354">
        <f t="shared" si="127"/>
        <v>81.170928667563942</v>
      </c>
      <c r="L874" s="15"/>
      <c r="M874" s="15"/>
      <c r="N874" s="354"/>
      <c r="O874" s="16">
        <f t="shared" si="120"/>
        <v>267480</v>
      </c>
      <c r="P874" s="16">
        <f t="shared" ref="P874:P937" si="128">J874+M874</f>
        <v>217116</v>
      </c>
      <c r="Q874" s="354">
        <f t="shared" si="121"/>
        <v>81.170928667563942</v>
      </c>
    </row>
    <row r="875" spans="2:17" x14ac:dyDescent="0.2">
      <c r="B875" s="6">
        <f t="shared" si="125"/>
        <v>384</v>
      </c>
      <c r="C875" s="12"/>
      <c r="D875" s="12"/>
      <c r="E875" s="12"/>
      <c r="F875" s="13" t="s">
        <v>116</v>
      </c>
      <c r="G875" s="14">
        <v>630</v>
      </c>
      <c r="H875" s="12" t="s">
        <v>118</v>
      </c>
      <c r="I875" s="15">
        <f>SUM(I876:I881)</f>
        <v>58850</v>
      </c>
      <c r="J875" s="15">
        <f>SUM(J876:J881)</f>
        <v>50192</v>
      </c>
      <c r="K875" s="354">
        <f t="shared" si="127"/>
        <v>85.28802039082413</v>
      </c>
      <c r="L875" s="15"/>
      <c r="M875" s="15"/>
      <c r="N875" s="354"/>
      <c r="O875" s="16">
        <f t="shared" ref="O875:O938" si="129">I875+L875</f>
        <v>58850</v>
      </c>
      <c r="P875" s="16">
        <f t="shared" si="128"/>
        <v>50192</v>
      </c>
      <c r="Q875" s="354">
        <f t="shared" ref="Q875:Q938" si="130">P875/O875*100</f>
        <v>85.28802039082413</v>
      </c>
    </row>
    <row r="876" spans="2:17" x14ac:dyDescent="0.2">
      <c r="B876" s="6">
        <f t="shared" ref="B876:B907" si="131">B875+1</f>
        <v>385</v>
      </c>
      <c r="C876" s="17"/>
      <c r="D876" s="17"/>
      <c r="E876" s="17"/>
      <c r="F876" s="18"/>
      <c r="G876" s="19">
        <v>631</v>
      </c>
      <c r="H876" s="17" t="s">
        <v>124</v>
      </c>
      <c r="I876" s="20">
        <v>1500</v>
      </c>
      <c r="J876" s="20">
        <v>401</v>
      </c>
      <c r="K876" s="354">
        <f t="shared" si="127"/>
        <v>26.733333333333331</v>
      </c>
      <c r="L876" s="20"/>
      <c r="M876" s="20"/>
      <c r="N876" s="354"/>
      <c r="O876" s="21">
        <f t="shared" si="129"/>
        <v>1500</v>
      </c>
      <c r="P876" s="21">
        <f t="shared" si="128"/>
        <v>401</v>
      </c>
      <c r="Q876" s="354">
        <f t="shared" si="130"/>
        <v>26.733333333333331</v>
      </c>
    </row>
    <row r="877" spans="2:17" x14ac:dyDescent="0.2">
      <c r="B877" s="6">
        <f t="shared" si="131"/>
        <v>386</v>
      </c>
      <c r="C877" s="17"/>
      <c r="D877" s="17"/>
      <c r="E877" s="17"/>
      <c r="F877" s="18"/>
      <c r="G877" s="19">
        <v>632</v>
      </c>
      <c r="H877" s="17" t="s">
        <v>131</v>
      </c>
      <c r="I877" s="20">
        <f>26000-6000</f>
        <v>20000</v>
      </c>
      <c r="J877" s="20">
        <v>9735</v>
      </c>
      <c r="K877" s="354">
        <f t="shared" si="127"/>
        <v>48.675000000000004</v>
      </c>
      <c r="L877" s="20"/>
      <c r="M877" s="20"/>
      <c r="N877" s="354"/>
      <c r="O877" s="21">
        <f t="shared" si="129"/>
        <v>20000</v>
      </c>
      <c r="P877" s="21">
        <f t="shared" si="128"/>
        <v>9735</v>
      </c>
      <c r="Q877" s="354">
        <f t="shared" si="130"/>
        <v>48.675000000000004</v>
      </c>
    </row>
    <row r="878" spans="2:17" x14ac:dyDescent="0.2">
      <c r="B878" s="6">
        <f t="shared" si="131"/>
        <v>387</v>
      </c>
      <c r="C878" s="17"/>
      <c r="D878" s="17"/>
      <c r="E878" s="17"/>
      <c r="F878" s="18"/>
      <c r="G878" s="19">
        <v>633</v>
      </c>
      <c r="H878" s="17" t="s">
        <v>122</v>
      </c>
      <c r="I878" s="20">
        <f>24150-10000</f>
        <v>14150</v>
      </c>
      <c r="J878" s="20">
        <v>20056</v>
      </c>
      <c r="K878" s="354">
        <f t="shared" si="127"/>
        <v>141.73851590106008</v>
      </c>
      <c r="L878" s="20"/>
      <c r="M878" s="20"/>
      <c r="N878" s="354"/>
      <c r="O878" s="21">
        <f t="shared" si="129"/>
        <v>14150</v>
      </c>
      <c r="P878" s="21">
        <f t="shared" si="128"/>
        <v>20056</v>
      </c>
      <c r="Q878" s="354">
        <f t="shared" si="130"/>
        <v>141.73851590106008</v>
      </c>
    </row>
    <row r="879" spans="2:17" x14ac:dyDescent="0.2">
      <c r="B879" s="6">
        <f t="shared" si="131"/>
        <v>388</v>
      </c>
      <c r="C879" s="17"/>
      <c r="D879" s="17"/>
      <c r="E879" s="17"/>
      <c r="F879" s="18"/>
      <c r="G879" s="19">
        <v>635</v>
      </c>
      <c r="H879" s="17" t="s">
        <v>130</v>
      </c>
      <c r="I879" s="20">
        <v>3300</v>
      </c>
      <c r="J879" s="20">
        <v>3300</v>
      </c>
      <c r="K879" s="354">
        <f t="shared" si="127"/>
        <v>100</v>
      </c>
      <c r="L879" s="20"/>
      <c r="M879" s="20"/>
      <c r="N879" s="354"/>
      <c r="O879" s="21">
        <f t="shared" si="129"/>
        <v>3300</v>
      </c>
      <c r="P879" s="21">
        <f t="shared" si="128"/>
        <v>3300</v>
      </c>
      <c r="Q879" s="354">
        <f t="shared" si="130"/>
        <v>100</v>
      </c>
    </row>
    <row r="880" spans="2:17" x14ac:dyDescent="0.2">
      <c r="B880" s="6">
        <f t="shared" si="131"/>
        <v>389</v>
      </c>
      <c r="C880" s="17"/>
      <c r="D880" s="17"/>
      <c r="E880" s="17"/>
      <c r="F880" s="18"/>
      <c r="G880" s="19">
        <v>636</v>
      </c>
      <c r="H880" s="17" t="s">
        <v>123</v>
      </c>
      <c r="I880" s="20">
        <v>3600</v>
      </c>
      <c r="J880" s="20">
        <v>2575</v>
      </c>
      <c r="K880" s="354">
        <f t="shared" si="127"/>
        <v>71.527777777777786</v>
      </c>
      <c r="L880" s="20"/>
      <c r="M880" s="20"/>
      <c r="N880" s="354"/>
      <c r="O880" s="21">
        <f t="shared" si="129"/>
        <v>3600</v>
      </c>
      <c r="P880" s="21">
        <f t="shared" si="128"/>
        <v>2575</v>
      </c>
      <c r="Q880" s="354">
        <f t="shared" si="130"/>
        <v>71.527777777777786</v>
      </c>
    </row>
    <row r="881" spans="2:17" x14ac:dyDescent="0.2">
      <c r="B881" s="6">
        <f t="shared" si="131"/>
        <v>390</v>
      </c>
      <c r="C881" s="17"/>
      <c r="D881" s="17"/>
      <c r="E881" s="17"/>
      <c r="F881" s="18"/>
      <c r="G881" s="19">
        <v>637</v>
      </c>
      <c r="H881" s="17" t="s">
        <v>119</v>
      </c>
      <c r="I881" s="20">
        <f>26300-10000</f>
        <v>16300</v>
      </c>
      <c r="J881" s="20">
        <v>14125</v>
      </c>
      <c r="K881" s="354">
        <f t="shared" si="127"/>
        <v>86.656441717791409</v>
      </c>
      <c r="L881" s="20"/>
      <c r="M881" s="20"/>
      <c r="N881" s="354"/>
      <c r="O881" s="21">
        <f t="shared" si="129"/>
        <v>16300</v>
      </c>
      <c r="P881" s="21">
        <f t="shared" si="128"/>
        <v>14125</v>
      </c>
      <c r="Q881" s="354">
        <f t="shared" si="130"/>
        <v>86.656441717791409</v>
      </c>
    </row>
    <row r="882" spans="2:17" x14ac:dyDescent="0.2">
      <c r="B882" s="6">
        <f t="shared" si="131"/>
        <v>391</v>
      </c>
      <c r="C882" s="12"/>
      <c r="D882" s="12"/>
      <c r="E882" s="12"/>
      <c r="F882" s="13" t="s">
        <v>116</v>
      </c>
      <c r="G882" s="14">
        <v>640</v>
      </c>
      <c r="H882" s="12" t="s">
        <v>126</v>
      </c>
      <c r="I882" s="15">
        <v>17000</v>
      </c>
      <c r="J882" s="15">
        <v>17000</v>
      </c>
      <c r="K882" s="354">
        <f t="shared" si="127"/>
        <v>100</v>
      </c>
      <c r="L882" s="15"/>
      <c r="M882" s="15"/>
      <c r="N882" s="354"/>
      <c r="O882" s="16">
        <f t="shared" si="129"/>
        <v>17000</v>
      </c>
      <c r="P882" s="16">
        <f t="shared" si="128"/>
        <v>17000</v>
      </c>
      <c r="Q882" s="354">
        <f t="shared" si="130"/>
        <v>100</v>
      </c>
    </row>
    <row r="883" spans="2:17" x14ac:dyDescent="0.2">
      <c r="B883" s="6">
        <f t="shared" si="131"/>
        <v>392</v>
      </c>
      <c r="C883" s="12"/>
      <c r="D883" s="12"/>
      <c r="E883" s="12"/>
      <c r="F883" s="13" t="s">
        <v>105</v>
      </c>
      <c r="G883" s="14">
        <v>610</v>
      </c>
      <c r="H883" s="12" t="s">
        <v>128</v>
      </c>
      <c r="I883" s="15">
        <f>883992+259-40000+100</f>
        <v>844351</v>
      </c>
      <c r="J883" s="15">
        <v>47163</v>
      </c>
      <c r="K883" s="354">
        <f t="shared" si="127"/>
        <v>5.5857102081954064</v>
      </c>
      <c r="L883" s="15"/>
      <c r="M883" s="15"/>
      <c r="N883" s="354"/>
      <c r="O883" s="16">
        <f t="shared" si="129"/>
        <v>844351</v>
      </c>
      <c r="P883" s="16">
        <f t="shared" si="128"/>
        <v>47163</v>
      </c>
      <c r="Q883" s="354">
        <f t="shared" si="130"/>
        <v>5.5857102081954064</v>
      </c>
    </row>
    <row r="884" spans="2:17" x14ac:dyDescent="0.2">
      <c r="B884" s="6">
        <f t="shared" si="131"/>
        <v>393</v>
      </c>
      <c r="C884" s="12"/>
      <c r="D884" s="12"/>
      <c r="E884" s="12"/>
      <c r="F884" s="13" t="s">
        <v>105</v>
      </c>
      <c r="G884" s="14">
        <v>620</v>
      </c>
      <c r="H884" s="12" t="s">
        <v>121</v>
      </c>
      <c r="I884" s="15">
        <f>286252+91-10000+35</f>
        <v>276378</v>
      </c>
      <c r="J884" s="15">
        <v>17762</v>
      </c>
      <c r="K884" s="354">
        <f t="shared" si="127"/>
        <v>6.4267054541244235</v>
      </c>
      <c r="L884" s="15"/>
      <c r="M884" s="15"/>
      <c r="N884" s="354"/>
      <c r="O884" s="16">
        <f t="shared" si="129"/>
        <v>276378</v>
      </c>
      <c r="P884" s="16">
        <f t="shared" si="128"/>
        <v>17762</v>
      </c>
      <c r="Q884" s="354">
        <f t="shared" si="130"/>
        <v>6.4267054541244235</v>
      </c>
    </row>
    <row r="885" spans="2:17" x14ac:dyDescent="0.2">
      <c r="B885" s="6">
        <f t="shared" si="131"/>
        <v>394</v>
      </c>
      <c r="C885" s="12"/>
      <c r="D885" s="12"/>
      <c r="E885" s="12"/>
      <c r="F885" s="13" t="s">
        <v>105</v>
      </c>
      <c r="G885" s="14">
        <v>630</v>
      </c>
      <c r="H885" s="12" t="s">
        <v>118</v>
      </c>
      <c r="I885" s="15">
        <f>SUM(I886:I891)</f>
        <v>128106</v>
      </c>
      <c r="J885" s="15">
        <f>SUM(J886:J891)</f>
        <v>83348</v>
      </c>
      <c r="K885" s="354">
        <f t="shared" si="127"/>
        <v>65.06174574180757</v>
      </c>
      <c r="L885" s="15"/>
      <c r="M885" s="15"/>
      <c r="N885" s="354"/>
      <c r="O885" s="16">
        <f t="shared" si="129"/>
        <v>128106</v>
      </c>
      <c r="P885" s="16">
        <f t="shared" si="128"/>
        <v>83348</v>
      </c>
      <c r="Q885" s="354">
        <f t="shared" si="130"/>
        <v>65.06174574180757</v>
      </c>
    </row>
    <row r="886" spans="2:17" x14ac:dyDescent="0.2">
      <c r="B886" s="6">
        <f t="shared" si="131"/>
        <v>395</v>
      </c>
      <c r="C886" s="17"/>
      <c r="D886" s="17"/>
      <c r="E886" s="17"/>
      <c r="F886" s="18"/>
      <c r="G886" s="19">
        <v>631</v>
      </c>
      <c r="H886" s="17" t="s">
        <v>124</v>
      </c>
      <c r="I886" s="20">
        <v>1600</v>
      </c>
      <c r="J886" s="20">
        <v>1597</v>
      </c>
      <c r="K886" s="354">
        <f t="shared" si="127"/>
        <v>99.8125</v>
      </c>
      <c r="L886" s="20"/>
      <c r="M886" s="20"/>
      <c r="N886" s="354"/>
      <c r="O886" s="21">
        <f t="shared" si="129"/>
        <v>1600</v>
      </c>
      <c r="P886" s="21">
        <f t="shared" si="128"/>
        <v>1597</v>
      </c>
      <c r="Q886" s="354">
        <f t="shared" si="130"/>
        <v>99.8125</v>
      </c>
    </row>
    <row r="887" spans="2:17" x14ac:dyDescent="0.2">
      <c r="B887" s="6">
        <f t="shared" si="131"/>
        <v>396</v>
      </c>
      <c r="C887" s="17"/>
      <c r="D887" s="17"/>
      <c r="E887" s="17"/>
      <c r="F887" s="18"/>
      <c r="G887" s="19">
        <v>632</v>
      </c>
      <c r="H887" s="17" t="s">
        <v>131</v>
      </c>
      <c r="I887" s="20">
        <f>27000-6000</f>
        <v>21000</v>
      </c>
      <c r="J887" s="20">
        <v>640</v>
      </c>
      <c r="K887" s="354">
        <f t="shared" si="127"/>
        <v>3.0476190476190474</v>
      </c>
      <c r="L887" s="20"/>
      <c r="M887" s="20"/>
      <c r="N887" s="354"/>
      <c r="O887" s="21">
        <f t="shared" si="129"/>
        <v>21000</v>
      </c>
      <c r="P887" s="21">
        <f t="shared" si="128"/>
        <v>640</v>
      </c>
      <c r="Q887" s="354">
        <f t="shared" si="130"/>
        <v>3.0476190476190474</v>
      </c>
    </row>
    <row r="888" spans="2:17" x14ac:dyDescent="0.2">
      <c r="B888" s="6">
        <f t="shared" si="131"/>
        <v>397</v>
      </c>
      <c r="C888" s="17"/>
      <c r="D888" s="17"/>
      <c r="E888" s="17"/>
      <c r="F888" s="18"/>
      <c r="G888" s="19">
        <v>633</v>
      </c>
      <c r="H888" s="17" t="s">
        <v>122</v>
      </c>
      <c r="I888" s="20">
        <f>22650+1000-10000</f>
        <v>13650</v>
      </c>
      <c r="J888" s="20">
        <v>13816</v>
      </c>
      <c r="K888" s="354">
        <f t="shared" si="127"/>
        <v>101.21611721611721</v>
      </c>
      <c r="L888" s="20"/>
      <c r="M888" s="20"/>
      <c r="N888" s="354"/>
      <c r="O888" s="21">
        <f t="shared" si="129"/>
        <v>13650</v>
      </c>
      <c r="P888" s="21">
        <f t="shared" si="128"/>
        <v>13816</v>
      </c>
      <c r="Q888" s="354">
        <f t="shared" si="130"/>
        <v>101.21611721611721</v>
      </c>
    </row>
    <row r="889" spans="2:17" x14ac:dyDescent="0.2">
      <c r="B889" s="6">
        <f t="shared" si="131"/>
        <v>398</v>
      </c>
      <c r="C889" s="17"/>
      <c r="D889" s="17"/>
      <c r="E889" s="17"/>
      <c r="F889" s="18"/>
      <c r="G889" s="19">
        <v>635</v>
      </c>
      <c r="H889" s="17" t="s">
        <v>130</v>
      </c>
      <c r="I889" s="20">
        <v>31200</v>
      </c>
      <c r="J889" s="20">
        <v>14853</v>
      </c>
      <c r="K889" s="354">
        <f t="shared" si="127"/>
        <v>47.605769230769226</v>
      </c>
      <c r="L889" s="20"/>
      <c r="M889" s="20"/>
      <c r="N889" s="354"/>
      <c r="O889" s="21">
        <f t="shared" si="129"/>
        <v>31200</v>
      </c>
      <c r="P889" s="21">
        <f t="shared" si="128"/>
        <v>14853</v>
      </c>
      <c r="Q889" s="354">
        <f t="shared" si="130"/>
        <v>47.605769230769226</v>
      </c>
    </row>
    <row r="890" spans="2:17" x14ac:dyDescent="0.2">
      <c r="B890" s="6">
        <f t="shared" si="131"/>
        <v>399</v>
      </c>
      <c r="C890" s="17"/>
      <c r="D890" s="17"/>
      <c r="E890" s="17"/>
      <c r="F890" s="18"/>
      <c r="G890" s="19">
        <v>636</v>
      </c>
      <c r="H890" s="17" t="s">
        <v>123</v>
      </c>
      <c r="I890" s="20">
        <v>3500</v>
      </c>
      <c r="J890" s="20">
        <v>0</v>
      </c>
      <c r="K890" s="354">
        <f t="shared" si="127"/>
        <v>0</v>
      </c>
      <c r="L890" s="20"/>
      <c r="M890" s="20"/>
      <c r="N890" s="354"/>
      <c r="O890" s="21">
        <f t="shared" si="129"/>
        <v>3500</v>
      </c>
      <c r="P890" s="21">
        <f t="shared" si="128"/>
        <v>0</v>
      </c>
      <c r="Q890" s="354">
        <f t="shared" si="130"/>
        <v>0</v>
      </c>
    </row>
    <row r="891" spans="2:17" x14ac:dyDescent="0.2">
      <c r="B891" s="6">
        <f t="shared" si="131"/>
        <v>400</v>
      </c>
      <c r="C891" s="17"/>
      <c r="D891" s="17"/>
      <c r="E891" s="17"/>
      <c r="F891" s="18"/>
      <c r="G891" s="19">
        <v>637</v>
      </c>
      <c r="H891" s="17" t="s">
        <v>119</v>
      </c>
      <c r="I891" s="20">
        <f>83850-26694</f>
        <v>57156</v>
      </c>
      <c r="J891" s="20">
        <v>52442</v>
      </c>
      <c r="K891" s="354">
        <f t="shared" si="127"/>
        <v>91.752396948701801</v>
      </c>
      <c r="L891" s="20"/>
      <c r="M891" s="20"/>
      <c r="N891" s="354"/>
      <c r="O891" s="21">
        <f t="shared" si="129"/>
        <v>57156</v>
      </c>
      <c r="P891" s="21">
        <f t="shared" si="128"/>
        <v>52442</v>
      </c>
      <c r="Q891" s="354">
        <f t="shared" si="130"/>
        <v>91.752396948701801</v>
      </c>
    </row>
    <row r="892" spans="2:17" x14ac:dyDescent="0.2">
      <c r="B892" s="6">
        <f t="shared" si="131"/>
        <v>401</v>
      </c>
      <c r="C892" s="12"/>
      <c r="D892" s="12"/>
      <c r="E892" s="12"/>
      <c r="F892" s="13" t="s">
        <v>105</v>
      </c>
      <c r="G892" s="14">
        <v>640</v>
      </c>
      <c r="H892" s="12" t="s">
        <v>126</v>
      </c>
      <c r="I892" s="15">
        <v>32500</v>
      </c>
      <c r="J892" s="15">
        <v>5119</v>
      </c>
      <c r="K892" s="354">
        <f t="shared" si="127"/>
        <v>15.750769230769231</v>
      </c>
      <c r="L892" s="15"/>
      <c r="M892" s="15"/>
      <c r="N892" s="354"/>
      <c r="O892" s="16">
        <f t="shared" si="129"/>
        <v>32500</v>
      </c>
      <c r="P892" s="16">
        <f t="shared" si="128"/>
        <v>5119</v>
      </c>
      <c r="Q892" s="354">
        <f t="shared" si="130"/>
        <v>15.750769230769231</v>
      </c>
    </row>
    <row r="893" spans="2:17" x14ac:dyDescent="0.2">
      <c r="B893" s="6">
        <f t="shared" si="131"/>
        <v>402</v>
      </c>
      <c r="C893" s="12"/>
      <c r="D893" s="12"/>
      <c r="E893" s="12"/>
      <c r="F893" s="13" t="s">
        <v>105</v>
      </c>
      <c r="G893" s="14">
        <v>630</v>
      </c>
      <c r="H893" s="12" t="s">
        <v>662</v>
      </c>
      <c r="I893" s="15">
        <v>96028</v>
      </c>
      <c r="J893" s="15">
        <v>95816</v>
      </c>
      <c r="K893" s="354">
        <f t="shared" si="127"/>
        <v>99.7792310576082</v>
      </c>
      <c r="L893" s="15"/>
      <c r="M893" s="15"/>
      <c r="N893" s="354"/>
      <c r="O893" s="16">
        <f t="shared" si="129"/>
        <v>96028</v>
      </c>
      <c r="P893" s="16">
        <f t="shared" si="128"/>
        <v>95816</v>
      </c>
      <c r="Q893" s="354">
        <f t="shared" si="130"/>
        <v>99.7792310576082</v>
      </c>
    </row>
    <row r="894" spans="2:17" x14ac:dyDescent="0.2">
      <c r="B894" s="6">
        <f t="shared" si="131"/>
        <v>403</v>
      </c>
      <c r="C894" s="12"/>
      <c r="D894" s="12"/>
      <c r="E894" s="12"/>
      <c r="F894" s="13" t="s">
        <v>105</v>
      </c>
      <c r="G894" s="14">
        <v>710</v>
      </c>
      <c r="H894" s="12" t="s">
        <v>172</v>
      </c>
      <c r="I894" s="15"/>
      <c r="J894" s="15"/>
      <c r="K894" s="354"/>
      <c r="L894" s="15">
        <f>L895+L897</f>
        <v>6100</v>
      </c>
      <c r="M894" s="15">
        <f>M895+M897</f>
        <v>1132</v>
      </c>
      <c r="N894" s="354">
        <f t="shared" ref="N894:N899" si="132">M894/L894*100</f>
        <v>18.557377049180328</v>
      </c>
      <c r="O894" s="16">
        <f t="shared" si="129"/>
        <v>6100</v>
      </c>
      <c r="P894" s="16">
        <f t="shared" si="128"/>
        <v>1132</v>
      </c>
      <c r="Q894" s="354">
        <f t="shared" si="130"/>
        <v>18.557377049180328</v>
      </c>
    </row>
    <row r="895" spans="2:17" x14ac:dyDescent="0.2">
      <c r="B895" s="6">
        <f t="shared" si="131"/>
        <v>404</v>
      </c>
      <c r="C895" s="12"/>
      <c r="D895" s="12"/>
      <c r="E895" s="12"/>
      <c r="F895" s="18"/>
      <c r="G895" s="19">
        <v>716</v>
      </c>
      <c r="H895" s="17" t="s">
        <v>212</v>
      </c>
      <c r="I895" s="20"/>
      <c r="J895" s="20"/>
      <c r="K895" s="354"/>
      <c r="L895" s="20">
        <f>L896</f>
        <v>1100</v>
      </c>
      <c r="M895" s="20">
        <f>M896</f>
        <v>1132</v>
      </c>
      <c r="N895" s="354">
        <f t="shared" si="132"/>
        <v>102.90909090909091</v>
      </c>
      <c r="O895" s="21">
        <f t="shared" si="129"/>
        <v>1100</v>
      </c>
      <c r="P895" s="21">
        <f t="shared" si="128"/>
        <v>1132</v>
      </c>
      <c r="Q895" s="354">
        <f t="shared" si="130"/>
        <v>102.90909090909091</v>
      </c>
    </row>
    <row r="896" spans="2:17" x14ac:dyDescent="0.2">
      <c r="B896" s="6">
        <f t="shared" si="131"/>
        <v>405</v>
      </c>
      <c r="C896" s="12"/>
      <c r="D896" s="12"/>
      <c r="E896" s="12"/>
      <c r="F896" s="99"/>
      <c r="G896" s="23"/>
      <c r="H896" s="1" t="s">
        <v>663</v>
      </c>
      <c r="I896" s="24"/>
      <c r="J896" s="24"/>
      <c r="K896" s="354"/>
      <c r="L896" s="24">
        <v>1100</v>
      </c>
      <c r="M896" s="24">
        <v>1132</v>
      </c>
      <c r="N896" s="354">
        <f t="shared" si="132"/>
        <v>102.90909090909091</v>
      </c>
      <c r="O896" s="26">
        <f t="shared" si="129"/>
        <v>1100</v>
      </c>
      <c r="P896" s="26">
        <f t="shared" si="128"/>
        <v>1132</v>
      </c>
      <c r="Q896" s="354">
        <f t="shared" si="130"/>
        <v>102.90909090909091</v>
      </c>
    </row>
    <row r="897" spans="2:17" x14ac:dyDescent="0.2">
      <c r="B897" s="6">
        <f t="shared" si="131"/>
        <v>406</v>
      </c>
      <c r="C897" s="12"/>
      <c r="D897" s="12"/>
      <c r="E897" s="12"/>
      <c r="F897" s="18"/>
      <c r="G897" s="19">
        <v>717</v>
      </c>
      <c r="H897" s="17" t="s">
        <v>179</v>
      </c>
      <c r="I897" s="20"/>
      <c r="J897" s="20"/>
      <c r="K897" s="354"/>
      <c r="L897" s="20">
        <f>L898</f>
        <v>5000</v>
      </c>
      <c r="M897" s="20">
        <f>M898</f>
        <v>0</v>
      </c>
      <c r="N897" s="354">
        <f t="shared" si="132"/>
        <v>0</v>
      </c>
      <c r="O897" s="21">
        <f t="shared" si="129"/>
        <v>5000</v>
      </c>
      <c r="P897" s="21">
        <f t="shared" si="128"/>
        <v>0</v>
      </c>
      <c r="Q897" s="354">
        <f t="shared" si="130"/>
        <v>0</v>
      </c>
    </row>
    <row r="898" spans="2:17" x14ac:dyDescent="0.2">
      <c r="B898" s="6">
        <f t="shared" si="131"/>
        <v>407</v>
      </c>
      <c r="C898" s="12"/>
      <c r="D898" s="12"/>
      <c r="E898" s="12"/>
      <c r="F898" s="99"/>
      <c r="G898" s="23"/>
      <c r="H898" s="1" t="s">
        <v>664</v>
      </c>
      <c r="I898" s="24"/>
      <c r="J898" s="24"/>
      <c r="K898" s="354"/>
      <c r="L898" s="24">
        <v>5000</v>
      </c>
      <c r="M898" s="24">
        <v>0</v>
      </c>
      <c r="N898" s="354">
        <f t="shared" si="132"/>
        <v>0</v>
      </c>
      <c r="O898" s="26">
        <f t="shared" si="129"/>
        <v>5000</v>
      </c>
      <c r="P898" s="26">
        <f t="shared" si="128"/>
        <v>0</v>
      </c>
      <c r="Q898" s="354">
        <f t="shared" si="130"/>
        <v>0</v>
      </c>
    </row>
    <row r="899" spans="2:17" ht="15" x14ac:dyDescent="0.25">
      <c r="B899" s="6">
        <f t="shared" si="131"/>
        <v>408</v>
      </c>
      <c r="C899" s="95"/>
      <c r="D899" s="95"/>
      <c r="E899" s="95">
        <v>13</v>
      </c>
      <c r="F899" s="96"/>
      <c r="G899" s="96"/>
      <c r="H899" s="95" t="s">
        <v>12</v>
      </c>
      <c r="I899" s="97">
        <f>I900+I901+I902+I908+I909+I910+I911+I916+I917</f>
        <v>1025175</v>
      </c>
      <c r="J899" s="97">
        <f>J900+J901+J902+J908+J909+J910+J911+J916+J917</f>
        <v>398895</v>
      </c>
      <c r="K899" s="354">
        <f t="shared" ref="K899:K917" si="133">J899/I899*100</f>
        <v>38.909942204989392</v>
      </c>
      <c r="L899" s="97">
        <f>L918</f>
        <v>60000</v>
      </c>
      <c r="M899" s="97">
        <f>M918</f>
        <v>0</v>
      </c>
      <c r="N899" s="354">
        <f t="shared" si="132"/>
        <v>0</v>
      </c>
      <c r="O899" s="98">
        <f t="shared" si="129"/>
        <v>1085175</v>
      </c>
      <c r="P899" s="98">
        <f t="shared" si="128"/>
        <v>398895</v>
      </c>
      <c r="Q899" s="354">
        <f t="shared" si="130"/>
        <v>36.758587324625061</v>
      </c>
    </row>
    <row r="900" spans="2:17" x14ac:dyDescent="0.2">
      <c r="B900" s="6">
        <f t="shared" si="131"/>
        <v>409</v>
      </c>
      <c r="C900" s="12"/>
      <c r="D900" s="12"/>
      <c r="E900" s="12"/>
      <c r="F900" s="13" t="s">
        <v>116</v>
      </c>
      <c r="G900" s="14">
        <v>610</v>
      </c>
      <c r="H900" s="12" t="s">
        <v>128</v>
      </c>
      <c r="I900" s="15">
        <v>231300</v>
      </c>
      <c r="J900" s="15">
        <v>98516</v>
      </c>
      <c r="K900" s="354">
        <f t="shared" si="133"/>
        <v>42.592304366623438</v>
      </c>
      <c r="L900" s="15"/>
      <c r="M900" s="15"/>
      <c r="N900" s="354"/>
      <c r="O900" s="16">
        <f t="shared" si="129"/>
        <v>231300</v>
      </c>
      <c r="P900" s="16">
        <f t="shared" si="128"/>
        <v>98516</v>
      </c>
      <c r="Q900" s="354">
        <f t="shared" si="130"/>
        <v>42.592304366623438</v>
      </c>
    </row>
    <row r="901" spans="2:17" x14ac:dyDescent="0.2">
      <c r="B901" s="6">
        <f t="shared" si="131"/>
        <v>410</v>
      </c>
      <c r="C901" s="12"/>
      <c r="D901" s="12"/>
      <c r="E901" s="12"/>
      <c r="F901" s="13" t="s">
        <v>116</v>
      </c>
      <c r="G901" s="14">
        <v>620</v>
      </c>
      <c r="H901" s="12" t="s">
        <v>121</v>
      </c>
      <c r="I901" s="15">
        <v>82861</v>
      </c>
      <c r="J901" s="15">
        <v>34170</v>
      </c>
      <c r="K901" s="354">
        <f t="shared" si="133"/>
        <v>41.23773548472743</v>
      </c>
      <c r="L901" s="15"/>
      <c r="M901" s="15"/>
      <c r="N901" s="354"/>
      <c r="O901" s="16">
        <f t="shared" si="129"/>
        <v>82861</v>
      </c>
      <c r="P901" s="16">
        <f t="shared" si="128"/>
        <v>34170</v>
      </c>
      <c r="Q901" s="354">
        <f t="shared" si="130"/>
        <v>41.23773548472743</v>
      </c>
    </row>
    <row r="902" spans="2:17" x14ac:dyDescent="0.2">
      <c r="B902" s="6">
        <f t="shared" si="131"/>
        <v>411</v>
      </c>
      <c r="C902" s="12"/>
      <c r="D902" s="12"/>
      <c r="E902" s="12"/>
      <c r="F902" s="13" t="s">
        <v>116</v>
      </c>
      <c r="G902" s="14">
        <v>630</v>
      </c>
      <c r="H902" s="12" t="s">
        <v>118</v>
      </c>
      <c r="I902" s="15">
        <f>SUM(I903:I907)</f>
        <v>45141</v>
      </c>
      <c r="J902" s="15">
        <f>SUM(J903:J907)</f>
        <v>26473</v>
      </c>
      <c r="K902" s="354">
        <f t="shared" si="133"/>
        <v>58.645134135265053</v>
      </c>
      <c r="L902" s="15"/>
      <c r="M902" s="15"/>
      <c r="N902" s="354"/>
      <c r="O902" s="16">
        <f t="shared" si="129"/>
        <v>45141</v>
      </c>
      <c r="P902" s="16">
        <f t="shared" si="128"/>
        <v>26473</v>
      </c>
      <c r="Q902" s="354">
        <f t="shared" si="130"/>
        <v>58.645134135265053</v>
      </c>
    </row>
    <row r="903" spans="2:17" x14ac:dyDescent="0.2">
      <c r="B903" s="6">
        <f t="shared" si="131"/>
        <v>412</v>
      </c>
      <c r="C903" s="17"/>
      <c r="D903" s="17"/>
      <c r="E903" s="17"/>
      <c r="F903" s="18"/>
      <c r="G903" s="19">
        <v>632</v>
      </c>
      <c r="H903" s="17" t="s">
        <v>131</v>
      </c>
      <c r="I903" s="20">
        <v>24470</v>
      </c>
      <c r="J903" s="20">
        <v>6276</v>
      </c>
      <c r="K903" s="354">
        <f t="shared" si="133"/>
        <v>25.647731916632608</v>
      </c>
      <c r="L903" s="20"/>
      <c r="M903" s="20"/>
      <c r="N903" s="354"/>
      <c r="O903" s="21">
        <f t="shared" si="129"/>
        <v>24470</v>
      </c>
      <c r="P903" s="21">
        <f t="shared" si="128"/>
        <v>6276</v>
      </c>
      <c r="Q903" s="354">
        <f t="shared" si="130"/>
        <v>25.647731916632608</v>
      </c>
    </row>
    <row r="904" spans="2:17" x14ac:dyDescent="0.2">
      <c r="B904" s="6">
        <f t="shared" si="131"/>
        <v>413</v>
      </c>
      <c r="C904" s="17"/>
      <c r="D904" s="17"/>
      <c r="E904" s="17"/>
      <c r="F904" s="18"/>
      <c r="G904" s="19">
        <v>633</v>
      </c>
      <c r="H904" s="17" t="s">
        <v>122</v>
      </c>
      <c r="I904" s="20">
        <v>5490</v>
      </c>
      <c r="J904" s="20">
        <v>10802</v>
      </c>
      <c r="K904" s="354">
        <f t="shared" si="133"/>
        <v>196.7577413479053</v>
      </c>
      <c r="L904" s="20"/>
      <c r="M904" s="20"/>
      <c r="N904" s="354"/>
      <c r="O904" s="21">
        <f t="shared" si="129"/>
        <v>5490</v>
      </c>
      <c r="P904" s="21">
        <f t="shared" si="128"/>
        <v>10802</v>
      </c>
      <c r="Q904" s="354">
        <f t="shared" si="130"/>
        <v>196.7577413479053</v>
      </c>
    </row>
    <row r="905" spans="2:17" x14ac:dyDescent="0.2">
      <c r="B905" s="6">
        <f t="shared" si="131"/>
        <v>414</v>
      </c>
      <c r="C905" s="17"/>
      <c r="D905" s="17"/>
      <c r="E905" s="17"/>
      <c r="F905" s="18"/>
      <c r="G905" s="19">
        <v>634</v>
      </c>
      <c r="H905" s="17" t="s">
        <v>129</v>
      </c>
      <c r="I905" s="20">
        <v>1200</v>
      </c>
      <c r="J905" s="20">
        <v>1000</v>
      </c>
      <c r="K905" s="354">
        <f t="shared" si="133"/>
        <v>83.333333333333343</v>
      </c>
      <c r="L905" s="20"/>
      <c r="M905" s="20"/>
      <c r="N905" s="354"/>
      <c r="O905" s="21">
        <f t="shared" si="129"/>
        <v>1200</v>
      </c>
      <c r="P905" s="21">
        <f t="shared" si="128"/>
        <v>1000</v>
      </c>
      <c r="Q905" s="354">
        <f t="shared" si="130"/>
        <v>83.333333333333343</v>
      </c>
    </row>
    <row r="906" spans="2:17" x14ac:dyDescent="0.2">
      <c r="B906" s="6">
        <f t="shared" si="131"/>
        <v>415</v>
      </c>
      <c r="C906" s="17"/>
      <c r="D906" s="17"/>
      <c r="E906" s="17"/>
      <c r="F906" s="18"/>
      <c r="G906" s="19">
        <v>635</v>
      </c>
      <c r="H906" s="17" t="s">
        <v>130</v>
      </c>
      <c r="I906" s="20">
        <v>2212</v>
      </c>
      <c r="J906" s="20">
        <v>0</v>
      </c>
      <c r="K906" s="354">
        <f t="shared" si="133"/>
        <v>0</v>
      </c>
      <c r="L906" s="20"/>
      <c r="M906" s="20"/>
      <c r="N906" s="354"/>
      <c r="O906" s="21">
        <f t="shared" si="129"/>
        <v>2212</v>
      </c>
      <c r="P906" s="21">
        <f t="shared" si="128"/>
        <v>0</v>
      </c>
      <c r="Q906" s="354">
        <f t="shared" si="130"/>
        <v>0</v>
      </c>
    </row>
    <row r="907" spans="2:17" x14ac:dyDescent="0.2">
      <c r="B907" s="6">
        <f t="shared" si="131"/>
        <v>416</v>
      </c>
      <c r="C907" s="17"/>
      <c r="D907" s="17"/>
      <c r="E907" s="17"/>
      <c r="F907" s="18"/>
      <c r="G907" s="19">
        <v>637</v>
      </c>
      <c r="H907" s="17" t="s">
        <v>119</v>
      </c>
      <c r="I907" s="20">
        <v>11769</v>
      </c>
      <c r="J907" s="20">
        <v>8395</v>
      </c>
      <c r="K907" s="354">
        <f t="shared" si="133"/>
        <v>71.331464015634296</v>
      </c>
      <c r="L907" s="20"/>
      <c r="M907" s="20"/>
      <c r="N907" s="354"/>
      <c r="O907" s="21">
        <f t="shared" si="129"/>
        <v>11769</v>
      </c>
      <c r="P907" s="21">
        <f t="shared" si="128"/>
        <v>8395</v>
      </c>
      <c r="Q907" s="354">
        <f t="shared" si="130"/>
        <v>71.331464015634296</v>
      </c>
    </row>
    <row r="908" spans="2:17" x14ac:dyDescent="0.2">
      <c r="B908" s="6">
        <f t="shared" ref="B908:B922" si="134">B907+1</f>
        <v>417</v>
      </c>
      <c r="C908" s="12"/>
      <c r="D908" s="12"/>
      <c r="E908" s="12"/>
      <c r="F908" s="13" t="s">
        <v>116</v>
      </c>
      <c r="G908" s="14">
        <v>640</v>
      </c>
      <c r="H908" s="12" t="s">
        <v>126</v>
      </c>
      <c r="I908" s="15">
        <v>5200</v>
      </c>
      <c r="J908" s="15">
        <v>1068</v>
      </c>
      <c r="K908" s="354">
        <f t="shared" si="133"/>
        <v>20.53846153846154</v>
      </c>
      <c r="L908" s="15"/>
      <c r="M908" s="15"/>
      <c r="N908" s="354"/>
      <c r="O908" s="16">
        <f t="shared" si="129"/>
        <v>5200</v>
      </c>
      <c r="P908" s="16">
        <f t="shared" si="128"/>
        <v>1068</v>
      </c>
      <c r="Q908" s="354">
        <f t="shared" si="130"/>
        <v>20.53846153846154</v>
      </c>
    </row>
    <row r="909" spans="2:17" x14ac:dyDescent="0.2">
      <c r="B909" s="6">
        <f t="shared" si="134"/>
        <v>418</v>
      </c>
      <c r="C909" s="12"/>
      <c r="D909" s="12"/>
      <c r="E909" s="12"/>
      <c r="F909" s="13" t="s">
        <v>105</v>
      </c>
      <c r="G909" s="14">
        <v>610</v>
      </c>
      <c r="H909" s="12" t="s">
        <v>128</v>
      </c>
      <c r="I909" s="15">
        <f>379657+259+7387+100</f>
        <v>387403</v>
      </c>
      <c r="J909" s="15">
        <v>138404</v>
      </c>
      <c r="K909" s="354">
        <f t="shared" si="133"/>
        <v>35.726104340957612</v>
      </c>
      <c r="L909" s="15"/>
      <c r="M909" s="15"/>
      <c r="N909" s="354"/>
      <c r="O909" s="16">
        <f t="shared" si="129"/>
        <v>387403</v>
      </c>
      <c r="P909" s="16">
        <f t="shared" si="128"/>
        <v>138404</v>
      </c>
      <c r="Q909" s="354">
        <f t="shared" si="130"/>
        <v>35.726104340957612</v>
      </c>
    </row>
    <row r="910" spans="2:17" x14ac:dyDescent="0.2">
      <c r="B910" s="6">
        <f t="shared" si="134"/>
        <v>419</v>
      </c>
      <c r="C910" s="12"/>
      <c r="D910" s="12"/>
      <c r="E910" s="12"/>
      <c r="F910" s="13" t="s">
        <v>105</v>
      </c>
      <c r="G910" s="14">
        <v>620</v>
      </c>
      <c r="H910" s="12" t="s">
        <v>121</v>
      </c>
      <c r="I910" s="15">
        <f>134317+91+2587+35</f>
        <v>137030</v>
      </c>
      <c r="J910" s="15">
        <v>49438</v>
      </c>
      <c r="K910" s="354">
        <f t="shared" si="133"/>
        <v>36.078231044296871</v>
      </c>
      <c r="L910" s="15"/>
      <c r="M910" s="15"/>
      <c r="N910" s="354"/>
      <c r="O910" s="16">
        <f t="shared" si="129"/>
        <v>137030</v>
      </c>
      <c r="P910" s="16">
        <f t="shared" si="128"/>
        <v>49438</v>
      </c>
      <c r="Q910" s="354">
        <f t="shared" si="130"/>
        <v>36.078231044296871</v>
      </c>
    </row>
    <row r="911" spans="2:17" x14ac:dyDescent="0.2">
      <c r="B911" s="6">
        <f t="shared" si="134"/>
        <v>420</v>
      </c>
      <c r="C911" s="12"/>
      <c r="D911" s="12"/>
      <c r="E911" s="12"/>
      <c r="F911" s="13" t="s">
        <v>105</v>
      </c>
      <c r="G911" s="14">
        <v>630</v>
      </c>
      <c r="H911" s="12" t="s">
        <v>118</v>
      </c>
      <c r="I911" s="15">
        <f>SUM(I912:I915)</f>
        <v>116749</v>
      </c>
      <c r="J911" s="15">
        <f>SUM(J912:J915)</f>
        <v>33816</v>
      </c>
      <c r="K911" s="354">
        <f t="shared" si="133"/>
        <v>28.964702053122508</v>
      </c>
      <c r="L911" s="15"/>
      <c r="M911" s="15"/>
      <c r="N911" s="354"/>
      <c r="O911" s="16">
        <f t="shared" si="129"/>
        <v>116749</v>
      </c>
      <c r="P911" s="16">
        <f t="shared" si="128"/>
        <v>33816</v>
      </c>
      <c r="Q911" s="354">
        <f t="shared" si="130"/>
        <v>28.964702053122508</v>
      </c>
    </row>
    <row r="912" spans="2:17" x14ac:dyDescent="0.2">
      <c r="B912" s="6">
        <f t="shared" si="134"/>
        <v>421</v>
      </c>
      <c r="C912" s="17"/>
      <c r="D912" s="17"/>
      <c r="E912" s="17"/>
      <c r="F912" s="18"/>
      <c r="G912" s="19">
        <v>632</v>
      </c>
      <c r="H912" s="17" t="s">
        <v>131</v>
      </c>
      <c r="I912" s="20">
        <v>59800</v>
      </c>
      <c r="J912" s="20">
        <v>18757</v>
      </c>
      <c r="K912" s="354">
        <f t="shared" si="133"/>
        <v>31.366220735785955</v>
      </c>
      <c r="L912" s="20"/>
      <c r="M912" s="20"/>
      <c r="N912" s="354"/>
      <c r="O912" s="21">
        <f t="shared" si="129"/>
        <v>59800</v>
      </c>
      <c r="P912" s="21">
        <f t="shared" si="128"/>
        <v>18757</v>
      </c>
      <c r="Q912" s="354">
        <f t="shared" si="130"/>
        <v>31.366220735785955</v>
      </c>
    </row>
    <row r="913" spans="2:17" x14ac:dyDescent="0.2">
      <c r="B913" s="6">
        <f t="shared" si="134"/>
        <v>422</v>
      </c>
      <c r="C913" s="17"/>
      <c r="D913" s="17"/>
      <c r="E913" s="17"/>
      <c r="F913" s="18"/>
      <c r="G913" s="19">
        <v>633</v>
      </c>
      <c r="H913" s="17" t="s">
        <v>122</v>
      </c>
      <c r="I913" s="20">
        <f>8120+1000</f>
        <v>9120</v>
      </c>
      <c r="J913" s="20">
        <v>5034</v>
      </c>
      <c r="K913" s="354">
        <f t="shared" si="133"/>
        <v>55.19736842105263</v>
      </c>
      <c r="L913" s="20"/>
      <c r="M913" s="20"/>
      <c r="N913" s="354"/>
      <c r="O913" s="21">
        <f t="shared" si="129"/>
        <v>9120</v>
      </c>
      <c r="P913" s="21">
        <f t="shared" si="128"/>
        <v>5034</v>
      </c>
      <c r="Q913" s="354">
        <f t="shared" si="130"/>
        <v>55.19736842105263</v>
      </c>
    </row>
    <row r="914" spans="2:17" x14ac:dyDescent="0.2">
      <c r="B914" s="6">
        <f t="shared" si="134"/>
        <v>423</v>
      </c>
      <c r="C914" s="17"/>
      <c r="D914" s="17"/>
      <c r="E914" s="17"/>
      <c r="F914" s="18"/>
      <c r="G914" s="19">
        <v>635</v>
      </c>
      <c r="H914" s="17" t="s">
        <v>130</v>
      </c>
      <c r="I914" s="20">
        <v>26650</v>
      </c>
      <c r="J914" s="20">
        <v>0</v>
      </c>
      <c r="K914" s="354">
        <f t="shared" si="133"/>
        <v>0</v>
      </c>
      <c r="L914" s="20"/>
      <c r="M914" s="20"/>
      <c r="N914" s="354"/>
      <c r="O914" s="21">
        <f t="shared" si="129"/>
        <v>26650</v>
      </c>
      <c r="P914" s="21">
        <f t="shared" si="128"/>
        <v>0</v>
      </c>
      <c r="Q914" s="354">
        <f t="shared" si="130"/>
        <v>0</v>
      </c>
    </row>
    <row r="915" spans="2:17" x14ac:dyDescent="0.2">
      <c r="B915" s="6">
        <f t="shared" si="134"/>
        <v>424</v>
      </c>
      <c r="C915" s="17"/>
      <c r="D915" s="17"/>
      <c r="E915" s="17"/>
      <c r="F915" s="18"/>
      <c r="G915" s="19">
        <v>637</v>
      </c>
      <c r="H915" s="17" t="s">
        <v>119</v>
      </c>
      <c r="I915" s="20">
        <v>21179</v>
      </c>
      <c r="J915" s="20">
        <v>10025</v>
      </c>
      <c r="K915" s="354">
        <f t="shared" si="133"/>
        <v>47.334623919920674</v>
      </c>
      <c r="L915" s="20"/>
      <c r="M915" s="20"/>
      <c r="N915" s="354"/>
      <c r="O915" s="21">
        <f t="shared" si="129"/>
        <v>21179</v>
      </c>
      <c r="P915" s="21">
        <f t="shared" si="128"/>
        <v>10025</v>
      </c>
      <c r="Q915" s="354">
        <f t="shared" si="130"/>
        <v>47.334623919920674</v>
      </c>
    </row>
    <row r="916" spans="2:17" x14ac:dyDescent="0.2">
      <c r="B916" s="6">
        <f t="shared" si="134"/>
        <v>425</v>
      </c>
      <c r="C916" s="12"/>
      <c r="D916" s="12"/>
      <c r="E916" s="12"/>
      <c r="F916" s="13" t="s">
        <v>105</v>
      </c>
      <c r="G916" s="14">
        <v>640</v>
      </c>
      <c r="H916" s="12" t="s">
        <v>126</v>
      </c>
      <c r="I916" s="15">
        <v>2822</v>
      </c>
      <c r="J916" s="15">
        <v>341</v>
      </c>
      <c r="K916" s="354">
        <f t="shared" si="133"/>
        <v>12.083628632175762</v>
      </c>
      <c r="L916" s="15"/>
      <c r="M916" s="15"/>
      <c r="N916" s="354"/>
      <c r="O916" s="16">
        <f t="shared" si="129"/>
        <v>2822</v>
      </c>
      <c r="P916" s="16">
        <f t="shared" si="128"/>
        <v>341</v>
      </c>
      <c r="Q916" s="354">
        <f t="shared" si="130"/>
        <v>12.083628632175762</v>
      </c>
    </row>
    <row r="917" spans="2:17" x14ac:dyDescent="0.2">
      <c r="B917" s="6">
        <f t="shared" si="134"/>
        <v>426</v>
      </c>
      <c r="C917" s="12"/>
      <c r="D917" s="12"/>
      <c r="E917" s="12"/>
      <c r="F917" s="13" t="s">
        <v>105</v>
      </c>
      <c r="G917" s="14">
        <v>630</v>
      </c>
      <c r="H917" s="12" t="s">
        <v>662</v>
      </c>
      <c r="I917" s="15">
        <v>16669</v>
      </c>
      <c r="J917" s="15">
        <v>16669</v>
      </c>
      <c r="K917" s="354">
        <f t="shared" si="133"/>
        <v>100</v>
      </c>
      <c r="L917" s="15"/>
      <c r="M917" s="15"/>
      <c r="N917" s="354"/>
      <c r="O917" s="16">
        <f t="shared" si="129"/>
        <v>16669</v>
      </c>
      <c r="P917" s="16">
        <f t="shared" si="128"/>
        <v>16669</v>
      </c>
      <c r="Q917" s="354">
        <f t="shared" si="130"/>
        <v>100</v>
      </c>
    </row>
    <row r="918" spans="2:17" x14ac:dyDescent="0.2">
      <c r="B918" s="6">
        <f t="shared" si="134"/>
        <v>427</v>
      </c>
      <c r="C918" s="12"/>
      <c r="D918" s="12"/>
      <c r="E918" s="12"/>
      <c r="F918" s="13" t="s">
        <v>105</v>
      </c>
      <c r="G918" s="14">
        <v>710</v>
      </c>
      <c r="H918" s="12" t="s">
        <v>172</v>
      </c>
      <c r="I918" s="15"/>
      <c r="J918" s="15"/>
      <c r="K918" s="354"/>
      <c r="L918" s="15">
        <f>L919</f>
        <v>60000</v>
      </c>
      <c r="M918" s="15">
        <f>M919</f>
        <v>0</v>
      </c>
      <c r="N918" s="354">
        <f>M918/L918*100</f>
        <v>0</v>
      </c>
      <c r="O918" s="16">
        <f t="shared" si="129"/>
        <v>60000</v>
      </c>
      <c r="P918" s="16">
        <f t="shared" si="128"/>
        <v>0</v>
      </c>
      <c r="Q918" s="354">
        <f t="shared" si="130"/>
        <v>0</v>
      </c>
    </row>
    <row r="919" spans="2:17" x14ac:dyDescent="0.2">
      <c r="B919" s="6">
        <f t="shared" si="134"/>
        <v>428</v>
      </c>
      <c r="C919" s="17"/>
      <c r="D919" s="17"/>
      <c r="E919" s="17"/>
      <c r="F919" s="18"/>
      <c r="G919" s="19">
        <v>717</v>
      </c>
      <c r="H919" s="17" t="s">
        <v>179</v>
      </c>
      <c r="I919" s="20"/>
      <c r="J919" s="20"/>
      <c r="K919" s="354"/>
      <c r="L919" s="20">
        <f>L920</f>
        <v>60000</v>
      </c>
      <c r="M919" s="20">
        <f>M920</f>
        <v>0</v>
      </c>
      <c r="N919" s="354">
        <f>M919/L919*100</f>
        <v>0</v>
      </c>
      <c r="O919" s="21">
        <f t="shared" si="129"/>
        <v>60000</v>
      </c>
      <c r="P919" s="21">
        <f t="shared" si="128"/>
        <v>0</v>
      </c>
      <c r="Q919" s="354">
        <f t="shared" si="130"/>
        <v>0</v>
      </c>
    </row>
    <row r="920" spans="2:17" x14ac:dyDescent="0.2">
      <c r="B920" s="6">
        <f t="shared" si="134"/>
        <v>429</v>
      </c>
      <c r="C920" s="1"/>
      <c r="D920" s="1"/>
      <c r="E920" s="1"/>
      <c r="F920" s="99"/>
      <c r="G920" s="23"/>
      <c r="H920" s="1" t="s">
        <v>590</v>
      </c>
      <c r="I920" s="24"/>
      <c r="J920" s="24"/>
      <c r="K920" s="354"/>
      <c r="L920" s="24">
        <v>60000</v>
      </c>
      <c r="M920" s="24">
        <v>0</v>
      </c>
      <c r="N920" s="354">
        <f>M920/L920*100</f>
        <v>0</v>
      </c>
      <c r="O920" s="26">
        <f t="shared" si="129"/>
        <v>60000</v>
      </c>
      <c r="P920" s="26">
        <f t="shared" si="128"/>
        <v>0</v>
      </c>
      <c r="Q920" s="354">
        <f t="shared" si="130"/>
        <v>0</v>
      </c>
    </row>
    <row r="921" spans="2:17" ht="15" x14ac:dyDescent="0.2">
      <c r="B921" s="6">
        <f t="shared" si="134"/>
        <v>430</v>
      </c>
      <c r="C921" s="9">
        <v>3</v>
      </c>
      <c r="D921" s="459" t="s">
        <v>156</v>
      </c>
      <c r="E921" s="460"/>
      <c r="F921" s="460"/>
      <c r="G921" s="460"/>
      <c r="H921" s="460"/>
      <c r="I921" s="10">
        <f>I922+I932+I944+I953+I961+I970+I979+I988+I997+I1006+I1015</f>
        <v>5690965</v>
      </c>
      <c r="J921" s="10">
        <f>J922+J932+J944+J953+J961+J970+J979+J988+J997+J1006+J1015</f>
        <v>2684891</v>
      </c>
      <c r="K921" s="354">
        <f t="shared" ref="K921:K952" si="135">J921/I921*100</f>
        <v>47.17813235540897</v>
      </c>
      <c r="L921" s="10">
        <f>L932+L944+L953+L961+L970+L979+L988+L997+L1006+L1015</f>
        <v>27000</v>
      </c>
      <c r="M921" s="10">
        <f>M932+M944+M953+M961+M970+M979+M988+M997+M1006+M1015</f>
        <v>0</v>
      </c>
      <c r="N921" s="354">
        <f>M921/L921*100</f>
        <v>0</v>
      </c>
      <c r="O921" s="31">
        <f t="shared" si="129"/>
        <v>5717965</v>
      </c>
      <c r="P921" s="31">
        <f t="shared" si="128"/>
        <v>2684891</v>
      </c>
      <c r="Q921" s="354">
        <f t="shared" si="130"/>
        <v>46.955359118147804</v>
      </c>
    </row>
    <row r="922" spans="2:17" x14ac:dyDescent="0.2">
      <c r="B922" s="6">
        <f t="shared" si="134"/>
        <v>431</v>
      </c>
      <c r="C922" s="12"/>
      <c r="D922" s="12"/>
      <c r="E922" s="12"/>
      <c r="F922" s="13" t="s">
        <v>155</v>
      </c>
      <c r="G922" s="14">
        <v>640</v>
      </c>
      <c r="H922" s="12" t="s">
        <v>126</v>
      </c>
      <c r="I922" s="15">
        <f>SUM(I923:I931)</f>
        <v>1074424</v>
      </c>
      <c r="J922" s="15">
        <f>SUM(J923:J931)</f>
        <v>530631</v>
      </c>
      <c r="K922" s="354">
        <f t="shared" si="135"/>
        <v>49.387485759811767</v>
      </c>
      <c r="L922" s="15"/>
      <c r="M922" s="15"/>
      <c r="N922" s="354"/>
      <c r="O922" s="16">
        <f t="shared" si="129"/>
        <v>1074424</v>
      </c>
      <c r="P922" s="16">
        <f t="shared" si="128"/>
        <v>530631</v>
      </c>
      <c r="Q922" s="354">
        <f t="shared" si="130"/>
        <v>49.387485759811767</v>
      </c>
    </row>
    <row r="923" spans="2:17" x14ac:dyDescent="0.2">
      <c r="B923" s="6"/>
      <c r="C923" s="12"/>
      <c r="D923" s="12"/>
      <c r="E923" s="12"/>
      <c r="F923" s="13"/>
      <c r="G923" s="14"/>
      <c r="H923" s="1" t="s">
        <v>627</v>
      </c>
      <c r="I923" s="24">
        <v>3044</v>
      </c>
      <c r="J923" s="24">
        <v>1520</v>
      </c>
      <c r="K923" s="354">
        <f t="shared" si="135"/>
        <v>49.934296977660978</v>
      </c>
      <c r="L923" s="24"/>
      <c r="M923" s="24"/>
      <c r="N923" s="354"/>
      <c r="O923" s="26">
        <f t="shared" si="129"/>
        <v>3044</v>
      </c>
      <c r="P923" s="26">
        <f t="shared" si="128"/>
        <v>1520</v>
      </c>
      <c r="Q923" s="354">
        <f t="shared" si="130"/>
        <v>49.934296977660978</v>
      </c>
    </row>
    <row r="924" spans="2:17" x14ac:dyDescent="0.2">
      <c r="B924" s="6">
        <f>B922+1</f>
        <v>432</v>
      </c>
      <c r="C924" s="22"/>
      <c r="D924" s="22"/>
      <c r="E924" s="22"/>
      <c r="F924" s="23"/>
      <c r="G924" s="23"/>
      <c r="H924" s="1" t="s">
        <v>365</v>
      </c>
      <c r="I924" s="24">
        <v>8030</v>
      </c>
      <c r="J924" s="24">
        <v>3921</v>
      </c>
      <c r="K924" s="354">
        <f t="shared" si="135"/>
        <v>48.829389788293895</v>
      </c>
      <c r="L924" s="24"/>
      <c r="M924" s="24"/>
      <c r="N924" s="354"/>
      <c r="O924" s="26">
        <f t="shared" si="129"/>
        <v>8030</v>
      </c>
      <c r="P924" s="26">
        <f t="shared" si="128"/>
        <v>3921</v>
      </c>
      <c r="Q924" s="354">
        <f t="shared" si="130"/>
        <v>48.829389788293895</v>
      </c>
    </row>
    <row r="925" spans="2:17" x14ac:dyDescent="0.2">
      <c r="B925" s="6">
        <f t="shared" ref="B925:B956" si="136">B924+1</f>
        <v>433</v>
      </c>
      <c r="C925" s="22"/>
      <c r="D925" s="22"/>
      <c r="E925" s="22"/>
      <c r="F925" s="23"/>
      <c r="G925" s="23"/>
      <c r="H925" s="1" t="s">
        <v>366</v>
      </c>
      <c r="I925" s="24">
        <v>45000</v>
      </c>
      <c r="J925" s="24">
        <v>21978</v>
      </c>
      <c r="K925" s="354">
        <f t="shared" si="135"/>
        <v>48.84</v>
      </c>
      <c r="L925" s="24"/>
      <c r="M925" s="24"/>
      <c r="N925" s="354"/>
      <c r="O925" s="26">
        <f t="shared" si="129"/>
        <v>45000</v>
      </c>
      <c r="P925" s="26">
        <f t="shared" si="128"/>
        <v>21978</v>
      </c>
      <c r="Q925" s="354">
        <f t="shared" si="130"/>
        <v>48.84</v>
      </c>
    </row>
    <row r="926" spans="2:17" x14ac:dyDescent="0.2">
      <c r="B926" s="6">
        <f t="shared" si="136"/>
        <v>434</v>
      </c>
      <c r="C926" s="22"/>
      <c r="D926" s="22"/>
      <c r="E926" s="22"/>
      <c r="F926" s="23"/>
      <c r="G926" s="23"/>
      <c r="H926" s="1" t="s">
        <v>367</v>
      </c>
      <c r="I926" s="24">
        <v>66000</v>
      </c>
      <c r="J926" s="24">
        <v>32235</v>
      </c>
      <c r="K926" s="354">
        <f t="shared" si="135"/>
        <v>48.840909090909093</v>
      </c>
      <c r="L926" s="24"/>
      <c r="M926" s="24"/>
      <c r="N926" s="354"/>
      <c r="O926" s="26">
        <f t="shared" si="129"/>
        <v>66000</v>
      </c>
      <c r="P926" s="26">
        <f t="shared" si="128"/>
        <v>32235</v>
      </c>
      <c r="Q926" s="354">
        <f t="shared" si="130"/>
        <v>48.840909090909093</v>
      </c>
    </row>
    <row r="927" spans="2:17" x14ac:dyDescent="0.2">
      <c r="B927" s="6">
        <f t="shared" si="136"/>
        <v>435</v>
      </c>
      <c r="C927" s="22"/>
      <c r="D927" s="22"/>
      <c r="E927" s="22"/>
      <c r="F927" s="23"/>
      <c r="G927" s="23"/>
      <c r="H927" s="1" t="s">
        <v>368</v>
      </c>
      <c r="I927" s="24">
        <v>185520</v>
      </c>
      <c r="J927" s="24">
        <v>91900</v>
      </c>
      <c r="K927" s="354">
        <f t="shared" si="135"/>
        <v>49.536438119879257</v>
      </c>
      <c r="L927" s="24"/>
      <c r="M927" s="24"/>
      <c r="N927" s="354"/>
      <c r="O927" s="26">
        <f t="shared" si="129"/>
        <v>185520</v>
      </c>
      <c r="P927" s="26">
        <f t="shared" si="128"/>
        <v>91900</v>
      </c>
      <c r="Q927" s="354">
        <f t="shared" si="130"/>
        <v>49.536438119879257</v>
      </c>
    </row>
    <row r="928" spans="2:17" x14ac:dyDescent="0.2">
      <c r="B928" s="6">
        <f t="shared" si="136"/>
        <v>436</v>
      </c>
      <c r="C928" s="22"/>
      <c r="D928" s="22"/>
      <c r="E928" s="22"/>
      <c r="F928" s="23"/>
      <c r="G928" s="23"/>
      <c r="H928" s="1" t="s">
        <v>369</v>
      </c>
      <c r="I928" s="24">
        <v>654660</v>
      </c>
      <c r="J928" s="24">
        <v>324294</v>
      </c>
      <c r="K928" s="354">
        <f t="shared" si="135"/>
        <v>49.536247823297593</v>
      </c>
      <c r="L928" s="24"/>
      <c r="M928" s="24"/>
      <c r="N928" s="354"/>
      <c r="O928" s="26">
        <f t="shared" si="129"/>
        <v>654660</v>
      </c>
      <c r="P928" s="26">
        <f t="shared" si="128"/>
        <v>324294</v>
      </c>
      <c r="Q928" s="354">
        <f t="shared" si="130"/>
        <v>49.536247823297593</v>
      </c>
    </row>
    <row r="929" spans="2:17" x14ac:dyDescent="0.2">
      <c r="B929" s="6">
        <f t="shared" si="136"/>
        <v>437</v>
      </c>
      <c r="C929" s="22"/>
      <c r="D929" s="22"/>
      <c r="E929" s="22"/>
      <c r="F929" s="23"/>
      <c r="G929" s="23"/>
      <c r="H929" s="1" t="s">
        <v>370</v>
      </c>
      <c r="I929" s="24">
        <v>29490</v>
      </c>
      <c r="J929" s="24">
        <v>14401</v>
      </c>
      <c r="K929" s="354">
        <f t="shared" si="135"/>
        <v>48.833502882332994</v>
      </c>
      <c r="L929" s="24"/>
      <c r="M929" s="24"/>
      <c r="N929" s="354"/>
      <c r="O929" s="26">
        <f t="shared" si="129"/>
        <v>29490</v>
      </c>
      <c r="P929" s="26">
        <f t="shared" si="128"/>
        <v>14401</v>
      </c>
      <c r="Q929" s="354">
        <f t="shared" si="130"/>
        <v>48.833502882332994</v>
      </c>
    </row>
    <row r="930" spans="2:17" x14ac:dyDescent="0.2">
      <c r="B930" s="6">
        <f t="shared" si="136"/>
        <v>438</v>
      </c>
      <c r="C930" s="22"/>
      <c r="D930" s="22"/>
      <c r="E930" s="22"/>
      <c r="F930" s="23"/>
      <c r="G930" s="23"/>
      <c r="H930" s="1" t="s">
        <v>286</v>
      </c>
      <c r="I930" s="24">
        <v>17400</v>
      </c>
      <c r="J930" s="24">
        <v>8499</v>
      </c>
      <c r="K930" s="354">
        <f t="shared" si="135"/>
        <v>48.844827586206897</v>
      </c>
      <c r="L930" s="24"/>
      <c r="M930" s="24"/>
      <c r="N930" s="354"/>
      <c r="O930" s="26">
        <f t="shared" si="129"/>
        <v>17400</v>
      </c>
      <c r="P930" s="26">
        <f t="shared" si="128"/>
        <v>8499</v>
      </c>
      <c r="Q930" s="354">
        <f t="shared" si="130"/>
        <v>48.844827586206897</v>
      </c>
    </row>
    <row r="931" spans="2:17" x14ac:dyDescent="0.2">
      <c r="B931" s="6">
        <f t="shared" si="136"/>
        <v>439</v>
      </c>
      <c r="C931" s="22"/>
      <c r="D931" s="22"/>
      <c r="E931" s="22"/>
      <c r="F931" s="23"/>
      <c r="G931" s="23"/>
      <c r="H931" s="1" t="s">
        <v>371</v>
      </c>
      <c r="I931" s="24">
        <v>65280</v>
      </c>
      <c r="J931" s="24">
        <v>31883</v>
      </c>
      <c r="K931" s="354">
        <f t="shared" si="135"/>
        <v>48.840379901960787</v>
      </c>
      <c r="L931" s="24"/>
      <c r="M931" s="24"/>
      <c r="N931" s="354"/>
      <c r="O931" s="26">
        <f t="shared" si="129"/>
        <v>65280</v>
      </c>
      <c r="P931" s="26">
        <f t="shared" si="128"/>
        <v>31883</v>
      </c>
      <c r="Q931" s="354">
        <f t="shared" si="130"/>
        <v>48.840379901960787</v>
      </c>
    </row>
    <row r="932" spans="2:17" ht="15" x14ac:dyDescent="0.25">
      <c r="B932" s="6">
        <f t="shared" si="136"/>
        <v>440</v>
      </c>
      <c r="C932" s="95"/>
      <c r="D932" s="95"/>
      <c r="E932" s="95">
        <v>1</v>
      </c>
      <c r="F932" s="96"/>
      <c r="G932" s="96"/>
      <c r="H932" s="95" t="s">
        <v>48</v>
      </c>
      <c r="I932" s="97">
        <f>I933+I934+I935+I943</f>
        <v>369623</v>
      </c>
      <c r="J932" s="97">
        <f>J933+J934+J935+J943</f>
        <v>183415</v>
      </c>
      <c r="K932" s="354">
        <f t="shared" si="135"/>
        <v>49.622182602273128</v>
      </c>
      <c r="L932" s="97"/>
      <c r="M932" s="97"/>
      <c r="N932" s="354"/>
      <c r="O932" s="98">
        <f t="shared" si="129"/>
        <v>369623</v>
      </c>
      <c r="P932" s="98">
        <f t="shared" si="128"/>
        <v>183415</v>
      </c>
      <c r="Q932" s="354">
        <f t="shared" si="130"/>
        <v>49.622182602273128</v>
      </c>
    </row>
    <row r="933" spans="2:17" x14ac:dyDescent="0.2">
      <c r="B933" s="6">
        <f t="shared" si="136"/>
        <v>441</v>
      </c>
      <c r="C933" s="12"/>
      <c r="D933" s="12"/>
      <c r="E933" s="12"/>
      <c r="F933" s="13" t="s">
        <v>155</v>
      </c>
      <c r="G933" s="14">
        <v>610</v>
      </c>
      <c r="H933" s="12" t="s">
        <v>128</v>
      </c>
      <c r="I933" s="15">
        <f>193120+100</f>
        <v>193220</v>
      </c>
      <c r="J933" s="15">
        <v>101784</v>
      </c>
      <c r="K933" s="354">
        <f t="shared" si="135"/>
        <v>52.677776627678298</v>
      </c>
      <c r="L933" s="15"/>
      <c r="M933" s="15"/>
      <c r="N933" s="354"/>
      <c r="O933" s="16">
        <f t="shared" si="129"/>
        <v>193220</v>
      </c>
      <c r="P933" s="16">
        <f t="shared" si="128"/>
        <v>101784</v>
      </c>
      <c r="Q933" s="354">
        <f t="shared" si="130"/>
        <v>52.677776627678298</v>
      </c>
    </row>
    <row r="934" spans="2:17" x14ac:dyDescent="0.2">
      <c r="B934" s="6">
        <f t="shared" si="136"/>
        <v>442</v>
      </c>
      <c r="C934" s="12"/>
      <c r="D934" s="12"/>
      <c r="E934" s="12"/>
      <c r="F934" s="13" t="s">
        <v>155</v>
      </c>
      <c r="G934" s="14">
        <v>620</v>
      </c>
      <c r="H934" s="12" t="s">
        <v>121</v>
      </c>
      <c r="I934" s="15">
        <f>73770+35+776</f>
        <v>74581</v>
      </c>
      <c r="J934" s="15">
        <v>37039</v>
      </c>
      <c r="K934" s="354">
        <f t="shared" si="135"/>
        <v>49.662782746275866</v>
      </c>
      <c r="L934" s="15"/>
      <c r="M934" s="15"/>
      <c r="N934" s="354"/>
      <c r="O934" s="16">
        <f t="shared" si="129"/>
        <v>74581</v>
      </c>
      <c r="P934" s="16">
        <f t="shared" si="128"/>
        <v>37039</v>
      </c>
      <c r="Q934" s="354">
        <f t="shared" si="130"/>
        <v>49.662782746275866</v>
      </c>
    </row>
    <row r="935" spans="2:17" x14ac:dyDescent="0.2">
      <c r="B935" s="6">
        <f t="shared" si="136"/>
        <v>443</v>
      </c>
      <c r="C935" s="12"/>
      <c r="D935" s="12"/>
      <c r="E935" s="12"/>
      <c r="F935" s="13" t="s">
        <v>155</v>
      </c>
      <c r="G935" s="14">
        <v>630</v>
      </c>
      <c r="H935" s="12" t="s">
        <v>118</v>
      </c>
      <c r="I935" s="15">
        <f>SUM(I936:I942)</f>
        <v>97224</v>
      </c>
      <c r="J935" s="15">
        <f>SUM(J936:J942)</f>
        <v>43618</v>
      </c>
      <c r="K935" s="354">
        <f t="shared" si="135"/>
        <v>44.863408211964121</v>
      </c>
      <c r="L935" s="15"/>
      <c r="M935" s="15"/>
      <c r="N935" s="354"/>
      <c r="O935" s="16">
        <f t="shared" si="129"/>
        <v>97224</v>
      </c>
      <c r="P935" s="16">
        <f t="shared" si="128"/>
        <v>43618</v>
      </c>
      <c r="Q935" s="354">
        <f t="shared" si="130"/>
        <v>44.863408211964121</v>
      </c>
    </row>
    <row r="936" spans="2:17" x14ac:dyDescent="0.2">
      <c r="B936" s="6">
        <f t="shared" si="136"/>
        <v>444</v>
      </c>
      <c r="C936" s="17"/>
      <c r="D936" s="17"/>
      <c r="E936" s="17"/>
      <c r="F936" s="18"/>
      <c r="G936" s="19">
        <v>631</v>
      </c>
      <c r="H936" s="17" t="s">
        <v>124</v>
      </c>
      <c r="I936" s="20">
        <v>200</v>
      </c>
      <c r="J936" s="20">
        <v>108</v>
      </c>
      <c r="K936" s="354">
        <f t="shared" si="135"/>
        <v>54</v>
      </c>
      <c r="L936" s="20"/>
      <c r="M936" s="20"/>
      <c r="N936" s="354"/>
      <c r="O936" s="21">
        <f t="shared" si="129"/>
        <v>200</v>
      </c>
      <c r="P936" s="21">
        <f t="shared" si="128"/>
        <v>108</v>
      </c>
      <c r="Q936" s="354">
        <f t="shared" si="130"/>
        <v>54</v>
      </c>
    </row>
    <row r="937" spans="2:17" x14ac:dyDescent="0.2">
      <c r="B937" s="6">
        <f t="shared" si="136"/>
        <v>445</v>
      </c>
      <c r="C937" s="17"/>
      <c r="D937" s="17"/>
      <c r="E937" s="17"/>
      <c r="F937" s="18"/>
      <c r="G937" s="19">
        <v>632</v>
      </c>
      <c r="H937" s="17" t="s">
        <v>131</v>
      </c>
      <c r="I937" s="20">
        <v>14200</v>
      </c>
      <c r="J937" s="20">
        <v>9368</v>
      </c>
      <c r="K937" s="354">
        <f t="shared" si="135"/>
        <v>65.971830985915489</v>
      </c>
      <c r="L937" s="20"/>
      <c r="M937" s="20"/>
      <c r="N937" s="354"/>
      <c r="O937" s="21">
        <f t="shared" si="129"/>
        <v>14200</v>
      </c>
      <c r="P937" s="21">
        <f t="shared" si="128"/>
        <v>9368</v>
      </c>
      <c r="Q937" s="354">
        <f t="shared" si="130"/>
        <v>65.971830985915489</v>
      </c>
    </row>
    <row r="938" spans="2:17" x14ac:dyDescent="0.2">
      <c r="B938" s="6">
        <f t="shared" si="136"/>
        <v>446</v>
      </c>
      <c r="C938" s="17"/>
      <c r="D938" s="17"/>
      <c r="E938" s="17"/>
      <c r="F938" s="18"/>
      <c r="G938" s="19">
        <v>633</v>
      </c>
      <c r="H938" s="17" t="s">
        <v>122</v>
      </c>
      <c r="I938" s="20">
        <v>16250</v>
      </c>
      <c r="J938" s="20">
        <v>4099</v>
      </c>
      <c r="K938" s="354">
        <f t="shared" si="135"/>
        <v>25.224615384615383</v>
      </c>
      <c r="L938" s="20"/>
      <c r="M938" s="20"/>
      <c r="N938" s="354"/>
      <c r="O938" s="21">
        <f t="shared" si="129"/>
        <v>16250</v>
      </c>
      <c r="P938" s="21">
        <f t="shared" ref="P938:P1001" si="137">J938+M938</f>
        <v>4099</v>
      </c>
      <c r="Q938" s="354">
        <f t="shared" si="130"/>
        <v>25.224615384615383</v>
      </c>
    </row>
    <row r="939" spans="2:17" x14ac:dyDescent="0.2">
      <c r="B939" s="6">
        <f t="shared" si="136"/>
        <v>447</v>
      </c>
      <c r="C939" s="17"/>
      <c r="D939" s="17"/>
      <c r="E939" s="17"/>
      <c r="F939" s="18"/>
      <c r="G939" s="19">
        <v>634</v>
      </c>
      <c r="H939" s="17" t="s">
        <v>129</v>
      </c>
      <c r="I939" s="20">
        <v>100</v>
      </c>
      <c r="J939" s="20">
        <v>21</v>
      </c>
      <c r="K939" s="354">
        <f t="shared" si="135"/>
        <v>21</v>
      </c>
      <c r="L939" s="20"/>
      <c r="M939" s="20"/>
      <c r="N939" s="354"/>
      <c r="O939" s="21">
        <f t="shared" ref="O939:O1002" si="138">I939+L939</f>
        <v>100</v>
      </c>
      <c r="P939" s="21">
        <f t="shared" si="137"/>
        <v>21</v>
      </c>
      <c r="Q939" s="354">
        <f t="shared" ref="Q939:Q1002" si="139">P939/O939*100</f>
        <v>21</v>
      </c>
    </row>
    <row r="940" spans="2:17" x14ac:dyDescent="0.2">
      <c r="B940" s="6">
        <f t="shared" si="136"/>
        <v>448</v>
      </c>
      <c r="C940" s="17"/>
      <c r="D940" s="17"/>
      <c r="E940" s="17"/>
      <c r="F940" s="18"/>
      <c r="G940" s="19">
        <v>635</v>
      </c>
      <c r="H940" s="17" t="s">
        <v>130</v>
      </c>
      <c r="I940" s="20">
        <v>4500</v>
      </c>
      <c r="J940" s="20">
        <v>2316</v>
      </c>
      <c r="K940" s="354">
        <f t="shared" si="135"/>
        <v>51.466666666666669</v>
      </c>
      <c r="L940" s="20"/>
      <c r="M940" s="20"/>
      <c r="N940" s="354"/>
      <c r="O940" s="21">
        <f t="shared" si="138"/>
        <v>4500</v>
      </c>
      <c r="P940" s="21">
        <f t="shared" si="137"/>
        <v>2316</v>
      </c>
      <c r="Q940" s="354">
        <f t="shared" si="139"/>
        <v>51.466666666666669</v>
      </c>
    </row>
    <row r="941" spans="2:17" x14ac:dyDescent="0.2">
      <c r="B941" s="6">
        <f t="shared" si="136"/>
        <v>449</v>
      </c>
      <c r="C941" s="17"/>
      <c r="D941" s="17"/>
      <c r="E941" s="17"/>
      <c r="F941" s="18"/>
      <c r="G941" s="19">
        <v>636</v>
      </c>
      <c r="H941" s="17" t="s">
        <v>123</v>
      </c>
      <c r="I941" s="20">
        <f>2200-300</f>
        <v>1900</v>
      </c>
      <c r="J941" s="20">
        <v>890</v>
      </c>
      <c r="K941" s="354">
        <f t="shared" si="135"/>
        <v>46.842105263157897</v>
      </c>
      <c r="L941" s="20"/>
      <c r="M941" s="20"/>
      <c r="N941" s="354"/>
      <c r="O941" s="21">
        <f t="shared" si="138"/>
        <v>1900</v>
      </c>
      <c r="P941" s="21">
        <f t="shared" si="137"/>
        <v>890</v>
      </c>
      <c r="Q941" s="354">
        <f t="shared" si="139"/>
        <v>46.842105263157897</v>
      </c>
    </row>
    <row r="942" spans="2:17" x14ac:dyDescent="0.2">
      <c r="B942" s="6">
        <f t="shared" si="136"/>
        <v>450</v>
      </c>
      <c r="C942" s="17"/>
      <c r="D942" s="17"/>
      <c r="E942" s="17"/>
      <c r="F942" s="18"/>
      <c r="G942" s="19">
        <v>637</v>
      </c>
      <c r="H942" s="17" t="s">
        <v>119</v>
      </c>
      <c r="I942" s="20">
        <f>59750+200+900-776</f>
        <v>60074</v>
      </c>
      <c r="J942" s="20">
        <v>26816</v>
      </c>
      <c r="K942" s="354">
        <f t="shared" si="135"/>
        <v>44.638279455338413</v>
      </c>
      <c r="L942" s="20"/>
      <c r="M942" s="20"/>
      <c r="N942" s="354"/>
      <c r="O942" s="21">
        <f t="shared" si="138"/>
        <v>60074</v>
      </c>
      <c r="P942" s="21">
        <f t="shared" si="137"/>
        <v>26816</v>
      </c>
      <c r="Q942" s="354">
        <f t="shared" si="139"/>
        <v>44.638279455338413</v>
      </c>
    </row>
    <row r="943" spans="2:17" x14ac:dyDescent="0.2">
      <c r="B943" s="6">
        <f t="shared" si="136"/>
        <v>451</v>
      </c>
      <c r="C943" s="12"/>
      <c r="D943" s="12"/>
      <c r="E943" s="12"/>
      <c r="F943" s="13" t="s">
        <v>155</v>
      </c>
      <c r="G943" s="14">
        <v>640</v>
      </c>
      <c r="H943" s="12" t="s">
        <v>126</v>
      </c>
      <c r="I943" s="15">
        <f>4298+300</f>
        <v>4598</v>
      </c>
      <c r="J943" s="15">
        <v>974</v>
      </c>
      <c r="K943" s="354">
        <f t="shared" si="135"/>
        <v>21.183123096998695</v>
      </c>
      <c r="L943" s="15"/>
      <c r="M943" s="15"/>
      <c r="N943" s="354"/>
      <c r="O943" s="16">
        <f t="shared" si="138"/>
        <v>4598</v>
      </c>
      <c r="P943" s="16">
        <f t="shared" si="137"/>
        <v>974</v>
      </c>
      <c r="Q943" s="354">
        <f t="shared" si="139"/>
        <v>21.183123096998695</v>
      </c>
    </row>
    <row r="944" spans="2:17" ht="15" x14ac:dyDescent="0.25">
      <c r="B944" s="6">
        <f t="shared" si="136"/>
        <v>452</v>
      </c>
      <c r="C944" s="95"/>
      <c r="D944" s="95"/>
      <c r="E944" s="95">
        <v>6</v>
      </c>
      <c r="F944" s="96"/>
      <c r="G944" s="96"/>
      <c r="H944" s="95" t="s">
        <v>279</v>
      </c>
      <c r="I944" s="97">
        <f>I945+I946+I947+I952</f>
        <v>299081</v>
      </c>
      <c r="J944" s="97">
        <f>J945+J946+J947+J952</f>
        <v>108471</v>
      </c>
      <c r="K944" s="354">
        <f t="shared" si="135"/>
        <v>36.26810128359876</v>
      </c>
      <c r="L944" s="97"/>
      <c r="M944" s="97"/>
      <c r="N944" s="354"/>
      <c r="O944" s="98">
        <f t="shared" si="138"/>
        <v>299081</v>
      </c>
      <c r="P944" s="98">
        <f t="shared" si="137"/>
        <v>108471</v>
      </c>
      <c r="Q944" s="354">
        <f t="shared" si="139"/>
        <v>36.26810128359876</v>
      </c>
    </row>
    <row r="945" spans="2:17" x14ac:dyDescent="0.2">
      <c r="B945" s="6">
        <f t="shared" si="136"/>
        <v>453</v>
      </c>
      <c r="C945" s="12"/>
      <c r="D945" s="12"/>
      <c r="E945" s="12"/>
      <c r="F945" s="13" t="s">
        <v>155</v>
      </c>
      <c r="G945" s="14">
        <v>610</v>
      </c>
      <c r="H945" s="12" t="s">
        <v>128</v>
      </c>
      <c r="I945" s="15">
        <v>162788</v>
      </c>
      <c r="J945" s="15">
        <v>63105</v>
      </c>
      <c r="K945" s="354">
        <f t="shared" si="135"/>
        <v>38.765142393788238</v>
      </c>
      <c r="L945" s="15"/>
      <c r="M945" s="15"/>
      <c r="N945" s="354"/>
      <c r="O945" s="16">
        <f t="shared" si="138"/>
        <v>162788</v>
      </c>
      <c r="P945" s="16">
        <f t="shared" si="137"/>
        <v>63105</v>
      </c>
      <c r="Q945" s="354">
        <f t="shared" si="139"/>
        <v>38.765142393788238</v>
      </c>
    </row>
    <row r="946" spans="2:17" x14ac:dyDescent="0.2">
      <c r="B946" s="6">
        <f t="shared" si="136"/>
        <v>454</v>
      </c>
      <c r="C946" s="12"/>
      <c r="D946" s="12"/>
      <c r="E946" s="12"/>
      <c r="F946" s="13" t="s">
        <v>155</v>
      </c>
      <c r="G946" s="14">
        <v>620</v>
      </c>
      <c r="H946" s="12" t="s">
        <v>121</v>
      </c>
      <c r="I946" s="15">
        <v>58604</v>
      </c>
      <c r="J946" s="15">
        <v>22273</v>
      </c>
      <c r="K946" s="354">
        <f t="shared" si="135"/>
        <v>38.005938161217664</v>
      </c>
      <c r="L946" s="15"/>
      <c r="M946" s="15"/>
      <c r="N946" s="354"/>
      <c r="O946" s="16">
        <f t="shared" si="138"/>
        <v>58604</v>
      </c>
      <c r="P946" s="16">
        <f t="shared" si="137"/>
        <v>22273</v>
      </c>
      <c r="Q946" s="354">
        <f t="shared" si="139"/>
        <v>38.005938161217664</v>
      </c>
    </row>
    <row r="947" spans="2:17" x14ac:dyDescent="0.2">
      <c r="B947" s="6">
        <f t="shared" si="136"/>
        <v>455</v>
      </c>
      <c r="C947" s="12"/>
      <c r="D947" s="12"/>
      <c r="E947" s="12"/>
      <c r="F947" s="13" t="s">
        <v>155</v>
      </c>
      <c r="G947" s="14">
        <v>630</v>
      </c>
      <c r="H947" s="12" t="s">
        <v>118</v>
      </c>
      <c r="I947" s="15">
        <f>SUM(I948:I951)</f>
        <v>76897</v>
      </c>
      <c r="J947" s="15">
        <f>SUM(J948:J951)</f>
        <v>22659</v>
      </c>
      <c r="K947" s="354">
        <f t="shared" si="135"/>
        <v>29.466689207641387</v>
      </c>
      <c r="L947" s="15"/>
      <c r="M947" s="15"/>
      <c r="N947" s="354"/>
      <c r="O947" s="16">
        <f t="shared" si="138"/>
        <v>76897</v>
      </c>
      <c r="P947" s="16">
        <f t="shared" si="137"/>
        <v>22659</v>
      </c>
      <c r="Q947" s="354">
        <f t="shared" si="139"/>
        <v>29.466689207641387</v>
      </c>
    </row>
    <row r="948" spans="2:17" x14ac:dyDescent="0.2">
      <c r="B948" s="6">
        <f t="shared" si="136"/>
        <v>456</v>
      </c>
      <c r="C948" s="17"/>
      <c r="D948" s="17"/>
      <c r="E948" s="17"/>
      <c r="F948" s="18"/>
      <c r="G948" s="19">
        <v>632</v>
      </c>
      <c r="H948" s="17" t="s">
        <v>131</v>
      </c>
      <c r="I948" s="20">
        <v>67270</v>
      </c>
      <c r="J948" s="20">
        <v>19075</v>
      </c>
      <c r="K948" s="354">
        <f t="shared" si="135"/>
        <v>28.355879292403745</v>
      </c>
      <c r="L948" s="20"/>
      <c r="M948" s="20"/>
      <c r="N948" s="354"/>
      <c r="O948" s="21">
        <f t="shared" si="138"/>
        <v>67270</v>
      </c>
      <c r="P948" s="21">
        <f t="shared" si="137"/>
        <v>19075</v>
      </c>
      <c r="Q948" s="354">
        <f t="shared" si="139"/>
        <v>28.355879292403745</v>
      </c>
    </row>
    <row r="949" spans="2:17" x14ac:dyDescent="0.2">
      <c r="B949" s="6">
        <f t="shared" si="136"/>
        <v>457</v>
      </c>
      <c r="C949" s="17"/>
      <c r="D949" s="17"/>
      <c r="E949" s="17"/>
      <c r="F949" s="18"/>
      <c r="G949" s="19">
        <v>633</v>
      </c>
      <c r="H949" s="17" t="s">
        <v>122</v>
      </c>
      <c r="I949" s="20">
        <v>5059</v>
      </c>
      <c r="J949" s="20">
        <v>541</v>
      </c>
      <c r="K949" s="354">
        <f t="shared" si="135"/>
        <v>10.693813006523028</v>
      </c>
      <c r="L949" s="20"/>
      <c r="M949" s="20"/>
      <c r="N949" s="354"/>
      <c r="O949" s="21">
        <f t="shared" si="138"/>
        <v>5059</v>
      </c>
      <c r="P949" s="21">
        <f t="shared" si="137"/>
        <v>541</v>
      </c>
      <c r="Q949" s="354">
        <f t="shared" si="139"/>
        <v>10.693813006523028</v>
      </c>
    </row>
    <row r="950" spans="2:17" x14ac:dyDescent="0.2">
      <c r="B950" s="6">
        <f t="shared" si="136"/>
        <v>458</v>
      </c>
      <c r="C950" s="17"/>
      <c r="D950" s="17"/>
      <c r="E950" s="17"/>
      <c r="F950" s="18"/>
      <c r="G950" s="19">
        <v>635</v>
      </c>
      <c r="H950" s="17" t="s">
        <v>130</v>
      </c>
      <c r="I950" s="20">
        <v>915</v>
      </c>
      <c r="J950" s="20">
        <v>2190</v>
      </c>
      <c r="K950" s="354">
        <f t="shared" si="135"/>
        <v>239.34426229508196</v>
      </c>
      <c r="L950" s="20"/>
      <c r="M950" s="20"/>
      <c r="N950" s="354"/>
      <c r="O950" s="21">
        <f t="shared" si="138"/>
        <v>915</v>
      </c>
      <c r="P950" s="21">
        <f t="shared" si="137"/>
        <v>2190</v>
      </c>
      <c r="Q950" s="354">
        <f t="shared" si="139"/>
        <v>239.34426229508196</v>
      </c>
    </row>
    <row r="951" spans="2:17" x14ac:dyDescent="0.2">
      <c r="B951" s="6">
        <f t="shared" si="136"/>
        <v>459</v>
      </c>
      <c r="C951" s="17"/>
      <c r="D951" s="17"/>
      <c r="E951" s="17"/>
      <c r="F951" s="18"/>
      <c r="G951" s="19">
        <v>637</v>
      </c>
      <c r="H951" s="17" t="s">
        <v>119</v>
      </c>
      <c r="I951" s="20">
        <v>3653</v>
      </c>
      <c r="J951" s="20">
        <v>853</v>
      </c>
      <c r="K951" s="354">
        <f t="shared" si="135"/>
        <v>23.350670681631534</v>
      </c>
      <c r="L951" s="20"/>
      <c r="M951" s="20"/>
      <c r="N951" s="354"/>
      <c r="O951" s="21">
        <f t="shared" si="138"/>
        <v>3653</v>
      </c>
      <c r="P951" s="21">
        <f t="shared" si="137"/>
        <v>853</v>
      </c>
      <c r="Q951" s="354">
        <f t="shared" si="139"/>
        <v>23.350670681631534</v>
      </c>
    </row>
    <row r="952" spans="2:17" x14ac:dyDescent="0.2">
      <c r="B952" s="6">
        <f t="shared" si="136"/>
        <v>460</v>
      </c>
      <c r="C952" s="12"/>
      <c r="D952" s="12"/>
      <c r="E952" s="12"/>
      <c r="F952" s="13" t="s">
        <v>155</v>
      </c>
      <c r="G952" s="14">
        <v>640</v>
      </c>
      <c r="H952" s="12" t="s">
        <v>126</v>
      </c>
      <c r="I952" s="15">
        <v>792</v>
      </c>
      <c r="J952" s="15">
        <v>434</v>
      </c>
      <c r="K952" s="354">
        <f t="shared" si="135"/>
        <v>54.797979797979799</v>
      </c>
      <c r="L952" s="15"/>
      <c r="M952" s="15"/>
      <c r="N952" s="354"/>
      <c r="O952" s="16">
        <f t="shared" si="138"/>
        <v>792</v>
      </c>
      <c r="P952" s="16">
        <f t="shared" si="137"/>
        <v>434</v>
      </c>
      <c r="Q952" s="354">
        <f t="shared" si="139"/>
        <v>54.797979797979799</v>
      </c>
    </row>
    <row r="953" spans="2:17" ht="15" x14ac:dyDescent="0.25">
      <c r="B953" s="6">
        <f t="shared" si="136"/>
        <v>461</v>
      </c>
      <c r="C953" s="95"/>
      <c r="D953" s="95"/>
      <c r="E953" s="95">
        <v>7</v>
      </c>
      <c r="F953" s="96"/>
      <c r="G953" s="96"/>
      <c r="H953" s="95" t="s">
        <v>281</v>
      </c>
      <c r="I953" s="97">
        <f>I954+I955+I956+I960</f>
        <v>236548</v>
      </c>
      <c r="J953" s="97">
        <f>J954+J955+J956+J960</f>
        <v>108917</v>
      </c>
      <c r="K953" s="354">
        <f t="shared" ref="K953:K984" si="140">J953/I953*100</f>
        <v>46.044354634154587</v>
      </c>
      <c r="L953" s="97"/>
      <c r="M953" s="97"/>
      <c r="N953" s="354"/>
      <c r="O953" s="98">
        <f t="shared" si="138"/>
        <v>236548</v>
      </c>
      <c r="P953" s="98">
        <f t="shared" si="137"/>
        <v>108917</v>
      </c>
      <c r="Q953" s="354">
        <f t="shared" si="139"/>
        <v>46.044354634154587</v>
      </c>
    </row>
    <row r="954" spans="2:17" x14ac:dyDescent="0.2">
      <c r="B954" s="6">
        <f t="shared" si="136"/>
        <v>462</v>
      </c>
      <c r="C954" s="12"/>
      <c r="D954" s="12"/>
      <c r="E954" s="12"/>
      <c r="F954" s="13" t="s">
        <v>155</v>
      </c>
      <c r="G954" s="14">
        <v>610</v>
      </c>
      <c r="H954" s="12" t="s">
        <v>128</v>
      </c>
      <c r="I954" s="15">
        <v>160493</v>
      </c>
      <c r="J954" s="15">
        <v>75565</v>
      </c>
      <c r="K954" s="354">
        <f t="shared" si="140"/>
        <v>47.083050351105655</v>
      </c>
      <c r="L954" s="15"/>
      <c r="M954" s="15"/>
      <c r="N954" s="354"/>
      <c r="O954" s="16">
        <f t="shared" si="138"/>
        <v>160493</v>
      </c>
      <c r="P954" s="16">
        <f t="shared" si="137"/>
        <v>75565</v>
      </c>
      <c r="Q954" s="354">
        <f t="shared" si="139"/>
        <v>47.083050351105655</v>
      </c>
    </row>
    <row r="955" spans="2:17" x14ac:dyDescent="0.2">
      <c r="B955" s="6">
        <f t="shared" si="136"/>
        <v>463</v>
      </c>
      <c r="C955" s="12"/>
      <c r="D955" s="12"/>
      <c r="E955" s="12"/>
      <c r="F955" s="13" t="s">
        <v>155</v>
      </c>
      <c r="G955" s="14">
        <v>620</v>
      </c>
      <c r="H955" s="12" t="s">
        <v>121</v>
      </c>
      <c r="I955" s="15">
        <v>60295</v>
      </c>
      <c r="J955" s="15">
        <v>28536</v>
      </c>
      <c r="K955" s="354">
        <f t="shared" si="140"/>
        <v>47.327307405257486</v>
      </c>
      <c r="L955" s="15"/>
      <c r="M955" s="15"/>
      <c r="N955" s="354"/>
      <c r="O955" s="16">
        <f t="shared" si="138"/>
        <v>60295</v>
      </c>
      <c r="P955" s="16">
        <f t="shared" si="137"/>
        <v>28536</v>
      </c>
      <c r="Q955" s="354">
        <f t="shared" si="139"/>
        <v>47.327307405257486</v>
      </c>
    </row>
    <row r="956" spans="2:17" x14ac:dyDescent="0.2">
      <c r="B956" s="6">
        <f t="shared" si="136"/>
        <v>464</v>
      </c>
      <c r="C956" s="12"/>
      <c r="D956" s="12"/>
      <c r="E956" s="12"/>
      <c r="F956" s="13" t="s">
        <v>155</v>
      </c>
      <c r="G956" s="14">
        <v>630</v>
      </c>
      <c r="H956" s="12" t="s">
        <v>118</v>
      </c>
      <c r="I956" s="15">
        <f>SUM(I957:I959)</f>
        <v>14660</v>
      </c>
      <c r="J956" s="15">
        <f>SUM(J957:J959)</f>
        <v>3780</v>
      </c>
      <c r="K956" s="354">
        <f t="shared" si="140"/>
        <v>25.784447476125511</v>
      </c>
      <c r="L956" s="15"/>
      <c r="M956" s="15"/>
      <c r="N956" s="354"/>
      <c r="O956" s="16">
        <f t="shared" si="138"/>
        <v>14660</v>
      </c>
      <c r="P956" s="16">
        <f t="shared" si="137"/>
        <v>3780</v>
      </c>
      <c r="Q956" s="354">
        <f t="shared" si="139"/>
        <v>25.784447476125511</v>
      </c>
    </row>
    <row r="957" spans="2:17" x14ac:dyDescent="0.2">
      <c r="B957" s="6">
        <f t="shared" ref="B957:B988" si="141">B956+1</f>
        <v>465</v>
      </c>
      <c r="C957" s="17"/>
      <c r="D957" s="17"/>
      <c r="E957" s="17"/>
      <c r="F957" s="18"/>
      <c r="G957" s="19">
        <v>632</v>
      </c>
      <c r="H957" s="17" t="s">
        <v>131</v>
      </c>
      <c r="I957" s="20">
        <v>5000</v>
      </c>
      <c r="J957" s="20">
        <v>0</v>
      </c>
      <c r="K957" s="354">
        <f t="shared" si="140"/>
        <v>0</v>
      </c>
      <c r="L957" s="20"/>
      <c r="M957" s="20"/>
      <c r="N957" s="354"/>
      <c r="O957" s="21">
        <f t="shared" si="138"/>
        <v>5000</v>
      </c>
      <c r="P957" s="21">
        <f t="shared" si="137"/>
        <v>0</v>
      </c>
      <c r="Q957" s="354">
        <f t="shared" si="139"/>
        <v>0</v>
      </c>
    </row>
    <row r="958" spans="2:17" x14ac:dyDescent="0.2">
      <c r="B958" s="6">
        <f t="shared" si="141"/>
        <v>466</v>
      </c>
      <c r="C958" s="17"/>
      <c r="D958" s="17"/>
      <c r="E958" s="17"/>
      <c r="F958" s="18"/>
      <c r="G958" s="19">
        <v>633</v>
      </c>
      <c r="H958" s="17" t="s">
        <v>122</v>
      </c>
      <c r="I958" s="20">
        <v>4500</v>
      </c>
      <c r="J958" s="20">
        <v>1200</v>
      </c>
      <c r="K958" s="354">
        <f t="shared" si="140"/>
        <v>26.666666666666668</v>
      </c>
      <c r="L958" s="20"/>
      <c r="M958" s="20"/>
      <c r="N958" s="354"/>
      <c r="O958" s="21">
        <f t="shared" si="138"/>
        <v>4500</v>
      </c>
      <c r="P958" s="21">
        <f t="shared" si="137"/>
        <v>1200</v>
      </c>
      <c r="Q958" s="354">
        <f t="shared" si="139"/>
        <v>26.666666666666668</v>
      </c>
    </row>
    <row r="959" spans="2:17" x14ac:dyDescent="0.2">
      <c r="B959" s="6">
        <f t="shared" si="141"/>
        <v>467</v>
      </c>
      <c r="C959" s="17"/>
      <c r="D959" s="17"/>
      <c r="E959" s="17"/>
      <c r="F959" s="18"/>
      <c r="G959" s="19">
        <v>637</v>
      </c>
      <c r="H959" s="17" t="s">
        <v>119</v>
      </c>
      <c r="I959" s="20">
        <v>5160</v>
      </c>
      <c r="J959" s="20">
        <v>2580</v>
      </c>
      <c r="K959" s="354">
        <f t="shared" si="140"/>
        <v>50</v>
      </c>
      <c r="L959" s="20"/>
      <c r="M959" s="20"/>
      <c r="N959" s="354"/>
      <c r="O959" s="21">
        <f t="shared" si="138"/>
        <v>5160</v>
      </c>
      <c r="P959" s="21">
        <f t="shared" si="137"/>
        <v>2580</v>
      </c>
      <c r="Q959" s="354">
        <f t="shared" si="139"/>
        <v>50</v>
      </c>
    </row>
    <row r="960" spans="2:17" x14ac:dyDescent="0.2">
      <c r="B960" s="6">
        <f t="shared" si="141"/>
        <v>468</v>
      </c>
      <c r="C960" s="12"/>
      <c r="D960" s="12"/>
      <c r="E960" s="12"/>
      <c r="F960" s="13" t="s">
        <v>155</v>
      </c>
      <c r="G960" s="14">
        <v>640</v>
      </c>
      <c r="H960" s="12" t="s">
        <v>126</v>
      </c>
      <c r="I960" s="15">
        <v>1100</v>
      </c>
      <c r="J960" s="15">
        <v>1036</v>
      </c>
      <c r="K960" s="354">
        <f t="shared" si="140"/>
        <v>94.181818181818173</v>
      </c>
      <c r="L960" s="15"/>
      <c r="M960" s="15"/>
      <c r="N960" s="354"/>
      <c r="O960" s="16">
        <f t="shared" si="138"/>
        <v>1100</v>
      </c>
      <c r="P960" s="16">
        <f t="shared" si="137"/>
        <v>1036</v>
      </c>
      <c r="Q960" s="354">
        <f t="shared" si="139"/>
        <v>94.181818181818173</v>
      </c>
    </row>
    <row r="961" spans="2:17" ht="15" x14ac:dyDescent="0.25">
      <c r="B961" s="6">
        <f t="shared" si="141"/>
        <v>469</v>
      </c>
      <c r="C961" s="95"/>
      <c r="D961" s="95"/>
      <c r="E961" s="95">
        <v>8</v>
      </c>
      <c r="F961" s="96"/>
      <c r="G961" s="96"/>
      <c r="H961" s="95" t="s">
        <v>6</v>
      </c>
      <c r="I961" s="97">
        <f>I962+I963+I964+I969</f>
        <v>480993</v>
      </c>
      <c r="J961" s="97">
        <f>J962+J963+J964+J969</f>
        <v>220984</v>
      </c>
      <c r="K961" s="354">
        <f t="shared" si="140"/>
        <v>45.943288155960687</v>
      </c>
      <c r="L961" s="97"/>
      <c r="M961" s="97"/>
      <c r="N961" s="354"/>
      <c r="O961" s="98">
        <f t="shared" si="138"/>
        <v>480993</v>
      </c>
      <c r="P961" s="98">
        <f t="shared" si="137"/>
        <v>220984</v>
      </c>
      <c r="Q961" s="354">
        <f t="shared" si="139"/>
        <v>45.943288155960687</v>
      </c>
    </row>
    <row r="962" spans="2:17" x14ac:dyDescent="0.2">
      <c r="B962" s="6">
        <f t="shared" si="141"/>
        <v>470</v>
      </c>
      <c r="C962" s="12"/>
      <c r="D962" s="12"/>
      <c r="E962" s="12"/>
      <c r="F962" s="13" t="s">
        <v>155</v>
      </c>
      <c r="G962" s="14">
        <v>610</v>
      </c>
      <c r="H962" s="12" t="s">
        <v>128</v>
      </c>
      <c r="I962" s="15">
        <v>318193</v>
      </c>
      <c r="J962" s="15">
        <v>157815</v>
      </c>
      <c r="K962" s="354">
        <f t="shared" si="140"/>
        <v>49.597257010682192</v>
      </c>
      <c r="L962" s="15"/>
      <c r="M962" s="15"/>
      <c r="N962" s="354"/>
      <c r="O962" s="16">
        <f t="shared" si="138"/>
        <v>318193</v>
      </c>
      <c r="P962" s="16">
        <f t="shared" si="137"/>
        <v>157815</v>
      </c>
      <c r="Q962" s="354">
        <f t="shared" si="139"/>
        <v>49.597257010682192</v>
      </c>
    </row>
    <row r="963" spans="2:17" x14ac:dyDescent="0.2">
      <c r="B963" s="6">
        <f t="shared" si="141"/>
        <v>471</v>
      </c>
      <c r="C963" s="12"/>
      <c r="D963" s="12"/>
      <c r="E963" s="12"/>
      <c r="F963" s="13" t="s">
        <v>155</v>
      </c>
      <c r="G963" s="14">
        <v>620</v>
      </c>
      <c r="H963" s="12" t="s">
        <v>121</v>
      </c>
      <c r="I963" s="15">
        <v>116620</v>
      </c>
      <c r="J963" s="15">
        <v>48215</v>
      </c>
      <c r="K963" s="354">
        <f t="shared" si="140"/>
        <v>41.343680329274569</v>
      </c>
      <c r="L963" s="15"/>
      <c r="M963" s="15"/>
      <c r="N963" s="354"/>
      <c r="O963" s="16">
        <f t="shared" si="138"/>
        <v>116620</v>
      </c>
      <c r="P963" s="16">
        <f t="shared" si="137"/>
        <v>48215</v>
      </c>
      <c r="Q963" s="354">
        <f t="shared" si="139"/>
        <v>41.343680329274569</v>
      </c>
    </row>
    <row r="964" spans="2:17" x14ac:dyDescent="0.2">
      <c r="B964" s="6">
        <f t="shared" si="141"/>
        <v>472</v>
      </c>
      <c r="C964" s="12"/>
      <c r="D964" s="12"/>
      <c r="E964" s="12"/>
      <c r="F964" s="13" t="s">
        <v>155</v>
      </c>
      <c r="G964" s="14">
        <v>630</v>
      </c>
      <c r="H964" s="12" t="s">
        <v>118</v>
      </c>
      <c r="I964" s="15">
        <f>SUM(I965:I968)</f>
        <v>40470</v>
      </c>
      <c r="J964" s="15">
        <f>SUM(J965:J968)</f>
        <v>13518</v>
      </c>
      <c r="K964" s="354">
        <f t="shared" si="140"/>
        <v>33.402520385470716</v>
      </c>
      <c r="L964" s="15"/>
      <c r="M964" s="15"/>
      <c r="N964" s="354"/>
      <c r="O964" s="16">
        <f t="shared" si="138"/>
        <v>40470</v>
      </c>
      <c r="P964" s="16">
        <f t="shared" si="137"/>
        <v>13518</v>
      </c>
      <c r="Q964" s="354">
        <f t="shared" si="139"/>
        <v>33.402520385470716</v>
      </c>
    </row>
    <row r="965" spans="2:17" x14ac:dyDescent="0.2">
      <c r="B965" s="6">
        <f t="shared" si="141"/>
        <v>473</v>
      </c>
      <c r="C965" s="17"/>
      <c r="D965" s="17"/>
      <c r="E965" s="17"/>
      <c r="F965" s="18"/>
      <c r="G965" s="19">
        <v>632</v>
      </c>
      <c r="H965" s="17" t="s">
        <v>131</v>
      </c>
      <c r="I965" s="20">
        <v>26720</v>
      </c>
      <c r="J965" s="20">
        <v>7795</v>
      </c>
      <c r="K965" s="354">
        <f t="shared" si="140"/>
        <v>29.172904191616766</v>
      </c>
      <c r="L965" s="20"/>
      <c r="M965" s="20"/>
      <c r="N965" s="354"/>
      <c r="O965" s="21">
        <f t="shared" si="138"/>
        <v>26720</v>
      </c>
      <c r="P965" s="21">
        <f t="shared" si="137"/>
        <v>7795</v>
      </c>
      <c r="Q965" s="354">
        <f t="shared" si="139"/>
        <v>29.172904191616766</v>
      </c>
    </row>
    <row r="966" spans="2:17" x14ac:dyDescent="0.2">
      <c r="B966" s="6">
        <f t="shared" si="141"/>
        <v>474</v>
      </c>
      <c r="C966" s="17"/>
      <c r="D966" s="17"/>
      <c r="E966" s="17"/>
      <c r="F966" s="18"/>
      <c r="G966" s="19">
        <v>633</v>
      </c>
      <c r="H966" s="17" t="s">
        <v>122</v>
      </c>
      <c r="I966" s="20">
        <v>2500</v>
      </c>
      <c r="J966" s="20">
        <v>933</v>
      </c>
      <c r="K966" s="354">
        <f t="shared" si="140"/>
        <v>37.32</v>
      </c>
      <c r="L966" s="20"/>
      <c r="M966" s="20"/>
      <c r="N966" s="354"/>
      <c r="O966" s="21">
        <f t="shared" si="138"/>
        <v>2500</v>
      </c>
      <c r="P966" s="21">
        <f t="shared" si="137"/>
        <v>933</v>
      </c>
      <c r="Q966" s="354">
        <f t="shared" si="139"/>
        <v>37.32</v>
      </c>
    </row>
    <row r="967" spans="2:17" x14ac:dyDescent="0.2">
      <c r="B967" s="6">
        <f t="shared" si="141"/>
        <v>475</v>
      </c>
      <c r="C967" s="17"/>
      <c r="D967" s="17"/>
      <c r="E967" s="17"/>
      <c r="F967" s="18"/>
      <c r="G967" s="19">
        <v>635</v>
      </c>
      <c r="H967" s="17" t="s">
        <v>130</v>
      </c>
      <c r="I967" s="20">
        <v>2000</v>
      </c>
      <c r="J967" s="20">
        <v>0</v>
      </c>
      <c r="K967" s="354">
        <f t="shared" si="140"/>
        <v>0</v>
      </c>
      <c r="L967" s="20"/>
      <c r="M967" s="20"/>
      <c r="N967" s="354"/>
      <c r="O967" s="21">
        <f t="shared" si="138"/>
        <v>2000</v>
      </c>
      <c r="P967" s="21">
        <f t="shared" si="137"/>
        <v>0</v>
      </c>
      <c r="Q967" s="354">
        <f t="shared" si="139"/>
        <v>0</v>
      </c>
    </row>
    <row r="968" spans="2:17" x14ac:dyDescent="0.2">
      <c r="B968" s="6">
        <f t="shared" si="141"/>
        <v>476</v>
      </c>
      <c r="C968" s="17"/>
      <c r="D968" s="17"/>
      <c r="E968" s="17"/>
      <c r="F968" s="18"/>
      <c r="G968" s="19">
        <v>637</v>
      </c>
      <c r="H968" s="17" t="s">
        <v>119</v>
      </c>
      <c r="I968" s="20">
        <v>9250</v>
      </c>
      <c r="J968" s="20">
        <v>4790</v>
      </c>
      <c r="K968" s="354">
        <f t="shared" si="140"/>
        <v>51.78378378378379</v>
      </c>
      <c r="L968" s="20"/>
      <c r="M968" s="20"/>
      <c r="N968" s="354"/>
      <c r="O968" s="21">
        <f t="shared" si="138"/>
        <v>9250</v>
      </c>
      <c r="P968" s="21">
        <f t="shared" si="137"/>
        <v>4790</v>
      </c>
      <c r="Q968" s="354">
        <f t="shared" si="139"/>
        <v>51.78378378378379</v>
      </c>
    </row>
    <row r="969" spans="2:17" x14ac:dyDescent="0.2">
      <c r="B969" s="6">
        <f t="shared" si="141"/>
        <v>477</v>
      </c>
      <c r="C969" s="12"/>
      <c r="D969" s="12"/>
      <c r="E969" s="12"/>
      <c r="F969" s="13" t="s">
        <v>155</v>
      </c>
      <c r="G969" s="14">
        <v>640</v>
      </c>
      <c r="H969" s="12" t="s">
        <v>126</v>
      </c>
      <c r="I969" s="15">
        <v>5710</v>
      </c>
      <c r="J969" s="15">
        <v>1436</v>
      </c>
      <c r="K969" s="354">
        <f t="shared" si="140"/>
        <v>25.148861646234678</v>
      </c>
      <c r="L969" s="15"/>
      <c r="M969" s="15"/>
      <c r="N969" s="354"/>
      <c r="O969" s="16">
        <f t="shared" si="138"/>
        <v>5710</v>
      </c>
      <c r="P969" s="16">
        <f t="shared" si="137"/>
        <v>1436</v>
      </c>
      <c r="Q969" s="354">
        <f t="shared" si="139"/>
        <v>25.148861646234678</v>
      </c>
    </row>
    <row r="970" spans="2:17" ht="15" x14ac:dyDescent="0.25">
      <c r="B970" s="6">
        <f t="shared" si="141"/>
        <v>478</v>
      </c>
      <c r="C970" s="95"/>
      <c r="D970" s="95"/>
      <c r="E970" s="95">
        <v>9</v>
      </c>
      <c r="F970" s="96"/>
      <c r="G970" s="96"/>
      <c r="H970" s="95" t="s">
        <v>4</v>
      </c>
      <c r="I970" s="97">
        <f>I971+I972+I973+I978</f>
        <v>312709</v>
      </c>
      <c r="J970" s="97">
        <f>J971+J972+J973+J978</f>
        <v>145599</v>
      </c>
      <c r="K970" s="354">
        <f t="shared" si="140"/>
        <v>46.560540310640242</v>
      </c>
      <c r="L970" s="97"/>
      <c r="M970" s="97"/>
      <c r="N970" s="354"/>
      <c r="O970" s="98">
        <f t="shared" si="138"/>
        <v>312709</v>
      </c>
      <c r="P970" s="98">
        <f t="shared" si="137"/>
        <v>145599</v>
      </c>
      <c r="Q970" s="354">
        <f t="shared" si="139"/>
        <v>46.560540310640242</v>
      </c>
    </row>
    <row r="971" spans="2:17" x14ac:dyDescent="0.2">
      <c r="B971" s="6">
        <f t="shared" si="141"/>
        <v>479</v>
      </c>
      <c r="C971" s="12"/>
      <c r="D971" s="12"/>
      <c r="E971" s="12"/>
      <c r="F971" s="13" t="s">
        <v>155</v>
      </c>
      <c r="G971" s="14">
        <v>610</v>
      </c>
      <c r="H971" s="12" t="s">
        <v>128</v>
      </c>
      <c r="I971" s="15">
        <f>212450-1511</f>
        <v>210939</v>
      </c>
      <c r="J971" s="15">
        <v>98670</v>
      </c>
      <c r="K971" s="354">
        <f t="shared" si="140"/>
        <v>46.776556255599964</v>
      </c>
      <c r="L971" s="15"/>
      <c r="M971" s="15"/>
      <c r="N971" s="354"/>
      <c r="O971" s="16">
        <f t="shared" si="138"/>
        <v>210939</v>
      </c>
      <c r="P971" s="16">
        <f t="shared" si="137"/>
        <v>98670</v>
      </c>
      <c r="Q971" s="354">
        <f t="shared" si="139"/>
        <v>46.776556255599964</v>
      </c>
    </row>
    <row r="972" spans="2:17" x14ac:dyDescent="0.2">
      <c r="B972" s="6">
        <f t="shared" si="141"/>
        <v>480</v>
      </c>
      <c r="C972" s="12"/>
      <c r="D972" s="12"/>
      <c r="E972" s="12"/>
      <c r="F972" s="13" t="s">
        <v>155</v>
      </c>
      <c r="G972" s="14">
        <v>620</v>
      </c>
      <c r="H972" s="12" t="s">
        <v>121</v>
      </c>
      <c r="I972" s="15">
        <v>78270</v>
      </c>
      <c r="J972" s="15">
        <v>36981</v>
      </c>
      <c r="K972" s="354">
        <f t="shared" si="140"/>
        <v>47.24798773476428</v>
      </c>
      <c r="L972" s="15"/>
      <c r="M972" s="15"/>
      <c r="N972" s="354"/>
      <c r="O972" s="16">
        <f t="shared" si="138"/>
        <v>78270</v>
      </c>
      <c r="P972" s="16">
        <f t="shared" si="137"/>
        <v>36981</v>
      </c>
      <c r="Q972" s="354">
        <f t="shared" si="139"/>
        <v>47.24798773476428</v>
      </c>
    </row>
    <row r="973" spans="2:17" x14ac:dyDescent="0.2">
      <c r="B973" s="6">
        <f t="shared" si="141"/>
        <v>481</v>
      </c>
      <c r="C973" s="12"/>
      <c r="D973" s="12"/>
      <c r="E973" s="12"/>
      <c r="F973" s="13" t="s">
        <v>155</v>
      </c>
      <c r="G973" s="14">
        <v>630</v>
      </c>
      <c r="H973" s="12" t="s">
        <v>118</v>
      </c>
      <c r="I973" s="15">
        <f>SUM(I974:I977)</f>
        <v>22000</v>
      </c>
      <c r="J973" s="15">
        <f>SUM(J974:J977)</f>
        <v>8983</v>
      </c>
      <c r="K973" s="354">
        <f t="shared" si="140"/>
        <v>40.831818181818178</v>
      </c>
      <c r="L973" s="15"/>
      <c r="M973" s="15"/>
      <c r="N973" s="354"/>
      <c r="O973" s="16">
        <f t="shared" si="138"/>
        <v>22000</v>
      </c>
      <c r="P973" s="16">
        <f t="shared" si="137"/>
        <v>8983</v>
      </c>
      <c r="Q973" s="354">
        <f t="shared" si="139"/>
        <v>40.831818181818178</v>
      </c>
    </row>
    <row r="974" spans="2:17" x14ac:dyDescent="0.2">
      <c r="B974" s="6">
        <f t="shared" si="141"/>
        <v>482</v>
      </c>
      <c r="C974" s="17"/>
      <c r="D974" s="17"/>
      <c r="E974" s="17"/>
      <c r="F974" s="18"/>
      <c r="G974" s="19">
        <v>632</v>
      </c>
      <c r="H974" s="17" t="s">
        <v>131</v>
      </c>
      <c r="I974" s="20">
        <v>4000</v>
      </c>
      <c r="J974" s="20">
        <v>5887</v>
      </c>
      <c r="K974" s="354">
        <f t="shared" si="140"/>
        <v>147.17499999999998</v>
      </c>
      <c r="L974" s="20"/>
      <c r="M974" s="20"/>
      <c r="N974" s="354"/>
      <c r="O974" s="21">
        <f t="shared" si="138"/>
        <v>4000</v>
      </c>
      <c r="P974" s="21">
        <f t="shared" si="137"/>
        <v>5887</v>
      </c>
      <c r="Q974" s="354">
        <f t="shared" si="139"/>
        <v>147.17499999999998</v>
      </c>
    </row>
    <row r="975" spans="2:17" x14ac:dyDescent="0.2">
      <c r="B975" s="6">
        <f t="shared" si="141"/>
        <v>483</v>
      </c>
      <c r="C975" s="17"/>
      <c r="D975" s="17"/>
      <c r="E975" s="17"/>
      <c r="F975" s="18"/>
      <c r="G975" s="19">
        <v>633</v>
      </c>
      <c r="H975" s="17" t="s">
        <v>122</v>
      </c>
      <c r="I975" s="20">
        <v>3600</v>
      </c>
      <c r="J975" s="20">
        <v>396</v>
      </c>
      <c r="K975" s="354">
        <f t="shared" si="140"/>
        <v>11</v>
      </c>
      <c r="L975" s="20"/>
      <c r="M975" s="20"/>
      <c r="N975" s="354"/>
      <c r="O975" s="21">
        <f t="shared" si="138"/>
        <v>3600</v>
      </c>
      <c r="P975" s="21">
        <f t="shared" si="137"/>
        <v>396</v>
      </c>
      <c r="Q975" s="354">
        <f t="shared" si="139"/>
        <v>11</v>
      </c>
    </row>
    <row r="976" spans="2:17" x14ac:dyDescent="0.2">
      <c r="B976" s="6">
        <f t="shared" si="141"/>
        <v>484</v>
      </c>
      <c r="C976" s="17"/>
      <c r="D976" s="17"/>
      <c r="E976" s="17"/>
      <c r="F976" s="18"/>
      <c r="G976" s="19">
        <v>635</v>
      </c>
      <c r="H976" s="17" t="s">
        <v>130</v>
      </c>
      <c r="I976" s="20">
        <v>7700</v>
      </c>
      <c r="J976" s="20">
        <v>0</v>
      </c>
      <c r="K976" s="354">
        <f t="shared" si="140"/>
        <v>0</v>
      </c>
      <c r="L976" s="20"/>
      <c r="M976" s="20"/>
      <c r="N976" s="354"/>
      <c r="O976" s="21">
        <f t="shared" si="138"/>
        <v>7700</v>
      </c>
      <c r="P976" s="21">
        <f t="shared" si="137"/>
        <v>0</v>
      </c>
      <c r="Q976" s="354">
        <f t="shared" si="139"/>
        <v>0</v>
      </c>
    </row>
    <row r="977" spans="2:17" x14ac:dyDescent="0.2">
      <c r="B977" s="6">
        <f t="shared" si="141"/>
        <v>485</v>
      </c>
      <c r="C977" s="17"/>
      <c r="D977" s="17"/>
      <c r="E977" s="17"/>
      <c r="F977" s="18"/>
      <c r="G977" s="19">
        <v>637</v>
      </c>
      <c r="H977" s="17" t="s">
        <v>119</v>
      </c>
      <c r="I977" s="20">
        <v>6700</v>
      </c>
      <c r="J977" s="20">
        <v>2700</v>
      </c>
      <c r="K977" s="354">
        <f t="shared" si="140"/>
        <v>40.298507462686565</v>
      </c>
      <c r="L977" s="20"/>
      <c r="M977" s="20"/>
      <c r="N977" s="354"/>
      <c r="O977" s="21">
        <f t="shared" si="138"/>
        <v>6700</v>
      </c>
      <c r="P977" s="21">
        <f t="shared" si="137"/>
        <v>2700</v>
      </c>
      <c r="Q977" s="354">
        <f t="shared" si="139"/>
        <v>40.298507462686565</v>
      </c>
    </row>
    <row r="978" spans="2:17" x14ac:dyDescent="0.2">
      <c r="B978" s="6">
        <f t="shared" si="141"/>
        <v>486</v>
      </c>
      <c r="C978" s="12"/>
      <c r="D978" s="12"/>
      <c r="E978" s="12"/>
      <c r="F978" s="13" t="s">
        <v>155</v>
      </c>
      <c r="G978" s="14">
        <v>640</v>
      </c>
      <c r="H978" s="12" t="s">
        <v>126</v>
      </c>
      <c r="I978" s="15">
        <v>1500</v>
      </c>
      <c r="J978" s="15">
        <v>965</v>
      </c>
      <c r="K978" s="354">
        <f t="shared" si="140"/>
        <v>64.333333333333329</v>
      </c>
      <c r="L978" s="15"/>
      <c r="M978" s="15"/>
      <c r="N978" s="354"/>
      <c r="O978" s="16">
        <f t="shared" si="138"/>
        <v>1500</v>
      </c>
      <c r="P978" s="16">
        <f t="shared" si="137"/>
        <v>965</v>
      </c>
      <c r="Q978" s="354">
        <f t="shared" si="139"/>
        <v>64.333333333333329</v>
      </c>
    </row>
    <row r="979" spans="2:17" ht="15" x14ac:dyDescent="0.25">
      <c r="B979" s="6">
        <f t="shared" si="141"/>
        <v>487</v>
      </c>
      <c r="C979" s="95"/>
      <c r="D979" s="95"/>
      <c r="E979" s="95">
        <v>10</v>
      </c>
      <c r="F979" s="96"/>
      <c r="G979" s="96"/>
      <c r="H979" s="95" t="s">
        <v>0</v>
      </c>
      <c r="I979" s="97">
        <f>I980+I981+I982+I987</f>
        <v>225003</v>
      </c>
      <c r="J979" s="97">
        <f>J980+J981+J982+J987</f>
        <v>96810</v>
      </c>
      <c r="K979" s="354">
        <f t="shared" si="140"/>
        <v>43.026092985426864</v>
      </c>
      <c r="L979" s="97"/>
      <c r="M979" s="97"/>
      <c r="N979" s="354"/>
      <c r="O979" s="98">
        <f t="shared" si="138"/>
        <v>225003</v>
      </c>
      <c r="P979" s="98">
        <f t="shared" si="137"/>
        <v>96810</v>
      </c>
      <c r="Q979" s="354">
        <f t="shared" si="139"/>
        <v>43.026092985426864</v>
      </c>
    </row>
    <row r="980" spans="2:17" x14ac:dyDescent="0.2">
      <c r="B980" s="6">
        <f t="shared" si="141"/>
        <v>488</v>
      </c>
      <c r="C980" s="12"/>
      <c r="D980" s="12"/>
      <c r="E980" s="12"/>
      <c r="F980" s="13" t="s">
        <v>155</v>
      </c>
      <c r="G980" s="14">
        <v>610</v>
      </c>
      <c r="H980" s="12" t="s">
        <v>128</v>
      </c>
      <c r="I980" s="15">
        <f>130676+9739</f>
        <v>140415</v>
      </c>
      <c r="J980" s="15">
        <v>61238</v>
      </c>
      <c r="K980" s="354">
        <f t="shared" si="140"/>
        <v>43.612149699106226</v>
      </c>
      <c r="L980" s="15"/>
      <c r="M980" s="15"/>
      <c r="N980" s="354"/>
      <c r="O980" s="16">
        <f t="shared" si="138"/>
        <v>140415</v>
      </c>
      <c r="P980" s="16">
        <f t="shared" si="137"/>
        <v>61238</v>
      </c>
      <c r="Q980" s="354">
        <f t="shared" si="139"/>
        <v>43.612149699106226</v>
      </c>
    </row>
    <row r="981" spans="2:17" x14ac:dyDescent="0.2">
      <c r="B981" s="6">
        <f t="shared" si="141"/>
        <v>489</v>
      </c>
      <c r="C981" s="12"/>
      <c r="D981" s="12"/>
      <c r="E981" s="12"/>
      <c r="F981" s="13" t="s">
        <v>155</v>
      </c>
      <c r="G981" s="14">
        <v>620</v>
      </c>
      <c r="H981" s="12" t="s">
        <v>121</v>
      </c>
      <c r="I981" s="15">
        <f>49592+2846</f>
        <v>52438</v>
      </c>
      <c r="J981" s="15">
        <v>22315</v>
      </c>
      <c r="K981" s="354">
        <f t="shared" si="140"/>
        <v>42.555017353827381</v>
      </c>
      <c r="L981" s="15"/>
      <c r="M981" s="15"/>
      <c r="N981" s="354"/>
      <c r="O981" s="16">
        <f t="shared" si="138"/>
        <v>52438</v>
      </c>
      <c r="P981" s="16">
        <f t="shared" si="137"/>
        <v>22315</v>
      </c>
      <c r="Q981" s="354">
        <f t="shared" si="139"/>
        <v>42.555017353827381</v>
      </c>
    </row>
    <row r="982" spans="2:17" x14ac:dyDescent="0.2">
      <c r="B982" s="6">
        <f t="shared" si="141"/>
        <v>490</v>
      </c>
      <c r="C982" s="12"/>
      <c r="D982" s="12"/>
      <c r="E982" s="12"/>
      <c r="F982" s="13" t="s">
        <v>155</v>
      </c>
      <c r="G982" s="14">
        <v>630</v>
      </c>
      <c r="H982" s="12" t="s">
        <v>118</v>
      </c>
      <c r="I982" s="15">
        <f>SUM(I983:I986)</f>
        <v>31550</v>
      </c>
      <c r="J982" s="15">
        <f>SUM(J983:J986)</f>
        <v>13242</v>
      </c>
      <c r="K982" s="354">
        <f t="shared" si="140"/>
        <v>41.971473851030112</v>
      </c>
      <c r="L982" s="15"/>
      <c r="M982" s="15"/>
      <c r="N982" s="354"/>
      <c r="O982" s="16">
        <f t="shared" si="138"/>
        <v>31550</v>
      </c>
      <c r="P982" s="16">
        <f t="shared" si="137"/>
        <v>13242</v>
      </c>
      <c r="Q982" s="354">
        <f t="shared" si="139"/>
        <v>41.971473851030112</v>
      </c>
    </row>
    <row r="983" spans="2:17" x14ac:dyDescent="0.2">
      <c r="B983" s="6">
        <f t="shared" si="141"/>
        <v>491</v>
      </c>
      <c r="C983" s="17"/>
      <c r="D983" s="17"/>
      <c r="E983" s="17"/>
      <c r="F983" s="18"/>
      <c r="G983" s="19">
        <v>632</v>
      </c>
      <c r="H983" s="17" t="s">
        <v>131</v>
      </c>
      <c r="I983" s="20">
        <v>11850</v>
      </c>
      <c r="J983" s="20">
        <v>9251</v>
      </c>
      <c r="K983" s="354">
        <f t="shared" si="140"/>
        <v>78.067510548523217</v>
      </c>
      <c r="L983" s="20"/>
      <c r="M983" s="20"/>
      <c r="N983" s="354"/>
      <c r="O983" s="21">
        <f t="shared" si="138"/>
        <v>11850</v>
      </c>
      <c r="P983" s="21">
        <f t="shared" si="137"/>
        <v>9251</v>
      </c>
      <c r="Q983" s="354">
        <f t="shared" si="139"/>
        <v>78.067510548523217</v>
      </c>
    </row>
    <row r="984" spans="2:17" x14ac:dyDescent="0.2">
      <c r="B984" s="6">
        <f t="shared" si="141"/>
        <v>492</v>
      </c>
      <c r="C984" s="17"/>
      <c r="D984" s="17"/>
      <c r="E984" s="17"/>
      <c r="F984" s="18"/>
      <c r="G984" s="19">
        <v>633</v>
      </c>
      <c r="H984" s="17" t="s">
        <v>122</v>
      </c>
      <c r="I984" s="20">
        <v>5700</v>
      </c>
      <c r="J984" s="20">
        <v>419</v>
      </c>
      <c r="K984" s="354">
        <f t="shared" si="140"/>
        <v>7.3508771929824563</v>
      </c>
      <c r="L984" s="20"/>
      <c r="M984" s="20"/>
      <c r="N984" s="354"/>
      <c r="O984" s="21">
        <f t="shared" si="138"/>
        <v>5700</v>
      </c>
      <c r="P984" s="21">
        <f t="shared" si="137"/>
        <v>419</v>
      </c>
      <c r="Q984" s="354">
        <f t="shared" si="139"/>
        <v>7.3508771929824563</v>
      </c>
    </row>
    <row r="985" spans="2:17" x14ac:dyDescent="0.2">
      <c r="B985" s="6">
        <f t="shared" si="141"/>
        <v>493</v>
      </c>
      <c r="C985" s="17"/>
      <c r="D985" s="17"/>
      <c r="E985" s="17"/>
      <c r="F985" s="18"/>
      <c r="G985" s="19">
        <v>635</v>
      </c>
      <c r="H985" s="17" t="s">
        <v>130</v>
      </c>
      <c r="I985" s="20">
        <v>7000</v>
      </c>
      <c r="J985" s="20">
        <v>0</v>
      </c>
      <c r="K985" s="354">
        <f t="shared" ref="K985:K1016" si="142">J985/I985*100</f>
        <v>0</v>
      </c>
      <c r="L985" s="20"/>
      <c r="M985" s="20"/>
      <c r="N985" s="354"/>
      <c r="O985" s="21">
        <f t="shared" si="138"/>
        <v>7000</v>
      </c>
      <c r="P985" s="21">
        <f t="shared" si="137"/>
        <v>0</v>
      </c>
      <c r="Q985" s="354">
        <f t="shared" si="139"/>
        <v>0</v>
      </c>
    </row>
    <row r="986" spans="2:17" x14ac:dyDescent="0.2">
      <c r="B986" s="6">
        <f t="shared" si="141"/>
        <v>494</v>
      </c>
      <c r="C986" s="17"/>
      <c r="D986" s="17"/>
      <c r="E986" s="17"/>
      <c r="F986" s="18"/>
      <c r="G986" s="19">
        <v>637</v>
      </c>
      <c r="H986" s="17" t="s">
        <v>119</v>
      </c>
      <c r="I986" s="20">
        <v>7000</v>
      </c>
      <c r="J986" s="20">
        <v>3572</v>
      </c>
      <c r="K986" s="354">
        <f t="shared" si="142"/>
        <v>51.028571428571425</v>
      </c>
      <c r="L986" s="20"/>
      <c r="M986" s="20"/>
      <c r="N986" s="354"/>
      <c r="O986" s="21">
        <f t="shared" si="138"/>
        <v>7000</v>
      </c>
      <c r="P986" s="21">
        <f t="shared" si="137"/>
        <v>3572</v>
      </c>
      <c r="Q986" s="354">
        <f t="shared" si="139"/>
        <v>51.028571428571425</v>
      </c>
    </row>
    <row r="987" spans="2:17" x14ac:dyDescent="0.2">
      <c r="B987" s="6">
        <f t="shared" si="141"/>
        <v>495</v>
      </c>
      <c r="C987" s="12"/>
      <c r="D987" s="12"/>
      <c r="E987" s="12"/>
      <c r="F987" s="13" t="s">
        <v>155</v>
      </c>
      <c r="G987" s="14">
        <v>640</v>
      </c>
      <c r="H987" s="12" t="s">
        <v>126</v>
      </c>
      <c r="I987" s="15">
        <v>600</v>
      </c>
      <c r="J987" s="15">
        <v>15</v>
      </c>
      <c r="K987" s="354">
        <f t="shared" si="142"/>
        <v>2.5</v>
      </c>
      <c r="L987" s="15"/>
      <c r="M987" s="15"/>
      <c r="N987" s="354"/>
      <c r="O987" s="16">
        <f t="shared" si="138"/>
        <v>600</v>
      </c>
      <c r="P987" s="16">
        <f t="shared" si="137"/>
        <v>15</v>
      </c>
      <c r="Q987" s="354">
        <f t="shared" si="139"/>
        <v>2.5</v>
      </c>
    </row>
    <row r="988" spans="2:17" ht="15" x14ac:dyDescent="0.25">
      <c r="B988" s="6">
        <f t="shared" si="141"/>
        <v>496</v>
      </c>
      <c r="C988" s="95"/>
      <c r="D988" s="95"/>
      <c r="E988" s="95">
        <v>11</v>
      </c>
      <c r="F988" s="96"/>
      <c r="G988" s="96"/>
      <c r="H988" s="95" t="s">
        <v>7</v>
      </c>
      <c r="I988" s="97">
        <f>I989+I990+I991+I996</f>
        <v>405350</v>
      </c>
      <c r="J988" s="97">
        <f>J989+J990+J991+J996</f>
        <v>175494</v>
      </c>
      <c r="K988" s="354">
        <f t="shared" si="142"/>
        <v>43.294436906377207</v>
      </c>
      <c r="L988" s="97"/>
      <c r="M988" s="97"/>
      <c r="N988" s="354"/>
      <c r="O988" s="98">
        <f t="shared" si="138"/>
        <v>405350</v>
      </c>
      <c r="P988" s="98">
        <f t="shared" si="137"/>
        <v>175494</v>
      </c>
      <c r="Q988" s="354">
        <f t="shared" si="139"/>
        <v>43.294436906377207</v>
      </c>
    </row>
    <row r="989" spans="2:17" x14ac:dyDescent="0.2">
      <c r="B989" s="6">
        <f t="shared" ref="B989:B1020" si="143">B988+1</f>
        <v>497</v>
      </c>
      <c r="C989" s="12"/>
      <c r="D989" s="12"/>
      <c r="E989" s="12"/>
      <c r="F989" s="13" t="s">
        <v>155</v>
      </c>
      <c r="G989" s="14">
        <v>610</v>
      </c>
      <c r="H989" s="12" t="s">
        <v>128</v>
      </c>
      <c r="I989" s="15">
        <v>262070</v>
      </c>
      <c r="J989" s="15">
        <v>109413</v>
      </c>
      <c r="K989" s="354">
        <f t="shared" si="142"/>
        <v>41.749532567634603</v>
      </c>
      <c r="L989" s="15"/>
      <c r="M989" s="15"/>
      <c r="N989" s="354"/>
      <c r="O989" s="16">
        <f t="shared" si="138"/>
        <v>262070</v>
      </c>
      <c r="P989" s="16">
        <f t="shared" si="137"/>
        <v>109413</v>
      </c>
      <c r="Q989" s="354">
        <f t="shared" si="139"/>
        <v>41.749532567634603</v>
      </c>
    </row>
    <row r="990" spans="2:17" x14ac:dyDescent="0.2">
      <c r="B990" s="6">
        <f t="shared" si="143"/>
        <v>498</v>
      </c>
      <c r="C990" s="12"/>
      <c r="D990" s="12"/>
      <c r="E990" s="12"/>
      <c r="F990" s="13" t="s">
        <v>155</v>
      </c>
      <c r="G990" s="14">
        <v>620</v>
      </c>
      <c r="H990" s="12" t="s">
        <v>121</v>
      </c>
      <c r="I990" s="15">
        <v>99260</v>
      </c>
      <c r="J990" s="15">
        <v>40441</v>
      </c>
      <c r="K990" s="354">
        <f t="shared" si="142"/>
        <v>40.742494458996575</v>
      </c>
      <c r="L990" s="15"/>
      <c r="M990" s="15"/>
      <c r="N990" s="354"/>
      <c r="O990" s="16">
        <f t="shared" si="138"/>
        <v>99260</v>
      </c>
      <c r="P990" s="16">
        <f t="shared" si="137"/>
        <v>40441</v>
      </c>
      <c r="Q990" s="354">
        <f t="shared" si="139"/>
        <v>40.742494458996575</v>
      </c>
    </row>
    <row r="991" spans="2:17" x14ac:dyDescent="0.2">
      <c r="B991" s="6">
        <f t="shared" si="143"/>
        <v>499</v>
      </c>
      <c r="C991" s="12"/>
      <c r="D991" s="12"/>
      <c r="E991" s="12"/>
      <c r="F991" s="13" t="s">
        <v>155</v>
      </c>
      <c r="G991" s="14">
        <v>630</v>
      </c>
      <c r="H991" s="12" t="s">
        <v>118</v>
      </c>
      <c r="I991" s="15">
        <f>SUM(I992:I995)</f>
        <v>39040</v>
      </c>
      <c r="J991" s="15">
        <f>SUM(J992:J995)</f>
        <v>23667</v>
      </c>
      <c r="K991" s="354">
        <f t="shared" si="142"/>
        <v>60.622438524590159</v>
      </c>
      <c r="L991" s="15"/>
      <c r="M991" s="15"/>
      <c r="N991" s="354"/>
      <c r="O991" s="16">
        <f t="shared" si="138"/>
        <v>39040</v>
      </c>
      <c r="P991" s="16">
        <f t="shared" si="137"/>
        <v>23667</v>
      </c>
      <c r="Q991" s="354">
        <f t="shared" si="139"/>
        <v>60.622438524590159</v>
      </c>
    </row>
    <row r="992" spans="2:17" x14ac:dyDescent="0.2">
      <c r="B992" s="6">
        <f t="shared" si="143"/>
        <v>500</v>
      </c>
      <c r="C992" s="17"/>
      <c r="D992" s="17"/>
      <c r="E992" s="17"/>
      <c r="F992" s="18"/>
      <c r="G992" s="19">
        <v>632</v>
      </c>
      <c r="H992" s="17" t="s">
        <v>131</v>
      </c>
      <c r="I992" s="20">
        <v>18000</v>
      </c>
      <c r="J992" s="20">
        <v>18000</v>
      </c>
      <c r="K992" s="354">
        <f t="shared" si="142"/>
        <v>100</v>
      </c>
      <c r="L992" s="20"/>
      <c r="M992" s="20"/>
      <c r="N992" s="354"/>
      <c r="O992" s="21">
        <f t="shared" si="138"/>
        <v>18000</v>
      </c>
      <c r="P992" s="21">
        <f t="shared" si="137"/>
        <v>18000</v>
      </c>
      <c r="Q992" s="354">
        <f t="shared" si="139"/>
        <v>100</v>
      </c>
    </row>
    <row r="993" spans="2:17" x14ac:dyDescent="0.2">
      <c r="B993" s="6">
        <f t="shared" si="143"/>
        <v>501</v>
      </c>
      <c r="C993" s="17"/>
      <c r="D993" s="17"/>
      <c r="E993" s="17"/>
      <c r="F993" s="18"/>
      <c r="G993" s="19">
        <v>633</v>
      </c>
      <c r="H993" s="17" t="s">
        <v>122</v>
      </c>
      <c r="I993" s="20">
        <v>7260</v>
      </c>
      <c r="J993" s="20">
        <v>1119</v>
      </c>
      <c r="K993" s="354">
        <f t="shared" si="142"/>
        <v>15.41322314049587</v>
      </c>
      <c r="L993" s="20"/>
      <c r="M993" s="20"/>
      <c r="N993" s="354"/>
      <c r="O993" s="21">
        <f t="shared" si="138"/>
        <v>7260</v>
      </c>
      <c r="P993" s="21">
        <f t="shared" si="137"/>
        <v>1119</v>
      </c>
      <c r="Q993" s="354">
        <f t="shared" si="139"/>
        <v>15.41322314049587</v>
      </c>
    </row>
    <row r="994" spans="2:17" x14ac:dyDescent="0.2">
      <c r="B994" s="6">
        <f t="shared" si="143"/>
        <v>502</v>
      </c>
      <c r="C994" s="17"/>
      <c r="D994" s="17"/>
      <c r="E994" s="17"/>
      <c r="F994" s="18"/>
      <c r="G994" s="19">
        <v>635</v>
      </c>
      <c r="H994" s="17" t="s">
        <v>130</v>
      </c>
      <c r="I994" s="20">
        <v>3000</v>
      </c>
      <c r="J994" s="20">
        <v>0</v>
      </c>
      <c r="K994" s="354">
        <f t="shared" si="142"/>
        <v>0</v>
      </c>
      <c r="L994" s="20"/>
      <c r="M994" s="20"/>
      <c r="N994" s="354"/>
      <c r="O994" s="21">
        <f t="shared" si="138"/>
        <v>3000</v>
      </c>
      <c r="P994" s="21">
        <f t="shared" si="137"/>
        <v>0</v>
      </c>
      <c r="Q994" s="354">
        <f t="shared" si="139"/>
        <v>0</v>
      </c>
    </row>
    <row r="995" spans="2:17" x14ac:dyDescent="0.2">
      <c r="B995" s="6">
        <f t="shared" si="143"/>
        <v>503</v>
      </c>
      <c r="C995" s="17"/>
      <c r="D995" s="17"/>
      <c r="E995" s="17"/>
      <c r="F995" s="18"/>
      <c r="G995" s="19">
        <v>637</v>
      </c>
      <c r="H995" s="17" t="s">
        <v>119</v>
      </c>
      <c r="I995" s="20">
        <v>10780</v>
      </c>
      <c r="J995" s="20">
        <v>4548</v>
      </c>
      <c r="K995" s="354">
        <f t="shared" si="142"/>
        <v>42.18923933209647</v>
      </c>
      <c r="L995" s="20"/>
      <c r="M995" s="20"/>
      <c r="N995" s="354"/>
      <c r="O995" s="21">
        <f t="shared" si="138"/>
        <v>10780</v>
      </c>
      <c r="P995" s="21">
        <f t="shared" si="137"/>
        <v>4548</v>
      </c>
      <c r="Q995" s="354">
        <f t="shared" si="139"/>
        <v>42.18923933209647</v>
      </c>
    </row>
    <row r="996" spans="2:17" x14ac:dyDescent="0.2">
      <c r="B996" s="6">
        <f t="shared" si="143"/>
        <v>504</v>
      </c>
      <c r="C996" s="12"/>
      <c r="D996" s="12"/>
      <c r="E996" s="12"/>
      <c r="F996" s="13" t="s">
        <v>155</v>
      </c>
      <c r="G996" s="14">
        <v>640</v>
      </c>
      <c r="H996" s="12" t="s">
        <v>126</v>
      </c>
      <c r="I996" s="15">
        <v>4980</v>
      </c>
      <c r="J996" s="15">
        <v>1973</v>
      </c>
      <c r="K996" s="354">
        <f t="shared" si="142"/>
        <v>39.618473895582326</v>
      </c>
      <c r="L996" s="15"/>
      <c r="M996" s="15"/>
      <c r="N996" s="354"/>
      <c r="O996" s="16">
        <f t="shared" si="138"/>
        <v>4980</v>
      </c>
      <c r="P996" s="16">
        <f t="shared" si="137"/>
        <v>1973</v>
      </c>
      <c r="Q996" s="354">
        <f t="shared" si="139"/>
        <v>39.618473895582326</v>
      </c>
    </row>
    <row r="997" spans="2:17" ht="15" x14ac:dyDescent="0.25">
      <c r="B997" s="6">
        <f t="shared" si="143"/>
        <v>505</v>
      </c>
      <c r="C997" s="95"/>
      <c r="D997" s="95"/>
      <c r="E997" s="95">
        <v>12</v>
      </c>
      <c r="F997" s="96"/>
      <c r="G997" s="96"/>
      <c r="H997" s="95" t="s">
        <v>5</v>
      </c>
      <c r="I997" s="97">
        <f>I998+I999+I1000+I1005</f>
        <v>357560</v>
      </c>
      <c r="J997" s="97">
        <f>J998+J999+J1000+J1005</f>
        <v>167659</v>
      </c>
      <c r="K997" s="354">
        <f t="shared" si="142"/>
        <v>46.88975276876608</v>
      </c>
      <c r="L997" s="97"/>
      <c r="M997" s="97"/>
      <c r="N997" s="354"/>
      <c r="O997" s="98">
        <f t="shared" si="138"/>
        <v>357560</v>
      </c>
      <c r="P997" s="98">
        <f t="shared" si="137"/>
        <v>167659</v>
      </c>
      <c r="Q997" s="354">
        <f t="shared" si="139"/>
        <v>46.88975276876608</v>
      </c>
    </row>
    <row r="998" spans="2:17" x14ac:dyDescent="0.2">
      <c r="B998" s="6">
        <f t="shared" si="143"/>
        <v>506</v>
      </c>
      <c r="C998" s="12"/>
      <c r="D998" s="12"/>
      <c r="E998" s="12"/>
      <c r="F998" s="13" t="s">
        <v>155</v>
      </c>
      <c r="G998" s="14">
        <v>610</v>
      </c>
      <c r="H998" s="12" t="s">
        <v>128</v>
      </c>
      <c r="I998" s="15">
        <v>248900</v>
      </c>
      <c r="J998" s="15">
        <v>109110</v>
      </c>
      <c r="K998" s="354">
        <f t="shared" si="142"/>
        <v>43.836882282040982</v>
      </c>
      <c r="L998" s="15"/>
      <c r="M998" s="15"/>
      <c r="N998" s="354"/>
      <c r="O998" s="16">
        <f t="shared" si="138"/>
        <v>248900</v>
      </c>
      <c r="P998" s="16">
        <f t="shared" si="137"/>
        <v>109110</v>
      </c>
      <c r="Q998" s="354">
        <f t="shared" si="139"/>
        <v>43.836882282040982</v>
      </c>
    </row>
    <row r="999" spans="2:17" x14ac:dyDescent="0.2">
      <c r="B999" s="6">
        <f t="shared" si="143"/>
        <v>507</v>
      </c>
      <c r="C999" s="12"/>
      <c r="D999" s="12"/>
      <c r="E999" s="12"/>
      <c r="F999" s="13" t="s">
        <v>155</v>
      </c>
      <c r="G999" s="14">
        <v>620</v>
      </c>
      <c r="H999" s="12" t="s">
        <v>121</v>
      </c>
      <c r="I999" s="15">
        <v>77700</v>
      </c>
      <c r="J999" s="15">
        <v>44432</v>
      </c>
      <c r="K999" s="354">
        <f t="shared" si="142"/>
        <v>57.184041184041178</v>
      </c>
      <c r="L999" s="15"/>
      <c r="M999" s="15"/>
      <c r="N999" s="354"/>
      <c r="O999" s="16">
        <f t="shared" si="138"/>
        <v>77700</v>
      </c>
      <c r="P999" s="16">
        <f t="shared" si="137"/>
        <v>44432</v>
      </c>
      <c r="Q999" s="354">
        <f t="shared" si="139"/>
        <v>57.184041184041178</v>
      </c>
    </row>
    <row r="1000" spans="2:17" x14ac:dyDescent="0.2">
      <c r="B1000" s="6">
        <f t="shared" si="143"/>
        <v>508</v>
      </c>
      <c r="C1000" s="12"/>
      <c r="D1000" s="12"/>
      <c r="E1000" s="12"/>
      <c r="F1000" s="13" t="s">
        <v>155</v>
      </c>
      <c r="G1000" s="14">
        <v>630</v>
      </c>
      <c r="H1000" s="12" t="s">
        <v>118</v>
      </c>
      <c r="I1000" s="15">
        <f>SUM(I1001:I1004)</f>
        <v>26160</v>
      </c>
      <c r="J1000" s="15">
        <f>SUM(J1001:J1004)</f>
        <v>13337</v>
      </c>
      <c r="K1000" s="354">
        <f t="shared" si="142"/>
        <v>50.982415902140673</v>
      </c>
      <c r="L1000" s="15"/>
      <c r="M1000" s="15"/>
      <c r="N1000" s="354"/>
      <c r="O1000" s="16">
        <f t="shared" si="138"/>
        <v>26160</v>
      </c>
      <c r="P1000" s="16">
        <f t="shared" si="137"/>
        <v>13337</v>
      </c>
      <c r="Q1000" s="354">
        <f t="shared" si="139"/>
        <v>50.982415902140673</v>
      </c>
    </row>
    <row r="1001" spans="2:17" x14ac:dyDescent="0.2">
      <c r="B1001" s="6">
        <f t="shared" si="143"/>
        <v>509</v>
      </c>
      <c r="C1001" s="17"/>
      <c r="D1001" s="17"/>
      <c r="E1001" s="17"/>
      <c r="F1001" s="18"/>
      <c r="G1001" s="19">
        <v>631</v>
      </c>
      <c r="H1001" s="17" t="s">
        <v>124</v>
      </c>
      <c r="I1001" s="20">
        <v>100</v>
      </c>
      <c r="J1001" s="20">
        <v>0</v>
      </c>
      <c r="K1001" s="354">
        <f t="shared" si="142"/>
        <v>0</v>
      </c>
      <c r="L1001" s="20"/>
      <c r="M1001" s="20"/>
      <c r="N1001" s="354"/>
      <c r="O1001" s="21">
        <f t="shared" si="138"/>
        <v>100</v>
      </c>
      <c r="P1001" s="21">
        <f t="shared" si="137"/>
        <v>0</v>
      </c>
      <c r="Q1001" s="354">
        <f t="shared" si="139"/>
        <v>0</v>
      </c>
    </row>
    <row r="1002" spans="2:17" x14ac:dyDescent="0.2">
      <c r="B1002" s="6">
        <f t="shared" si="143"/>
        <v>510</v>
      </c>
      <c r="C1002" s="17"/>
      <c r="D1002" s="17"/>
      <c r="E1002" s="17"/>
      <c r="F1002" s="18"/>
      <c r="G1002" s="19">
        <v>632</v>
      </c>
      <c r="H1002" s="17" t="s">
        <v>131</v>
      </c>
      <c r="I1002" s="20">
        <v>8860</v>
      </c>
      <c r="J1002" s="20">
        <v>7176</v>
      </c>
      <c r="K1002" s="354">
        <f t="shared" si="142"/>
        <v>80.993227990970652</v>
      </c>
      <c r="L1002" s="20"/>
      <c r="M1002" s="20"/>
      <c r="N1002" s="354"/>
      <c r="O1002" s="21">
        <f t="shared" si="138"/>
        <v>8860</v>
      </c>
      <c r="P1002" s="21">
        <f t="shared" ref="P1002:P1065" si="144">J1002+M1002</f>
        <v>7176</v>
      </c>
      <c r="Q1002" s="354">
        <f t="shared" si="139"/>
        <v>80.993227990970652</v>
      </c>
    </row>
    <row r="1003" spans="2:17" x14ac:dyDescent="0.2">
      <c r="B1003" s="6">
        <f t="shared" si="143"/>
        <v>511</v>
      </c>
      <c r="C1003" s="17"/>
      <c r="D1003" s="17"/>
      <c r="E1003" s="17"/>
      <c r="F1003" s="18"/>
      <c r="G1003" s="19">
        <v>633</v>
      </c>
      <c r="H1003" s="17" t="s">
        <v>122</v>
      </c>
      <c r="I1003" s="20">
        <v>11100</v>
      </c>
      <c r="J1003" s="20">
        <v>2619</v>
      </c>
      <c r="K1003" s="354">
        <f t="shared" si="142"/>
        <v>23.594594594594597</v>
      </c>
      <c r="L1003" s="20"/>
      <c r="M1003" s="20"/>
      <c r="N1003" s="354"/>
      <c r="O1003" s="21">
        <f t="shared" ref="O1003:O1066" si="145">I1003+L1003</f>
        <v>11100</v>
      </c>
      <c r="P1003" s="21">
        <f t="shared" si="144"/>
        <v>2619</v>
      </c>
      <c r="Q1003" s="354">
        <f t="shared" ref="Q1003:Q1066" si="146">P1003/O1003*100</f>
        <v>23.594594594594597</v>
      </c>
    </row>
    <row r="1004" spans="2:17" x14ac:dyDescent="0.2">
      <c r="B1004" s="6">
        <f t="shared" si="143"/>
        <v>512</v>
      </c>
      <c r="C1004" s="17"/>
      <c r="D1004" s="17"/>
      <c r="E1004" s="17"/>
      <c r="F1004" s="18"/>
      <c r="G1004" s="19">
        <v>637</v>
      </c>
      <c r="H1004" s="17" t="s">
        <v>119</v>
      </c>
      <c r="I1004" s="20">
        <v>6100</v>
      </c>
      <c r="J1004" s="20">
        <v>3542</v>
      </c>
      <c r="K1004" s="354">
        <f t="shared" si="142"/>
        <v>58.06557377049181</v>
      </c>
      <c r="L1004" s="20"/>
      <c r="M1004" s="20"/>
      <c r="N1004" s="354"/>
      <c r="O1004" s="21">
        <f t="shared" si="145"/>
        <v>6100</v>
      </c>
      <c r="P1004" s="21">
        <f t="shared" si="144"/>
        <v>3542</v>
      </c>
      <c r="Q1004" s="354">
        <f t="shared" si="146"/>
        <v>58.06557377049181</v>
      </c>
    </row>
    <row r="1005" spans="2:17" x14ac:dyDescent="0.2">
      <c r="B1005" s="6">
        <f t="shared" si="143"/>
        <v>513</v>
      </c>
      <c r="C1005" s="12"/>
      <c r="D1005" s="12"/>
      <c r="E1005" s="12"/>
      <c r="F1005" s="13" t="s">
        <v>155</v>
      </c>
      <c r="G1005" s="14">
        <v>640</v>
      </c>
      <c r="H1005" s="12" t="s">
        <v>126</v>
      </c>
      <c r="I1005" s="15">
        <v>4800</v>
      </c>
      <c r="J1005" s="15">
        <v>780</v>
      </c>
      <c r="K1005" s="354">
        <f t="shared" si="142"/>
        <v>16.25</v>
      </c>
      <c r="L1005" s="15"/>
      <c r="M1005" s="15"/>
      <c r="N1005" s="354"/>
      <c r="O1005" s="16">
        <f t="shared" si="145"/>
        <v>4800</v>
      </c>
      <c r="P1005" s="16">
        <f t="shared" si="144"/>
        <v>780</v>
      </c>
      <c r="Q1005" s="354">
        <f t="shared" si="146"/>
        <v>16.25</v>
      </c>
    </row>
    <row r="1006" spans="2:17" ht="15" x14ac:dyDescent="0.25">
      <c r="B1006" s="6">
        <f t="shared" si="143"/>
        <v>514</v>
      </c>
      <c r="C1006" s="95"/>
      <c r="D1006" s="95"/>
      <c r="E1006" s="95">
        <v>13</v>
      </c>
      <c r="F1006" s="96"/>
      <c r="G1006" s="96"/>
      <c r="H1006" s="95" t="s">
        <v>12</v>
      </c>
      <c r="I1006" s="97">
        <f>I1007+I1008+I1009+I1014</f>
        <v>127449</v>
      </c>
      <c r="J1006" s="97">
        <f>J1007+J1008+J1009+J1014</f>
        <v>52475</v>
      </c>
      <c r="K1006" s="354">
        <f t="shared" si="142"/>
        <v>41.17333207792921</v>
      </c>
      <c r="L1006" s="97"/>
      <c r="M1006" s="97"/>
      <c r="N1006" s="354"/>
      <c r="O1006" s="98">
        <f t="shared" si="145"/>
        <v>127449</v>
      </c>
      <c r="P1006" s="98">
        <f t="shared" si="144"/>
        <v>52475</v>
      </c>
      <c r="Q1006" s="354">
        <f t="shared" si="146"/>
        <v>41.17333207792921</v>
      </c>
    </row>
    <row r="1007" spans="2:17" x14ac:dyDescent="0.2">
      <c r="B1007" s="6">
        <f t="shared" si="143"/>
        <v>515</v>
      </c>
      <c r="C1007" s="12"/>
      <c r="D1007" s="12"/>
      <c r="E1007" s="12"/>
      <c r="F1007" s="13" t="s">
        <v>155</v>
      </c>
      <c r="G1007" s="14">
        <v>610</v>
      </c>
      <c r="H1007" s="12" t="s">
        <v>128</v>
      </c>
      <c r="I1007" s="15">
        <v>75264</v>
      </c>
      <c r="J1007" s="15">
        <v>34336</v>
      </c>
      <c r="K1007" s="354">
        <f t="shared" si="142"/>
        <v>45.620748299319729</v>
      </c>
      <c r="L1007" s="15"/>
      <c r="M1007" s="15"/>
      <c r="N1007" s="354"/>
      <c r="O1007" s="16">
        <f t="shared" si="145"/>
        <v>75264</v>
      </c>
      <c r="P1007" s="16">
        <f t="shared" si="144"/>
        <v>34336</v>
      </c>
      <c r="Q1007" s="354">
        <f t="shared" si="146"/>
        <v>45.620748299319729</v>
      </c>
    </row>
    <row r="1008" spans="2:17" x14ac:dyDescent="0.2">
      <c r="B1008" s="6">
        <f t="shared" si="143"/>
        <v>516</v>
      </c>
      <c r="C1008" s="12"/>
      <c r="D1008" s="12"/>
      <c r="E1008" s="12"/>
      <c r="F1008" s="13" t="s">
        <v>155</v>
      </c>
      <c r="G1008" s="14">
        <v>620</v>
      </c>
      <c r="H1008" s="12" t="s">
        <v>121</v>
      </c>
      <c r="I1008" s="15">
        <v>27375</v>
      </c>
      <c r="J1008" s="15">
        <v>11700</v>
      </c>
      <c r="K1008" s="354">
        <f t="shared" si="142"/>
        <v>42.739726027397261</v>
      </c>
      <c r="L1008" s="15"/>
      <c r="M1008" s="15"/>
      <c r="N1008" s="354"/>
      <c r="O1008" s="16">
        <f t="shared" si="145"/>
        <v>27375</v>
      </c>
      <c r="P1008" s="16">
        <f t="shared" si="144"/>
        <v>11700</v>
      </c>
      <c r="Q1008" s="354">
        <f t="shared" si="146"/>
        <v>42.739726027397261</v>
      </c>
    </row>
    <row r="1009" spans="2:17" x14ac:dyDescent="0.2">
      <c r="B1009" s="6">
        <f t="shared" si="143"/>
        <v>517</v>
      </c>
      <c r="C1009" s="12"/>
      <c r="D1009" s="12"/>
      <c r="E1009" s="12"/>
      <c r="F1009" s="13" t="s">
        <v>155</v>
      </c>
      <c r="G1009" s="14">
        <v>630</v>
      </c>
      <c r="H1009" s="12" t="s">
        <v>118</v>
      </c>
      <c r="I1009" s="15">
        <f>SUM(I1010:I1013)</f>
        <v>22010</v>
      </c>
      <c r="J1009" s="15">
        <f>SUM(J1010:J1013)</f>
        <v>6439</v>
      </c>
      <c r="K1009" s="354">
        <f t="shared" si="142"/>
        <v>29.254884143571104</v>
      </c>
      <c r="L1009" s="15"/>
      <c r="M1009" s="15"/>
      <c r="N1009" s="354"/>
      <c r="O1009" s="16">
        <f t="shared" si="145"/>
        <v>22010</v>
      </c>
      <c r="P1009" s="16">
        <f t="shared" si="144"/>
        <v>6439</v>
      </c>
      <c r="Q1009" s="354">
        <f t="shared" si="146"/>
        <v>29.254884143571104</v>
      </c>
    </row>
    <row r="1010" spans="2:17" x14ac:dyDescent="0.2">
      <c r="B1010" s="6">
        <f t="shared" si="143"/>
        <v>518</v>
      </c>
      <c r="C1010" s="17"/>
      <c r="D1010" s="17"/>
      <c r="E1010" s="17"/>
      <c r="F1010" s="18"/>
      <c r="G1010" s="19">
        <v>632</v>
      </c>
      <c r="H1010" s="17" t="s">
        <v>131</v>
      </c>
      <c r="I1010" s="20">
        <v>13110</v>
      </c>
      <c r="J1010" s="20">
        <v>2693</v>
      </c>
      <c r="K1010" s="354">
        <f t="shared" si="142"/>
        <v>20.541571319603356</v>
      </c>
      <c r="L1010" s="20"/>
      <c r="M1010" s="20"/>
      <c r="N1010" s="354"/>
      <c r="O1010" s="21">
        <f t="shared" si="145"/>
        <v>13110</v>
      </c>
      <c r="P1010" s="21">
        <f t="shared" si="144"/>
        <v>2693</v>
      </c>
      <c r="Q1010" s="354">
        <f t="shared" si="146"/>
        <v>20.541571319603356</v>
      </c>
    </row>
    <row r="1011" spans="2:17" x14ac:dyDescent="0.2">
      <c r="B1011" s="6">
        <f t="shared" si="143"/>
        <v>519</v>
      </c>
      <c r="C1011" s="17"/>
      <c r="D1011" s="17"/>
      <c r="E1011" s="17"/>
      <c r="F1011" s="18"/>
      <c r="G1011" s="19">
        <v>633</v>
      </c>
      <c r="H1011" s="17" t="s">
        <v>122</v>
      </c>
      <c r="I1011" s="20">
        <v>4100</v>
      </c>
      <c r="J1011" s="20">
        <v>143</v>
      </c>
      <c r="K1011" s="354">
        <f t="shared" si="142"/>
        <v>3.4878048780487809</v>
      </c>
      <c r="L1011" s="20"/>
      <c r="M1011" s="20"/>
      <c r="N1011" s="354"/>
      <c r="O1011" s="21">
        <f t="shared" si="145"/>
        <v>4100</v>
      </c>
      <c r="P1011" s="21">
        <f t="shared" si="144"/>
        <v>143</v>
      </c>
      <c r="Q1011" s="354">
        <f t="shared" si="146"/>
        <v>3.4878048780487809</v>
      </c>
    </row>
    <row r="1012" spans="2:17" x14ac:dyDescent="0.2">
      <c r="B1012" s="6">
        <f t="shared" si="143"/>
        <v>520</v>
      </c>
      <c r="C1012" s="17"/>
      <c r="D1012" s="17"/>
      <c r="E1012" s="17"/>
      <c r="F1012" s="18"/>
      <c r="G1012" s="19">
        <v>635</v>
      </c>
      <c r="H1012" s="17" t="s">
        <v>130</v>
      </c>
      <c r="I1012" s="20">
        <v>3500</v>
      </c>
      <c r="J1012" s="20">
        <v>2351</v>
      </c>
      <c r="K1012" s="354">
        <f t="shared" si="142"/>
        <v>67.171428571428578</v>
      </c>
      <c r="L1012" s="20"/>
      <c r="M1012" s="20"/>
      <c r="N1012" s="354"/>
      <c r="O1012" s="21">
        <f t="shared" si="145"/>
        <v>3500</v>
      </c>
      <c r="P1012" s="21">
        <f t="shared" si="144"/>
        <v>2351</v>
      </c>
      <c r="Q1012" s="354">
        <f t="shared" si="146"/>
        <v>67.171428571428578</v>
      </c>
    </row>
    <row r="1013" spans="2:17" x14ac:dyDescent="0.2">
      <c r="B1013" s="6">
        <f t="shared" si="143"/>
        <v>521</v>
      </c>
      <c r="C1013" s="17"/>
      <c r="D1013" s="17"/>
      <c r="E1013" s="17"/>
      <c r="F1013" s="18"/>
      <c r="G1013" s="19">
        <v>637</v>
      </c>
      <c r="H1013" s="17" t="s">
        <v>119</v>
      </c>
      <c r="I1013" s="20">
        <v>1300</v>
      </c>
      <c r="J1013" s="20">
        <v>1252</v>
      </c>
      <c r="K1013" s="354">
        <f t="shared" si="142"/>
        <v>96.307692307692307</v>
      </c>
      <c r="L1013" s="20"/>
      <c r="M1013" s="20"/>
      <c r="N1013" s="354"/>
      <c r="O1013" s="21">
        <f t="shared" si="145"/>
        <v>1300</v>
      </c>
      <c r="P1013" s="21">
        <f t="shared" si="144"/>
        <v>1252</v>
      </c>
      <c r="Q1013" s="354">
        <f t="shared" si="146"/>
        <v>96.307692307692307</v>
      </c>
    </row>
    <row r="1014" spans="2:17" x14ac:dyDescent="0.2">
      <c r="B1014" s="6">
        <f t="shared" si="143"/>
        <v>522</v>
      </c>
      <c r="C1014" s="12"/>
      <c r="D1014" s="12"/>
      <c r="E1014" s="12"/>
      <c r="F1014" s="13" t="s">
        <v>155</v>
      </c>
      <c r="G1014" s="14">
        <v>640</v>
      </c>
      <c r="H1014" s="12" t="s">
        <v>126</v>
      </c>
      <c r="I1014" s="15">
        <v>2800</v>
      </c>
      <c r="J1014" s="15">
        <v>0</v>
      </c>
      <c r="K1014" s="354">
        <f t="shared" si="142"/>
        <v>0</v>
      </c>
      <c r="L1014" s="15"/>
      <c r="M1014" s="15"/>
      <c r="N1014" s="354"/>
      <c r="O1014" s="16">
        <f t="shared" si="145"/>
        <v>2800</v>
      </c>
      <c r="P1014" s="16">
        <f t="shared" si="144"/>
        <v>0</v>
      </c>
      <c r="Q1014" s="354">
        <f t="shared" si="146"/>
        <v>0</v>
      </c>
    </row>
    <row r="1015" spans="2:17" ht="15" x14ac:dyDescent="0.25">
      <c r="B1015" s="6">
        <f t="shared" si="143"/>
        <v>523</v>
      </c>
      <c r="C1015" s="95"/>
      <c r="D1015" s="95"/>
      <c r="E1015" s="95">
        <v>14</v>
      </c>
      <c r="F1015" s="96"/>
      <c r="G1015" s="96"/>
      <c r="H1015" s="95" t="s">
        <v>1</v>
      </c>
      <c r="I1015" s="97">
        <f>I1016+I1017+I1018+I1025</f>
        <v>1802225</v>
      </c>
      <c r="J1015" s="97">
        <f>J1016+J1017+J1018+J1025</f>
        <v>894436</v>
      </c>
      <c r="K1015" s="354">
        <f t="shared" si="142"/>
        <v>49.629541261496207</v>
      </c>
      <c r="L1015" s="97">
        <f>L1026</f>
        <v>27000</v>
      </c>
      <c r="M1015" s="97">
        <f>M1026</f>
        <v>0</v>
      </c>
      <c r="N1015" s="354">
        <f>M1015/L1015*100</f>
        <v>0</v>
      </c>
      <c r="O1015" s="98">
        <f t="shared" si="145"/>
        <v>1829225</v>
      </c>
      <c r="P1015" s="98">
        <f t="shared" si="144"/>
        <v>894436</v>
      </c>
      <c r="Q1015" s="354">
        <f t="shared" si="146"/>
        <v>48.896991895474862</v>
      </c>
    </row>
    <row r="1016" spans="2:17" x14ac:dyDescent="0.2">
      <c r="B1016" s="6">
        <f t="shared" si="143"/>
        <v>524</v>
      </c>
      <c r="C1016" s="12"/>
      <c r="D1016" s="12"/>
      <c r="E1016" s="12"/>
      <c r="F1016" s="13" t="s">
        <v>155</v>
      </c>
      <c r="G1016" s="14">
        <v>610</v>
      </c>
      <c r="H1016" s="12" t="s">
        <v>128</v>
      </c>
      <c r="I1016" s="15">
        <f>1176000+100</f>
        <v>1176100</v>
      </c>
      <c r="J1016" s="15">
        <v>599207</v>
      </c>
      <c r="K1016" s="354">
        <f t="shared" si="142"/>
        <v>50.948643822804186</v>
      </c>
      <c r="L1016" s="15"/>
      <c r="M1016" s="15"/>
      <c r="N1016" s="354"/>
      <c r="O1016" s="16">
        <f t="shared" si="145"/>
        <v>1176100</v>
      </c>
      <c r="P1016" s="16">
        <f t="shared" si="144"/>
        <v>599207</v>
      </c>
      <c r="Q1016" s="354">
        <f t="shared" si="146"/>
        <v>50.948643822804186</v>
      </c>
    </row>
    <row r="1017" spans="2:17" x14ac:dyDescent="0.2">
      <c r="B1017" s="6">
        <f t="shared" si="143"/>
        <v>525</v>
      </c>
      <c r="C1017" s="12"/>
      <c r="D1017" s="12"/>
      <c r="E1017" s="12"/>
      <c r="F1017" s="13" t="s">
        <v>155</v>
      </c>
      <c r="G1017" s="14">
        <v>620</v>
      </c>
      <c r="H1017" s="12" t="s">
        <v>121</v>
      </c>
      <c r="I1017" s="15">
        <f>422000+35</f>
        <v>422035</v>
      </c>
      <c r="J1017" s="15">
        <v>213230</v>
      </c>
      <c r="K1017" s="354">
        <f t="shared" ref="K1017:K1025" si="147">J1017/I1017*100</f>
        <v>50.524245619439142</v>
      </c>
      <c r="L1017" s="15"/>
      <c r="M1017" s="15"/>
      <c r="N1017" s="354"/>
      <c r="O1017" s="16">
        <f t="shared" si="145"/>
        <v>422035</v>
      </c>
      <c r="P1017" s="16">
        <f t="shared" si="144"/>
        <v>213230</v>
      </c>
      <c r="Q1017" s="354">
        <f t="shared" si="146"/>
        <v>50.524245619439142</v>
      </c>
    </row>
    <row r="1018" spans="2:17" x14ac:dyDescent="0.2">
      <c r="B1018" s="6">
        <f t="shared" si="143"/>
        <v>526</v>
      </c>
      <c r="C1018" s="12"/>
      <c r="D1018" s="12"/>
      <c r="E1018" s="12"/>
      <c r="F1018" s="13" t="s">
        <v>155</v>
      </c>
      <c r="G1018" s="14">
        <v>630</v>
      </c>
      <c r="H1018" s="12" t="s">
        <v>118</v>
      </c>
      <c r="I1018" s="15">
        <f>SUM(I1019:I1024)</f>
        <v>178740</v>
      </c>
      <c r="J1018" s="15">
        <f>SUM(J1019:J1024)</f>
        <v>71787</v>
      </c>
      <c r="K1018" s="354">
        <f t="shared" si="147"/>
        <v>40.162806310842562</v>
      </c>
      <c r="L1018" s="15"/>
      <c r="M1018" s="15"/>
      <c r="N1018" s="354"/>
      <c r="O1018" s="16">
        <f t="shared" si="145"/>
        <v>178740</v>
      </c>
      <c r="P1018" s="16">
        <f t="shared" si="144"/>
        <v>71787</v>
      </c>
      <c r="Q1018" s="354">
        <f t="shared" si="146"/>
        <v>40.162806310842562</v>
      </c>
    </row>
    <row r="1019" spans="2:17" x14ac:dyDescent="0.2">
      <c r="B1019" s="6">
        <f t="shared" si="143"/>
        <v>527</v>
      </c>
      <c r="C1019" s="17"/>
      <c r="D1019" s="17"/>
      <c r="E1019" s="17"/>
      <c r="F1019" s="18"/>
      <c r="G1019" s="19">
        <v>631</v>
      </c>
      <c r="H1019" s="17" t="s">
        <v>124</v>
      </c>
      <c r="I1019" s="20">
        <v>700</v>
      </c>
      <c r="J1019" s="20">
        <v>348</v>
      </c>
      <c r="K1019" s="354">
        <f t="shared" si="147"/>
        <v>49.714285714285715</v>
      </c>
      <c r="L1019" s="20"/>
      <c r="M1019" s="20"/>
      <c r="N1019" s="354"/>
      <c r="O1019" s="21">
        <f t="shared" si="145"/>
        <v>700</v>
      </c>
      <c r="P1019" s="21">
        <f t="shared" si="144"/>
        <v>348</v>
      </c>
      <c r="Q1019" s="354">
        <f t="shared" si="146"/>
        <v>49.714285714285715</v>
      </c>
    </row>
    <row r="1020" spans="2:17" x14ac:dyDescent="0.2">
      <c r="B1020" s="6">
        <f t="shared" si="143"/>
        <v>528</v>
      </c>
      <c r="C1020" s="17"/>
      <c r="D1020" s="17"/>
      <c r="E1020" s="17"/>
      <c r="F1020" s="18"/>
      <c r="G1020" s="19">
        <v>632</v>
      </c>
      <c r="H1020" s="17" t="s">
        <v>131</v>
      </c>
      <c r="I1020" s="20">
        <v>57610</v>
      </c>
      <c r="J1020" s="20">
        <v>32808</v>
      </c>
      <c r="K1020" s="354">
        <f t="shared" si="147"/>
        <v>56.948446450269053</v>
      </c>
      <c r="L1020" s="20"/>
      <c r="M1020" s="20"/>
      <c r="N1020" s="354"/>
      <c r="O1020" s="21">
        <f t="shared" si="145"/>
        <v>57610</v>
      </c>
      <c r="P1020" s="21">
        <f t="shared" si="144"/>
        <v>32808</v>
      </c>
      <c r="Q1020" s="354">
        <f t="shared" si="146"/>
        <v>56.948446450269053</v>
      </c>
    </row>
    <row r="1021" spans="2:17" x14ac:dyDescent="0.2">
      <c r="B1021" s="6">
        <f t="shared" ref="B1021:B1052" si="148">B1020+1</f>
        <v>529</v>
      </c>
      <c r="C1021" s="17"/>
      <c r="D1021" s="17"/>
      <c r="E1021" s="17"/>
      <c r="F1021" s="18"/>
      <c r="G1021" s="19">
        <v>633</v>
      </c>
      <c r="H1021" s="17" t="s">
        <v>122</v>
      </c>
      <c r="I1021" s="20">
        <v>16980</v>
      </c>
      <c r="J1021" s="20">
        <v>5680</v>
      </c>
      <c r="K1021" s="354">
        <f t="shared" si="147"/>
        <v>33.451118963486451</v>
      </c>
      <c r="L1021" s="20"/>
      <c r="M1021" s="20"/>
      <c r="N1021" s="354"/>
      <c r="O1021" s="21">
        <f t="shared" si="145"/>
        <v>16980</v>
      </c>
      <c r="P1021" s="21">
        <f t="shared" si="144"/>
        <v>5680</v>
      </c>
      <c r="Q1021" s="354">
        <f t="shared" si="146"/>
        <v>33.451118963486451</v>
      </c>
    </row>
    <row r="1022" spans="2:17" x14ac:dyDescent="0.2">
      <c r="B1022" s="6">
        <f t="shared" si="148"/>
        <v>530</v>
      </c>
      <c r="C1022" s="17"/>
      <c r="D1022" s="17"/>
      <c r="E1022" s="17"/>
      <c r="F1022" s="18"/>
      <c r="G1022" s="19">
        <v>635</v>
      </c>
      <c r="H1022" s="17" t="s">
        <v>130</v>
      </c>
      <c r="I1022" s="20">
        <v>15100</v>
      </c>
      <c r="J1022" s="20">
        <v>46</v>
      </c>
      <c r="K1022" s="354">
        <f t="shared" si="147"/>
        <v>0.30463576158940397</v>
      </c>
      <c r="L1022" s="20"/>
      <c r="M1022" s="20"/>
      <c r="N1022" s="354"/>
      <c r="O1022" s="21">
        <f t="shared" si="145"/>
        <v>15100</v>
      </c>
      <c r="P1022" s="21">
        <f t="shared" si="144"/>
        <v>46</v>
      </c>
      <c r="Q1022" s="354">
        <f t="shared" si="146"/>
        <v>0.30463576158940397</v>
      </c>
    </row>
    <row r="1023" spans="2:17" x14ac:dyDescent="0.2">
      <c r="B1023" s="6">
        <f t="shared" si="148"/>
        <v>531</v>
      </c>
      <c r="C1023" s="17"/>
      <c r="D1023" s="17"/>
      <c r="E1023" s="17"/>
      <c r="F1023" s="18"/>
      <c r="G1023" s="19">
        <v>636</v>
      </c>
      <c r="H1023" s="17" t="s">
        <v>123</v>
      </c>
      <c r="I1023" s="20">
        <v>1000</v>
      </c>
      <c r="J1023" s="20">
        <v>0</v>
      </c>
      <c r="K1023" s="354">
        <f t="shared" si="147"/>
        <v>0</v>
      </c>
      <c r="L1023" s="20"/>
      <c r="M1023" s="20"/>
      <c r="N1023" s="354"/>
      <c r="O1023" s="21">
        <f t="shared" si="145"/>
        <v>1000</v>
      </c>
      <c r="P1023" s="21">
        <f t="shared" si="144"/>
        <v>0</v>
      </c>
      <c r="Q1023" s="354">
        <f t="shared" si="146"/>
        <v>0</v>
      </c>
    </row>
    <row r="1024" spans="2:17" x14ac:dyDescent="0.2">
      <c r="B1024" s="6">
        <f t="shared" si="148"/>
        <v>532</v>
      </c>
      <c r="C1024" s="17"/>
      <c r="D1024" s="17"/>
      <c r="E1024" s="17"/>
      <c r="F1024" s="18"/>
      <c r="G1024" s="19">
        <v>637</v>
      </c>
      <c r="H1024" s="17" t="s">
        <v>119</v>
      </c>
      <c r="I1024" s="20">
        <v>87350</v>
      </c>
      <c r="J1024" s="20">
        <v>32905</v>
      </c>
      <c r="K1024" s="354">
        <f t="shared" si="147"/>
        <v>37.670291929021175</v>
      </c>
      <c r="L1024" s="20"/>
      <c r="M1024" s="20"/>
      <c r="N1024" s="354"/>
      <c r="O1024" s="21">
        <f t="shared" si="145"/>
        <v>87350</v>
      </c>
      <c r="P1024" s="21">
        <f t="shared" si="144"/>
        <v>32905</v>
      </c>
      <c r="Q1024" s="354">
        <f t="shared" si="146"/>
        <v>37.670291929021175</v>
      </c>
    </row>
    <row r="1025" spans="2:17" x14ac:dyDescent="0.2">
      <c r="B1025" s="6">
        <f t="shared" si="148"/>
        <v>533</v>
      </c>
      <c r="C1025" s="12"/>
      <c r="D1025" s="12"/>
      <c r="E1025" s="12"/>
      <c r="F1025" s="13" t="s">
        <v>155</v>
      </c>
      <c r="G1025" s="14">
        <v>640</v>
      </c>
      <c r="H1025" s="12" t="s">
        <v>126</v>
      </c>
      <c r="I1025" s="15">
        <v>25350</v>
      </c>
      <c r="J1025" s="15">
        <v>10212</v>
      </c>
      <c r="K1025" s="354">
        <f t="shared" si="147"/>
        <v>40.284023668639051</v>
      </c>
      <c r="L1025" s="15"/>
      <c r="M1025" s="15"/>
      <c r="N1025" s="354"/>
      <c r="O1025" s="16">
        <f t="shared" si="145"/>
        <v>25350</v>
      </c>
      <c r="P1025" s="16">
        <f t="shared" si="144"/>
        <v>10212</v>
      </c>
      <c r="Q1025" s="354">
        <f t="shared" si="146"/>
        <v>40.284023668639051</v>
      </c>
    </row>
    <row r="1026" spans="2:17" x14ac:dyDescent="0.2">
      <c r="B1026" s="6">
        <f t="shared" si="148"/>
        <v>534</v>
      </c>
      <c r="C1026" s="12"/>
      <c r="D1026" s="12"/>
      <c r="E1026" s="12"/>
      <c r="F1026" s="13" t="s">
        <v>155</v>
      </c>
      <c r="G1026" s="14">
        <v>710</v>
      </c>
      <c r="H1026" s="12" t="s">
        <v>172</v>
      </c>
      <c r="I1026" s="15"/>
      <c r="J1026" s="15"/>
      <c r="K1026" s="354"/>
      <c r="L1026" s="15">
        <f>L1027</f>
        <v>27000</v>
      </c>
      <c r="M1026" s="15">
        <f>M1027</f>
        <v>0</v>
      </c>
      <c r="N1026" s="354">
        <f>M1026/L1026*100</f>
        <v>0</v>
      </c>
      <c r="O1026" s="16">
        <f t="shared" si="145"/>
        <v>27000</v>
      </c>
      <c r="P1026" s="16">
        <f t="shared" si="144"/>
        <v>0</v>
      </c>
      <c r="Q1026" s="354">
        <f t="shared" si="146"/>
        <v>0</v>
      </c>
    </row>
    <row r="1027" spans="2:17" x14ac:dyDescent="0.2">
      <c r="B1027" s="6">
        <f t="shared" si="148"/>
        <v>535</v>
      </c>
      <c r="C1027" s="12"/>
      <c r="D1027" s="12"/>
      <c r="E1027" s="12"/>
      <c r="F1027" s="18"/>
      <c r="G1027" s="19">
        <v>717</v>
      </c>
      <c r="H1027" s="17" t="s">
        <v>179</v>
      </c>
      <c r="I1027" s="20"/>
      <c r="J1027" s="20"/>
      <c r="K1027" s="354"/>
      <c r="L1027" s="20">
        <f>L1028</f>
        <v>27000</v>
      </c>
      <c r="M1027" s="20">
        <f>M1028</f>
        <v>0</v>
      </c>
      <c r="N1027" s="354">
        <f>M1027/L1027*100</f>
        <v>0</v>
      </c>
      <c r="O1027" s="21">
        <f t="shared" si="145"/>
        <v>27000</v>
      </c>
      <c r="P1027" s="21">
        <f t="shared" si="144"/>
        <v>0</v>
      </c>
      <c r="Q1027" s="354">
        <f t="shared" si="146"/>
        <v>0</v>
      </c>
    </row>
    <row r="1028" spans="2:17" x14ac:dyDescent="0.2">
      <c r="B1028" s="6">
        <f t="shared" si="148"/>
        <v>536</v>
      </c>
      <c r="C1028" s="12"/>
      <c r="D1028" s="12"/>
      <c r="E1028" s="12"/>
      <c r="F1028" s="99"/>
      <c r="G1028" s="23"/>
      <c r="H1028" s="39" t="s">
        <v>708</v>
      </c>
      <c r="I1028" s="24"/>
      <c r="J1028" s="24"/>
      <c r="K1028" s="354"/>
      <c r="L1028" s="24">
        <v>27000</v>
      </c>
      <c r="M1028" s="24">
        <v>0</v>
      </c>
      <c r="N1028" s="354">
        <f>M1028/L1028*100</f>
        <v>0</v>
      </c>
      <c r="O1028" s="26">
        <f t="shared" si="145"/>
        <v>27000</v>
      </c>
      <c r="P1028" s="26">
        <f t="shared" si="144"/>
        <v>0</v>
      </c>
      <c r="Q1028" s="354">
        <f t="shared" si="146"/>
        <v>0</v>
      </c>
    </row>
    <row r="1029" spans="2:17" ht="15" x14ac:dyDescent="0.2">
      <c r="B1029" s="6">
        <f t="shared" si="148"/>
        <v>537</v>
      </c>
      <c r="C1029" s="9">
        <v>4</v>
      </c>
      <c r="D1029" s="459" t="s">
        <v>158</v>
      </c>
      <c r="E1029" s="460"/>
      <c r="F1029" s="460"/>
      <c r="G1029" s="460"/>
      <c r="H1029" s="460"/>
      <c r="I1029" s="10">
        <f>I1032+I1044+I1197+I1217+I1237+I1254+I1276+I1293+I1311+I1030</f>
        <v>5624520</v>
      </c>
      <c r="J1029" s="10">
        <f>J1032+J1044+J1197+J1217+J1237+J1254+J1276+J1293+J1311+J1030</f>
        <v>2664205</v>
      </c>
      <c r="K1029" s="354">
        <f t="shared" ref="K1029:K1064" si="149">J1029/I1029*100</f>
        <v>47.36768648702467</v>
      </c>
      <c r="L1029" s="10">
        <f>L1044+L1197+L1217+L1236+L1237+L1254+L1276+L1293+L1311</f>
        <v>114519</v>
      </c>
      <c r="M1029" s="10">
        <f>M1044+M1197+M1217+M1236+M1237+M1254+M1276+M1293+M1311</f>
        <v>13741</v>
      </c>
      <c r="N1029" s="354">
        <f>M1029/L1029*100</f>
        <v>11.998882281542802</v>
      </c>
      <c r="O1029" s="31">
        <f t="shared" si="145"/>
        <v>5739039</v>
      </c>
      <c r="P1029" s="31">
        <f t="shared" si="144"/>
        <v>2677946</v>
      </c>
      <c r="Q1029" s="354">
        <f t="shared" si="146"/>
        <v>46.661923712314902</v>
      </c>
    </row>
    <row r="1030" spans="2:17" ht="15" x14ac:dyDescent="0.2">
      <c r="B1030" s="6">
        <f t="shared" si="148"/>
        <v>538</v>
      </c>
      <c r="C1030" s="12"/>
      <c r="D1030" s="12"/>
      <c r="E1030" s="12"/>
      <c r="F1030" s="13" t="s">
        <v>157</v>
      </c>
      <c r="G1030" s="14">
        <v>630</v>
      </c>
      <c r="H1030" s="12" t="s">
        <v>118</v>
      </c>
      <c r="I1030" s="15">
        <f>I1031</f>
        <v>169955</v>
      </c>
      <c r="J1030" s="15">
        <f>J1031</f>
        <v>169955</v>
      </c>
      <c r="K1030" s="354">
        <f t="shared" si="149"/>
        <v>100</v>
      </c>
      <c r="L1030" s="324"/>
      <c r="M1030" s="324"/>
      <c r="N1030" s="354"/>
      <c r="O1030" s="16">
        <f t="shared" si="145"/>
        <v>169955</v>
      </c>
      <c r="P1030" s="16">
        <f t="shared" si="144"/>
        <v>169955</v>
      </c>
      <c r="Q1030" s="354">
        <f t="shared" si="146"/>
        <v>100</v>
      </c>
    </row>
    <row r="1031" spans="2:17" ht="15" x14ac:dyDescent="0.2">
      <c r="B1031" s="6">
        <f t="shared" si="148"/>
        <v>539</v>
      </c>
      <c r="C1031" s="22"/>
      <c r="D1031" s="22"/>
      <c r="E1031" s="22"/>
      <c r="F1031" s="23"/>
      <c r="G1031" s="23"/>
      <c r="H1031" s="1" t="s">
        <v>662</v>
      </c>
      <c r="I1031" s="24">
        <v>169955</v>
      </c>
      <c r="J1031" s="24">
        <v>169955</v>
      </c>
      <c r="K1031" s="354">
        <f t="shared" si="149"/>
        <v>100</v>
      </c>
      <c r="L1031" s="324"/>
      <c r="M1031" s="324"/>
      <c r="N1031" s="354"/>
      <c r="O1031" s="26">
        <f t="shared" si="145"/>
        <v>169955</v>
      </c>
      <c r="P1031" s="26">
        <f t="shared" si="144"/>
        <v>169955</v>
      </c>
      <c r="Q1031" s="354">
        <f t="shared" si="146"/>
        <v>100</v>
      </c>
    </row>
    <row r="1032" spans="2:17" x14ac:dyDescent="0.2">
      <c r="B1032" s="6">
        <f t="shared" si="148"/>
        <v>540</v>
      </c>
      <c r="C1032" s="12"/>
      <c r="D1032" s="12"/>
      <c r="E1032" s="12"/>
      <c r="F1032" s="13" t="s">
        <v>157</v>
      </c>
      <c r="G1032" s="14">
        <v>640</v>
      </c>
      <c r="H1032" s="12" t="s">
        <v>126</v>
      </c>
      <c r="I1032" s="15">
        <f>SUM(I1033:I1043)</f>
        <v>318681</v>
      </c>
      <c r="J1032" s="15">
        <f>SUM(J1033:J1043)</f>
        <v>163993</v>
      </c>
      <c r="K1032" s="354">
        <f t="shared" si="149"/>
        <v>51.459923873716974</v>
      </c>
      <c r="L1032" s="15"/>
      <c r="M1032" s="15"/>
      <c r="N1032" s="354"/>
      <c r="O1032" s="16">
        <f t="shared" si="145"/>
        <v>318681</v>
      </c>
      <c r="P1032" s="16">
        <f t="shared" si="144"/>
        <v>163993</v>
      </c>
      <c r="Q1032" s="354">
        <f t="shared" si="146"/>
        <v>51.459923873716974</v>
      </c>
    </row>
    <row r="1033" spans="2:17" x14ac:dyDescent="0.2">
      <c r="B1033" s="6">
        <f t="shared" si="148"/>
        <v>541</v>
      </c>
      <c r="C1033" s="22"/>
      <c r="D1033" s="22"/>
      <c r="E1033" s="22"/>
      <c r="F1033" s="23"/>
      <c r="G1033" s="23"/>
      <c r="H1033" s="1" t="s">
        <v>361</v>
      </c>
      <c r="I1033" s="24">
        <f>27360-317</f>
        <v>27043</v>
      </c>
      <c r="J1033" s="24">
        <v>13363</v>
      </c>
      <c r="K1033" s="354">
        <f t="shared" si="149"/>
        <v>49.413896387235148</v>
      </c>
      <c r="L1033" s="24"/>
      <c r="M1033" s="24"/>
      <c r="N1033" s="354"/>
      <c r="O1033" s="26">
        <f t="shared" si="145"/>
        <v>27043</v>
      </c>
      <c r="P1033" s="26">
        <f t="shared" si="144"/>
        <v>13363</v>
      </c>
      <c r="Q1033" s="354">
        <f t="shared" si="146"/>
        <v>49.413896387235148</v>
      </c>
    </row>
    <row r="1034" spans="2:17" x14ac:dyDescent="0.2">
      <c r="B1034" s="6">
        <f t="shared" si="148"/>
        <v>542</v>
      </c>
      <c r="C1034" s="22"/>
      <c r="D1034" s="22"/>
      <c r="E1034" s="22"/>
      <c r="F1034" s="23"/>
      <c r="G1034" s="23"/>
      <c r="H1034" s="1" t="s">
        <v>362</v>
      </c>
      <c r="I1034" s="24">
        <v>33300</v>
      </c>
      <c r="J1034" s="24">
        <v>16264</v>
      </c>
      <c r="K1034" s="354">
        <f t="shared" si="149"/>
        <v>48.840840840840841</v>
      </c>
      <c r="L1034" s="24"/>
      <c r="M1034" s="24"/>
      <c r="N1034" s="354"/>
      <c r="O1034" s="26">
        <f t="shared" si="145"/>
        <v>33300</v>
      </c>
      <c r="P1034" s="26">
        <f t="shared" si="144"/>
        <v>16264</v>
      </c>
      <c r="Q1034" s="354">
        <f t="shared" si="146"/>
        <v>48.840840840840841</v>
      </c>
    </row>
    <row r="1035" spans="2:17" x14ac:dyDescent="0.2">
      <c r="B1035" s="6">
        <f t="shared" si="148"/>
        <v>543</v>
      </c>
      <c r="C1035" s="22"/>
      <c r="D1035" s="22"/>
      <c r="E1035" s="22"/>
      <c r="F1035" s="23"/>
      <c r="G1035" s="23"/>
      <c r="H1035" s="1" t="s">
        <v>363</v>
      </c>
      <c r="I1035" s="24">
        <v>27540</v>
      </c>
      <c r="J1035" s="24">
        <v>13451</v>
      </c>
      <c r="K1035" s="354">
        <f t="shared" si="149"/>
        <v>48.841684822076978</v>
      </c>
      <c r="L1035" s="24"/>
      <c r="M1035" s="24"/>
      <c r="N1035" s="354"/>
      <c r="O1035" s="26">
        <f t="shared" si="145"/>
        <v>27540</v>
      </c>
      <c r="P1035" s="26">
        <f t="shared" si="144"/>
        <v>13451</v>
      </c>
      <c r="Q1035" s="354">
        <f t="shared" si="146"/>
        <v>48.841684822076978</v>
      </c>
    </row>
    <row r="1036" spans="2:17" x14ac:dyDescent="0.2">
      <c r="B1036" s="6">
        <f t="shared" si="148"/>
        <v>544</v>
      </c>
      <c r="C1036" s="22"/>
      <c r="D1036" s="22"/>
      <c r="E1036" s="22"/>
      <c r="F1036" s="23"/>
      <c r="G1036" s="23"/>
      <c r="H1036" s="1" t="s">
        <v>364</v>
      </c>
      <c r="I1036" s="24">
        <v>10800</v>
      </c>
      <c r="J1036" s="24">
        <v>5275</v>
      </c>
      <c r="K1036" s="354">
        <f t="shared" si="149"/>
        <v>48.842592592592595</v>
      </c>
      <c r="L1036" s="24"/>
      <c r="M1036" s="24"/>
      <c r="N1036" s="354"/>
      <c r="O1036" s="26">
        <f t="shared" si="145"/>
        <v>10800</v>
      </c>
      <c r="P1036" s="26">
        <f t="shared" si="144"/>
        <v>5275</v>
      </c>
      <c r="Q1036" s="354">
        <f t="shared" si="146"/>
        <v>48.842592592592595</v>
      </c>
    </row>
    <row r="1037" spans="2:17" x14ac:dyDescent="0.2">
      <c r="B1037" s="6">
        <f t="shared" si="148"/>
        <v>545</v>
      </c>
      <c r="C1037" s="22"/>
      <c r="D1037" s="22"/>
      <c r="E1037" s="22"/>
      <c r="F1037" s="23"/>
      <c r="G1037" s="23"/>
      <c r="H1037" s="1" t="s">
        <v>272</v>
      </c>
      <c r="I1037" s="24">
        <f>197290-18082-2146-16677</f>
        <v>160385</v>
      </c>
      <c r="J1037" s="24">
        <v>90051</v>
      </c>
      <c r="K1037" s="354">
        <f t="shared" si="149"/>
        <v>56.146771830283384</v>
      </c>
      <c r="L1037" s="24"/>
      <c r="M1037" s="24"/>
      <c r="N1037" s="354"/>
      <c r="O1037" s="26">
        <f t="shared" si="145"/>
        <v>160385</v>
      </c>
      <c r="P1037" s="26">
        <f t="shared" si="144"/>
        <v>90051</v>
      </c>
      <c r="Q1037" s="354">
        <f t="shared" si="146"/>
        <v>56.146771830283384</v>
      </c>
    </row>
    <row r="1038" spans="2:17" x14ac:dyDescent="0.2">
      <c r="B1038" s="6">
        <f t="shared" si="148"/>
        <v>546</v>
      </c>
      <c r="C1038" s="22"/>
      <c r="D1038" s="22"/>
      <c r="E1038" s="22"/>
      <c r="F1038" s="23"/>
      <c r="G1038" s="23"/>
      <c r="H1038" s="1" t="s">
        <v>508</v>
      </c>
      <c r="I1038" s="24">
        <v>6500</v>
      </c>
      <c r="J1038" s="24">
        <v>3171</v>
      </c>
      <c r="K1038" s="354">
        <f t="shared" si="149"/>
        <v>48.784615384615385</v>
      </c>
      <c r="L1038" s="24"/>
      <c r="M1038" s="24"/>
      <c r="N1038" s="354"/>
      <c r="O1038" s="26">
        <f t="shared" si="145"/>
        <v>6500</v>
      </c>
      <c r="P1038" s="26">
        <f t="shared" si="144"/>
        <v>3171</v>
      </c>
      <c r="Q1038" s="354">
        <f t="shared" si="146"/>
        <v>48.784615384615385</v>
      </c>
    </row>
    <row r="1039" spans="2:17" x14ac:dyDescent="0.2">
      <c r="B1039" s="6">
        <f t="shared" si="148"/>
        <v>547</v>
      </c>
      <c r="C1039" s="22"/>
      <c r="D1039" s="22"/>
      <c r="E1039" s="22"/>
      <c r="F1039" s="23"/>
      <c r="G1039" s="23"/>
      <c r="H1039" s="1" t="s">
        <v>509</v>
      </c>
      <c r="I1039" s="24">
        <v>15500</v>
      </c>
      <c r="J1039" s="24">
        <v>7566</v>
      </c>
      <c r="K1039" s="354">
        <f t="shared" si="149"/>
        <v>48.812903225806451</v>
      </c>
      <c r="L1039" s="24"/>
      <c r="M1039" s="24"/>
      <c r="N1039" s="354"/>
      <c r="O1039" s="26">
        <f t="shared" si="145"/>
        <v>15500</v>
      </c>
      <c r="P1039" s="26">
        <f t="shared" si="144"/>
        <v>7566</v>
      </c>
      <c r="Q1039" s="354">
        <f t="shared" si="146"/>
        <v>48.812903225806451</v>
      </c>
    </row>
    <row r="1040" spans="2:17" x14ac:dyDescent="0.2">
      <c r="B1040" s="6">
        <f t="shared" si="148"/>
        <v>548</v>
      </c>
      <c r="C1040" s="22"/>
      <c r="D1040" s="22"/>
      <c r="E1040" s="22"/>
      <c r="F1040" s="23"/>
      <c r="G1040" s="23"/>
      <c r="H1040" s="1" t="s">
        <v>636</v>
      </c>
      <c r="I1040" s="24">
        <v>10647</v>
      </c>
      <c r="J1040" s="24">
        <v>4838</v>
      </c>
      <c r="K1040" s="354">
        <f t="shared" si="149"/>
        <v>45.440030055414674</v>
      </c>
      <c r="L1040" s="24"/>
      <c r="M1040" s="24"/>
      <c r="N1040" s="354"/>
      <c r="O1040" s="26">
        <f t="shared" si="145"/>
        <v>10647</v>
      </c>
      <c r="P1040" s="26">
        <f t="shared" si="144"/>
        <v>4838</v>
      </c>
      <c r="Q1040" s="354">
        <f t="shared" si="146"/>
        <v>45.440030055414674</v>
      </c>
    </row>
    <row r="1041" spans="2:17" x14ac:dyDescent="0.2">
      <c r="B1041" s="6">
        <f t="shared" si="148"/>
        <v>549</v>
      </c>
      <c r="C1041" s="22"/>
      <c r="D1041" s="22"/>
      <c r="E1041" s="22"/>
      <c r="F1041" s="23"/>
      <c r="G1041" s="23"/>
      <c r="H1041" s="1" t="s">
        <v>637</v>
      </c>
      <c r="I1041" s="24">
        <v>5148</v>
      </c>
      <c r="J1041" s="24">
        <v>2056</v>
      </c>
      <c r="K1041" s="354">
        <f t="shared" si="149"/>
        <v>39.937839937839939</v>
      </c>
      <c r="L1041" s="24"/>
      <c r="M1041" s="24"/>
      <c r="N1041" s="354"/>
      <c r="O1041" s="26">
        <f t="shared" si="145"/>
        <v>5148</v>
      </c>
      <c r="P1041" s="26">
        <f t="shared" si="144"/>
        <v>2056</v>
      </c>
      <c r="Q1041" s="354">
        <f t="shared" si="146"/>
        <v>39.937839937839939</v>
      </c>
    </row>
    <row r="1042" spans="2:17" x14ac:dyDescent="0.2">
      <c r="B1042" s="6">
        <f t="shared" si="148"/>
        <v>550</v>
      </c>
      <c r="C1042" s="22"/>
      <c r="D1042" s="22"/>
      <c r="E1042" s="22"/>
      <c r="F1042" s="23"/>
      <c r="G1042" s="23"/>
      <c r="H1042" s="1" t="s">
        <v>639</v>
      </c>
      <c r="I1042" s="24">
        <v>17503</v>
      </c>
      <c r="J1042" s="24">
        <v>7000</v>
      </c>
      <c r="K1042" s="354">
        <f t="shared" si="149"/>
        <v>39.993144032451575</v>
      </c>
      <c r="L1042" s="24"/>
      <c r="M1042" s="24"/>
      <c r="N1042" s="354"/>
      <c r="O1042" s="26">
        <f t="shared" si="145"/>
        <v>17503</v>
      </c>
      <c r="P1042" s="26">
        <f t="shared" si="144"/>
        <v>7000</v>
      </c>
      <c r="Q1042" s="354">
        <f t="shared" si="146"/>
        <v>39.993144032451575</v>
      </c>
    </row>
    <row r="1043" spans="2:17" x14ac:dyDescent="0.2">
      <c r="B1043" s="6">
        <f t="shared" si="148"/>
        <v>551</v>
      </c>
      <c r="C1043" s="22"/>
      <c r="D1043" s="22"/>
      <c r="E1043" s="22"/>
      <c r="F1043" s="23"/>
      <c r="G1043" s="23"/>
      <c r="H1043" s="1" t="s">
        <v>649</v>
      </c>
      <c r="I1043" s="24">
        <v>4315</v>
      </c>
      <c r="J1043" s="24">
        <v>958</v>
      </c>
      <c r="K1043" s="354">
        <f t="shared" si="149"/>
        <v>22.201622247972193</v>
      </c>
      <c r="L1043" s="24"/>
      <c r="M1043" s="24"/>
      <c r="N1043" s="354"/>
      <c r="O1043" s="26">
        <f t="shared" si="145"/>
        <v>4315</v>
      </c>
      <c r="P1043" s="26">
        <f t="shared" si="144"/>
        <v>958</v>
      </c>
      <c r="Q1043" s="354">
        <f t="shared" si="146"/>
        <v>22.201622247972193</v>
      </c>
    </row>
    <row r="1044" spans="2:17" ht="15" x14ac:dyDescent="0.25">
      <c r="B1044" s="6">
        <f t="shared" si="148"/>
        <v>552</v>
      </c>
      <c r="C1044" s="95"/>
      <c r="D1044" s="95"/>
      <c r="E1044" s="95">
        <v>4</v>
      </c>
      <c r="F1044" s="96"/>
      <c r="G1044" s="96"/>
      <c r="H1044" s="95" t="s">
        <v>81</v>
      </c>
      <c r="I1044" s="97">
        <f>I1056+I1068+I1077+I1086+I1098+I1107+I1116+I1125+I1134+I1143+I1158+I1170+I1179+I1188+I1045</f>
        <v>1835683</v>
      </c>
      <c r="J1044" s="97">
        <f>J1056+J1068+J1077+J1086+J1098+J1107+J1116+J1125+J1134+J1143+J1158+J1170+J1179+J1188+J1045</f>
        <v>803480</v>
      </c>
      <c r="K1044" s="354">
        <f t="shared" si="149"/>
        <v>43.770084486264786</v>
      </c>
      <c r="L1044" s="97">
        <f>L1188+L1179+L1170+L1158+L1143+L1134+L1125+L1116+L1107+L1098+L1086+L1077+L1068+L1056</f>
        <v>29600</v>
      </c>
      <c r="M1044" s="97">
        <f>M1188+M1179+M1170+M1158+M1143+M1134+M1125+M1116+M1107+M1098+M1086+M1077+M1068+M1056</f>
        <v>8304</v>
      </c>
      <c r="N1044" s="354">
        <f>M1044/L1044*100</f>
        <v>28.054054054054056</v>
      </c>
      <c r="O1044" s="98">
        <f t="shared" si="145"/>
        <v>1865283</v>
      </c>
      <c r="P1044" s="98">
        <f t="shared" si="144"/>
        <v>811784</v>
      </c>
      <c r="Q1044" s="354">
        <f t="shared" si="146"/>
        <v>43.520688281617318</v>
      </c>
    </row>
    <row r="1045" spans="2:17" ht="15" x14ac:dyDescent="0.25">
      <c r="B1045" s="6">
        <f t="shared" si="148"/>
        <v>553</v>
      </c>
      <c r="C1045" s="95"/>
      <c r="D1045" s="95"/>
      <c r="E1045" s="95"/>
      <c r="F1045" s="96"/>
      <c r="G1045" s="96"/>
      <c r="H1045" s="285" t="s">
        <v>502</v>
      </c>
      <c r="I1045" s="97">
        <f>I1046+I1047+I1048+I1055</f>
        <v>46737</v>
      </c>
      <c r="J1045" s="97">
        <f>J1046+J1047+J1048+J1055</f>
        <v>39652</v>
      </c>
      <c r="K1045" s="354">
        <f t="shared" si="149"/>
        <v>84.840704366989755</v>
      </c>
      <c r="L1045" s="97"/>
      <c r="M1045" s="97"/>
      <c r="N1045" s="354"/>
      <c r="O1045" s="98">
        <f t="shared" si="145"/>
        <v>46737</v>
      </c>
      <c r="P1045" s="98">
        <f t="shared" si="144"/>
        <v>39652</v>
      </c>
      <c r="Q1045" s="354">
        <f t="shared" si="146"/>
        <v>84.840704366989755</v>
      </c>
    </row>
    <row r="1046" spans="2:17" ht="15" x14ac:dyDescent="0.25">
      <c r="B1046" s="6">
        <f t="shared" si="148"/>
        <v>554</v>
      </c>
      <c r="C1046" s="320"/>
      <c r="D1046" s="320"/>
      <c r="E1046" s="320"/>
      <c r="F1046" s="13" t="s">
        <v>157</v>
      </c>
      <c r="G1046" s="14">
        <v>610</v>
      </c>
      <c r="H1046" s="12" t="s">
        <v>128</v>
      </c>
      <c r="I1046" s="15">
        <v>25379</v>
      </c>
      <c r="J1046" s="15">
        <v>24178</v>
      </c>
      <c r="K1046" s="354">
        <f t="shared" si="149"/>
        <v>95.267741045746476</v>
      </c>
      <c r="L1046" s="319"/>
      <c r="M1046" s="319"/>
      <c r="N1046" s="354"/>
      <c r="O1046" s="321">
        <f t="shared" si="145"/>
        <v>25379</v>
      </c>
      <c r="P1046" s="321">
        <f t="shared" si="144"/>
        <v>24178</v>
      </c>
      <c r="Q1046" s="354">
        <f t="shared" si="146"/>
        <v>95.267741045746476</v>
      </c>
    </row>
    <row r="1047" spans="2:17" ht="15" x14ac:dyDescent="0.25">
      <c r="B1047" s="6">
        <f t="shared" si="148"/>
        <v>555</v>
      </c>
      <c r="C1047" s="320"/>
      <c r="D1047" s="320"/>
      <c r="E1047" s="320"/>
      <c r="F1047" s="13" t="s">
        <v>157</v>
      </c>
      <c r="G1047" s="14">
        <v>620</v>
      </c>
      <c r="H1047" s="12" t="s">
        <v>121</v>
      </c>
      <c r="I1047" s="15">
        <v>9632</v>
      </c>
      <c r="J1047" s="15">
        <v>8168</v>
      </c>
      <c r="K1047" s="354">
        <f t="shared" si="149"/>
        <v>84.800664451827245</v>
      </c>
      <c r="L1047" s="319"/>
      <c r="M1047" s="319"/>
      <c r="N1047" s="354"/>
      <c r="O1047" s="321">
        <f t="shared" si="145"/>
        <v>9632</v>
      </c>
      <c r="P1047" s="321">
        <f t="shared" si="144"/>
        <v>8168</v>
      </c>
      <c r="Q1047" s="354">
        <f t="shared" si="146"/>
        <v>84.800664451827245</v>
      </c>
    </row>
    <row r="1048" spans="2:17" ht="15" x14ac:dyDescent="0.25">
      <c r="B1048" s="6">
        <f t="shared" si="148"/>
        <v>556</v>
      </c>
      <c r="C1048" s="320"/>
      <c r="D1048" s="320"/>
      <c r="E1048" s="320"/>
      <c r="F1048" s="13" t="s">
        <v>157</v>
      </c>
      <c r="G1048" s="14">
        <v>630</v>
      </c>
      <c r="H1048" s="12" t="s">
        <v>118</v>
      </c>
      <c r="I1048" s="15">
        <f>SUM(I1049:I1054)</f>
        <v>8500</v>
      </c>
      <c r="J1048" s="15">
        <f>SUM(J1049:J1054)</f>
        <v>6612</v>
      </c>
      <c r="K1048" s="354">
        <f t="shared" si="149"/>
        <v>77.788235294117641</v>
      </c>
      <c r="L1048" s="319"/>
      <c r="M1048" s="319"/>
      <c r="N1048" s="354"/>
      <c r="O1048" s="321">
        <f t="shared" si="145"/>
        <v>8500</v>
      </c>
      <c r="P1048" s="321">
        <f t="shared" si="144"/>
        <v>6612</v>
      </c>
      <c r="Q1048" s="354">
        <f t="shared" si="146"/>
        <v>77.788235294117641</v>
      </c>
    </row>
    <row r="1049" spans="2:17" ht="15" x14ac:dyDescent="0.25">
      <c r="B1049" s="6">
        <f t="shared" si="148"/>
        <v>557</v>
      </c>
      <c r="C1049" s="320"/>
      <c r="D1049" s="320"/>
      <c r="E1049" s="320"/>
      <c r="F1049" s="18"/>
      <c r="G1049" s="19">
        <v>631</v>
      </c>
      <c r="H1049" s="17" t="s">
        <v>124</v>
      </c>
      <c r="I1049" s="20">
        <v>200</v>
      </c>
      <c r="J1049" s="20">
        <v>0</v>
      </c>
      <c r="K1049" s="354">
        <f t="shared" si="149"/>
        <v>0</v>
      </c>
      <c r="L1049" s="319"/>
      <c r="M1049" s="319"/>
      <c r="N1049" s="354"/>
      <c r="O1049" s="126">
        <f t="shared" si="145"/>
        <v>200</v>
      </c>
      <c r="P1049" s="126">
        <f t="shared" si="144"/>
        <v>0</v>
      </c>
      <c r="Q1049" s="354">
        <f t="shared" si="146"/>
        <v>0</v>
      </c>
    </row>
    <row r="1050" spans="2:17" ht="15" x14ac:dyDescent="0.25">
      <c r="B1050" s="6">
        <f t="shared" si="148"/>
        <v>558</v>
      </c>
      <c r="C1050" s="320"/>
      <c r="D1050" s="320"/>
      <c r="E1050" s="320"/>
      <c r="F1050" s="18"/>
      <c r="G1050" s="19">
        <v>632</v>
      </c>
      <c r="H1050" s="17" t="s">
        <v>131</v>
      </c>
      <c r="I1050" s="20">
        <v>190</v>
      </c>
      <c r="J1050" s="20">
        <v>143</v>
      </c>
      <c r="K1050" s="354">
        <f t="shared" si="149"/>
        <v>75.26315789473685</v>
      </c>
      <c r="L1050" s="319"/>
      <c r="M1050" s="319"/>
      <c r="N1050" s="354"/>
      <c r="O1050" s="126">
        <f t="shared" si="145"/>
        <v>190</v>
      </c>
      <c r="P1050" s="126">
        <f t="shared" si="144"/>
        <v>143</v>
      </c>
      <c r="Q1050" s="354">
        <f t="shared" si="146"/>
        <v>75.26315789473685</v>
      </c>
    </row>
    <row r="1051" spans="2:17" ht="15" x14ac:dyDescent="0.25">
      <c r="B1051" s="6">
        <f t="shared" si="148"/>
        <v>559</v>
      </c>
      <c r="C1051" s="320"/>
      <c r="D1051" s="320"/>
      <c r="E1051" s="320"/>
      <c r="F1051" s="18"/>
      <c r="G1051" s="19">
        <v>633</v>
      </c>
      <c r="H1051" s="17" t="s">
        <v>122</v>
      </c>
      <c r="I1051" s="20">
        <v>583</v>
      </c>
      <c r="J1051" s="20">
        <v>532</v>
      </c>
      <c r="K1051" s="354">
        <f t="shared" si="149"/>
        <v>91.252144082332762</v>
      </c>
      <c r="L1051" s="319"/>
      <c r="M1051" s="319"/>
      <c r="N1051" s="354"/>
      <c r="O1051" s="126">
        <f t="shared" si="145"/>
        <v>583</v>
      </c>
      <c r="P1051" s="126">
        <f t="shared" si="144"/>
        <v>532</v>
      </c>
      <c r="Q1051" s="354">
        <f t="shared" si="146"/>
        <v>91.252144082332762</v>
      </c>
    </row>
    <row r="1052" spans="2:17" ht="15" x14ac:dyDescent="0.25">
      <c r="B1052" s="6">
        <f t="shared" si="148"/>
        <v>560</v>
      </c>
      <c r="C1052" s="320"/>
      <c r="D1052" s="320"/>
      <c r="E1052" s="320"/>
      <c r="F1052" s="18"/>
      <c r="G1052" s="19">
        <v>634</v>
      </c>
      <c r="H1052" s="17" t="s">
        <v>129</v>
      </c>
      <c r="I1052" s="20">
        <v>808</v>
      </c>
      <c r="J1052" s="20">
        <v>363</v>
      </c>
      <c r="K1052" s="354">
        <f t="shared" si="149"/>
        <v>44.925742574257427</v>
      </c>
      <c r="L1052" s="319"/>
      <c r="M1052" s="319"/>
      <c r="N1052" s="354"/>
      <c r="O1052" s="126">
        <f t="shared" si="145"/>
        <v>808</v>
      </c>
      <c r="P1052" s="126">
        <f t="shared" si="144"/>
        <v>363</v>
      </c>
      <c r="Q1052" s="354">
        <f t="shared" si="146"/>
        <v>44.925742574257427</v>
      </c>
    </row>
    <row r="1053" spans="2:17" ht="15" x14ac:dyDescent="0.25">
      <c r="B1053" s="6">
        <f t="shared" ref="B1053:B1071" si="150">B1052+1</f>
        <v>561</v>
      </c>
      <c r="C1053" s="320"/>
      <c r="D1053" s="320"/>
      <c r="E1053" s="320"/>
      <c r="F1053" s="18"/>
      <c r="G1053" s="19">
        <v>636</v>
      </c>
      <c r="H1053" s="17" t="s">
        <v>123</v>
      </c>
      <c r="I1053" s="20">
        <v>1212</v>
      </c>
      <c r="J1053" s="20">
        <v>474</v>
      </c>
      <c r="K1053" s="354">
        <f t="shared" si="149"/>
        <v>39.10891089108911</v>
      </c>
      <c r="L1053" s="319"/>
      <c r="M1053" s="319"/>
      <c r="N1053" s="354"/>
      <c r="O1053" s="126">
        <f t="shared" si="145"/>
        <v>1212</v>
      </c>
      <c r="P1053" s="126">
        <f t="shared" si="144"/>
        <v>474</v>
      </c>
      <c r="Q1053" s="354">
        <f t="shared" si="146"/>
        <v>39.10891089108911</v>
      </c>
    </row>
    <row r="1054" spans="2:17" ht="15" x14ac:dyDescent="0.25">
      <c r="B1054" s="6">
        <f t="shared" si="150"/>
        <v>562</v>
      </c>
      <c r="C1054" s="320"/>
      <c r="D1054" s="320"/>
      <c r="E1054" s="320"/>
      <c r="F1054" s="117"/>
      <c r="G1054" s="118">
        <v>637</v>
      </c>
      <c r="H1054" s="116" t="s">
        <v>119</v>
      </c>
      <c r="I1054" s="20">
        <v>5507</v>
      </c>
      <c r="J1054" s="20">
        <v>5100</v>
      </c>
      <c r="K1054" s="354">
        <f t="shared" si="149"/>
        <v>92.609406210277839</v>
      </c>
      <c r="L1054" s="319"/>
      <c r="M1054" s="319"/>
      <c r="N1054" s="354"/>
      <c r="O1054" s="126">
        <f t="shared" si="145"/>
        <v>5507</v>
      </c>
      <c r="P1054" s="126">
        <f t="shared" si="144"/>
        <v>5100</v>
      </c>
      <c r="Q1054" s="354">
        <f t="shared" si="146"/>
        <v>92.609406210277839</v>
      </c>
    </row>
    <row r="1055" spans="2:17" ht="15" x14ac:dyDescent="0.25">
      <c r="B1055" s="6">
        <f t="shared" si="150"/>
        <v>563</v>
      </c>
      <c r="C1055" s="320"/>
      <c r="D1055" s="320"/>
      <c r="E1055" s="320"/>
      <c r="F1055" s="18"/>
      <c r="G1055" s="14">
        <v>640</v>
      </c>
      <c r="H1055" s="12" t="s">
        <v>126</v>
      </c>
      <c r="I1055" s="15">
        <v>3226</v>
      </c>
      <c r="J1055" s="15">
        <v>694</v>
      </c>
      <c r="K1055" s="354">
        <f t="shared" si="149"/>
        <v>21.512709237445755</v>
      </c>
      <c r="L1055" s="319"/>
      <c r="M1055" s="319"/>
      <c r="N1055" s="354"/>
      <c r="O1055" s="321">
        <f t="shared" si="145"/>
        <v>3226</v>
      </c>
      <c r="P1055" s="321">
        <f t="shared" si="144"/>
        <v>694</v>
      </c>
      <c r="Q1055" s="354">
        <f t="shared" si="146"/>
        <v>21.512709237445755</v>
      </c>
    </row>
    <row r="1056" spans="2:17" x14ac:dyDescent="0.2">
      <c r="B1056" s="6">
        <f t="shared" si="150"/>
        <v>564</v>
      </c>
      <c r="C1056" s="105"/>
      <c r="D1056" s="105"/>
      <c r="E1056" s="105" t="s">
        <v>89</v>
      </c>
      <c r="F1056" s="106"/>
      <c r="G1056" s="106"/>
      <c r="H1056" s="105" t="s">
        <v>65</v>
      </c>
      <c r="I1056" s="107">
        <f>I1057+I1058+I1059+I1064</f>
        <v>96273</v>
      </c>
      <c r="J1056" s="107">
        <f>J1057+J1058+J1059+J1064</f>
        <v>45286</v>
      </c>
      <c r="K1056" s="354">
        <f t="shared" si="149"/>
        <v>47.03914908645207</v>
      </c>
      <c r="L1056" s="107">
        <f>L1065</f>
        <v>3500</v>
      </c>
      <c r="M1056" s="107">
        <f>M1065</f>
        <v>3250</v>
      </c>
      <c r="N1056" s="354">
        <f>M1056/L1056*100</f>
        <v>92.857142857142861</v>
      </c>
      <c r="O1056" s="108">
        <f t="shared" si="145"/>
        <v>99773</v>
      </c>
      <c r="P1056" s="108">
        <f t="shared" si="144"/>
        <v>48536</v>
      </c>
      <c r="Q1056" s="354">
        <f t="shared" si="146"/>
        <v>48.646427390175702</v>
      </c>
    </row>
    <row r="1057" spans="2:17" x14ac:dyDescent="0.2">
      <c r="B1057" s="6">
        <f t="shared" si="150"/>
        <v>565</v>
      </c>
      <c r="C1057" s="12"/>
      <c r="D1057" s="12"/>
      <c r="E1057" s="12"/>
      <c r="F1057" s="13" t="s">
        <v>157</v>
      </c>
      <c r="G1057" s="14">
        <v>610</v>
      </c>
      <c r="H1057" s="12" t="s">
        <v>128</v>
      </c>
      <c r="I1057" s="15">
        <v>29166</v>
      </c>
      <c r="J1057" s="15">
        <v>18329</v>
      </c>
      <c r="K1057" s="354">
        <f t="shared" si="149"/>
        <v>62.843722142220393</v>
      </c>
      <c r="L1057" s="15"/>
      <c r="M1057" s="15"/>
      <c r="N1057" s="354"/>
      <c r="O1057" s="16">
        <f t="shared" si="145"/>
        <v>29166</v>
      </c>
      <c r="P1057" s="16">
        <f t="shared" si="144"/>
        <v>18329</v>
      </c>
      <c r="Q1057" s="354">
        <f t="shared" si="146"/>
        <v>62.843722142220393</v>
      </c>
    </row>
    <row r="1058" spans="2:17" x14ac:dyDescent="0.2">
      <c r="B1058" s="6">
        <f t="shared" si="150"/>
        <v>566</v>
      </c>
      <c r="C1058" s="12"/>
      <c r="D1058" s="12"/>
      <c r="E1058" s="12"/>
      <c r="F1058" s="13" t="s">
        <v>157</v>
      </c>
      <c r="G1058" s="14">
        <v>620</v>
      </c>
      <c r="H1058" s="12" t="s">
        <v>121</v>
      </c>
      <c r="I1058" s="15">
        <v>11411</v>
      </c>
      <c r="J1058" s="15">
        <v>5939</v>
      </c>
      <c r="K1058" s="354">
        <f t="shared" si="149"/>
        <v>52.046271141880638</v>
      </c>
      <c r="L1058" s="15"/>
      <c r="M1058" s="15"/>
      <c r="N1058" s="354"/>
      <c r="O1058" s="16">
        <f t="shared" si="145"/>
        <v>11411</v>
      </c>
      <c r="P1058" s="16">
        <f t="shared" si="144"/>
        <v>5939</v>
      </c>
      <c r="Q1058" s="354">
        <f t="shared" si="146"/>
        <v>52.046271141880638</v>
      </c>
    </row>
    <row r="1059" spans="2:17" x14ac:dyDescent="0.2">
      <c r="B1059" s="6">
        <f t="shared" si="150"/>
        <v>567</v>
      </c>
      <c r="C1059" s="12"/>
      <c r="D1059" s="12"/>
      <c r="E1059" s="12"/>
      <c r="F1059" s="13" t="s">
        <v>157</v>
      </c>
      <c r="G1059" s="14">
        <v>630</v>
      </c>
      <c r="H1059" s="12" t="s">
        <v>118</v>
      </c>
      <c r="I1059" s="15">
        <f>SUM(I1060:I1063)</f>
        <v>55246</v>
      </c>
      <c r="J1059" s="15">
        <f>SUM(J1060:J1063)</f>
        <v>21018</v>
      </c>
      <c r="K1059" s="354">
        <f t="shared" si="149"/>
        <v>38.044383303768598</v>
      </c>
      <c r="L1059" s="15"/>
      <c r="M1059" s="15"/>
      <c r="N1059" s="354"/>
      <c r="O1059" s="16">
        <f t="shared" si="145"/>
        <v>55246</v>
      </c>
      <c r="P1059" s="16">
        <f t="shared" si="144"/>
        <v>21018</v>
      </c>
      <c r="Q1059" s="354">
        <f t="shared" si="146"/>
        <v>38.044383303768598</v>
      </c>
    </row>
    <row r="1060" spans="2:17" x14ac:dyDescent="0.2">
      <c r="B1060" s="6">
        <f t="shared" si="150"/>
        <v>568</v>
      </c>
      <c r="C1060" s="12"/>
      <c r="D1060" s="12"/>
      <c r="E1060" s="12"/>
      <c r="F1060" s="13"/>
      <c r="G1060" s="19">
        <v>632</v>
      </c>
      <c r="H1060" s="17" t="s">
        <v>131</v>
      </c>
      <c r="I1060" s="20">
        <v>6000</v>
      </c>
      <c r="J1060" s="20">
        <v>1841</v>
      </c>
      <c r="K1060" s="354">
        <f t="shared" si="149"/>
        <v>30.683333333333334</v>
      </c>
      <c r="L1060" s="20"/>
      <c r="M1060" s="20"/>
      <c r="N1060" s="354"/>
      <c r="O1060" s="21">
        <f t="shared" si="145"/>
        <v>6000</v>
      </c>
      <c r="P1060" s="21">
        <f t="shared" si="144"/>
        <v>1841</v>
      </c>
      <c r="Q1060" s="354">
        <f t="shared" si="146"/>
        <v>30.683333333333334</v>
      </c>
    </row>
    <row r="1061" spans="2:17" x14ac:dyDescent="0.2">
      <c r="B1061" s="6">
        <f t="shared" si="150"/>
        <v>569</v>
      </c>
      <c r="C1061" s="17"/>
      <c r="D1061" s="17"/>
      <c r="E1061" s="17"/>
      <c r="F1061" s="18"/>
      <c r="G1061" s="19">
        <v>633</v>
      </c>
      <c r="H1061" s="17" t="s">
        <v>122</v>
      </c>
      <c r="I1061" s="20">
        <v>41380</v>
      </c>
      <c r="J1061" s="20">
        <v>14028</v>
      </c>
      <c r="K1061" s="354">
        <f t="shared" si="149"/>
        <v>33.900434992750121</v>
      </c>
      <c r="L1061" s="20"/>
      <c r="M1061" s="20"/>
      <c r="N1061" s="354"/>
      <c r="O1061" s="21">
        <f t="shared" si="145"/>
        <v>41380</v>
      </c>
      <c r="P1061" s="21">
        <f t="shared" si="144"/>
        <v>14028</v>
      </c>
      <c r="Q1061" s="354">
        <f t="shared" si="146"/>
        <v>33.900434992750121</v>
      </c>
    </row>
    <row r="1062" spans="2:17" x14ac:dyDescent="0.2">
      <c r="B1062" s="6">
        <f t="shared" si="150"/>
        <v>570</v>
      </c>
      <c r="C1062" s="17"/>
      <c r="D1062" s="17"/>
      <c r="E1062" s="17"/>
      <c r="F1062" s="18"/>
      <c r="G1062" s="19">
        <v>635</v>
      </c>
      <c r="H1062" s="17" t="s">
        <v>130</v>
      </c>
      <c r="I1062" s="20">
        <f>3500+2000</f>
        <v>5500</v>
      </c>
      <c r="J1062" s="20">
        <v>4534</v>
      </c>
      <c r="K1062" s="354">
        <f t="shared" si="149"/>
        <v>82.436363636363637</v>
      </c>
      <c r="L1062" s="20"/>
      <c r="M1062" s="20"/>
      <c r="N1062" s="354"/>
      <c r="O1062" s="21">
        <f t="shared" si="145"/>
        <v>5500</v>
      </c>
      <c r="P1062" s="21">
        <f t="shared" si="144"/>
        <v>4534</v>
      </c>
      <c r="Q1062" s="354">
        <f t="shared" si="146"/>
        <v>82.436363636363637</v>
      </c>
    </row>
    <row r="1063" spans="2:17" x14ac:dyDescent="0.2">
      <c r="B1063" s="6">
        <f t="shared" si="150"/>
        <v>571</v>
      </c>
      <c r="C1063" s="17"/>
      <c r="D1063" s="17"/>
      <c r="E1063" s="17"/>
      <c r="F1063" s="18"/>
      <c r="G1063" s="19">
        <v>637</v>
      </c>
      <c r="H1063" s="17" t="s">
        <v>119</v>
      </c>
      <c r="I1063" s="20">
        <f>2066+300</f>
        <v>2366</v>
      </c>
      <c r="J1063" s="20">
        <v>615</v>
      </c>
      <c r="K1063" s="354">
        <f t="shared" si="149"/>
        <v>25.993237531699069</v>
      </c>
      <c r="L1063" s="20"/>
      <c r="M1063" s="20"/>
      <c r="N1063" s="354"/>
      <c r="O1063" s="21">
        <f t="shared" si="145"/>
        <v>2366</v>
      </c>
      <c r="P1063" s="21">
        <f t="shared" si="144"/>
        <v>615</v>
      </c>
      <c r="Q1063" s="354">
        <f t="shared" si="146"/>
        <v>25.993237531699069</v>
      </c>
    </row>
    <row r="1064" spans="2:17" x14ac:dyDescent="0.2">
      <c r="B1064" s="6">
        <f t="shared" si="150"/>
        <v>572</v>
      </c>
      <c r="C1064" s="12"/>
      <c r="D1064" s="12"/>
      <c r="E1064" s="12"/>
      <c r="F1064" s="13" t="s">
        <v>157</v>
      </c>
      <c r="G1064" s="14">
        <v>640</v>
      </c>
      <c r="H1064" s="12" t="s">
        <v>126</v>
      </c>
      <c r="I1064" s="15">
        <v>450</v>
      </c>
      <c r="J1064" s="15">
        <v>0</v>
      </c>
      <c r="K1064" s="354">
        <f t="shared" si="149"/>
        <v>0</v>
      </c>
      <c r="L1064" s="15"/>
      <c r="M1064" s="15"/>
      <c r="N1064" s="354"/>
      <c r="O1064" s="16">
        <f t="shared" si="145"/>
        <v>450</v>
      </c>
      <c r="P1064" s="16">
        <f t="shared" si="144"/>
        <v>0</v>
      </c>
      <c r="Q1064" s="354">
        <f t="shared" si="146"/>
        <v>0</v>
      </c>
    </row>
    <row r="1065" spans="2:17" x14ac:dyDescent="0.2">
      <c r="B1065" s="6">
        <f t="shared" si="150"/>
        <v>573</v>
      </c>
      <c r="C1065" s="12"/>
      <c r="D1065" s="12"/>
      <c r="E1065" s="12"/>
      <c r="F1065" s="13" t="s">
        <v>157</v>
      </c>
      <c r="G1065" s="14">
        <v>710</v>
      </c>
      <c r="H1065" s="12" t="s">
        <v>172</v>
      </c>
      <c r="I1065" s="15"/>
      <c r="J1065" s="15"/>
      <c r="K1065" s="354"/>
      <c r="L1065" s="15">
        <f>L1066</f>
        <v>3500</v>
      </c>
      <c r="M1065" s="15">
        <f>M1066</f>
        <v>3250</v>
      </c>
      <c r="N1065" s="354">
        <f>M1065/L1065*100</f>
        <v>92.857142857142861</v>
      </c>
      <c r="O1065" s="16">
        <f t="shared" si="145"/>
        <v>3500</v>
      </c>
      <c r="P1065" s="16">
        <f t="shared" si="144"/>
        <v>3250</v>
      </c>
      <c r="Q1065" s="354">
        <f t="shared" si="146"/>
        <v>92.857142857142861</v>
      </c>
    </row>
    <row r="1066" spans="2:17" x14ac:dyDescent="0.2">
      <c r="B1066" s="6">
        <f t="shared" si="150"/>
        <v>574</v>
      </c>
      <c r="C1066" s="17"/>
      <c r="D1066" s="17"/>
      <c r="E1066" s="17"/>
      <c r="F1066" s="18"/>
      <c r="G1066" s="19">
        <v>713</v>
      </c>
      <c r="H1066" s="17" t="s">
        <v>215</v>
      </c>
      <c r="I1066" s="20"/>
      <c r="J1066" s="20"/>
      <c r="K1066" s="354"/>
      <c r="L1066" s="20">
        <f>L1067</f>
        <v>3500</v>
      </c>
      <c r="M1066" s="20">
        <f>M1067</f>
        <v>3250</v>
      </c>
      <c r="N1066" s="354">
        <f>M1066/L1066*100</f>
        <v>92.857142857142861</v>
      </c>
      <c r="O1066" s="21">
        <f t="shared" si="145"/>
        <v>3500</v>
      </c>
      <c r="P1066" s="21">
        <f t="shared" ref="P1066:P1129" si="151">J1066+M1066</f>
        <v>3250</v>
      </c>
      <c r="Q1066" s="354">
        <f t="shared" si="146"/>
        <v>92.857142857142861</v>
      </c>
    </row>
    <row r="1067" spans="2:17" x14ac:dyDescent="0.2">
      <c r="B1067" s="6">
        <f t="shared" si="150"/>
        <v>575</v>
      </c>
      <c r="C1067" s="1"/>
      <c r="D1067" s="1"/>
      <c r="E1067" s="1"/>
      <c r="F1067" s="99"/>
      <c r="G1067" s="23"/>
      <c r="H1067" s="1" t="s">
        <v>602</v>
      </c>
      <c r="I1067" s="24"/>
      <c r="J1067" s="24"/>
      <c r="K1067" s="354"/>
      <c r="L1067" s="24">
        <v>3500</v>
      </c>
      <c r="M1067" s="24">
        <v>3250</v>
      </c>
      <c r="N1067" s="354">
        <f>M1067/L1067*100</f>
        <v>92.857142857142861</v>
      </c>
      <c r="O1067" s="26">
        <f t="shared" ref="O1067:O1130" si="152">I1067+L1067</f>
        <v>3500</v>
      </c>
      <c r="P1067" s="26">
        <f t="shared" si="151"/>
        <v>3250</v>
      </c>
      <c r="Q1067" s="354">
        <f t="shared" ref="Q1067:Q1130" si="153">P1067/O1067*100</f>
        <v>92.857142857142861</v>
      </c>
    </row>
    <row r="1068" spans="2:17" x14ac:dyDescent="0.2">
      <c r="B1068" s="6">
        <f t="shared" si="150"/>
        <v>576</v>
      </c>
      <c r="C1068" s="105"/>
      <c r="D1068" s="105"/>
      <c r="E1068" s="105" t="s">
        <v>88</v>
      </c>
      <c r="F1068" s="106"/>
      <c r="G1068" s="106"/>
      <c r="H1068" s="105" t="s">
        <v>223</v>
      </c>
      <c r="I1068" s="107">
        <f>I1069+I1070+I1071+I1076</f>
        <v>167962</v>
      </c>
      <c r="J1068" s="107">
        <f>J1069+J1070+J1071+J1076</f>
        <v>66272</v>
      </c>
      <c r="K1068" s="354">
        <f t="shared" ref="K1068:K1094" si="154">J1068/I1068*100</f>
        <v>39.456543742036885</v>
      </c>
      <c r="L1068" s="107"/>
      <c r="M1068" s="107"/>
      <c r="N1068" s="354"/>
      <c r="O1068" s="108">
        <f t="shared" si="152"/>
        <v>167962</v>
      </c>
      <c r="P1068" s="108">
        <f t="shared" si="151"/>
        <v>66272</v>
      </c>
      <c r="Q1068" s="354">
        <f t="shared" si="153"/>
        <v>39.456543742036885</v>
      </c>
    </row>
    <row r="1069" spans="2:17" x14ac:dyDescent="0.2">
      <c r="B1069" s="6">
        <f t="shared" si="150"/>
        <v>577</v>
      </c>
      <c r="C1069" s="12"/>
      <c r="D1069" s="12"/>
      <c r="E1069" s="12"/>
      <c r="F1069" s="13" t="s">
        <v>157</v>
      </c>
      <c r="G1069" s="14">
        <v>610</v>
      </c>
      <c r="H1069" s="12" t="s">
        <v>128</v>
      </c>
      <c r="I1069" s="15">
        <v>44335</v>
      </c>
      <c r="J1069" s="15">
        <v>20134</v>
      </c>
      <c r="K1069" s="354">
        <f t="shared" si="154"/>
        <v>45.413330325927596</v>
      </c>
      <c r="L1069" s="15"/>
      <c r="M1069" s="15"/>
      <c r="N1069" s="354"/>
      <c r="O1069" s="16">
        <f t="shared" si="152"/>
        <v>44335</v>
      </c>
      <c r="P1069" s="16">
        <f t="shared" si="151"/>
        <v>20134</v>
      </c>
      <c r="Q1069" s="354">
        <f t="shared" si="153"/>
        <v>45.413330325927596</v>
      </c>
    </row>
    <row r="1070" spans="2:17" x14ac:dyDescent="0.2">
      <c r="B1070" s="6">
        <f t="shared" si="150"/>
        <v>578</v>
      </c>
      <c r="C1070" s="12"/>
      <c r="D1070" s="12"/>
      <c r="E1070" s="12"/>
      <c r="F1070" s="13" t="s">
        <v>157</v>
      </c>
      <c r="G1070" s="14">
        <v>620</v>
      </c>
      <c r="H1070" s="12" t="s">
        <v>121</v>
      </c>
      <c r="I1070" s="15">
        <v>17508</v>
      </c>
      <c r="J1070" s="15">
        <v>7606</v>
      </c>
      <c r="K1070" s="354">
        <f t="shared" si="154"/>
        <v>43.442997486863149</v>
      </c>
      <c r="L1070" s="15"/>
      <c r="M1070" s="15"/>
      <c r="N1070" s="354"/>
      <c r="O1070" s="16">
        <f t="shared" si="152"/>
        <v>17508</v>
      </c>
      <c r="P1070" s="16">
        <f t="shared" si="151"/>
        <v>7606</v>
      </c>
      <c r="Q1070" s="354">
        <f t="shared" si="153"/>
        <v>43.442997486863149</v>
      </c>
    </row>
    <row r="1071" spans="2:17" x14ac:dyDescent="0.2">
      <c r="B1071" s="6">
        <f t="shared" si="150"/>
        <v>579</v>
      </c>
      <c r="C1071" s="12"/>
      <c r="D1071" s="12"/>
      <c r="E1071" s="12"/>
      <c r="F1071" s="13" t="s">
        <v>157</v>
      </c>
      <c r="G1071" s="14">
        <v>630</v>
      </c>
      <c r="H1071" s="12" t="s">
        <v>118</v>
      </c>
      <c r="I1071" s="15">
        <f>SUM(I1072:I1075)</f>
        <v>103867</v>
      </c>
      <c r="J1071" s="15">
        <f>SUM(J1072:J1075)</f>
        <v>36576</v>
      </c>
      <c r="K1071" s="354">
        <f t="shared" si="154"/>
        <v>35.214264395813878</v>
      </c>
      <c r="L1071" s="15"/>
      <c r="M1071" s="15"/>
      <c r="N1071" s="354"/>
      <c r="O1071" s="16">
        <f t="shared" si="152"/>
        <v>103867</v>
      </c>
      <c r="P1071" s="16">
        <f t="shared" si="151"/>
        <v>36576</v>
      </c>
      <c r="Q1071" s="354">
        <f t="shared" si="153"/>
        <v>35.214264395813878</v>
      </c>
    </row>
    <row r="1072" spans="2:17" x14ac:dyDescent="0.2">
      <c r="B1072" s="6"/>
      <c r="C1072" s="12"/>
      <c r="D1072" s="12"/>
      <c r="E1072" s="12"/>
      <c r="F1072" s="13"/>
      <c r="G1072" s="19">
        <v>632</v>
      </c>
      <c r="H1072" s="17" t="s">
        <v>131</v>
      </c>
      <c r="I1072" s="20">
        <v>15500</v>
      </c>
      <c r="J1072" s="20">
        <v>1431</v>
      </c>
      <c r="K1072" s="354">
        <f t="shared" si="154"/>
        <v>9.2322580645161292</v>
      </c>
      <c r="L1072" s="20"/>
      <c r="M1072" s="20"/>
      <c r="N1072" s="354"/>
      <c r="O1072" s="21">
        <f t="shared" si="152"/>
        <v>15500</v>
      </c>
      <c r="P1072" s="21">
        <f t="shared" si="151"/>
        <v>1431</v>
      </c>
      <c r="Q1072" s="354">
        <f t="shared" si="153"/>
        <v>9.2322580645161292</v>
      </c>
    </row>
    <row r="1073" spans="2:17" x14ac:dyDescent="0.2">
      <c r="B1073" s="6">
        <f>B1071+1</f>
        <v>580</v>
      </c>
      <c r="C1073" s="17"/>
      <c r="D1073" s="17"/>
      <c r="E1073" s="17"/>
      <c r="F1073" s="18"/>
      <c r="G1073" s="19">
        <v>633</v>
      </c>
      <c r="H1073" s="17" t="s">
        <v>122</v>
      </c>
      <c r="I1073" s="20">
        <f>81467-3500</f>
        <v>77967</v>
      </c>
      <c r="J1073" s="20">
        <v>34377</v>
      </c>
      <c r="K1073" s="354">
        <f t="shared" si="154"/>
        <v>44.091731117011044</v>
      </c>
      <c r="L1073" s="20"/>
      <c r="M1073" s="20"/>
      <c r="N1073" s="354"/>
      <c r="O1073" s="21">
        <f t="shared" si="152"/>
        <v>77967</v>
      </c>
      <c r="P1073" s="21">
        <f t="shared" si="151"/>
        <v>34377</v>
      </c>
      <c r="Q1073" s="354">
        <f t="shared" si="153"/>
        <v>44.091731117011044</v>
      </c>
    </row>
    <row r="1074" spans="2:17" x14ac:dyDescent="0.2">
      <c r="B1074" s="6">
        <f t="shared" ref="B1074:B1105" si="155">B1073+1</f>
        <v>581</v>
      </c>
      <c r="C1074" s="17"/>
      <c r="D1074" s="17"/>
      <c r="E1074" s="17"/>
      <c r="F1074" s="18"/>
      <c r="G1074" s="19">
        <v>635</v>
      </c>
      <c r="H1074" s="17" t="s">
        <v>130</v>
      </c>
      <c r="I1074" s="20">
        <f>4900+3500</f>
        <v>8400</v>
      </c>
      <c r="J1074" s="20">
        <v>0</v>
      </c>
      <c r="K1074" s="354">
        <f t="shared" si="154"/>
        <v>0</v>
      </c>
      <c r="L1074" s="20"/>
      <c r="M1074" s="20"/>
      <c r="N1074" s="354"/>
      <c r="O1074" s="21">
        <f t="shared" si="152"/>
        <v>8400</v>
      </c>
      <c r="P1074" s="21">
        <f t="shared" si="151"/>
        <v>0</v>
      </c>
      <c r="Q1074" s="354">
        <f t="shared" si="153"/>
        <v>0</v>
      </c>
    </row>
    <row r="1075" spans="2:17" x14ac:dyDescent="0.2">
      <c r="B1075" s="6">
        <f t="shared" si="155"/>
        <v>582</v>
      </c>
      <c r="C1075" s="17"/>
      <c r="D1075" s="17"/>
      <c r="E1075" s="17"/>
      <c r="F1075" s="18"/>
      <c r="G1075" s="19">
        <v>637</v>
      </c>
      <c r="H1075" s="17" t="s">
        <v>119</v>
      </c>
      <c r="I1075" s="20">
        <f>1700+300</f>
        <v>2000</v>
      </c>
      <c r="J1075" s="20">
        <v>768</v>
      </c>
      <c r="K1075" s="354">
        <f t="shared" si="154"/>
        <v>38.4</v>
      </c>
      <c r="L1075" s="20"/>
      <c r="M1075" s="20"/>
      <c r="N1075" s="354"/>
      <c r="O1075" s="21">
        <f t="shared" si="152"/>
        <v>2000</v>
      </c>
      <c r="P1075" s="21">
        <f t="shared" si="151"/>
        <v>768</v>
      </c>
      <c r="Q1075" s="354">
        <f t="shared" si="153"/>
        <v>38.4</v>
      </c>
    </row>
    <row r="1076" spans="2:17" x14ac:dyDescent="0.2">
      <c r="B1076" s="6">
        <f t="shared" si="155"/>
        <v>583</v>
      </c>
      <c r="C1076" s="12"/>
      <c r="D1076" s="12"/>
      <c r="E1076" s="12"/>
      <c r="F1076" s="13" t="s">
        <v>157</v>
      </c>
      <c r="G1076" s="14">
        <v>640</v>
      </c>
      <c r="H1076" s="12" t="s">
        <v>126</v>
      </c>
      <c r="I1076" s="15">
        <v>2252</v>
      </c>
      <c r="J1076" s="15">
        <v>1956</v>
      </c>
      <c r="K1076" s="354">
        <f t="shared" si="154"/>
        <v>86.856127886323264</v>
      </c>
      <c r="L1076" s="15"/>
      <c r="M1076" s="15"/>
      <c r="N1076" s="354"/>
      <c r="O1076" s="16">
        <f t="shared" si="152"/>
        <v>2252</v>
      </c>
      <c r="P1076" s="16">
        <f t="shared" si="151"/>
        <v>1956</v>
      </c>
      <c r="Q1076" s="354">
        <f t="shared" si="153"/>
        <v>86.856127886323264</v>
      </c>
    </row>
    <row r="1077" spans="2:17" x14ac:dyDescent="0.2">
      <c r="B1077" s="6">
        <f t="shared" si="155"/>
        <v>584</v>
      </c>
      <c r="C1077" s="105"/>
      <c r="D1077" s="105"/>
      <c r="E1077" s="105" t="s">
        <v>84</v>
      </c>
      <c r="F1077" s="106"/>
      <c r="G1077" s="106"/>
      <c r="H1077" s="105" t="s">
        <v>64</v>
      </c>
      <c r="I1077" s="107">
        <f>I1078+I1079+I1080+I1085</f>
        <v>95764</v>
      </c>
      <c r="J1077" s="107">
        <f>J1078+J1079+J1080+J1085</f>
        <v>38360</v>
      </c>
      <c r="K1077" s="354">
        <f t="shared" si="154"/>
        <v>40.05680631552567</v>
      </c>
      <c r="L1077" s="107"/>
      <c r="M1077" s="107"/>
      <c r="N1077" s="354"/>
      <c r="O1077" s="108">
        <f t="shared" si="152"/>
        <v>95764</v>
      </c>
      <c r="P1077" s="108">
        <f t="shared" si="151"/>
        <v>38360</v>
      </c>
      <c r="Q1077" s="354">
        <f t="shared" si="153"/>
        <v>40.05680631552567</v>
      </c>
    </row>
    <row r="1078" spans="2:17" x14ac:dyDescent="0.2">
      <c r="B1078" s="6">
        <f t="shared" si="155"/>
        <v>585</v>
      </c>
      <c r="C1078" s="12"/>
      <c r="D1078" s="12"/>
      <c r="E1078" s="12"/>
      <c r="F1078" s="13" t="s">
        <v>157</v>
      </c>
      <c r="G1078" s="14">
        <v>610</v>
      </c>
      <c r="H1078" s="12" t="s">
        <v>128</v>
      </c>
      <c r="I1078" s="15">
        <v>29166</v>
      </c>
      <c r="J1078" s="15">
        <v>15707</v>
      </c>
      <c r="K1078" s="354">
        <f t="shared" si="154"/>
        <v>53.853802372625658</v>
      </c>
      <c r="L1078" s="15"/>
      <c r="M1078" s="15"/>
      <c r="N1078" s="354"/>
      <c r="O1078" s="16">
        <f t="shared" si="152"/>
        <v>29166</v>
      </c>
      <c r="P1078" s="16">
        <f t="shared" si="151"/>
        <v>15707</v>
      </c>
      <c r="Q1078" s="354">
        <f t="shared" si="153"/>
        <v>53.853802372625658</v>
      </c>
    </row>
    <row r="1079" spans="2:17" x14ac:dyDescent="0.2">
      <c r="B1079" s="6">
        <f t="shared" si="155"/>
        <v>586</v>
      </c>
      <c r="C1079" s="12"/>
      <c r="D1079" s="12"/>
      <c r="E1079" s="12"/>
      <c r="F1079" s="13" t="s">
        <v>157</v>
      </c>
      <c r="G1079" s="14">
        <v>620</v>
      </c>
      <c r="H1079" s="12" t="s">
        <v>121</v>
      </c>
      <c r="I1079" s="15">
        <v>11411</v>
      </c>
      <c r="J1079" s="15">
        <v>5732</v>
      </c>
      <c r="K1079" s="354">
        <f t="shared" si="154"/>
        <v>50.232232056787311</v>
      </c>
      <c r="L1079" s="15"/>
      <c r="M1079" s="15"/>
      <c r="N1079" s="354"/>
      <c r="O1079" s="16">
        <f t="shared" si="152"/>
        <v>11411</v>
      </c>
      <c r="P1079" s="16">
        <f t="shared" si="151"/>
        <v>5732</v>
      </c>
      <c r="Q1079" s="354">
        <f t="shared" si="153"/>
        <v>50.232232056787311</v>
      </c>
    </row>
    <row r="1080" spans="2:17" x14ac:dyDescent="0.2">
      <c r="B1080" s="6">
        <f t="shared" si="155"/>
        <v>587</v>
      </c>
      <c r="C1080" s="12"/>
      <c r="D1080" s="12"/>
      <c r="E1080" s="12"/>
      <c r="F1080" s="13" t="s">
        <v>157</v>
      </c>
      <c r="G1080" s="14">
        <v>630</v>
      </c>
      <c r="H1080" s="12" t="s">
        <v>118</v>
      </c>
      <c r="I1080" s="15">
        <f>SUM(I1081:I1084)</f>
        <v>54737</v>
      </c>
      <c r="J1080" s="15">
        <f>SUM(J1081:J1084)</f>
        <v>16858</v>
      </c>
      <c r="K1080" s="354">
        <f t="shared" si="154"/>
        <v>30.79818038986426</v>
      </c>
      <c r="L1080" s="15"/>
      <c r="M1080" s="15"/>
      <c r="N1080" s="354"/>
      <c r="O1080" s="16">
        <f t="shared" si="152"/>
        <v>54737</v>
      </c>
      <c r="P1080" s="16">
        <f t="shared" si="151"/>
        <v>16858</v>
      </c>
      <c r="Q1080" s="354">
        <f t="shared" si="153"/>
        <v>30.79818038986426</v>
      </c>
    </row>
    <row r="1081" spans="2:17" x14ac:dyDescent="0.2">
      <c r="B1081" s="6">
        <f t="shared" si="155"/>
        <v>588</v>
      </c>
      <c r="C1081" s="12"/>
      <c r="D1081" s="12"/>
      <c r="E1081" s="12"/>
      <c r="F1081" s="13"/>
      <c r="G1081" s="19">
        <v>632</v>
      </c>
      <c r="H1081" s="17" t="s">
        <v>131</v>
      </c>
      <c r="I1081" s="20">
        <v>8500</v>
      </c>
      <c r="J1081" s="20">
        <v>1336</v>
      </c>
      <c r="K1081" s="354">
        <f t="shared" si="154"/>
        <v>15.71764705882353</v>
      </c>
      <c r="L1081" s="20"/>
      <c r="M1081" s="20"/>
      <c r="N1081" s="354"/>
      <c r="O1081" s="21">
        <f t="shared" si="152"/>
        <v>8500</v>
      </c>
      <c r="P1081" s="21">
        <f t="shared" si="151"/>
        <v>1336</v>
      </c>
      <c r="Q1081" s="354">
        <f t="shared" si="153"/>
        <v>15.71764705882353</v>
      </c>
    </row>
    <row r="1082" spans="2:17" x14ac:dyDescent="0.2">
      <c r="B1082" s="6">
        <f t="shared" si="155"/>
        <v>589</v>
      </c>
      <c r="C1082" s="17"/>
      <c r="D1082" s="17"/>
      <c r="E1082" s="17"/>
      <c r="F1082" s="18"/>
      <c r="G1082" s="19">
        <v>633</v>
      </c>
      <c r="H1082" s="17" t="s">
        <v>122</v>
      </c>
      <c r="I1082" s="20">
        <v>42587</v>
      </c>
      <c r="J1082" s="20">
        <v>15082</v>
      </c>
      <c r="K1082" s="354">
        <f t="shared" si="154"/>
        <v>35.414563129593539</v>
      </c>
      <c r="L1082" s="20"/>
      <c r="M1082" s="20"/>
      <c r="N1082" s="354"/>
      <c r="O1082" s="21">
        <f t="shared" si="152"/>
        <v>42587</v>
      </c>
      <c r="P1082" s="21">
        <f t="shared" si="151"/>
        <v>15082</v>
      </c>
      <c r="Q1082" s="354">
        <f t="shared" si="153"/>
        <v>35.414563129593539</v>
      </c>
    </row>
    <row r="1083" spans="2:17" x14ac:dyDescent="0.2">
      <c r="B1083" s="6">
        <f t="shared" si="155"/>
        <v>590</v>
      </c>
      <c r="C1083" s="17"/>
      <c r="D1083" s="17"/>
      <c r="E1083" s="17"/>
      <c r="F1083" s="18"/>
      <c r="G1083" s="19">
        <v>635</v>
      </c>
      <c r="H1083" s="17" t="s">
        <v>130</v>
      </c>
      <c r="I1083" s="20">
        <f>3000-1000</f>
        <v>2000</v>
      </c>
      <c r="J1083" s="20">
        <v>0</v>
      </c>
      <c r="K1083" s="354">
        <f t="shared" si="154"/>
        <v>0</v>
      </c>
      <c r="L1083" s="20"/>
      <c r="M1083" s="20"/>
      <c r="N1083" s="354"/>
      <c r="O1083" s="21">
        <f t="shared" si="152"/>
        <v>2000</v>
      </c>
      <c r="P1083" s="21">
        <f t="shared" si="151"/>
        <v>0</v>
      </c>
      <c r="Q1083" s="354">
        <f t="shared" si="153"/>
        <v>0</v>
      </c>
    </row>
    <row r="1084" spans="2:17" x14ac:dyDescent="0.2">
      <c r="B1084" s="6">
        <f t="shared" si="155"/>
        <v>591</v>
      </c>
      <c r="C1084" s="17"/>
      <c r="D1084" s="17"/>
      <c r="E1084" s="17"/>
      <c r="F1084" s="18"/>
      <c r="G1084" s="19">
        <v>637</v>
      </c>
      <c r="H1084" s="17" t="s">
        <v>119</v>
      </c>
      <c r="I1084" s="20">
        <f>1350+300</f>
        <v>1650</v>
      </c>
      <c r="J1084" s="20">
        <v>440</v>
      </c>
      <c r="K1084" s="354">
        <f t="shared" si="154"/>
        <v>26.666666666666668</v>
      </c>
      <c r="L1084" s="20"/>
      <c r="M1084" s="20"/>
      <c r="N1084" s="354"/>
      <c r="O1084" s="21">
        <f t="shared" si="152"/>
        <v>1650</v>
      </c>
      <c r="P1084" s="21">
        <f t="shared" si="151"/>
        <v>440</v>
      </c>
      <c r="Q1084" s="354">
        <f t="shared" si="153"/>
        <v>26.666666666666668</v>
      </c>
    </row>
    <row r="1085" spans="2:17" x14ac:dyDescent="0.2">
      <c r="B1085" s="6">
        <f t="shared" si="155"/>
        <v>592</v>
      </c>
      <c r="C1085" s="12"/>
      <c r="D1085" s="12"/>
      <c r="E1085" s="12"/>
      <c r="F1085" s="13" t="s">
        <v>157</v>
      </c>
      <c r="G1085" s="14">
        <v>640</v>
      </c>
      <c r="H1085" s="12" t="s">
        <v>126</v>
      </c>
      <c r="I1085" s="15">
        <v>450</v>
      </c>
      <c r="J1085" s="15">
        <v>63</v>
      </c>
      <c r="K1085" s="354">
        <f t="shared" si="154"/>
        <v>14.000000000000002</v>
      </c>
      <c r="L1085" s="15"/>
      <c r="M1085" s="15"/>
      <c r="N1085" s="354"/>
      <c r="O1085" s="16">
        <f t="shared" si="152"/>
        <v>450</v>
      </c>
      <c r="P1085" s="16">
        <f t="shared" si="151"/>
        <v>63</v>
      </c>
      <c r="Q1085" s="354">
        <f t="shared" si="153"/>
        <v>14.000000000000002</v>
      </c>
    </row>
    <row r="1086" spans="2:17" x14ac:dyDescent="0.2">
      <c r="B1086" s="6">
        <f t="shared" si="155"/>
        <v>593</v>
      </c>
      <c r="C1086" s="105"/>
      <c r="D1086" s="105"/>
      <c r="E1086" s="105" t="s">
        <v>92</v>
      </c>
      <c r="F1086" s="106"/>
      <c r="G1086" s="106"/>
      <c r="H1086" s="105" t="s">
        <v>534</v>
      </c>
      <c r="I1086" s="107">
        <f>I1087+I1088+I1089+I1094</f>
        <v>119427</v>
      </c>
      <c r="J1086" s="107">
        <f>J1087+J1088+J1089+J1094</f>
        <v>47844</v>
      </c>
      <c r="K1086" s="354">
        <f t="shared" si="154"/>
        <v>40.061292672511243</v>
      </c>
      <c r="L1086" s="107">
        <f>L1095</f>
        <v>2900</v>
      </c>
      <c r="M1086" s="107">
        <f>M1095</f>
        <v>2854</v>
      </c>
      <c r="N1086" s="354">
        <f>M1086/L1086*100</f>
        <v>98.41379310344827</v>
      </c>
      <c r="O1086" s="108">
        <f t="shared" si="152"/>
        <v>122327</v>
      </c>
      <c r="P1086" s="108">
        <f t="shared" si="151"/>
        <v>50698</v>
      </c>
      <c r="Q1086" s="354">
        <f t="shared" si="153"/>
        <v>41.444652447946893</v>
      </c>
    </row>
    <row r="1087" spans="2:17" x14ac:dyDescent="0.2">
      <c r="B1087" s="6">
        <f t="shared" si="155"/>
        <v>594</v>
      </c>
      <c r="C1087" s="12"/>
      <c r="D1087" s="12"/>
      <c r="E1087" s="12"/>
      <c r="F1087" s="13" t="s">
        <v>157</v>
      </c>
      <c r="G1087" s="14">
        <v>610</v>
      </c>
      <c r="H1087" s="12" t="s">
        <v>128</v>
      </c>
      <c r="I1087" s="15">
        <v>30793</v>
      </c>
      <c r="J1087" s="15">
        <v>17847</v>
      </c>
      <c r="K1087" s="354">
        <f t="shared" si="154"/>
        <v>57.957977462410291</v>
      </c>
      <c r="L1087" s="15"/>
      <c r="M1087" s="15"/>
      <c r="N1087" s="354"/>
      <c r="O1087" s="16">
        <f t="shared" si="152"/>
        <v>30793</v>
      </c>
      <c r="P1087" s="16">
        <f t="shared" si="151"/>
        <v>17847</v>
      </c>
      <c r="Q1087" s="354">
        <f t="shared" si="153"/>
        <v>57.957977462410291</v>
      </c>
    </row>
    <row r="1088" spans="2:17" x14ac:dyDescent="0.2">
      <c r="B1088" s="6">
        <f t="shared" si="155"/>
        <v>595</v>
      </c>
      <c r="C1088" s="12"/>
      <c r="D1088" s="12"/>
      <c r="E1088" s="12"/>
      <c r="F1088" s="13" t="s">
        <v>157</v>
      </c>
      <c r="G1088" s="14">
        <v>620</v>
      </c>
      <c r="H1088" s="12" t="s">
        <v>121</v>
      </c>
      <c r="I1088" s="15">
        <f>12029+647</f>
        <v>12676</v>
      </c>
      <c r="J1088" s="15">
        <v>6885</v>
      </c>
      <c r="K1088" s="354">
        <f t="shared" si="154"/>
        <v>54.315241401072889</v>
      </c>
      <c r="L1088" s="15"/>
      <c r="M1088" s="15"/>
      <c r="N1088" s="354"/>
      <c r="O1088" s="16">
        <f t="shared" si="152"/>
        <v>12676</v>
      </c>
      <c r="P1088" s="16">
        <f t="shared" si="151"/>
        <v>6885</v>
      </c>
      <c r="Q1088" s="354">
        <f t="shared" si="153"/>
        <v>54.315241401072889</v>
      </c>
    </row>
    <row r="1089" spans="2:17" x14ac:dyDescent="0.2">
      <c r="B1089" s="6">
        <f t="shared" si="155"/>
        <v>596</v>
      </c>
      <c r="C1089" s="12"/>
      <c r="D1089" s="12"/>
      <c r="E1089" s="12"/>
      <c r="F1089" s="13" t="s">
        <v>157</v>
      </c>
      <c r="G1089" s="14">
        <v>630</v>
      </c>
      <c r="H1089" s="12" t="s">
        <v>118</v>
      </c>
      <c r="I1089" s="15">
        <f>SUM(I1090:I1093)</f>
        <v>73706</v>
      </c>
      <c r="J1089" s="15">
        <f>SUM(J1090:J1093)</f>
        <v>21147</v>
      </c>
      <c r="K1089" s="354">
        <f t="shared" si="154"/>
        <v>28.69101565679863</v>
      </c>
      <c r="L1089" s="15"/>
      <c r="M1089" s="15"/>
      <c r="N1089" s="354"/>
      <c r="O1089" s="16">
        <f t="shared" si="152"/>
        <v>73706</v>
      </c>
      <c r="P1089" s="16">
        <f t="shared" si="151"/>
        <v>21147</v>
      </c>
      <c r="Q1089" s="354">
        <f t="shared" si="153"/>
        <v>28.69101565679863</v>
      </c>
    </row>
    <row r="1090" spans="2:17" x14ac:dyDescent="0.2">
      <c r="B1090" s="6">
        <f t="shared" si="155"/>
        <v>597</v>
      </c>
      <c r="C1090" s="12"/>
      <c r="D1090" s="12"/>
      <c r="E1090" s="12"/>
      <c r="F1090" s="13"/>
      <c r="G1090" s="19">
        <v>632</v>
      </c>
      <c r="H1090" s="17" t="s">
        <v>131</v>
      </c>
      <c r="I1090" s="20">
        <v>14000</v>
      </c>
      <c r="J1090" s="20">
        <v>1141</v>
      </c>
      <c r="K1090" s="354">
        <f t="shared" si="154"/>
        <v>8.15</v>
      </c>
      <c r="L1090" s="20"/>
      <c r="M1090" s="20"/>
      <c r="N1090" s="354"/>
      <c r="O1090" s="21">
        <f t="shared" si="152"/>
        <v>14000</v>
      </c>
      <c r="P1090" s="21">
        <f t="shared" si="151"/>
        <v>1141</v>
      </c>
      <c r="Q1090" s="354">
        <f t="shared" si="153"/>
        <v>8.15</v>
      </c>
    </row>
    <row r="1091" spans="2:17" x14ac:dyDescent="0.2">
      <c r="B1091" s="6">
        <f t="shared" si="155"/>
        <v>598</v>
      </c>
      <c r="C1091" s="17"/>
      <c r="D1091" s="17"/>
      <c r="E1091" s="17"/>
      <c r="F1091" s="18"/>
      <c r="G1091" s="19">
        <v>633</v>
      </c>
      <c r="H1091" s="17" t="s">
        <v>122</v>
      </c>
      <c r="I1091" s="20">
        <v>55636</v>
      </c>
      <c r="J1091" s="20">
        <v>19559</v>
      </c>
      <c r="K1091" s="354">
        <f t="shared" si="154"/>
        <v>35.155295132647922</v>
      </c>
      <c r="L1091" s="20"/>
      <c r="M1091" s="20"/>
      <c r="N1091" s="354"/>
      <c r="O1091" s="21">
        <f t="shared" si="152"/>
        <v>55636</v>
      </c>
      <c r="P1091" s="21">
        <f t="shared" si="151"/>
        <v>19559</v>
      </c>
      <c r="Q1091" s="354">
        <f t="shared" si="153"/>
        <v>35.155295132647922</v>
      </c>
    </row>
    <row r="1092" spans="2:17" x14ac:dyDescent="0.2">
      <c r="B1092" s="6">
        <f t="shared" si="155"/>
        <v>599</v>
      </c>
      <c r="C1092" s="17"/>
      <c r="D1092" s="17"/>
      <c r="E1092" s="17"/>
      <c r="F1092" s="18"/>
      <c r="G1092" s="19">
        <v>635</v>
      </c>
      <c r="H1092" s="17" t="s">
        <v>130</v>
      </c>
      <c r="I1092" s="20">
        <f>3500-1000</f>
        <v>2500</v>
      </c>
      <c r="J1092" s="20">
        <v>0</v>
      </c>
      <c r="K1092" s="354">
        <f t="shared" si="154"/>
        <v>0</v>
      </c>
      <c r="L1092" s="20"/>
      <c r="M1092" s="20"/>
      <c r="N1092" s="354"/>
      <c r="O1092" s="21">
        <f t="shared" si="152"/>
        <v>2500</v>
      </c>
      <c r="P1092" s="21">
        <f t="shared" si="151"/>
        <v>0</v>
      </c>
      <c r="Q1092" s="354">
        <f t="shared" si="153"/>
        <v>0</v>
      </c>
    </row>
    <row r="1093" spans="2:17" x14ac:dyDescent="0.2">
      <c r="B1093" s="6">
        <f t="shared" si="155"/>
        <v>600</v>
      </c>
      <c r="C1093" s="17"/>
      <c r="D1093" s="17"/>
      <c r="E1093" s="17"/>
      <c r="F1093" s="18"/>
      <c r="G1093" s="19">
        <v>637</v>
      </c>
      <c r="H1093" s="17" t="s">
        <v>119</v>
      </c>
      <c r="I1093" s="20">
        <f>1370+200</f>
        <v>1570</v>
      </c>
      <c r="J1093" s="20">
        <v>447</v>
      </c>
      <c r="K1093" s="354">
        <f t="shared" si="154"/>
        <v>28.471337579617835</v>
      </c>
      <c r="L1093" s="20"/>
      <c r="M1093" s="20"/>
      <c r="N1093" s="354"/>
      <c r="O1093" s="21">
        <f t="shared" si="152"/>
        <v>1570</v>
      </c>
      <c r="P1093" s="21">
        <f t="shared" si="151"/>
        <v>447</v>
      </c>
      <c r="Q1093" s="354">
        <f t="shared" si="153"/>
        <v>28.471337579617835</v>
      </c>
    </row>
    <row r="1094" spans="2:17" x14ac:dyDescent="0.2">
      <c r="B1094" s="6">
        <f t="shared" si="155"/>
        <v>601</v>
      </c>
      <c r="C1094" s="12"/>
      <c r="D1094" s="12"/>
      <c r="E1094" s="12"/>
      <c r="F1094" s="13" t="s">
        <v>157</v>
      </c>
      <c r="G1094" s="14">
        <v>640</v>
      </c>
      <c r="H1094" s="12" t="s">
        <v>126</v>
      </c>
      <c r="I1094" s="15">
        <f>450+1802</f>
        <v>2252</v>
      </c>
      <c r="J1094" s="15">
        <v>1965</v>
      </c>
      <c r="K1094" s="354">
        <f t="shared" si="154"/>
        <v>87.255772646536414</v>
      </c>
      <c r="L1094" s="15"/>
      <c r="M1094" s="15"/>
      <c r="N1094" s="354"/>
      <c r="O1094" s="16">
        <f t="shared" si="152"/>
        <v>2252</v>
      </c>
      <c r="P1094" s="16">
        <f t="shared" si="151"/>
        <v>1965</v>
      </c>
      <c r="Q1094" s="354">
        <f t="shared" si="153"/>
        <v>87.255772646536414</v>
      </c>
    </row>
    <row r="1095" spans="2:17" x14ac:dyDescent="0.2">
      <c r="B1095" s="6">
        <f t="shared" si="155"/>
        <v>602</v>
      </c>
      <c r="C1095" s="12"/>
      <c r="D1095" s="12"/>
      <c r="E1095" s="12"/>
      <c r="F1095" s="13" t="s">
        <v>157</v>
      </c>
      <c r="G1095" s="14">
        <v>710</v>
      </c>
      <c r="H1095" s="12" t="s">
        <v>172</v>
      </c>
      <c r="I1095" s="15"/>
      <c r="J1095" s="15"/>
      <c r="K1095" s="354"/>
      <c r="L1095" s="15">
        <f>L1096</f>
        <v>2900</v>
      </c>
      <c r="M1095" s="15">
        <f>M1096</f>
        <v>2854</v>
      </c>
      <c r="N1095" s="354">
        <f>M1095/L1095*100</f>
        <v>98.41379310344827</v>
      </c>
      <c r="O1095" s="16">
        <f t="shared" si="152"/>
        <v>2900</v>
      </c>
      <c r="P1095" s="16">
        <f t="shared" si="151"/>
        <v>2854</v>
      </c>
      <c r="Q1095" s="354">
        <f t="shared" si="153"/>
        <v>98.41379310344827</v>
      </c>
    </row>
    <row r="1096" spans="2:17" x14ac:dyDescent="0.2">
      <c r="B1096" s="6">
        <f t="shared" si="155"/>
        <v>603</v>
      </c>
      <c r="C1096" s="17"/>
      <c r="D1096" s="17"/>
      <c r="E1096" s="17"/>
      <c r="F1096" s="18"/>
      <c r="G1096" s="19">
        <v>713</v>
      </c>
      <c r="H1096" s="17" t="s">
        <v>215</v>
      </c>
      <c r="I1096" s="20"/>
      <c r="J1096" s="20"/>
      <c r="K1096" s="354"/>
      <c r="L1096" s="20">
        <f>L1097</f>
        <v>2900</v>
      </c>
      <c r="M1096" s="20">
        <f>M1097</f>
        <v>2854</v>
      </c>
      <c r="N1096" s="354">
        <f>M1096/L1096*100</f>
        <v>98.41379310344827</v>
      </c>
      <c r="O1096" s="21">
        <f t="shared" si="152"/>
        <v>2900</v>
      </c>
      <c r="P1096" s="21">
        <f t="shared" si="151"/>
        <v>2854</v>
      </c>
      <c r="Q1096" s="354">
        <f t="shared" si="153"/>
        <v>98.41379310344827</v>
      </c>
    </row>
    <row r="1097" spans="2:17" x14ac:dyDescent="0.2">
      <c r="B1097" s="6">
        <f t="shared" si="155"/>
        <v>604</v>
      </c>
      <c r="C1097" s="1"/>
      <c r="D1097" s="1"/>
      <c r="E1097" s="1"/>
      <c r="F1097" s="99"/>
      <c r="G1097" s="23"/>
      <c r="H1097" s="1" t="s">
        <v>602</v>
      </c>
      <c r="I1097" s="24"/>
      <c r="J1097" s="24"/>
      <c r="K1097" s="354"/>
      <c r="L1097" s="24">
        <v>2900</v>
      </c>
      <c r="M1097" s="24">
        <v>2854</v>
      </c>
      <c r="N1097" s="354">
        <f>M1097/L1097*100</f>
        <v>98.41379310344827</v>
      </c>
      <c r="O1097" s="26">
        <f t="shared" si="152"/>
        <v>2900</v>
      </c>
      <c r="P1097" s="26">
        <f t="shared" si="151"/>
        <v>2854</v>
      </c>
      <c r="Q1097" s="354">
        <f t="shared" si="153"/>
        <v>98.41379310344827</v>
      </c>
    </row>
    <row r="1098" spans="2:17" x14ac:dyDescent="0.2">
      <c r="B1098" s="6">
        <f t="shared" si="155"/>
        <v>605</v>
      </c>
      <c r="C1098" s="105"/>
      <c r="D1098" s="105"/>
      <c r="E1098" s="105" t="s">
        <v>94</v>
      </c>
      <c r="F1098" s="106"/>
      <c r="G1098" s="106"/>
      <c r="H1098" s="105" t="s">
        <v>95</v>
      </c>
      <c r="I1098" s="107">
        <f>I1099+I1100+I1101+I1106</f>
        <v>107971</v>
      </c>
      <c r="J1098" s="107">
        <f>J1099+J1100+J1101+J1106</f>
        <v>47231</v>
      </c>
      <c r="K1098" s="354">
        <f t="shared" ref="K1098:K1129" si="156">J1098/I1098*100</f>
        <v>43.744153522705169</v>
      </c>
      <c r="L1098" s="107"/>
      <c r="M1098" s="107"/>
      <c r="N1098" s="354"/>
      <c r="O1098" s="108">
        <f t="shared" si="152"/>
        <v>107971</v>
      </c>
      <c r="P1098" s="108">
        <f t="shared" si="151"/>
        <v>47231</v>
      </c>
      <c r="Q1098" s="354">
        <f t="shared" si="153"/>
        <v>43.744153522705169</v>
      </c>
    </row>
    <row r="1099" spans="2:17" x14ac:dyDescent="0.2">
      <c r="B1099" s="6">
        <f t="shared" si="155"/>
        <v>606</v>
      </c>
      <c r="C1099" s="12"/>
      <c r="D1099" s="12"/>
      <c r="E1099" s="12"/>
      <c r="F1099" s="13" t="s">
        <v>157</v>
      </c>
      <c r="G1099" s="14">
        <v>610</v>
      </c>
      <c r="H1099" s="12" t="s">
        <v>128</v>
      </c>
      <c r="I1099" s="15">
        <v>32421</v>
      </c>
      <c r="J1099" s="15">
        <v>18495</v>
      </c>
      <c r="K1099" s="354">
        <f t="shared" si="156"/>
        <v>57.046358841491632</v>
      </c>
      <c r="L1099" s="15"/>
      <c r="M1099" s="15"/>
      <c r="N1099" s="354"/>
      <c r="O1099" s="16">
        <f t="shared" si="152"/>
        <v>32421</v>
      </c>
      <c r="P1099" s="16">
        <f t="shared" si="151"/>
        <v>18495</v>
      </c>
      <c r="Q1099" s="354">
        <f t="shared" si="153"/>
        <v>57.046358841491632</v>
      </c>
    </row>
    <row r="1100" spans="2:17" x14ac:dyDescent="0.2">
      <c r="B1100" s="6">
        <f t="shared" si="155"/>
        <v>607</v>
      </c>
      <c r="C1100" s="12"/>
      <c r="D1100" s="12"/>
      <c r="E1100" s="12"/>
      <c r="F1100" s="13" t="s">
        <v>157</v>
      </c>
      <c r="G1100" s="14">
        <v>620</v>
      </c>
      <c r="H1100" s="12" t="s">
        <v>121</v>
      </c>
      <c r="I1100" s="15">
        <f>12329+600</f>
        <v>12929</v>
      </c>
      <c r="J1100" s="15">
        <v>8040</v>
      </c>
      <c r="K1100" s="354">
        <f t="shared" si="156"/>
        <v>62.185783896666415</v>
      </c>
      <c r="L1100" s="15"/>
      <c r="M1100" s="15"/>
      <c r="N1100" s="354"/>
      <c r="O1100" s="16">
        <f t="shared" si="152"/>
        <v>12929</v>
      </c>
      <c r="P1100" s="16">
        <f t="shared" si="151"/>
        <v>8040</v>
      </c>
      <c r="Q1100" s="354">
        <f t="shared" si="153"/>
        <v>62.185783896666415</v>
      </c>
    </row>
    <row r="1101" spans="2:17" x14ac:dyDescent="0.2">
      <c r="B1101" s="6">
        <f t="shared" si="155"/>
        <v>608</v>
      </c>
      <c r="C1101" s="12"/>
      <c r="D1101" s="12"/>
      <c r="E1101" s="12"/>
      <c r="F1101" s="13" t="s">
        <v>157</v>
      </c>
      <c r="G1101" s="14">
        <v>630</v>
      </c>
      <c r="H1101" s="12" t="s">
        <v>118</v>
      </c>
      <c r="I1101" s="15">
        <f>SUM(I1102:I1105)</f>
        <v>60504</v>
      </c>
      <c r="J1101" s="15">
        <f>SUM(J1102:J1105)</f>
        <v>19029</v>
      </c>
      <c r="K1101" s="354">
        <f t="shared" si="156"/>
        <v>31.450813169377227</v>
      </c>
      <c r="L1101" s="15"/>
      <c r="M1101" s="15"/>
      <c r="N1101" s="354"/>
      <c r="O1101" s="16">
        <f t="shared" si="152"/>
        <v>60504</v>
      </c>
      <c r="P1101" s="16">
        <f t="shared" si="151"/>
        <v>19029</v>
      </c>
      <c r="Q1101" s="354">
        <f t="shared" si="153"/>
        <v>31.450813169377227</v>
      </c>
    </row>
    <row r="1102" spans="2:17" x14ac:dyDescent="0.2">
      <c r="B1102" s="6">
        <f t="shared" si="155"/>
        <v>609</v>
      </c>
      <c r="C1102" s="12"/>
      <c r="D1102" s="12"/>
      <c r="E1102" s="12"/>
      <c r="F1102" s="13"/>
      <c r="G1102" s="19">
        <v>632</v>
      </c>
      <c r="H1102" s="17" t="s">
        <v>131</v>
      </c>
      <c r="I1102" s="20">
        <v>11800</v>
      </c>
      <c r="J1102" s="20">
        <v>1560</v>
      </c>
      <c r="K1102" s="354">
        <f t="shared" si="156"/>
        <v>13.220338983050848</v>
      </c>
      <c r="L1102" s="20"/>
      <c r="M1102" s="20"/>
      <c r="N1102" s="354"/>
      <c r="O1102" s="21">
        <f t="shared" si="152"/>
        <v>11800</v>
      </c>
      <c r="P1102" s="21">
        <f t="shared" si="151"/>
        <v>1560</v>
      </c>
      <c r="Q1102" s="354">
        <f t="shared" si="153"/>
        <v>13.220338983050848</v>
      </c>
    </row>
    <row r="1103" spans="2:17" x14ac:dyDescent="0.2">
      <c r="B1103" s="6">
        <f t="shared" si="155"/>
        <v>610</v>
      </c>
      <c r="C1103" s="17"/>
      <c r="D1103" s="17"/>
      <c r="E1103" s="17"/>
      <c r="F1103" s="18"/>
      <c r="G1103" s="19">
        <v>633</v>
      </c>
      <c r="H1103" s="17" t="s">
        <v>122</v>
      </c>
      <c r="I1103" s="20">
        <v>44984</v>
      </c>
      <c r="J1103" s="20">
        <v>16944</v>
      </c>
      <c r="K1103" s="354">
        <f t="shared" si="156"/>
        <v>37.666725947003378</v>
      </c>
      <c r="L1103" s="20"/>
      <c r="M1103" s="20"/>
      <c r="N1103" s="354"/>
      <c r="O1103" s="21">
        <f t="shared" si="152"/>
        <v>44984</v>
      </c>
      <c r="P1103" s="21">
        <f t="shared" si="151"/>
        <v>16944</v>
      </c>
      <c r="Q1103" s="354">
        <f t="shared" si="153"/>
        <v>37.666725947003378</v>
      </c>
    </row>
    <row r="1104" spans="2:17" x14ac:dyDescent="0.2">
      <c r="B1104" s="6">
        <f t="shared" si="155"/>
        <v>611</v>
      </c>
      <c r="C1104" s="17"/>
      <c r="D1104" s="17"/>
      <c r="E1104" s="17"/>
      <c r="F1104" s="18"/>
      <c r="G1104" s="19">
        <v>635</v>
      </c>
      <c r="H1104" s="17" t="s">
        <v>130</v>
      </c>
      <c r="I1104" s="20">
        <v>2000</v>
      </c>
      <c r="J1104" s="20">
        <v>0</v>
      </c>
      <c r="K1104" s="354">
        <f t="shared" si="156"/>
        <v>0</v>
      </c>
      <c r="L1104" s="20"/>
      <c r="M1104" s="20"/>
      <c r="N1104" s="354"/>
      <c r="O1104" s="21">
        <f t="shared" si="152"/>
        <v>2000</v>
      </c>
      <c r="P1104" s="21">
        <f t="shared" si="151"/>
        <v>0</v>
      </c>
      <c r="Q1104" s="354">
        <f t="shared" si="153"/>
        <v>0</v>
      </c>
    </row>
    <row r="1105" spans="2:17" x14ac:dyDescent="0.2">
      <c r="B1105" s="6">
        <f t="shared" si="155"/>
        <v>612</v>
      </c>
      <c r="C1105" s="17"/>
      <c r="D1105" s="17"/>
      <c r="E1105" s="17"/>
      <c r="F1105" s="18"/>
      <c r="G1105" s="19">
        <v>637</v>
      </c>
      <c r="H1105" s="17" t="s">
        <v>119</v>
      </c>
      <c r="I1105" s="20">
        <f>1420+300</f>
        <v>1720</v>
      </c>
      <c r="J1105" s="20">
        <v>525</v>
      </c>
      <c r="K1105" s="354">
        <f t="shared" si="156"/>
        <v>30.523255813953487</v>
      </c>
      <c r="L1105" s="20"/>
      <c r="M1105" s="20"/>
      <c r="N1105" s="354"/>
      <c r="O1105" s="21">
        <f t="shared" si="152"/>
        <v>1720</v>
      </c>
      <c r="P1105" s="21">
        <f t="shared" si="151"/>
        <v>525</v>
      </c>
      <c r="Q1105" s="354">
        <f t="shared" si="153"/>
        <v>30.523255813953487</v>
      </c>
    </row>
    <row r="1106" spans="2:17" x14ac:dyDescent="0.2">
      <c r="B1106" s="6">
        <f t="shared" ref="B1106:B1137" si="157">B1105+1</f>
        <v>613</v>
      </c>
      <c r="C1106" s="12"/>
      <c r="D1106" s="12"/>
      <c r="E1106" s="12"/>
      <c r="F1106" s="13" t="s">
        <v>157</v>
      </c>
      <c r="G1106" s="14">
        <v>640</v>
      </c>
      <c r="H1106" s="12" t="s">
        <v>126</v>
      </c>
      <c r="I1106" s="15">
        <f>450+1667</f>
        <v>2117</v>
      </c>
      <c r="J1106" s="15">
        <v>1667</v>
      </c>
      <c r="K1106" s="354">
        <f t="shared" si="156"/>
        <v>78.743504959848849</v>
      </c>
      <c r="L1106" s="15"/>
      <c r="M1106" s="15"/>
      <c r="N1106" s="354"/>
      <c r="O1106" s="16">
        <f t="shared" si="152"/>
        <v>2117</v>
      </c>
      <c r="P1106" s="16">
        <f t="shared" si="151"/>
        <v>1667</v>
      </c>
      <c r="Q1106" s="354">
        <f t="shared" si="153"/>
        <v>78.743504959848849</v>
      </c>
    </row>
    <row r="1107" spans="2:17" x14ac:dyDescent="0.2">
      <c r="B1107" s="6">
        <f t="shared" si="157"/>
        <v>614</v>
      </c>
      <c r="C1107" s="105"/>
      <c r="D1107" s="105"/>
      <c r="E1107" s="105" t="s">
        <v>82</v>
      </c>
      <c r="F1107" s="106"/>
      <c r="G1107" s="106"/>
      <c r="H1107" s="105" t="s">
        <v>83</v>
      </c>
      <c r="I1107" s="107">
        <f>I1108+I1109+I1110+I1115</f>
        <v>169527</v>
      </c>
      <c r="J1107" s="107">
        <f>J1108+J1109+J1110+J1115</f>
        <v>73772</v>
      </c>
      <c r="K1107" s="354">
        <f t="shared" si="156"/>
        <v>43.516372023335514</v>
      </c>
      <c r="L1107" s="107"/>
      <c r="M1107" s="107"/>
      <c r="N1107" s="354"/>
      <c r="O1107" s="108">
        <f t="shared" si="152"/>
        <v>169527</v>
      </c>
      <c r="P1107" s="108">
        <f t="shared" si="151"/>
        <v>73772</v>
      </c>
      <c r="Q1107" s="354">
        <f t="shared" si="153"/>
        <v>43.516372023335514</v>
      </c>
    </row>
    <row r="1108" spans="2:17" x14ac:dyDescent="0.2">
      <c r="B1108" s="6">
        <f t="shared" si="157"/>
        <v>615</v>
      </c>
      <c r="C1108" s="12"/>
      <c r="D1108" s="12"/>
      <c r="E1108" s="12"/>
      <c r="F1108" s="13" t="s">
        <v>157</v>
      </c>
      <c r="G1108" s="14">
        <v>610</v>
      </c>
      <c r="H1108" s="12" t="s">
        <v>128</v>
      </c>
      <c r="I1108" s="15">
        <v>50169</v>
      </c>
      <c r="J1108" s="15">
        <v>28681</v>
      </c>
      <c r="K1108" s="354">
        <f t="shared" si="156"/>
        <v>57.168769558890951</v>
      </c>
      <c r="L1108" s="15"/>
      <c r="M1108" s="15"/>
      <c r="N1108" s="354"/>
      <c r="O1108" s="16">
        <f t="shared" si="152"/>
        <v>50169</v>
      </c>
      <c r="P1108" s="16">
        <f t="shared" si="151"/>
        <v>28681</v>
      </c>
      <c r="Q1108" s="354">
        <f t="shared" si="153"/>
        <v>57.168769558890951</v>
      </c>
    </row>
    <row r="1109" spans="2:17" x14ac:dyDescent="0.2">
      <c r="B1109" s="6">
        <f t="shared" si="157"/>
        <v>616</v>
      </c>
      <c r="C1109" s="12"/>
      <c r="D1109" s="12"/>
      <c r="E1109" s="12"/>
      <c r="F1109" s="13" t="s">
        <v>157</v>
      </c>
      <c r="G1109" s="14">
        <v>620</v>
      </c>
      <c r="H1109" s="12" t="s">
        <v>121</v>
      </c>
      <c r="I1109" s="15">
        <v>19039</v>
      </c>
      <c r="J1109" s="15">
        <v>10288</v>
      </c>
      <c r="K1109" s="354">
        <f t="shared" si="156"/>
        <v>54.036451494301176</v>
      </c>
      <c r="L1109" s="15"/>
      <c r="M1109" s="15"/>
      <c r="N1109" s="354"/>
      <c r="O1109" s="16">
        <f t="shared" si="152"/>
        <v>19039</v>
      </c>
      <c r="P1109" s="16">
        <f t="shared" si="151"/>
        <v>10288</v>
      </c>
      <c r="Q1109" s="354">
        <f t="shared" si="153"/>
        <v>54.036451494301176</v>
      </c>
    </row>
    <row r="1110" spans="2:17" x14ac:dyDescent="0.2">
      <c r="B1110" s="6">
        <f t="shared" si="157"/>
        <v>617</v>
      </c>
      <c r="C1110" s="12"/>
      <c r="D1110" s="12"/>
      <c r="E1110" s="12"/>
      <c r="F1110" s="13" t="s">
        <v>157</v>
      </c>
      <c r="G1110" s="14">
        <v>630</v>
      </c>
      <c r="H1110" s="12" t="s">
        <v>118</v>
      </c>
      <c r="I1110" s="15">
        <f>SUM(I1111:I1114)</f>
        <v>99869</v>
      </c>
      <c r="J1110" s="15">
        <f>SUM(J1111:J1114)</f>
        <v>34571</v>
      </c>
      <c r="K1110" s="354">
        <f t="shared" si="156"/>
        <v>34.6163474151138</v>
      </c>
      <c r="L1110" s="15"/>
      <c r="M1110" s="15"/>
      <c r="N1110" s="354"/>
      <c r="O1110" s="16">
        <f t="shared" si="152"/>
        <v>99869</v>
      </c>
      <c r="P1110" s="16">
        <f t="shared" si="151"/>
        <v>34571</v>
      </c>
      <c r="Q1110" s="354">
        <f t="shared" si="153"/>
        <v>34.6163474151138</v>
      </c>
    </row>
    <row r="1111" spans="2:17" x14ac:dyDescent="0.2">
      <c r="B1111" s="6">
        <f t="shared" si="157"/>
        <v>618</v>
      </c>
      <c r="C1111" s="12"/>
      <c r="D1111" s="12"/>
      <c r="E1111" s="12"/>
      <c r="F1111" s="13"/>
      <c r="G1111" s="19">
        <v>632</v>
      </c>
      <c r="H1111" s="17" t="s">
        <v>131</v>
      </c>
      <c r="I1111" s="20">
        <v>15000</v>
      </c>
      <c r="J1111" s="20">
        <v>2952</v>
      </c>
      <c r="K1111" s="354">
        <f t="shared" si="156"/>
        <v>19.68</v>
      </c>
      <c r="L1111" s="20"/>
      <c r="M1111" s="20"/>
      <c r="N1111" s="354"/>
      <c r="O1111" s="21">
        <f t="shared" si="152"/>
        <v>15000</v>
      </c>
      <c r="P1111" s="21">
        <f t="shared" si="151"/>
        <v>2952</v>
      </c>
      <c r="Q1111" s="354">
        <f t="shared" si="153"/>
        <v>19.68</v>
      </c>
    </row>
    <row r="1112" spans="2:17" x14ac:dyDescent="0.2">
      <c r="B1112" s="6">
        <f t="shared" si="157"/>
        <v>619</v>
      </c>
      <c r="C1112" s="17"/>
      <c r="D1112" s="17"/>
      <c r="E1112" s="17"/>
      <c r="F1112" s="18"/>
      <c r="G1112" s="19">
        <v>633</v>
      </c>
      <c r="H1112" s="17" t="s">
        <v>122</v>
      </c>
      <c r="I1112" s="20">
        <v>76409</v>
      </c>
      <c r="J1112" s="20">
        <v>30128</v>
      </c>
      <c r="K1112" s="354">
        <f t="shared" si="156"/>
        <v>39.429910089125627</v>
      </c>
      <c r="L1112" s="20"/>
      <c r="M1112" s="20"/>
      <c r="N1112" s="354"/>
      <c r="O1112" s="21">
        <f t="shared" si="152"/>
        <v>76409</v>
      </c>
      <c r="P1112" s="21">
        <f t="shared" si="151"/>
        <v>30128</v>
      </c>
      <c r="Q1112" s="354">
        <f t="shared" si="153"/>
        <v>39.429910089125627</v>
      </c>
    </row>
    <row r="1113" spans="2:17" x14ac:dyDescent="0.2">
      <c r="B1113" s="6">
        <f t="shared" si="157"/>
        <v>620</v>
      </c>
      <c r="C1113" s="17"/>
      <c r="D1113" s="17"/>
      <c r="E1113" s="17"/>
      <c r="F1113" s="18"/>
      <c r="G1113" s="19">
        <v>635</v>
      </c>
      <c r="H1113" s="17" t="s">
        <v>130</v>
      </c>
      <c r="I1113" s="20">
        <v>6200</v>
      </c>
      <c r="J1113" s="20">
        <v>490</v>
      </c>
      <c r="K1113" s="354">
        <f t="shared" si="156"/>
        <v>7.9032258064516121</v>
      </c>
      <c r="L1113" s="20"/>
      <c r="M1113" s="20"/>
      <c r="N1113" s="354"/>
      <c r="O1113" s="21">
        <f t="shared" si="152"/>
        <v>6200</v>
      </c>
      <c r="P1113" s="21">
        <f t="shared" si="151"/>
        <v>490</v>
      </c>
      <c r="Q1113" s="354">
        <f t="shared" si="153"/>
        <v>7.9032258064516121</v>
      </c>
    </row>
    <row r="1114" spans="2:17" x14ac:dyDescent="0.2">
      <c r="B1114" s="6">
        <f t="shared" si="157"/>
        <v>621</v>
      </c>
      <c r="C1114" s="17"/>
      <c r="D1114" s="17"/>
      <c r="E1114" s="17"/>
      <c r="F1114" s="18"/>
      <c r="G1114" s="19">
        <v>637</v>
      </c>
      <c r="H1114" s="17" t="s">
        <v>119</v>
      </c>
      <c r="I1114" s="20">
        <f>1860+400</f>
        <v>2260</v>
      </c>
      <c r="J1114" s="20">
        <v>1001</v>
      </c>
      <c r="K1114" s="354">
        <f t="shared" si="156"/>
        <v>44.292035398230091</v>
      </c>
      <c r="L1114" s="20"/>
      <c r="M1114" s="20"/>
      <c r="N1114" s="354"/>
      <c r="O1114" s="21">
        <f t="shared" si="152"/>
        <v>2260</v>
      </c>
      <c r="P1114" s="21">
        <f t="shared" si="151"/>
        <v>1001</v>
      </c>
      <c r="Q1114" s="354">
        <f t="shared" si="153"/>
        <v>44.292035398230091</v>
      </c>
    </row>
    <row r="1115" spans="2:17" x14ac:dyDescent="0.2">
      <c r="B1115" s="6">
        <f t="shared" si="157"/>
        <v>622</v>
      </c>
      <c r="C1115" s="12"/>
      <c r="D1115" s="12"/>
      <c r="E1115" s="12"/>
      <c r="F1115" s="13" t="s">
        <v>157</v>
      </c>
      <c r="G1115" s="14">
        <v>640</v>
      </c>
      <c r="H1115" s="12" t="s">
        <v>126</v>
      </c>
      <c r="I1115" s="15">
        <v>450</v>
      </c>
      <c r="J1115" s="15">
        <v>232</v>
      </c>
      <c r="K1115" s="354">
        <f t="shared" si="156"/>
        <v>51.555555555555557</v>
      </c>
      <c r="L1115" s="15"/>
      <c r="M1115" s="15"/>
      <c r="N1115" s="354"/>
      <c r="O1115" s="16">
        <f t="shared" si="152"/>
        <v>450</v>
      </c>
      <c r="P1115" s="16">
        <f t="shared" si="151"/>
        <v>232</v>
      </c>
      <c r="Q1115" s="354">
        <f t="shared" si="153"/>
        <v>51.555555555555557</v>
      </c>
    </row>
    <row r="1116" spans="2:17" x14ac:dyDescent="0.2">
      <c r="B1116" s="6">
        <f t="shared" si="157"/>
        <v>623</v>
      </c>
      <c r="C1116" s="105"/>
      <c r="D1116" s="105"/>
      <c r="E1116" s="105" t="s">
        <v>80</v>
      </c>
      <c r="F1116" s="106"/>
      <c r="G1116" s="106"/>
      <c r="H1116" s="105" t="s">
        <v>464</v>
      </c>
      <c r="I1116" s="107">
        <f>I1117+I1118+I1119+I1124</f>
        <v>184764</v>
      </c>
      <c r="J1116" s="107">
        <f>J1117+J1118+J1119+J1124</f>
        <v>72653</v>
      </c>
      <c r="K1116" s="354">
        <f t="shared" si="156"/>
        <v>39.322054079799095</v>
      </c>
      <c r="L1116" s="107"/>
      <c r="M1116" s="107"/>
      <c r="N1116" s="354"/>
      <c r="O1116" s="108">
        <f t="shared" si="152"/>
        <v>184764</v>
      </c>
      <c r="P1116" s="108">
        <f t="shared" si="151"/>
        <v>72653</v>
      </c>
      <c r="Q1116" s="354">
        <f t="shared" si="153"/>
        <v>39.322054079799095</v>
      </c>
    </row>
    <row r="1117" spans="2:17" x14ac:dyDescent="0.2">
      <c r="B1117" s="6">
        <f t="shared" si="157"/>
        <v>624</v>
      </c>
      <c r="C1117" s="12"/>
      <c r="D1117" s="12"/>
      <c r="E1117" s="12"/>
      <c r="F1117" s="13" t="s">
        <v>157</v>
      </c>
      <c r="G1117" s="14">
        <v>610</v>
      </c>
      <c r="H1117" s="12" t="s">
        <v>128</v>
      </c>
      <c r="I1117" s="15">
        <v>54520</v>
      </c>
      <c r="J1117" s="15">
        <v>28385</v>
      </c>
      <c r="K1117" s="354">
        <f t="shared" si="156"/>
        <v>52.063462949376373</v>
      </c>
      <c r="L1117" s="15"/>
      <c r="M1117" s="15"/>
      <c r="N1117" s="354"/>
      <c r="O1117" s="16">
        <f t="shared" si="152"/>
        <v>54520</v>
      </c>
      <c r="P1117" s="16">
        <f t="shared" si="151"/>
        <v>28385</v>
      </c>
      <c r="Q1117" s="354">
        <f t="shared" si="153"/>
        <v>52.063462949376373</v>
      </c>
    </row>
    <row r="1118" spans="2:17" x14ac:dyDescent="0.2">
      <c r="B1118" s="6">
        <f t="shared" si="157"/>
        <v>625</v>
      </c>
      <c r="C1118" s="12"/>
      <c r="D1118" s="12"/>
      <c r="E1118" s="12"/>
      <c r="F1118" s="13" t="s">
        <v>157</v>
      </c>
      <c r="G1118" s="14">
        <v>620</v>
      </c>
      <c r="H1118" s="12" t="s">
        <v>121</v>
      </c>
      <c r="I1118" s="15">
        <v>20726</v>
      </c>
      <c r="J1118" s="15">
        <v>10055</v>
      </c>
      <c r="K1118" s="354">
        <f t="shared" si="156"/>
        <v>48.513943838656758</v>
      </c>
      <c r="L1118" s="15"/>
      <c r="M1118" s="15"/>
      <c r="N1118" s="354"/>
      <c r="O1118" s="16">
        <f t="shared" si="152"/>
        <v>20726</v>
      </c>
      <c r="P1118" s="16">
        <f t="shared" si="151"/>
        <v>10055</v>
      </c>
      <c r="Q1118" s="354">
        <f t="shared" si="153"/>
        <v>48.513943838656758</v>
      </c>
    </row>
    <row r="1119" spans="2:17" x14ac:dyDescent="0.2">
      <c r="B1119" s="6">
        <f t="shared" si="157"/>
        <v>626</v>
      </c>
      <c r="C1119" s="12"/>
      <c r="D1119" s="12"/>
      <c r="E1119" s="12"/>
      <c r="F1119" s="13" t="s">
        <v>157</v>
      </c>
      <c r="G1119" s="14">
        <v>630</v>
      </c>
      <c r="H1119" s="12" t="s">
        <v>118</v>
      </c>
      <c r="I1119" s="15">
        <f>SUM(I1120:I1123)</f>
        <v>109068</v>
      </c>
      <c r="J1119" s="15">
        <f>SUM(J1120:J1123)</f>
        <v>34015</v>
      </c>
      <c r="K1119" s="354">
        <f t="shared" si="156"/>
        <v>31.18696592951186</v>
      </c>
      <c r="L1119" s="15"/>
      <c r="M1119" s="15"/>
      <c r="N1119" s="354"/>
      <c r="O1119" s="16">
        <f t="shared" si="152"/>
        <v>109068</v>
      </c>
      <c r="P1119" s="16">
        <f t="shared" si="151"/>
        <v>34015</v>
      </c>
      <c r="Q1119" s="354">
        <f t="shared" si="153"/>
        <v>31.18696592951186</v>
      </c>
    </row>
    <row r="1120" spans="2:17" x14ac:dyDescent="0.2">
      <c r="B1120" s="6">
        <f t="shared" si="157"/>
        <v>627</v>
      </c>
      <c r="C1120" s="12"/>
      <c r="D1120" s="12"/>
      <c r="E1120" s="12"/>
      <c r="F1120" s="13"/>
      <c r="G1120" s="19">
        <v>632</v>
      </c>
      <c r="H1120" s="17" t="s">
        <v>131</v>
      </c>
      <c r="I1120" s="20">
        <v>20000</v>
      </c>
      <c r="J1120" s="20">
        <v>3373</v>
      </c>
      <c r="K1120" s="354">
        <f t="shared" si="156"/>
        <v>16.864999999999998</v>
      </c>
      <c r="L1120" s="20"/>
      <c r="M1120" s="20"/>
      <c r="N1120" s="354"/>
      <c r="O1120" s="21">
        <f t="shared" si="152"/>
        <v>20000</v>
      </c>
      <c r="P1120" s="21">
        <f t="shared" si="151"/>
        <v>3373</v>
      </c>
      <c r="Q1120" s="354">
        <f t="shared" si="153"/>
        <v>16.864999999999998</v>
      </c>
    </row>
    <row r="1121" spans="2:17" x14ac:dyDescent="0.2">
      <c r="B1121" s="6">
        <f t="shared" si="157"/>
        <v>628</v>
      </c>
      <c r="C1121" s="17"/>
      <c r="D1121" s="17"/>
      <c r="E1121" s="17"/>
      <c r="F1121" s="18"/>
      <c r="G1121" s="19">
        <v>633</v>
      </c>
      <c r="H1121" s="17" t="s">
        <v>122</v>
      </c>
      <c r="I1121" s="20">
        <v>81808</v>
      </c>
      <c r="J1121" s="20">
        <v>29357</v>
      </c>
      <c r="K1121" s="354">
        <f t="shared" si="156"/>
        <v>35.885243496968513</v>
      </c>
      <c r="L1121" s="20"/>
      <c r="M1121" s="20"/>
      <c r="N1121" s="354"/>
      <c r="O1121" s="21">
        <f t="shared" si="152"/>
        <v>81808</v>
      </c>
      <c r="P1121" s="21">
        <f t="shared" si="151"/>
        <v>29357</v>
      </c>
      <c r="Q1121" s="354">
        <f t="shared" si="153"/>
        <v>35.885243496968513</v>
      </c>
    </row>
    <row r="1122" spans="2:17" x14ac:dyDescent="0.2">
      <c r="B1122" s="6">
        <f t="shared" si="157"/>
        <v>629</v>
      </c>
      <c r="C1122" s="17"/>
      <c r="D1122" s="17"/>
      <c r="E1122" s="17"/>
      <c r="F1122" s="18"/>
      <c r="G1122" s="19">
        <v>635</v>
      </c>
      <c r="H1122" s="17" t="s">
        <v>130</v>
      </c>
      <c r="I1122" s="20">
        <v>4500</v>
      </c>
      <c r="J1122" s="20">
        <v>155</v>
      </c>
      <c r="K1122" s="354">
        <f t="shared" si="156"/>
        <v>3.4444444444444446</v>
      </c>
      <c r="L1122" s="20"/>
      <c r="M1122" s="20"/>
      <c r="N1122" s="354"/>
      <c r="O1122" s="21">
        <f t="shared" si="152"/>
        <v>4500</v>
      </c>
      <c r="P1122" s="21">
        <f t="shared" si="151"/>
        <v>155</v>
      </c>
      <c r="Q1122" s="354">
        <f t="shared" si="153"/>
        <v>3.4444444444444446</v>
      </c>
    </row>
    <row r="1123" spans="2:17" x14ac:dyDescent="0.2">
      <c r="B1123" s="6">
        <f t="shared" si="157"/>
        <v>630</v>
      </c>
      <c r="C1123" s="17"/>
      <c r="D1123" s="17"/>
      <c r="E1123" s="17"/>
      <c r="F1123" s="18"/>
      <c r="G1123" s="19">
        <v>637</v>
      </c>
      <c r="H1123" s="17" t="s">
        <v>119</v>
      </c>
      <c r="I1123" s="20">
        <f>2360+400</f>
        <v>2760</v>
      </c>
      <c r="J1123" s="20">
        <v>1130</v>
      </c>
      <c r="K1123" s="354">
        <f t="shared" si="156"/>
        <v>40.942028985507243</v>
      </c>
      <c r="L1123" s="20"/>
      <c r="M1123" s="20"/>
      <c r="N1123" s="354"/>
      <c r="O1123" s="21">
        <f t="shared" si="152"/>
        <v>2760</v>
      </c>
      <c r="P1123" s="21">
        <f t="shared" si="151"/>
        <v>1130</v>
      </c>
      <c r="Q1123" s="354">
        <f t="shared" si="153"/>
        <v>40.942028985507243</v>
      </c>
    </row>
    <row r="1124" spans="2:17" x14ac:dyDescent="0.2">
      <c r="B1124" s="6">
        <f t="shared" si="157"/>
        <v>631</v>
      </c>
      <c r="C1124" s="12"/>
      <c r="D1124" s="12"/>
      <c r="E1124" s="12"/>
      <c r="F1124" s="13" t="s">
        <v>157</v>
      </c>
      <c r="G1124" s="14">
        <v>640</v>
      </c>
      <c r="H1124" s="12" t="s">
        <v>126</v>
      </c>
      <c r="I1124" s="15">
        <v>450</v>
      </c>
      <c r="J1124" s="15">
        <v>198</v>
      </c>
      <c r="K1124" s="354">
        <f t="shared" si="156"/>
        <v>44</v>
      </c>
      <c r="L1124" s="15"/>
      <c r="M1124" s="15"/>
      <c r="N1124" s="354"/>
      <c r="O1124" s="16">
        <f t="shared" si="152"/>
        <v>450</v>
      </c>
      <c r="P1124" s="16">
        <f t="shared" si="151"/>
        <v>198</v>
      </c>
      <c r="Q1124" s="354">
        <f t="shared" si="153"/>
        <v>44</v>
      </c>
    </row>
    <row r="1125" spans="2:17" x14ac:dyDescent="0.2">
      <c r="B1125" s="6">
        <f t="shared" si="157"/>
        <v>632</v>
      </c>
      <c r="C1125" s="105"/>
      <c r="D1125" s="105"/>
      <c r="E1125" s="105" t="s">
        <v>98</v>
      </c>
      <c r="F1125" s="106"/>
      <c r="G1125" s="106"/>
      <c r="H1125" s="105" t="s">
        <v>99</v>
      </c>
      <c r="I1125" s="107">
        <f>I1126+I1127+I1128+I1133</f>
        <v>103822</v>
      </c>
      <c r="J1125" s="107">
        <f>J1126+J1127+J1128+J1133</f>
        <v>42194</v>
      </c>
      <c r="K1125" s="354">
        <f t="shared" si="156"/>
        <v>40.64071198782532</v>
      </c>
      <c r="L1125" s="107"/>
      <c r="M1125" s="107"/>
      <c r="N1125" s="354"/>
      <c r="O1125" s="108">
        <f t="shared" si="152"/>
        <v>103822</v>
      </c>
      <c r="P1125" s="108">
        <f t="shared" si="151"/>
        <v>42194</v>
      </c>
      <c r="Q1125" s="354">
        <f t="shared" si="153"/>
        <v>40.64071198782532</v>
      </c>
    </row>
    <row r="1126" spans="2:17" x14ac:dyDescent="0.2">
      <c r="B1126" s="6">
        <f t="shared" si="157"/>
        <v>633</v>
      </c>
      <c r="C1126" s="12"/>
      <c r="D1126" s="12"/>
      <c r="E1126" s="12"/>
      <c r="F1126" s="13" t="s">
        <v>157</v>
      </c>
      <c r="G1126" s="14">
        <v>610</v>
      </c>
      <c r="H1126" s="12" t="s">
        <v>128</v>
      </c>
      <c r="I1126" s="15">
        <f>32421+600</f>
        <v>33021</v>
      </c>
      <c r="J1126" s="15">
        <v>16533</v>
      </c>
      <c r="K1126" s="354">
        <f t="shared" si="156"/>
        <v>50.068138457345327</v>
      </c>
      <c r="L1126" s="15"/>
      <c r="M1126" s="15"/>
      <c r="N1126" s="354"/>
      <c r="O1126" s="16">
        <f t="shared" si="152"/>
        <v>33021</v>
      </c>
      <c r="P1126" s="16">
        <f t="shared" si="151"/>
        <v>16533</v>
      </c>
      <c r="Q1126" s="354">
        <f t="shared" si="153"/>
        <v>50.068138457345327</v>
      </c>
    </row>
    <row r="1127" spans="2:17" x14ac:dyDescent="0.2">
      <c r="B1127" s="6">
        <f t="shared" si="157"/>
        <v>634</v>
      </c>
      <c r="C1127" s="12"/>
      <c r="D1127" s="12"/>
      <c r="E1127" s="12"/>
      <c r="F1127" s="13" t="s">
        <v>157</v>
      </c>
      <c r="G1127" s="14">
        <v>620</v>
      </c>
      <c r="H1127" s="12" t="s">
        <v>121</v>
      </c>
      <c r="I1127" s="15">
        <v>12327</v>
      </c>
      <c r="J1127" s="15">
        <v>6524</v>
      </c>
      <c r="K1127" s="354">
        <f t="shared" si="156"/>
        <v>52.924474730266894</v>
      </c>
      <c r="L1127" s="15"/>
      <c r="M1127" s="15"/>
      <c r="N1127" s="354"/>
      <c r="O1127" s="16">
        <f t="shared" si="152"/>
        <v>12327</v>
      </c>
      <c r="P1127" s="16">
        <f t="shared" si="151"/>
        <v>6524</v>
      </c>
      <c r="Q1127" s="354">
        <f t="shared" si="153"/>
        <v>52.924474730266894</v>
      </c>
    </row>
    <row r="1128" spans="2:17" x14ac:dyDescent="0.2">
      <c r="B1128" s="6">
        <f t="shared" si="157"/>
        <v>635</v>
      </c>
      <c r="C1128" s="12"/>
      <c r="D1128" s="12"/>
      <c r="E1128" s="12"/>
      <c r="F1128" s="13" t="s">
        <v>157</v>
      </c>
      <c r="G1128" s="14">
        <v>630</v>
      </c>
      <c r="H1128" s="12" t="s">
        <v>118</v>
      </c>
      <c r="I1128" s="15">
        <f>SUM(I1129:I1132)</f>
        <v>56357</v>
      </c>
      <c r="J1128" s="15">
        <f>SUM(J1129:J1132)</f>
        <v>17301</v>
      </c>
      <c r="K1128" s="354">
        <f t="shared" si="156"/>
        <v>30.698937132920491</v>
      </c>
      <c r="L1128" s="15"/>
      <c r="M1128" s="15"/>
      <c r="N1128" s="354"/>
      <c r="O1128" s="16">
        <f t="shared" si="152"/>
        <v>56357</v>
      </c>
      <c r="P1128" s="16">
        <f t="shared" si="151"/>
        <v>17301</v>
      </c>
      <c r="Q1128" s="354">
        <f t="shared" si="153"/>
        <v>30.698937132920491</v>
      </c>
    </row>
    <row r="1129" spans="2:17" x14ac:dyDescent="0.2">
      <c r="B1129" s="6">
        <f t="shared" si="157"/>
        <v>636</v>
      </c>
      <c r="C1129" s="12"/>
      <c r="D1129" s="12"/>
      <c r="E1129" s="12"/>
      <c r="F1129" s="13"/>
      <c r="G1129" s="19">
        <v>632</v>
      </c>
      <c r="H1129" s="17" t="s">
        <v>131</v>
      </c>
      <c r="I1129" s="20">
        <v>5300</v>
      </c>
      <c r="J1129" s="20">
        <v>1620</v>
      </c>
      <c r="K1129" s="354">
        <f t="shared" si="156"/>
        <v>30.566037735849054</v>
      </c>
      <c r="L1129" s="20"/>
      <c r="M1129" s="20"/>
      <c r="N1129" s="354"/>
      <c r="O1129" s="21">
        <f t="shared" si="152"/>
        <v>5300</v>
      </c>
      <c r="P1129" s="21">
        <f t="shared" si="151"/>
        <v>1620</v>
      </c>
      <c r="Q1129" s="354">
        <f t="shared" si="153"/>
        <v>30.566037735849054</v>
      </c>
    </row>
    <row r="1130" spans="2:17" x14ac:dyDescent="0.2">
      <c r="B1130" s="6">
        <f t="shared" si="157"/>
        <v>637</v>
      </c>
      <c r="C1130" s="17"/>
      <c r="D1130" s="17"/>
      <c r="E1130" s="17"/>
      <c r="F1130" s="18"/>
      <c r="G1130" s="19">
        <v>633</v>
      </c>
      <c r="H1130" s="17" t="s">
        <v>122</v>
      </c>
      <c r="I1130" s="20">
        <v>47087</v>
      </c>
      <c r="J1130" s="20">
        <v>14534</v>
      </c>
      <c r="K1130" s="354">
        <f t="shared" ref="K1130:K1151" si="158">J1130/I1130*100</f>
        <v>30.866268821543102</v>
      </c>
      <c r="L1130" s="20"/>
      <c r="M1130" s="20"/>
      <c r="N1130" s="354"/>
      <c r="O1130" s="21">
        <f t="shared" si="152"/>
        <v>47087</v>
      </c>
      <c r="P1130" s="21">
        <f t="shared" ref="P1130:P1193" si="159">J1130+M1130</f>
        <v>14534</v>
      </c>
      <c r="Q1130" s="354">
        <f t="shared" si="153"/>
        <v>30.866268821543102</v>
      </c>
    </row>
    <row r="1131" spans="2:17" x14ac:dyDescent="0.2">
      <c r="B1131" s="6">
        <f t="shared" si="157"/>
        <v>638</v>
      </c>
      <c r="C1131" s="17"/>
      <c r="D1131" s="17"/>
      <c r="E1131" s="17"/>
      <c r="F1131" s="18"/>
      <c r="G1131" s="19">
        <v>635</v>
      </c>
      <c r="H1131" s="17" t="s">
        <v>130</v>
      </c>
      <c r="I1131" s="20">
        <v>2000</v>
      </c>
      <c r="J1131" s="20">
        <v>0</v>
      </c>
      <c r="K1131" s="354">
        <f t="shared" si="158"/>
        <v>0</v>
      </c>
      <c r="L1131" s="20"/>
      <c r="M1131" s="20"/>
      <c r="N1131" s="354"/>
      <c r="O1131" s="21">
        <f t="shared" ref="O1131:O1194" si="160">I1131+L1131</f>
        <v>2000</v>
      </c>
      <c r="P1131" s="21">
        <f t="shared" si="159"/>
        <v>0</v>
      </c>
      <c r="Q1131" s="354">
        <f t="shared" ref="Q1131:Q1194" si="161">P1131/O1131*100</f>
        <v>0</v>
      </c>
    </row>
    <row r="1132" spans="2:17" x14ac:dyDescent="0.2">
      <c r="B1132" s="6">
        <f t="shared" si="157"/>
        <v>639</v>
      </c>
      <c r="C1132" s="17"/>
      <c r="D1132" s="17"/>
      <c r="E1132" s="17"/>
      <c r="F1132" s="18"/>
      <c r="G1132" s="19">
        <v>637</v>
      </c>
      <c r="H1132" s="17" t="s">
        <v>119</v>
      </c>
      <c r="I1132" s="20">
        <f>1670+300</f>
        <v>1970</v>
      </c>
      <c r="J1132" s="20">
        <v>1147</v>
      </c>
      <c r="K1132" s="354">
        <f t="shared" si="158"/>
        <v>58.223350253807105</v>
      </c>
      <c r="L1132" s="20"/>
      <c r="M1132" s="20"/>
      <c r="N1132" s="354"/>
      <c r="O1132" s="21">
        <f t="shared" si="160"/>
        <v>1970</v>
      </c>
      <c r="P1132" s="21">
        <f t="shared" si="159"/>
        <v>1147</v>
      </c>
      <c r="Q1132" s="354">
        <f t="shared" si="161"/>
        <v>58.223350253807105</v>
      </c>
    </row>
    <row r="1133" spans="2:17" x14ac:dyDescent="0.2">
      <c r="B1133" s="6">
        <f t="shared" si="157"/>
        <v>640</v>
      </c>
      <c r="C1133" s="12"/>
      <c r="D1133" s="12"/>
      <c r="E1133" s="12"/>
      <c r="F1133" s="13" t="s">
        <v>157</v>
      </c>
      <c r="G1133" s="14">
        <v>640</v>
      </c>
      <c r="H1133" s="12" t="s">
        <v>126</v>
      </c>
      <c r="I1133" s="15">
        <f>450+1667</f>
        <v>2117</v>
      </c>
      <c r="J1133" s="15">
        <v>1836</v>
      </c>
      <c r="K1133" s="354">
        <f t="shared" si="158"/>
        <v>86.726499763816719</v>
      </c>
      <c r="L1133" s="15"/>
      <c r="M1133" s="15"/>
      <c r="N1133" s="354"/>
      <c r="O1133" s="16">
        <f t="shared" si="160"/>
        <v>2117</v>
      </c>
      <c r="P1133" s="16">
        <f t="shared" si="159"/>
        <v>1836</v>
      </c>
      <c r="Q1133" s="354">
        <f t="shared" si="161"/>
        <v>86.726499763816719</v>
      </c>
    </row>
    <row r="1134" spans="2:17" x14ac:dyDescent="0.2">
      <c r="B1134" s="6">
        <f t="shared" si="157"/>
        <v>641</v>
      </c>
      <c r="C1134" s="105"/>
      <c r="D1134" s="105"/>
      <c r="E1134" s="105" t="s">
        <v>97</v>
      </c>
      <c r="F1134" s="106"/>
      <c r="G1134" s="106"/>
      <c r="H1134" s="105" t="s">
        <v>60</v>
      </c>
      <c r="I1134" s="107">
        <f>I1135+I1136+I1137+I1142</f>
        <v>149787</v>
      </c>
      <c r="J1134" s="107">
        <f>J1135+J1136+J1137+J1142</f>
        <v>63923</v>
      </c>
      <c r="K1134" s="354">
        <f t="shared" si="158"/>
        <v>42.675933158418289</v>
      </c>
      <c r="L1134" s="107"/>
      <c r="M1134" s="107"/>
      <c r="N1134" s="354"/>
      <c r="O1134" s="108">
        <f t="shared" si="160"/>
        <v>149787</v>
      </c>
      <c r="P1134" s="108">
        <f t="shared" si="159"/>
        <v>63923</v>
      </c>
      <c r="Q1134" s="354">
        <f t="shared" si="161"/>
        <v>42.675933158418289</v>
      </c>
    </row>
    <row r="1135" spans="2:17" x14ac:dyDescent="0.2">
      <c r="B1135" s="6">
        <f t="shared" si="157"/>
        <v>642</v>
      </c>
      <c r="C1135" s="12"/>
      <c r="D1135" s="12"/>
      <c r="E1135" s="12"/>
      <c r="F1135" s="13" t="s">
        <v>157</v>
      </c>
      <c r="G1135" s="14">
        <v>610</v>
      </c>
      <c r="H1135" s="12" t="s">
        <v>128</v>
      </c>
      <c r="I1135" s="15">
        <v>42462</v>
      </c>
      <c r="J1135" s="15">
        <v>22819</v>
      </c>
      <c r="K1135" s="354">
        <f t="shared" si="158"/>
        <v>53.739814422307006</v>
      </c>
      <c r="L1135" s="15"/>
      <c r="M1135" s="15"/>
      <c r="N1135" s="354"/>
      <c r="O1135" s="16">
        <f t="shared" si="160"/>
        <v>42462</v>
      </c>
      <c r="P1135" s="16">
        <f t="shared" si="159"/>
        <v>22819</v>
      </c>
      <c r="Q1135" s="354">
        <f t="shared" si="161"/>
        <v>53.739814422307006</v>
      </c>
    </row>
    <row r="1136" spans="2:17" x14ac:dyDescent="0.2">
      <c r="B1136" s="6">
        <f t="shared" si="157"/>
        <v>643</v>
      </c>
      <c r="C1136" s="12"/>
      <c r="D1136" s="12"/>
      <c r="E1136" s="12"/>
      <c r="F1136" s="13" t="s">
        <v>157</v>
      </c>
      <c r="G1136" s="14">
        <v>620</v>
      </c>
      <c r="H1136" s="12" t="s">
        <v>121</v>
      </c>
      <c r="I1136" s="15">
        <v>16114</v>
      </c>
      <c r="J1136" s="15">
        <v>8145</v>
      </c>
      <c r="K1136" s="354">
        <f t="shared" si="158"/>
        <v>50.546108973563364</v>
      </c>
      <c r="L1136" s="15"/>
      <c r="M1136" s="15"/>
      <c r="N1136" s="354"/>
      <c r="O1136" s="16">
        <f t="shared" si="160"/>
        <v>16114</v>
      </c>
      <c r="P1136" s="16">
        <f t="shared" si="159"/>
        <v>8145</v>
      </c>
      <c r="Q1136" s="354">
        <f t="shared" si="161"/>
        <v>50.546108973563364</v>
      </c>
    </row>
    <row r="1137" spans="2:17" x14ac:dyDescent="0.2">
      <c r="B1137" s="6">
        <f t="shared" si="157"/>
        <v>644</v>
      </c>
      <c r="C1137" s="12"/>
      <c r="D1137" s="12"/>
      <c r="E1137" s="12"/>
      <c r="F1137" s="13" t="s">
        <v>157</v>
      </c>
      <c r="G1137" s="14">
        <v>630</v>
      </c>
      <c r="H1137" s="12" t="s">
        <v>118</v>
      </c>
      <c r="I1137" s="15">
        <f>SUM(I1138:I1141)</f>
        <v>90761</v>
      </c>
      <c r="J1137" s="15">
        <f>SUM(J1138:J1141)</f>
        <v>32799</v>
      </c>
      <c r="K1137" s="354">
        <f t="shared" si="158"/>
        <v>36.137768424763941</v>
      </c>
      <c r="L1137" s="15"/>
      <c r="M1137" s="15"/>
      <c r="N1137" s="354"/>
      <c r="O1137" s="16">
        <f t="shared" si="160"/>
        <v>90761</v>
      </c>
      <c r="P1137" s="16">
        <f t="shared" si="159"/>
        <v>32799</v>
      </c>
      <c r="Q1137" s="354">
        <f t="shared" si="161"/>
        <v>36.137768424763941</v>
      </c>
    </row>
    <row r="1138" spans="2:17" x14ac:dyDescent="0.2">
      <c r="B1138" s="6">
        <f t="shared" ref="B1138:B1169" si="162">B1137+1</f>
        <v>645</v>
      </c>
      <c r="C1138" s="12"/>
      <c r="D1138" s="12"/>
      <c r="E1138" s="12"/>
      <c r="F1138" s="13"/>
      <c r="G1138" s="19">
        <v>632</v>
      </c>
      <c r="H1138" s="17" t="s">
        <v>131</v>
      </c>
      <c r="I1138" s="20">
        <v>13000</v>
      </c>
      <c r="J1138" s="20">
        <v>2517</v>
      </c>
      <c r="K1138" s="354">
        <f t="shared" si="158"/>
        <v>19.361538461538462</v>
      </c>
      <c r="L1138" s="20"/>
      <c r="M1138" s="20"/>
      <c r="N1138" s="354"/>
      <c r="O1138" s="21">
        <f t="shared" si="160"/>
        <v>13000</v>
      </c>
      <c r="P1138" s="21">
        <f t="shared" si="159"/>
        <v>2517</v>
      </c>
      <c r="Q1138" s="354">
        <f t="shared" si="161"/>
        <v>19.361538461538462</v>
      </c>
    </row>
    <row r="1139" spans="2:17" x14ac:dyDescent="0.2">
      <c r="B1139" s="6">
        <f t="shared" si="162"/>
        <v>646</v>
      </c>
      <c r="C1139" s="17"/>
      <c r="D1139" s="17"/>
      <c r="E1139" s="17"/>
      <c r="F1139" s="18"/>
      <c r="G1139" s="19">
        <v>633</v>
      </c>
      <c r="H1139" s="17" t="s">
        <v>122</v>
      </c>
      <c r="I1139" s="20">
        <v>72211</v>
      </c>
      <c r="J1139" s="20">
        <v>29018</v>
      </c>
      <c r="K1139" s="354">
        <f t="shared" si="158"/>
        <v>40.185013363614964</v>
      </c>
      <c r="L1139" s="20"/>
      <c r="M1139" s="20"/>
      <c r="N1139" s="354"/>
      <c r="O1139" s="21">
        <f t="shared" si="160"/>
        <v>72211</v>
      </c>
      <c r="P1139" s="21">
        <f t="shared" si="159"/>
        <v>29018</v>
      </c>
      <c r="Q1139" s="354">
        <f t="shared" si="161"/>
        <v>40.185013363614964</v>
      </c>
    </row>
    <row r="1140" spans="2:17" x14ac:dyDescent="0.2">
      <c r="B1140" s="6">
        <f t="shared" si="162"/>
        <v>647</v>
      </c>
      <c r="C1140" s="17"/>
      <c r="D1140" s="17"/>
      <c r="E1140" s="17"/>
      <c r="F1140" s="18"/>
      <c r="G1140" s="19">
        <v>635</v>
      </c>
      <c r="H1140" s="17" t="s">
        <v>130</v>
      </c>
      <c r="I1140" s="20">
        <v>3500</v>
      </c>
      <c r="J1140" s="20">
        <v>525</v>
      </c>
      <c r="K1140" s="354">
        <f t="shared" si="158"/>
        <v>15</v>
      </c>
      <c r="L1140" s="20"/>
      <c r="M1140" s="20"/>
      <c r="N1140" s="354"/>
      <c r="O1140" s="21">
        <f t="shared" si="160"/>
        <v>3500</v>
      </c>
      <c r="P1140" s="21">
        <f t="shared" si="159"/>
        <v>525</v>
      </c>
      <c r="Q1140" s="354">
        <f t="shared" si="161"/>
        <v>15</v>
      </c>
    </row>
    <row r="1141" spans="2:17" x14ac:dyDescent="0.2">
      <c r="B1141" s="6">
        <f t="shared" si="162"/>
        <v>648</v>
      </c>
      <c r="C1141" s="17"/>
      <c r="D1141" s="17"/>
      <c r="E1141" s="17"/>
      <c r="F1141" s="18"/>
      <c r="G1141" s="19">
        <v>637</v>
      </c>
      <c r="H1141" s="17" t="s">
        <v>119</v>
      </c>
      <c r="I1141" s="20">
        <f>1650+400</f>
        <v>2050</v>
      </c>
      <c r="J1141" s="20">
        <v>739</v>
      </c>
      <c r="K1141" s="354">
        <f t="shared" si="158"/>
        <v>36.048780487804876</v>
      </c>
      <c r="L1141" s="20"/>
      <c r="M1141" s="20"/>
      <c r="N1141" s="354"/>
      <c r="O1141" s="21">
        <f t="shared" si="160"/>
        <v>2050</v>
      </c>
      <c r="P1141" s="21">
        <f t="shared" si="159"/>
        <v>739</v>
      </c>
      <c r="Q1141" s="354">
        <f t="shared" si="161"/>
        <v>36.048780487804876</v>
      </c>
    </row>
    <row r="1142" spans="2:17" x14ac:dyDescent="0.2">
      <c r="B1142" s="6">
        <f t="shared" si="162"/>
        <v>649</v>
      </c>
      <c r="C1142" s="12"/>
      <c r="D1142" s="12"/>
      <c r="E1142" s="12"/>
      <c r="F1142" s="13" t="s">
        <v>157</v>
      </c>
      <c r="G1142" s="14">
        <v>640</v>
      </c>
      <c r="H1142" s="12" t="s">
        <v>126</v>
      </c>
      <c r="I1142" s="15">
        <v>450</v>
      </c>
      <c r="J1142" s="15">
        <v>160</v>
      </c>
      <c r="K1142" s="354">
        <f t="shared" si="158"/>
        <v>35.555555555555557</v>
      </c>
      <c r="L1142" s="15"/>
      <c r="M1142" s="15"/>
      <c r="N1142" s="354"/>
      <c r="O1142" s="16">
        <f t="shared" si="160"/>
        <v>450</v>
      </c>
      <c r="P1142" s="16">
        <f t="shared" si="159"/>
        <v>160</v>
      </c>
      <c r="Q1142" s="354">
        <f t="shared" si="161"/>
        <v>35.555555555555557</v>
      </c>
    </row>
    <row r="1143" spans="2:17" x14ac:dyDescent="0.2">
      <c r="B1143" s="6">
        <f t="shared" si="162"/>
        <v>650</v>
      </c>
      <c r="C1143" s="105"/>
      <c r="D1143" s="105"/>
      <c r="E1143" s="105" t="s">
        <v>93</v>
      </c>
      <c r="F1143" s="106"/>
      <c r="G1143" s="106"/>
      <c r="H1143" s="105" t="s">
        <v>66</v>
      </c>
      <c r="I1143" s="107">
        <f>I1144+I1145+I1146+I1151</f>
        <v>148636</v>
      </c>
      <c r="J1143" s="107">
        <f>J1144+J1145+J1146+J1151</f>
        <v>67704</v>
      </c>
      <c r="K1143" s="354">
        <f t="shared" si="158"/>
        <v>45.550203180925216</v>
      </c>
      <c r="L1143" s="107">
        <f>L1152</f>
        <v>19200</v>
      </c>
      <c r="M1143" s="107">
        <f>M1152</f>
        <v>2200</v>
      </c>
      <c r="N1143" s="354">
        <f>M1143/L1143*100</f>
        <v>11.458333333333332</v>
      </c>
      <c r="O1143" s="108">
        <f t="shared" si="160"/>
        <v>167836</v>
      </c>
      <c r="P1143" s="108">
        <f t="shared" si="159"/>
        <v>69904</v>
      </c>
      <c r="Q1143" s="354">
        <f t="shared" si="161"/>
        <v>41.650182320837011</v>
      </c>
    </row>
    <row r="1144" spans="2:17" x14ac:dyDescent="0.2">
      <c r="B1144" s="6">
        <f t="shared" si="162"/>
        <v>651</v>
      </c>
      <c r="C1144" s="12"/>
      <c r="D1144" s="12"/>
      <c r="E1144" s="12"/>
      <c r="F1144" s="13" t="s">
        <v>157</v>
      </c>
      <c r="G1144" s="14">
        <v>610</v>
      </c>
      <c r="H1144" s="12" t="s">
        <v>128</v>
      </c>
      <c r="I1144" s="15">
        <v>42707</v>
      </c>
      <c r="J1144" s="15">
        <v>24222</v>
      </c>
      <c r="K1144" s="354">
        <f t="shared" si="158"/>
        <v>56.71669749689746</v>
      </c>
      <c r="L1144" s="15"/>
      <c r="M1144" s="15"/>
      <c r="N1144" s="354"/>
      <c r="O1144" s="16">
        <f t="shared" si="160"/>
        <v>42707</v>
      </c>
      <c r="P1144" s="16">
        <f t="shared" si="159"/>
        <v>24222</v>
      </c>
      <c r="Q1144" s="354">
        <f t="shared" si="161"/>
        <v>56.71669749689746</v>
      </c>
    </row>
    <row r="1145" spans="2:17" x14ac:dyDescent="0.2">
      <c r="B1145" s="6">
        <f t="shared" si="162"/>
        <v>652</v>
      </c>
      <c r="C1145" s="12"/>
      <c r="D1145" s="12"/>
      <c r="E1145" s="12"/>
      <c r="F1145" s="13" t="s">
        <v>157</v>
      </c>
      <c r="G1145" s="14">
        <v>620</v>
      </c>
      <c r="H1145" s="12" t="s">
        <v>121</v>
      </c>
      <c r="I1145" s="15">
        <v>16242</v>
      </c>
      <c r="J1145" s="15">
        <v>8839</v>
      </c>
      <c r="K1145" s="354">
        <f t="shared" si="158"/>
        <v>54.420637852481221</v>
      </c>
      <c r="L1145" s="15"/>
      <c r="M1145" s="15"/>
      <c r="N1145" s="354"/>
      <c r="O1145" s="16">
        <f t="shared" si="160"/>
        <v>16242</v>
      </c>
      <c r="P1145" s="16">
        <f t="shared" si="159"/>
        <v>8839</v>
      </c>
      <c r="Q1145" s="354">
        <f t="shared" si="161"/>
        <v>54.420637852481221</v>
      </c>
    </row>
    <row r="1146" spans="2:17" x14ac:dyDescent="0.2">
      <c r="B1146" s="6">
        <f t="shared" si="162"/>
        <v>653</v>
      </c>
      <c r="C1146" s="12"/>
      <c r="D1146" s="12"/>
      <c r="E1146" s="12"/>
      <c r="F1146" s="13" t="s">
        <v>157</v>
      </c>
      <c r="G1146" s="14">
        <v>630</v>
      </c>
      <c r="H1146" s="12" t="s">
        <v>118</v>
      </c>
      <c r="I1146" s="15">
        <f>SUM(I1147:I1150)</f>
        <v>89237</v>
      </c>
      <c r="J1146" s="15">
        <f>SUM(J1147:J1150)</f>
        <v>34401</v>
      </c>
      <c r="K1146" s="354">
        <f t="shared" si="158"/>
        <v>38.55015296345686</v>
      </c>
      <c r="L1146" s="15"/>
      <c r="M1146" s="15"/>
      <c r="N1146" s="354"/>
      <c r="O1146" s="16">
        <f t="shared" si="160"/>
        <v>89237</v>
      </c>
      <c r="P1146" s="16">
        <f t="shared" si="159"/>
        <v>34401</v>
      </c>
      <c r="Q1146" s="354">
        <f t="shared" si="161"/>
        <v>38.55015296345686</v>
      </c>
    </row>
    <row r="1147" spans="2:17" x14ac:dyDescent="0.2">
      <c r="B1147" s="6">
        <f t="shared" si="162"/>
        <v>654</v>
      </c>
      <c r="C1147" s="12"/>
      <c r="D1147" s="12"/>
      <c r="E1147" s="12"/>
      <c r="F1147" s="13"/>
      <c r="G1147" s="19">
        <v>632</v>
      </c>
      <c r="H1147" s="17" t="s">
        <v>131</v>
      </c>
      <c r="I1147" s="20">
        <v>8500</v>
      </c>
      <c r="J1147" s="20">
        <v>3740</v>
      </c>
      <c r="K1147" s="354">
        <f t="shared" si="158"/>
        <v>44</v>
      </c>
      <c r="L1147" s="20"/>
      <c r="M1147" s="20"/>
      <c r="N1147" s="354"/>
      <c r="O1147" s="21">
        <f t="shared" si="160"/>
        <v>8500</v>
      </c>
      <c r="P1147" s="21">
        <f t="shared" si="159"/>
        <v>3740</v>
      </c>
      <c r="Q1147" s="354">
        <f t="shared" si="161"/>
        <v>44</v>
      </c>
    </row>
    <row r="1148" spans="2:17" x14ac:dyDescent="0.2">
      <c r="B1148" s="6">
        <f t="shared" si="162"/>
        <v>655</v>
      </c>
      <c r="C1148" s="17"/>
      <c r="D1148" s="17"/>
      <c r="E1148" s="17"/>
      <c r="F1148" s="18"/>
      <c r="G1148" s="19">
        <v>633</v>
      </c>
      <c r="H1148" s="17" t="s">
        <v>122</v>
      </c>
      <c r="I1148" s="20">
        <f>71807-400</f>
        <v>71407</v>
      </c>
      <c r="J1148" s="20">
        <v>29263</v>
      </c>
      <c r="K1148" s="354">
        <f t="shared" si="158"/>
        <v>40.980576133992464</v>
      </c>
      <c r="L1148" s="20"/>
      <c r="M1148" s="20"/>
      <c r="N1148" s="354"/>
      <c r="O1148" s="21">
        <f t="shared" si="160"/>
        <v>71407</v>
      </c>
      <c r="P1148" s="21">
        <f t="shared" si="159"/>
        <v>29263</v>
      </c>
      <c r="Q1148" s="354">
        <f t="shared" si="161"/>
        <v>40.980576133992464</v>
      </c>
    </row>
    <row r="1149" spans="2:17" x14ac:dyDescent="0.2">
      <c r="B1149" s="6">
        <f t="shared" si="162"/>
        <v>656</v>
      </c>
      <c r="C1149" s="17"/>
      <c r="D1149" s="17"/>
      <c r="E1149" s="17"/>
      <c r="F1149" s="18"/>
      <c r="G1149" s="19">
        <v>635</v>
      </c>
      <c r="H1149" s="17" t="s">
        <v>130</v>
      </c>
      <c r="I1149" s="20">
        <f>3000+3500</f>
        <v>6500</v>
      </c>
      <c r="J1149" s="20">
        <v>613</v>
      </c>
      <c r="K1149" s="354">
        <f t="shared" si="158"/>
        <v>9.430769230769231</v>
      </c>
      <c r="L1149" s="20"/>
      <c r="M1149" s="20"/>
      <c r="N1149" s="354"/>
      <c r="O1149" s="21">
        <f t="shared" si="160"/>
        <v>6500</v>
      </c>
      <c r="P1149" s="21">
        <f t="shared" si="159"/>
        <v>613</v>
      </c>
      <c r="Q1149" s="354">
        <f t="shared" si="161"/>
        <v>9.430769230769231</v>
      </c>
    </row>
    <row r="1150" spans="2:17" x14ac:dyDescent="0.2">
      <c r="B1150" s="6">
        <f t="shared" si="162"/>
        <v>657</v>
      </c>
      <c r="C1150" s="17"/>
      <c r="D1150" s="17"/>
      <c r="E1150" s="17"/>
      <c r="F1150" s="18"/>
      <c r="G1150" s="19">
        <v>637</v>
      </c>
      <c r="H1150" s="17" t="s">
        <v>119</v>
      </c>
      <c r="I1150" s="20">
        <f>2430+400</f>
        <v>2830</v>
      </c>
      <c r="J1150" s="20">
        <v>785</v>
      </c>
      <c r="K1150" s="354">
        <f t="shared" si="158"/>
        <v>27.738515901060069</v>
      </c>
      <c r="L1150" s="20"/>
      <c r="M1150" s="20"/>
      <c r="N1150" s="354"/>
      <c r="O1150" s="21">
        <f t="shared" si="160"/>
        <v>2830</v>
      </c>
      <c r="P1150" s="21">
        <f t="shared" si="159"/>
        <v>785</v>
      </c>
      <c r="Q1150" s="354">
        <f t="shared" si="161"/>
        <v>27.738515901060069</v>
      </c>
    </row>
    <row r="1151" spans="2:17" x14ac:dyDescent="0.2">
      <c r="B1151" s="6">
        <f t="shared" si="162"/>
        <v>658</v>
      </c>
      <c r="C1151" s="12"/>
      <c r="D1151" s="12"/>
      <c r="E1151" s="12"/>
      <c r="F1151" s="13" t="s">
        <v>157</v>
      </c>
      <c r="G1151" s="14">
        <v>640</v>
      </c>
      <c r="H1151" s="12" t="s">
        <v>126</v>
      </c>
      <c r="I1151" s="15">
        <v>450</v>
      </c>
      <c r="J1151" s="15">
        <v>242</v>
      </c>
      <c r="K1151" s="354">
        <f t="shared" si="158"/>
        <v>53.777777777777779</v>
      </c>
      <c r="L1151" s="15"/>
      <c r="M1151" s="15"/>
      <c r="N1151" s="354"/>
      <c r="O1151" s="16">
        <f t="shared" si="160"/>
        <v>450</v>
      </c>
      <c r="P1151" s="16">
        <f t="shared" si="159"/>
        <v>242</v>
      </c>
      <c r="Q1151" s="354">
        <f t="shared" si="161"/>
        <v>53.777777777777779</v>
      </c>
    </row>
    <row r="1152" spans="2:17" x14ac:dyDescent="0.2">
      <c r="B1152" s="6">
        <f t="shared" si="162"/>
        <v>659</v>
      </c>
      <c r="C1152" s="12"/>
      <c r="D1152" s="12"/>
      <c r="E1152" s="12"/>
      <c r="F1152" s="13" t="s">
        <v>157</v>
      </c>
      <c r="G1152" s="14">
        <v>710</v>
      </c>
      <c r="H1152" s="12" t="s">
        <v>172</v>
      </c>
      <c r="I1152" s="15"/>
      <c r="J1152" s="15"/>
      <c r="K1152" s="354"/>
      <c r="L1152" s="15">
        <f>L1153+L1156</f>
        <v>19200</v>
      </c>
      <c r="M1152" s="15">
        <f>M1153+M1156</f>
        <v>2200</v>
      </c>
      <c r="N1152" s="354">
        <f t="shared" ref="N1152:N1158" si="163">M1152/L1152*100</f>
        <v>11.458333333333332</v>
      </c>
      <c r="O1152" s="16">
        <f t="shared" si="160"/>
        <v>19200</v>
      </c>
      <c r="P1152" s="16">
        <f t="shared" si="159"/>
        <v>2200</v>
      </c>
      <c r="Q1152" s="354">
        <f t="shared" si="161"/>
        <v>11.458333333333332</v>
      </c>
    </row>
    <row r="1153" spans="2:17" x14ac:dyDescent="0.2">
      <c r="B1153" s="6">
        <f t="shared" si="162"/>
        <v>660</v>
      </c>
      <c r="C1153" s="17"/>
      <c r="D1153" s="17"/>
      <c r="E1153" s="17"/>
      <c r="F1153" s="18"/>
      <c r="G1153" s="19">
        <v>713</v>
      </c>
      <c r="H1153" s="17" t="s">
        <v>215</v>
      </c>
      <c r="I1153" s="20"/>
      <c r="J1153" s="20"/>
      <c r="K1153" s="354"/>
      <c r="L1153" s="20">
        <f>L1154+L1155</f>
        <v>9200</v>
      </c>
      <c r="M1153" s="20">
        <f>M1154+M1155</f>
        <v>2200</v>
      </c>
      <c r="N1153" s="354">
        <f t="shared" si="163"/>
        <v>23.913043478260871</v>
      </c>
      <c r="O1153" s="21">
        <f t="shared" si="160"/>
        <v>9200</v>
      </c>
      <c r="P1153" s="21">
        <f t="shared" si="159"/>
        <v>2200</v>
      </c>
      <c r="Q1153" s="354">
        <f t="shared" si="161"/>
        <v>23.913043478260871</v>
      </c>
    </row>
    <row r="1154" spans="2:17" x14ac:dyDescent="0.2">
      <c r="B1154" s="6">
        <f t="shared" si="162"/>
        <v>661</v>
      </c>
      <c r="C1154" s="1"/>
      <c r="D1154" s="1"/>
      <c r="E1154" s="1"/>
      <c r="F1154" s="99"/>
      <c r="G1154" s="23"/>
      <c r="H1154" s="1" t="s">
        <v>338</v>
      </c>
      <c r="I1154" s="24"/>
      <c r="J1154" s="24"/>
      <c r="K1154" s="354"/>
      <c r="L1154" s="24">
        <f>5800+1200</f>
        <v>7000</v>
      </c>
      <c r="M1154" s="24">
        <v>0</v>
      </c>
      <c r="N1154" s="354">
        <f t="shared" si="163"/>
        <v>0</v>
      </c>
      <c r="O1154" s="26">
        <f t="shared" si="160"/>
        <v>7000</v>
      </c>
      <c r="P1154" s="26">
        <f t="shared" si="159"/>
        <v>0</v>
      </c>
      <c r="Q1154" s="354">
        <f t="shared" si="161"/>
        <v>0</v>
      </c>
    </row>
    <row r="1155" spans="2:17" x14ac:dyDescent="0.2">
      <c r="B1155" s="6">
        <f t="shared" si="162"/>
        <v>662</v>
      </c>
      <c r="C1155" s="1"/>
      <c r="D1155" s="1"/>
      <c r="E1155" s="1"/>
      <c r="F1155" s="99"/>
      <c r="G1155" s="23"/>
      <c r="H1155" s="1" t="s">
        <v>603</v>
      </c>
      <c r="I1155" s="24"/>
      <c r="J1155" s="24"/>
      <c r="K1155" s="354"/>
      <c r="L1155" s="24">
        <f>1800+400</f>
        <v>2200</v>
      </c>
      <c r="M1155" s="24">
        <v>2200</v>
      </c>
      <c r="N1155" s="354">
        <f t="shared" si="163"/>
        <v>100</v>
      </c>
      <c r="O1155" s="26">
        <f t="shared" si="160"/>
        <v>2200</v>
      </c>
      <c r="P1155" s="26">
        <f t="shared" si="159"/>
        <v>2200</v>
      </c>
      <c r="Q1155" s="354">
        <f t="shared" si="161"/>
        <v>100</v>
      </c>
    </row>
    <row r="1156" spans="2:17" x14ac:dyDescent="0.2">
      <c r="B1156" s="6">
        <f t="shared" si="162"/>
        <v>663</v>
      </c>
      <c r="C1156" s="17"/>
      <c r="D1156" s="17"/>
      <c r="E1156" s="17"/>
      <c r="F1156" s="18"/>
      <c r="G1156" s="19">
        <v>717</v>
      </c>
      <c r="H1156" s="17" t="s">
        <v>179</v>
      </c>
      <c r="I1156" s="20"/>
      <c r="J1156" s="20"/>
      <c r="K1156" s="354"/>
      <c r="L1156" s="20">
        <f>L1157</f>
        <v>10000</v>
      </c>
      <c r="M1156" s="20">
        <f>M1157</f>
        <v>0</v>
      </c>
      <c r="N1156" s="354">
        <f t="shared" si="163"/>
        <v>0</v>
      </c>
      <c r="O1156" s="21">
        <f t="shared" si="160"/>
        <v>10000</v>
      </c>
      <c r="P1156" s="21">
        <f t="shared" si="159"/>
        <v>0</v>
      </c>
      <c r="Q1156" s="354">
        <f t="shared" si="161"/>
        <v>0</v>
      </c>
    </row>
    <row r="1157" spans="2:17" x14ac:dyDescent="0.2">
      <c r="B1157" s="6">
        <f t="shared" si="162"/>
        <v>664</v>
      </c>
      <c r="C1157" s="1"/>
      <c r="D1157" s="1"/>
      <c r="E1157" s="1"/>
      <c r="F1157" s="99"/>
      <c r="G1157" s="23"/>
      <c r="H1157" s="1" t="s">
        <v>604</v>
      </c>
      <c r="I1157" s="24"/>
      <c r="J1157" s="24"/>
      <c r="K1157" s="354"/>
      <c r="L1157" s="24">
        <v>10000</v>
      </c>
      <c r="M1157" s="24">
        <v>0</v>
      </c>
      <c r="N1157" s="354">
        <f t="shared" si="163"/>
        <v>0</v>
      </c>
      <c r="O1157" s="26">
        <f t="shared" si="160"/>
        <v>10000</v>
      </c>
      <c r="P1157" s="26">
        <f t="shared" si="159"/>
        <v>0</v>
      </c>
      <c r="Q1157" s="354">
        <f t="shared" si="161"/>
        <v>0</v>
      </c>
    </row>
    <row r="1158" spans="2:17" x14ac:dyDescent="0.2">
      <c r="B1158" s="6">
        <f t="shared" si="162"/>
        <v>665</v>
      </c>
      <c r="C1158" s="105"/>
      <c r="D1158" s="105"/>
      <c r="E1158" s="105" t="s">
        <v>96</v>
      </c>
      <c r="F1158" s="106"/>
      <c r="G1158" s="106"/>
      <c r="H1158" s="105" t="s">
        <v>67</v>
      </c>
      <c r="I1158" s="107">
        <f>I1159+I1160+I1161+I1166</f>
        <v>133868</v>
      </c>
      <c r="J1158" s="107">
        <f>J1159+J1160+J1161+J1166</f>
        <v>62649</v>
      </c>
      <c r="K1158" s="354">
        <f t="shared" ref="K1158:K1166" si="164">J1158/I1158*100</f>
        <v>46.799085666477424</v>
      </c>
      <c r="L1158" s="107">
        <f>L1167</f>
        <v>4000</v>
      </c>
      <c r="M1158" s="107">
        <f>M1167</f>
        <v>0</v>
      </c>
      <c r="N1158" s="354">
        <f t="shared" si="163"/>
        <v>0</v>
      </c>
      <c r="O1158" s="108">
        <f t="shared" si="160"/>
        <v>137868</v>
      </c>
      <c r="P1158" s="108">
        <f t="shared" si="159"/>
        <v>62649</v>
      </c>
      <c r="Q1158" s="354">
        <f t="shared" si="161"/>
        <v>45.441291670293325</v>
      </c>
    </row>
    <row r="1159" spans="2:17" x14ac:dyDescent="0.2">
      <c r="B1159" s="6">
        <f t="shared" si="162"/>
        <v>666</v>
      </c>
      <c r="C1159" s="12"/>
      <c r="D1159" s="12"/>
      <c r="E1159" s="12"/>
      <c r="F1159" s="13" t="s">
        <v>157</v>
      </c>
      <c r="G1159" s="14">
        <v>610</v>
      </c>
      <c r="H1159" s="12" t="s">
        <v>128</v>
      </c>
      <c r="I1159" s="15">
        <v>44335</v>
      </c>
      <c r="J1159" s="15">
        <v>26988</v>
      </c>
      <c r="K1159" s="354">
        <f t="shared" si="164"/>
        <v>60.872899515055821</v>
      </c>
      <c r="L1159" s="15"/>
      <c r="M1159" s="15"/>
      <c r="N1159" s="354"/>
      <c r="O1159" s="16">
        <f t="shared" si="160"/>
        <v>44335</v>
      </c>
      <c r="P1159" s="16">
        <f t="shared" si="159"/>
        <v>26988</v>
      </c>
      <c r="Q1159" s="354">
        <f t="shared" si="161"/>
        <v>60.872899515055821</v>
      </c>
    </row>
    <row r="1160" spans="2:17" x14ac:dyDescent="0.2">
      <c r="B1160" s="6">
        <f t="shared" si="162"/>
        <v>667</v>
      </c>
      <c r="C1160" s="12"/>
      <c r="D1160" s="12"/>
      <c r="E1160" s="12"/>
      <c r="F1160" s="13" t="s">
        <v>157</v>
      </c>
      <c r="G1160" s="14">
        <v>620</v>
      </c>
      <c r="H1160" s="12" t="s">
        <v>121</v>
      </c>
      <c r="I1160" s="15">
        <v>16861</v>
      </c>
      <c r="J1160" s="15">
        <v>9592</v>
      </c>
      <c r="K1160" s="354">
        <f t="shared" si="164"/>
        <v>56.888678014352642</v>
      </c>
      <c r="L1160" s="15"/>
      <c r="M1160" s="15"/>
      <c r="N1160" s="354"/>
      <c r="O1160" s="16">
        <f t="shared" si="160"/>
        <v>16861</v>
      </c>
      <c r="P1160" s="16">
        <f t="shared" si="159"/>
        <v>9592</v>
      </c>
      <c r="Q1160" s="354">
        <f t="shared" si="161"/>
        <v>56.888678014352642</v>
      </c>
    </row>
    <row r="1161" spans="2:17" x14ac:dyDescent="0.2">
      <c r="B1161" s="6">
        <f t="shared" si="162"/>
        <v>668</v>
      </c>
      <c r="C1161" s="12"/>
      <c r="D1161" s="12"/>
      <c r="E1161" s="12"/>
      <c r="F1161" s="13" t="s">
        <v>157</v>
      </c>
      <c r="G1161" s="14">
        <v>630</v>
      </c>
      <c r="H1161" s="12" t="s">
        <v>118</v>
      </c>
      <c r="I1161" s="15">
        <f>SUM(I1162:I1165)</f>
        <v>72222</v>
      </c>
      <c r="J1161" s="15">
        <f>SUM(J1162:J1165)</f>
        <v>25745</v>
      </c>
      <c r="K1161" s="354">
        <f t="shared" si="164"/>
        <v>35.647032760100799</v>
      </c>
      <c r="L1161" s="15"/>
      <c r="M1161" s="15"/>
      <c r="N1161" s="354"/>
      <c r="O1161" s="16">
        <f t="shared" si="160"/>
        <v>72222</v>
      </c>
      <c r="P1161" s="16">
        <f t="shared" si="159"/>
        <v>25745</v>
      </c>
      <c r="Q1161" s="354">
        <f t="shared" si="161"/>
        <v>35.647032760100799</v>
      </c>
    </row>
    <row r="1162" spans="2:17" x14ac:dyDescent="0.2">
      <c r="B1162" s="6">
        <f t="shared" si="162"/>
        <v>669</v>
      </c>
      <c r="C1162" s="12"/>
      <c r="D1162" s="12"/>
      <c r="E1162" s="12"/>
      <c r="F1162" s="13"/>
      <c r="G1162" s="19">
        <v>632</v>
      </c>
      <c r="H1162" s="17" t="s">
        <v>131</v>
      </c>
      <c r="I1162" s="20">
        <v>6500</v>
      </c>
      <c r="J1162" s="20">
        <v>2807</v>
      </c>
      <c r="K1162" s="354">
        <f t="shared" si="164"/>
        <v>43.184615384615384</v>
      </c>
      <c r="L1162" s="20"/>
      <c r="M1162" s="20"/>
      <c r="N1162" s="354"/>
      <c r="O1162" s="21">
        <f t="shared" si="160"/>
        <v>6500</v>
      </c>
      <c r="P1162" s="21">
        <f t="shared" si="159"/>
        <v>2807</v>
      </c>
      <c r="Q1162" s="354">
        <f t="shared" si="161"/>
        <v>43.184615384615384</v>
      </c>
    </row>
    <row r="1163" spans="2:17" x14ac:dyDescent="0.2">
      <c r="B1163" s="6">
        <f t="shared" si="162"/>
        <v>670</v>
      </c>
      <c r="C1163" s="17"/>
      <c r="D1163" s="17"/>
      <c r="E1163" s="17"/>
      <c r="F1163" s="18"/>
      <c r="G1163" s="19">
        <v>633</v>
      </c>
      <c r="H1163" s="17" t="s">
        <v>122</v>
      </c>
      <c r="I1163" s="20">
        <v>61814</v>
      </c>
      <c r="J1163" s="20">
        <v>22183</v>
      </c>
      <c r="K1163" s="354">
        <f t="shared" si="164"/>
        <v>35.886692335069725</v>
      </c>
      <c r="L1163" s="20"/>
      <c r="M1163" s="20"/>
      <c r="N1163" s="354"/>
      <c r="O1163" s="21">
        <f t="shared" si="160"/>
        <v>61814</v>
      </c>
      <c r="P1163" s="21">
        <f t="shared" si="159"/>
        <v>22183</v>
      </c>
      <c r="Q1163" s="354">
        <f t="shared" si="161"/>
        <v>35.886692335069725</v>
      </c>
    </row>
    <row r="1164" spans="2:17" x14ac:dyDescent="0.2">
      <c r="B1164" s="6">
        <f t="shared" si="162"/>
        <v>671</v>
      </c>
      <c r="C1164" s="17"/>
      <c r="D1164" s="17"/>
      <c r="E1164" s="17"/>
      <c r="F1164" s="18"/>
      <c r="G1164" s="19">
        <v>635</v>
      </c>
      <c r="H1164" s="17" t="s">
        <v>130</v>
      </c>
      <c r="I1164" s="20">
        <v>2000</v>
      </c>
      <c r="J1164" s="20">
        <v>145</v>
      </c>
      <c r="K1164" s="354">
        <f t="shared" si="164"/>
        <v>7.2499999999999991</v>
      </c>
      <c r="L1164" s="20"/>
      <c r="M1164" s="20"/>
      <c r="N1164" s="354"/>
      <c r="O1164" s="21">
        <f t="shared" si="160"/>
        <v>2000</v>
      </c>
      <c r="P1164" s="21">
        <f t="shared" si="159"/>
        <v>145</v>
      </c>
      <c r="Q1164" s="354">
        <f t="shared" si="161"/>
        <v>7.2499999999999991</v>
      </c>
    </row>
    <row r="1165" spans="2:17" x14ac:dyDescent="0.2">
      <c r="B1165" s="6">
        <f t="shared" si="162"/>
        <v>672</v>
      </c>
      <c r="C1165" s="17"/>
      <c r="D1165" s="17"/>
      <c r="E1165" s="17"/>
      <c r="F1165" s="18"/>
      <c r="G1165" s="19">
        <v>637</v>
      </c>
      <c r="H1165" s="17" t="s">
        <v>119</v>
      </c>
      <c r="I1165" s="20">
        <f>1608+300</f>
        <v>1908</v>
      </c>
      <c r="J1165" s="20">
        <v>610</v>
      </c>
      <c r="K1165" s="354">
        <f t="shared" si="164"/>
        <v>31.970649895178198</v>
      </c>
      <c r="L1165" s="20"/>
      <c r="M1165" s="20"/>
      <c r="N1165" s="354"/>
      <c r="O1165" s="21">
        <f t="shared" si="160"/>
        <v>1908</v>
      </c>
      <c r="P1165" s="21">
        <f t="shared" si="159"/>
        <v>610</v>
      </c>
      <c r="Q1165" s="354">
        <f t="shared" si="161"/>
        <v>31.970649895178198</v>
      </c>
    </row>
    <row r="1166" spans="2:17" x14ac:dyDescent="0.2">
      <c r="B1166" s="6">
        <f t="shared" si="162"/>
        <v>673</v>
      </c>
      <c r="C1166" s="12"/>
      <c r="D1166" s="12"/>
      <c r="E1166" s="12"/>
      <c r="F1166" s="13" t="s">
        <v>157</v>
      </c>
      <c r="G1166" s="14">
        <v>640</v>
      </c>
      <c r="H1166" s="12" t="s">
        <v>126</v>
      </c>
      <c r="I1166" s="15">
        <v>450</v>
      </c>
      <c r="J1166" s="15">
        <v>324</v>
      </c>
      <c r="K1166" s="354">
        <f t="shared" si="164"/>
        <v>72</v>
      </c>
      <c r="L1166" s="15"/>
      <c r="M1166" s="15"/>
      <c r="N1166" s="354"/>
      <c r="O1166" s="16">
        <f t="shared" si="160"/>
        <v>450</v>
      </c>
      <c r="P1166" s="16">
        <f t="shared" si="159"/>
        <v>324</v>
      </c>
      <c r="Q1166" s="354">
        <f t="shared" si="161"/>
        <v>72</v>
      </c>
    </row>
    <row r="1167" spans="2:17" x14ac:dyDescent="0.2">
      <c r="B1167" s="6">
        <f t="shared" si="162"/>
        <v>674</v>
      </c>
      <c r="C1167" s="12"/>
      <c r="D1167" s="12"/>
      <c r="E1167" s="12"/>
      <c r="F1167" s="13" t="s">
        <v>157</v>
      </c>
      <c r="G1167" s="14">
        <v>710</v>
      </c>
      <c r="H1167" s="12" t="s">
        <v>172</v>
      </c>
      <c r="I1167" s="15"/>
      <c r="J1167" s="15"/>
      <c r="K1167" s="354"/>
      <c r="L1167" s="15">
        <f>L1168+L1171</f>
        <v>4000</v>
      </c>
      <c r="M1167" s="15">
        <f>M1168+M1171</f>
        <v>0</v>
      </c>
      <c r="N1167" s="354">
        <f>M1167/L1167*100</f>
        <v>0</v>
      </c>
      <c r="O1167" s="16">
        <f t="shared" si="160"/>
        <v>4000</v>
      </c>
      <c r="P1167" s="16">
        <f t="shared" si="159"/>
        <v>0</v>
      </c>
      <c r="Q1167" s="354">
        <f t="shared" si="161"/>
        <v>0</v>
      </c>
    </row>
    <row r="1168" spans="2:17" x14ac:dyDescent="0.2">
      <c r="B1168" s="6">
        <f t="shared" si="162"/>
        <v>675</v>
      </c>
      <c r="C1168" s="12"/>
      <c r="D1168" s="12"/>
      <c r="E1168" s="12"/>
      <c r="F1168" s="18"/>
      <c r="G1168" s="19">
        <v>713</v>
      </c>
      <c r="H1168" s="17" t="s">
        <v>215</v>
      </c>
      <c r="I1168" s="20"/>
      <c r="J1168" s="20"/>
      <c r="K1168" s="354"/>
      <c r="L1168" s="20">
        <f>L1169+L1170</f>
        <v>4000</v>
      </c>
      <c r="M1168" s="20">
        <f>M1169+M1170</f>
        <v>0</v>
      </c>
      <c r="N1168" s="354">
        <f>M1168/L1168*100</f>
        <v>0</v>
      </c>
      <c r="O1168" s="21">
        <f t="shared" si="160"/>
        <v>4000</v>
      </c>
      <c r="P1168" s="21">
        <f t="shared" si="159"/>
        <v>0</v>
      </c>
      <c r="Q1168" s="354">
        <f t="shared" si="161"/>
        <v>0</v>
      </c>
    </row>
    <row r="1169" spans="2:17" x14ac:dyDescent="0.2">
      <c r="B1169" s="6">
        <f t="shared" si="162"/>
        <v>676</v>
      </c>
      <c r="C1169" s="12"/>
      <c r="D1169" s="12"/>
      <c r="E1169" s="12"/>
      <c r="F1169" s="99"/>
      <c r="G1169" s="23"/>
      <c r="H1169" s="1" t="s">
        <v>699</v>
      </c>
      <c r="I1169" s="24"/>
      <c r="J1169" s="24"/>
      <c r="K1169" s="354"/>
      <c r="L1169" s="24">
        <v>4000</v>
      </c>
      <c r="M1169" s="24">
        <v>0</v>
      </c>
      <c r="N1169" s="354">
        <f>M1169/L1169*100</f>
        <v>0</v>
      </c>
      <c r="O1169" s="26">
        <f t="shared" si="160"/>
        <v>4000</v>
      </c>
      <c r="P1169" s="26">
        <f t="shared" si="159"/>
        <v>0</v>
      </c>
      <c r="Q1169" s="354">
        <f t="shared" si="161"/>
        <v>0</v>
      </c>
    </row>
    <row r="1170" spans="2:17" x14ac:dyDescent="0.2">
      <c r="B1170" s="6">
        <f t="shared" ref="B1170:B1201" si="165">B1169+1</f>
        <v>677</v>
      </c>
      <c r="C1170" s="105"/>
      <c r="D1170" s="105"/>
      <c r="E1170" s="105" t="s">
        <v>90</v>
      </c>
      <c r="F1170" s="106"/>
      <c r="G1170" s="106"/>
      <c r="H1170" s="105" t="s">
        <v>91</v>
      </c>
      <c r="I1170" s="107">
        <f>I1171+I1172+I1173+I1178</f>
        <v>62474</v>
      </c>
      <c r="J1170" s="107">
        <f>J1171+J1172+J1173+J1178</f>
        <v>27136</v>
      </c>
      <c r="K1170" s="354">
        <f t="shared" ref="K1170:K1213" si="166">J1170/I1170*100</f>
        <v>43.435669238403172</v>
      </c>
      <c r="L1170" s="107"/>
      <c r="M1170" s="107"/>
      <c r="N1170" s="354"/>
      <c r="O1170" s="108">
        <f t="shared" si="160"/>
        <v>62474</v>
      </c>
      <c r="P1170" s="108">
        <f t="shared" si="159"/>
        <v>27136</v>
      </c>
      <c r="Q1170" s="354">
        <f t="shared" si="161"/>
        <v>43.435669238403172</v>
      </c>
    </row>
    <row r="1171" spans="2:17" x14ac:dyDescent="0.2">
      <c r="B1171" s="6">
        <f t="shared" si="165"/>
        <v>678</v>
      </c>
      <c r="C1171" s="12"/>
      <c r="D1171" s="12"/>
      <c r="E1171" s="12"/>
      <c r="F1171" s="13" t="s">
        <v>157</v>
      </c>
      <c r="G1171" s="14">
        <v>610</v>
      </c>
      <c r="H1171" s="12" t="s">
        <v>128</v>
      </c>
      <c r="I1171" s="15">
        <v>23331</v>
      </c>
      <c r="J1171" s="15">
        <v>11978</v>
      </c>
      <c r="K1171" s="354">
        <f t="shared" si="166"/>
        <v>51.339419656251337</v>
      </c>
      <c r="L1171" s="15"/>
      <c r="M1171" s="15"/>
      <c r="N1171" s="354"/>
      <c r="O1171" s="16">
        <f t="shared" si="160"/>
        <v>23331</v>
      </c>
      <c r="P1171" s="16">
        <f t="shared" si="159"/>
        <v>11978</v>
      </c>
      <c r="Q1171" s="354">
        <f t="shared" si="161"/>
        <v>51.339419656251337</v>
      </c>
    </row>
    <row r="1172" spans="2:17" x14ac:dyDescent="0.2">
      <c r="B1172" s="6">
        <f t="shared" si="165"/>
        <v>679</v>
      </c>
      <c r="C1172" s="12"/>
      <c r="D1172" s="12"/>
      <c r="E1172" s="12"/>
      <c r="F1172" s="13" t="s">
        <v>157</v>
      </c>
      <c r="G1172" s="14">
        <v>620</v>
      </c>
      <c r="H1172" s="12" t="s">
        <v>121</v>
      </c>
      <c r="I1172" s="15">
        <v>8878</v>
      </c>
      <c r="J1172" s="15">
        <v>4233</v>
      </c>
      <c r="K1172" s="354">
        <f t="shared" si="166"/>
        <v>47.679657580536158</v>
      </c>
      <c r="L1172" s="15"/>
      <c r="M1172" s="15"/>
      <c r="N1172" s="354"/>
      <c r="O1172" s="16">
        <f t="shared" si="160"/>
        <v>8878</v>
      </c>
      <c r="P1172" s="16">
        <f t="shared" si="159"/>
        <v>4233</v>
      </c>
      <c r="Q1172" s="354">
        <f t="shared" si="161"/>
        <v>47.679657580536158</v>
      </c>
    </row>
    <row r="1173" spans="2:17" x14ac:dyDescent="0.2">
      <c r="B1173" s="6">
        <f t="shared" si="165"/>
        <v>680</v>
      </c>
      <c r="C1173" s="12"/>
      <c r="D1173" s="12"/>
      <c r="E1173" s="12"/>
      <c r="F1173" s="13" t="s">
        <v>157</v>
      </c>
      <c r="G1173" s="14">
        <v>630</v>
      </c>
      <c r="H1173" s="12" t="s">
        <v>118</v>
      </c>
      <c r="I1173" s="15">
        <f>SUM(I1174:I1177)</f>
        <v>29815</v>
      </c>
      <c r="J1173" s="15">
        <f>SUM(J1174:J1177)</f>
        <v>10789</v>
      </c>
      <c r="K1173" s="354">
        <f t="shared" si="166"/>
        <v>36.186483313768235</v>
      </c>
      <c r="L1173" s="15"/>
      <c r="M1173" s="15"/>
      <c r="N1173" s="354"/>
      <c r="O1173" s="16">
        <f t="shared" si="160"/>
        <v>29815</v>
      </c>
      <c r="P1173" s="16">
        <f t="shared" si="159"/>
        <v>10789</v>
      </c>
      <c r="Q1173" s="354">
        <f t="shared" si="161"/>
        <v>36.186483313768235</v>
      </c>
    </row>
    <row r="1174" spans="2:17" x14ac:dyDescent="0.2">
      <c r="B1174" s="6">
        <f t="shared" si="165"/>
        <v>681</v>
      </c>
      <c r="C1174" s="12"/>
      <c r="D1174" s="12"/>
      <c r="E1174" s="12"/>
      <c r="F1174" s="13"/>
      <c r="G1174" s="19">
        <v>632</v>
      </c>
      <c r="H1174" s="17" t="s">
        <v>131</v>
      </c>
      <c r="I1174" s="20">
        <v>3400</v>
      </c>
      <c r="J1174" s="20">
        <v>932</v>
      </c>
      <c r="K1174" s="354">
        <f t="shared" si="166"/>
        <v>27.411764705882351</v>
      </c>
      <c r="L1174" s="20"/>
      <c r="M1174" s="20"/>
      <c r="N1174" s="354"/>
      <c r="O1174" s="21">
        <f t="shared" si="160"/>
        <v>3400</v>
      </c>
      <c r="P1174" s="21">
        <f t="shared" si="159"/>
        <v>932</v>
      </c>
      <c r="Q1174" s="354">
        <f t="shared" si="161"/>
        <v>27.411764705882351</v>
      </c>
    </row>
    <row r="1175" spans="2:17" x14ac:dyDescent="0.2">
      <c r="B1175" s="6">
        <f t="shared" si="165"/>
        <v>682</v>
      </c>
      <c r="C1175" s="17"/>
      <c r="D1175" s="17"/>
      <c r="E1175" s="17"/>
      <c r="F1175" s="18"/>
      <c r="G1175" s="19">
        <v>633</v>
      </c>
      <c r="H1175" s="17" t="s">
        <v>122</v>
      </c>
      <c r="I1175" s="20">
        <v>23795</v>
      </c>
      <c r="J1175" s="20">
        <v>9200</v>
      </c>
      <c r="K1175" s="354">
        <f t="shared" si="166"/>
        <v>38.663584786719902</v>
      </c>
      <c r="L1175" s="20"/>
      <c r="M1175" s="20"/>
      <c r="N1175" s="354"/>
      <c r="O1175" s="21">
        <f t="shared" si="160"/>
        <v>23795</v>
      </c>
      <c r="P1175" s="21">
        <f t="shared" si="159"/>
        <v>9200</v>
      </c>
      <c r="Q1175" s="354">
        <f t="shared" si="161"/>
        <v>38.663584786719902</v>
      </c>
    </row>
    <row r="1176" spans="2:17" x14ac:dyDescent="0.2">
      <c r="B1176" s="6">
        <f t="shared" si="165"/>
        <v>683</v>
      </c>
      <c r="C1176" s="17"/>
      <c r="D1176" s="17"/>
      <c r="E1176" s="17"/>
      <c r="F1176" s="18"/>
      <c r="G1176" s="19">
        <v>635</v>
      </c>
      <c r="H1176" s="17" t="s">
        <v>130</v>
      </c>
      <c r="I1176" s="20">
        <v>1000</v>
      </c>
      <c r="J1176" s="20">
        <v>76</v>
      </c>
      <c r="K1176" s="354">
        <f t="shared" si="166"/>
        <v>7.6</v>
      </c>
      <c r="L1176" s="20"/>
      <c r="M1176" s="20"/>
      <c r="N1176" s="354"/>
      <c r="O1176" s="21">
        <f t="shared" si="160"/>
        <v>1000</v>
      </c>
      <c r="P1176" s="21">
        <f t="shared" si="159"/>
        <v>76</v>
      </c>
      <c r="Q1176" s="354">
        <f t="shared" si="161"/>
        <v>7.6</v>
      </c>
    </row>
    <row r="1177" spans="2:17" x14ac:dyDescent="0.2">
      <c r="B1177" s="6">
        <f t="shared" si="165"/>
        <v>684</v>
      </c>
      <c r="C1177" s="17"/>
      <c r="D1177" s="17"/>
      <c r="E1177" s="17"/>
      <c r="F1177" s="18"/>
      <c r="G1177" s="19">
        <v>637</v>
      </c>
      <c r="H1177" s="17" t="s">
        <v>119</v>
      </c>
      <c r="I1177" s="20">
        <f>1420+200</f>
        <v>1620</v>
      </c>
      <c r="J1177" s="20">
        <v>581</v>
      </c>
      <c r="K1177" s="354">
        <f t="shared" si="166"/>
        <v>35.864197530864203</v>
      </c>
      <c r="L1177" s="20"/>
      <c r="M1177" s="20"/>
      <c r="N1177" s="354"/>
      <c r="O1177" s="21">
        <f t="shared" si="160"/>
        <v>1620</v>
      </c>
      <c r="P1177" s="21">
        <f t="shared" si="159"/>
        <v>581</v>
      </c>
      <c r="Q1177" s="354">
        <f t="shared" si="161"/>
        <v>35.864197530864203</v>
      </c>
    </row>
    <row r="1178" spans="2:17" x14ac:dyDescent="0.2">
      <c r="B1178" s="6">
        <f t="shared" si="165"/>
        <v>685</v>
      </c>
      <c r="C1178" s="12"/>
      <c r="D1178" s="12"/>
      <c r="E1178" s="12"/>
      <c r="F1178" s="13" t="s">
        <v>157</v>
      </c>
      <c r="G1178" s="14">
        <v>640</v>
      </c>
      <c r="H1178" s="12" t="s">
        <v>126</v>
      </c>
      <c r="I1178" s="15">
        <v>450</v>
      </c>
      <c r="J1178" s="15">
        <v>136</v>
      </c>
      <c r="K1178" s="354">
        <f t="shared" si="166"/>
        <v>30.222222222222221</v>
      </c>
      <c r="L1178" s="15"/>
      <c r="M1178" s="15"/>
      <c r="N1178" s="354"/>
      <c r="O1178" s="16">
        <f t="shared" si="160"/>
        <v>450</v>
      </c>
      <c r="P1178" s="16">
        <f t="shared" si="159"/>
        <v>136</v>
      </c>
      <c r="Q1178" s="354">
        <f t="shared" si="161"/>
        <v>30.222222222222221</v>
      </c>
    </row>
    <row r="1179" spans="2:17" x14ac:dyDescent="0.2">
      <c r="B1179" s="6">
        <f t="shared" si="165"/>
        <v>686</v>
      </c>
      <c r="C1179" s="105"/>
      <c r="D1179" s="105"/>
      <c r="E1179" s="105" t="s">
        <v>85</v>
      </c>
      <c r="F1179" s="106"/>
      <c r="G1179" s="106"/>
      <c r="H1179" s="105" t="s">
        <v>193</v>
      </c>
      <c r="I1179" s="107">
        <f>I1180+I1181+I1182+I1187</f>
        <v>66108</v>
      </c>
      <c r="J1179" s="107">
        <f>J1180+J1181+J1182+J1187</f>
        <v>26262</v>
      </c>
      <c r="K1179" s="354">
        <f t="shared" si="166"/>
        <v>39.725903067707385</v>
      </c>
      <c r="L1179" s="107"/>
      <c r="M1179" s="107"/>
      <c r="N1179" s="354"/>
      <c r="O1179" s="108">
        <f t="shared" si="160"/>
        <v>66108</v>
      </c>
      <c r="P1179" s="108">
        <f t="shared" si="159"/>
        <v>26262</v>
      </c>
      <c r="Q1179" s="354">
        <f t="shared" si="161"/>
        <v>39.725903067707385</v>
      </c>
    </row>
    <row r="1180" spans="2:17" x14ac:dyDescent="0.2">
      <c r="B1180" s="6">
        <f t="shared" si="165"/>
        <v>687</v>
      </c>
      <c r="C1180" s="12"/>
      <c r="D1180" s="12"/>
      <c r="E1180" s="12"/>
      <c r="F1180" s="13" t="s">
        <v>157</v>
      </c>
      <c r="G1180" s="14">
        <v>610</v>
      </c>
      <c r="H1180" s="12" t="s">
        <v>128</v>
      </c>
      <c r="I1180" s="15">
        <v>21704</v>
      </c>
      <c r="J1180" s="15">
        <v>11442</v>
      </c>
      <c r="K1180" s="354">
        <f t="shared" si="166"/>
        <v>52.71839292296351</v>
      </c>
      <c r="L1180" s="15"/>
      <c r="M1180" s="15"/>
      <c r="N1180" s="354"/>
      <c r="O1180" s="16">
        <f t="shared" si="160"/>
        <v>21704</v>
      </c>
      <c r="P1180" s="16">
        <f t="shared" si="159"/>
        <v>11442</v>
      </c>
      <c r="Q1180" s="354">
        <f t="shared" si="161"/>
        <v>52.71839292296351</v>
      </c>
    </row>
    <row r="1181" spans="2:17" x14ac:dyDescent="0.2">
      <c r="B1181" s="6">
        <f t="shared" si="165"/>
        <v>688</v>
      </c>
      <c r="C1181" s="12"/>
      <c r="D1181" s="12"/>
      <c r="E1181" s="12"/>
      <c r="F1181" s="13" t="s">
        <v>157</v>
      </c>
      <c r="G1181" s="14">
        <v>620</v>
      </c>
      <c r="H1181" s="12" t="s">
        <v>121</v>
      </c>
      <c r="I1181" s="15">
        <v>8261</v>
      </c>
      <c r="J1181" s="15">
        <v>4243</v>
      </c>
      <c r="K1181" s="354">
        <f t="shared" si="166"/>
        <v>51.361820602832587</v>
      </c>
      <c r="L1181" s="15"/>
      <c r="M1181" s="15"/>
      <c r="N1181" s="354"/>
      <c r="O1181" s="16">
        <f t="shared" si="160"/>
        <v>8261</v>
      </c>
      <c r="P1181" s="16">
        <f t="shared" si="159"/>
        <v>4243</v>
      </c>
      <c r="Q1181" s="354">
        <f t="shared" si="161"/>
        <v>51.361820602832587</v>
      </c>
    </row>
    <row r="1182" spans="2:17" x14ac:dyDescent="0.2">
      <c r="B1182" s="6">
        <f t="shared" si="165"/>
        <v>689</v>
      </c>
      <c r="C1182" s="12"/>
      <c r="D1182" s="12"/>
      <c r="E1182" s="12"/>
      <c r="F1182" s="13" t="s">
        <v>157</v>
      </c>
      <c r="G1182" s="14">
        <v>630</v>
      </c>
      <c r="H1182" s="12" t="s">
        <v>118</v>
      </c>
      <c r="I1182" s="15">
        <f>SUM(I1183:I1186)</f>
        <v>35693</v>
      </c>
      <c r="J1182" s="15">
        <f>SUM(J1183:J1186)</f>
        <v>10562</v>
      </c>
      <c r="K1182" s="354">
        <f t="shared" si="166"/>
        <v>29.591236376880619</v>
      </c>
      <c r="L1182" s="15"/>
      <c r="M1182" s="15"/>
      <c r="N1182" s="354"/>
      <c r="O1182" s="16">
        <f t="shared" si="160"/>
        <v>35693</v>
      </c>
      <c r="P1182" s="16">
        <f t="shared" si="159"/>
        <v>10562</v>
      </c>
      <c r="Q1182" s="354">
        <f t="shared" si="161"/>
        <v>29.591236376880619</v>
      </c>
    </row>
    <row r="1183" spans="2:17" x14ac:dyDescent="0.2">
      <c r="B1183" s="6">
        <f t="shared" si="165"/>
        <v>690</v>
      </c>
      <c r="C1183" s="12"/>
      <c r="D1183" s="12"/>
      <c r="E1183" s="12"/>
      <c r="F1183" s="13"/>
      <c r="G1183" s="19">
        <v>632</v>
      </c>
      <c r="H1183" s="17" t="s">
        <v>131</v>
      </c>
      <c r="I1183" s="20">
        <v>3900</v>
      </c>
      <c r="J1183" s="20">
        <v>1175</v>
      </c>
      <c r="K1183" s="354">
        <f t="shared" si="166"/>
        <v>30.128205128205128</v>
      </c>
      <c r="L1183" s="20"/>
      <c r="M1183" s="20"/>
      <c r="N1183" s="354"/>
      <c r="O1183" s="21">
        <f t="shared" si="160"/>
        <v>3900</v>
      </c>
      <c r="P1183" s="21">
        <f t="shared" si="159"/>
        <v>1175</v>
      </c>
      <c r="Q1183" s="354">
        <f t="shared" si="161"/>
        <v>30.128205128205128</v>
      </c>
    </row>
    <row r="1184" spans="2:17" x14ac:dyDescent="0.2">
      <c r="B1184" s="6">
        <f t="shared" si="165"/>
        <v>691</v>
      </c>
      <c r="C1184" s="17"/>
      <c r="D1184" s="17"/>
      <c r="E1184" s="17"/>
      <c r="F1184" s="18"/>
      <c r="G1184" s="19">
        <v>633</v>
      </c>
      <c r="H1184" s="17" t="s">
        <v>122</v>
      </c>
      <c r="I1184" s="20">
        <v>27353</v>
      </c>
      <c r="J1184" s="20">
        <v>9083</v>
      </c>
      <c r="K1184" s="354">
        <f t="shared" si="166"/>
        <v>33.206595254633861</v>
      </c>
      <c r="L1184" s="20"/>
      <c r="M1184" s="20"/>
      <c r="N1184" s="354"/>
      <c r="O1184" s="21">
        <f t="shared" si="160"/>
        <v>27353</v>
      </c>
      <c r="P1184" s="21">
        <f t="shared" si="159"/>
        <v>9083</v>
      </c>
      <c r="Q1184" s="354">
        <f t="shared" si="161"/>
        <v>33.206595254633861</v>
      </c>
    </row>
    <row r="1185" spans="2:17" x14ac:dyDescent="0.2">
      <c r="B1185" s="6">
        <f t="shared" si="165"/>
        <v>692</v>
      </c>
      <c r="C1185" s="17"/>
      <c r="D1185" s="17"/>
      <c r="E1185" s="17"/>
      <c r="F1185" s="18"/>
      <c r="G1185" s="19">
        <v>635</v>
      </c>
      <c r="H1185" s="17" t="s">
        <v>130</v>
      </c>
      <c r="I1185" s="20">
        <v>3000</v>
      </c>
      <c r="J1185" s="20">
        <v>0</v>
      </c>
      <c r="K1185" s="354">
        <f t="shared" si="166"/>
        <v>0</v>
      </c>
      <c r="L1185" s="20"/>
      <c r="M1185" s="20"/>
      <c r="N1185" s="354"/>
      <c r="O1185" s="21">
        <f t="shared" si="160"/>
        <v>3000</v>
      </c>
      <c r="P1185" s="21">
        <f t="shared" si="159"/>
        <v>0</v>
      </c>
      <c r="Q1185" s="354">
        <f t="shared" si="161"/>
        <v>0</v>
      </c>
    </row>
    <row r="1186" spans="2:17" x14ac:dyDescent="0.2">
      <c r="B1186" s="6">
        <f t="shared" si="165"/>
        <v>693</v>
      </c>
      <c r="C1186" s="17"/>
      <c r="D1186" s="17"/>
      <c r="E1186" s="17"/>
      <c r="F1186" s="18"/>
      <c r="G1186" s="19">
        <v>637</v>
      </c>
      <c r="H1186" s="17" t="s">
        <v>119</v>
      </c>
      <c r="I1186" s="20">
        <f>1340+100</f>
        <v>1440</v>
      </c>
      <c r="J1186" s="20">
        <v>304</v>
      </c>
      <c r="K1186" s="354">
        <f t="shared" si="166"/>
        <v>21.111111111111111</v>
      </c>
      <c r="L1186" s="20"/>
      <c r="M1186" s="20"/>
      <c r="N1186" s="354"/>
      <c r="O1186" s="21">
        <f t="shared" si="160"/>
        <v>1440</v>
      </c>
      <c r="P1186" s="21">
        <f t="shared" si="159"/>
        <v>304</v>
      </c>
      <c r="Q1186" s="354">
        <f t="shared" si="161"/>
        <v>21.111111111111111</v>
      </c>
    </row>
    <row r="1187" spans="2:17" x14ac:dyDescent="0.2">
      <c r="B1187" s="6">
        <f t="shared" si="165"/>
        <v>694</v>
      </c>
      <c r="C1187" s="12"/>
      <c r="D1187" s="12"/>
      <c r="E1187" s="12"/>
      <c r="F1187" s="13" t="s">
        <v>157</v>
      </c>
      <c r="G1187" s="14">
        <v>640</v>
      </c>
      <c r="H1187" s="12" t="s">
        <v>126</v>
      </c>
      <c r="I1187" s="15">
        <v>450</v>
      </c>
      <c r="J1187" s="15">
        <v>15</v>
      </c>
      <c r="K1187" s="354">
        <f t="shared" si="166"/>
        <v>3.3333333333333335</v>
      </c>
      <c r="L1187" s="15"/>
      <c r="M1187" s="15"/>
      <c r="N1187" s="354"/>
      <c r="O1187" s="16">
        <f t="shared" si="160"/>
        <v>450</v>
      </c>
      <c r="P1187" s="16">
        <f t="shared" si="159"/>
        <v>15</v>
      </c>
      <c r="Q1187" s="354">
        <f t="shared" si="161"/>
        <v>3.3333333333333335</v>
      </c>
    </row>
    <row r="1188" spans="2:17" x14ac:dyDescent="0.2">
      <c r="B1188" s="6">
        <f t="shared" si="165"/>
        <v>695</v>
      </c>
      <c r="C1188" s="105"/>
      <c r="D1188" s="105"/>
      <c r="E1188" s="105" t="s">
        <v>86</v>
      </c>
      <c r="F1188" s="106"/>
      <c r="G1188" s="106"/>
      <c r="H1188" s="105" t="s">
        <v>87</v>
      </c>
      <c r="I1188" s="107">
        <f>I1189+I1190+I1191+I1196</f>
        <v>182563</v>
      </c>
      <c r="J1188" s="107">
        <f>J1189+J1190+J1191+J1196</f>
        <v>82542</v>
      </c>
      <c r="K1188" s="354">
        <f t="shared" si="166"/>
        <v>45.212885414897869</v>
      </c>
      <c r="L1188" s="107"/>
      <c r="M1188" s="107"/>
      <c r="N1188" s="354"/>
      <c r="O1188" s="108">
        <f t="shared" si="160"/>
        <v>182563</v>
      </c>
      <c r="P1188" s="108">
        <f t="shared" si="159"/>
        <v>82542</v>
      </c>
      <c r="Q1188" s="354">
        <f t="shared" si="161"/>
        <v>45.212885414897869</v>
      </c>
    </row>
    <row r="1189" spans="2:17" x14ac:dyDescent="0.2">
      <c r="B1189" s="6">
        <f t="shared" si="165"/>
        <v>696</v>
      </c>
      <c r="C1189" s="12"/>
      <c r="D1189" s="12"/>
      <c r="E1189" s="12"/>
      <c r="F1189" s="13" t="s">
        <v>157</v>
      </c>
      <c r="G1189" s="14">
        <v>610</v>
      </c>
      <c r="H1189" s="12" t="s">
        <v>128</v>
      </c>
      <c r="I1189" s="15">
        <v>56004</v>
      </c>
      <c r="J1189" s="15">
        <v>33379</v>
      </c>
      <c r="K1189" s="354">
        <f t="shared" si="166"/>
        <v>59.601099921434184</v>
      </c>
      <c r="L1189" s="15"/>
      <c r="M1189" s="15"/>
      <c r="N1189" s="354"/>
      <c r="O1189" s="16">
        <f t="shared" si="160"/>
        <v>56004</v>
      </c>
      <c r="P1189" s="16">
        <f t="shared" si="159"/>
        <v>33379</v>
      </c>
      <c r="Q1189" s="354">
        <f t="shared" si="161"/>
        <v>59.601099921434184</v>
      </c>
    </row>
    <row r="1190" spans="2:17" x14ac:dyDescent="0.2">
      <c r="B1190" s="6">
        <f t="shared" si="165"/>
        <v>697</v>
      </c>
      <c r="C1190" s="12"/>
      <c r="D1190" s="12"/>
      <c r="E1190" s="12"/>
      <c r="F1190" s="13" t="s">
        <v>157</v>
      </c>
      <c r="G1190" s="14">
        <v>620</v>
      </c>
      <c r="H1190" s="12" t="s">
        <v>121</v>
      </c>
      <c r="I1190" s="15">
        <v>21821</v>
      </c>
      <c r="J1190" s="15">
        <v>12868</v>
      </c>
      <c r="K1190" s="354">
        <f t="shared" si="166"/>
        <v>58.970716282480183</v>
      </c>
      <c r="L1190" s="15"/>
      <c r="M1190" s="15"/>
      <c r="N1190" s="354"/>
      <c r="O1190" s="16">
        <f t="shared" si="160"/>
        <v>21821</v>
      </c>
      <c r="P1190" s="16">
        <f t="shared" si="159"/>
        <v>12868</v>
      </c>
      <c r="Q1190" s="354">
        <f t="shared" si="161"/>
        <v>58.970716282480183</v>
      </c>
    </row>
    <row r="1191" spans="2:17" x14ac:dyDescent="0.2">
      <c r="B1191" s="6">
        <f t="shared" si="165"/>
        <v>698</v>
      </c>
      <c r="C1191" s="12"/>
      <c r="D1191" s="12"/>
      <c r="E1191" s="12"/>
      <c r="F1191" s="13" t="s">
        <v>157</v>
      </c>
      <c r="G1191" s="14">
        <v>630</v>
      </c>
      <c r="H1191" s="12" t="s">
        <v>118</v>
      </c>
      <c r="I1191" s="15">
        <f>SUM(I1192:I1195)</f>
        <v>104288</v>
      </c>
      <c r="J1191" s="15">
        <f>SUM(J1192:J1195)</f>
        <v>36054</v>
      </c>
      <c r="K1191" s="354">
        <f t="shared" si="166"/>
        <v>34.571571034059531</v>
      </c>
      <c r="L1191" s="15"/>
      <c r="M1191" s="15"/>
      <c r="N1191" s="354"/>
      <c r="O1191" s="16">
        <f t="shared" si="160"/>
        <v>104288</v>
      </c>
      <c r="P1191" s="16">
        <f t="shared" si="159"/>
        <v>36054</v>
      </c>
      <c r="Q1191" s="354">
        <f t="shared" si="161"/>
        <v>34.571571034059531</v>
      </c>
    </row>
    <row r="1192" spans="2:17" x14ac:dyDescent="0.2">
      <c r="B1192" s="6">
        <f t="shared" si="165"/>
        <v>699</v>
      </c>
      <c r="C1192" s="17"/>
      <c r="D1192" s="17"/>
      <c r="E1192" s="17"/>
      <c r="F1192" s="18"/>
      <c r="G1192" s="19">
        <v>632</v>
      </c>
      <c r="H1192" s="17" t="s">
        <v>131</v>
      </c>
      <c r="I1192" s="20">
        <f>1222+10000</f>
        <v>11222</v>
      </c>
      <c r="J1192" s="20">
        <v>520</v>
      </c>
      <c r="K1192" s="354">
        <f t="shared" si="166"/>
        <v>4.633755123863839</v>
      </c>
      <c r="L1192" s="20"/>
      <c r="M1192" s="20"/>
      <c r="N1192" s="354"/>
      <c r="O1192" s="21">
        <f t="shared" si="160"/>
        <v>11222</v>
      </c>
      <c r="P1192" s="21">
        <f t="shared" si="159"/>
        <v>520</v>
      </c>
      <c r="Q1192" s="354">
        <f t="shared" si="161"/>
        <v>4.633755123863839</v>
      </c>
    </row>
    <row r="1193" spans="2:17" x14ac:dyDescent="0.2">
      <c r="B1193" s="6">
        <f t="shared" si="165"/>
        <v>700</v>
      </c>
      <c r="C1193" s="17"/>
      <c r="D1193" s="17"/>
      <c r="E1193" s="17"/>
      <c r="F1193" s="18"/>
      <c r="G1193" s="19">
        <v>633</v>
      </c>
      <c r="H1193" s="17" t="s">
        <v>122</v>
      </c>
      <c r="I1193" s="20">
        <v>80746</v>
      </c>
      <c r="J1193" s="20">
        <v>32272</v>
      </c>
      <c r="K1193" s="354">
        <f t="shared" si="166"/>
        <v>39.967304881975579</v>
      </c>
      <c r="L1193" s="20"/>
      <c r="M1193" s="20"/>
      <c r="N1193" s="354"/>
      <c r="O1193" s="21">
        <f t="shared" si="160"/>
        <v>80746</v>
      </c>
      <c r="P1193" s="21">
        <f t="shared" si="159"/>
        <v>32272</v>
      </c>
      <c r="Q1193" s="354">
        <f t="shared" si="161"/>
        <v>39.967304881975579</v>
      </c>
    </row>
    <row r="1194" spans="2:17" x14ac:dyDescent="0.2">
      <c r="B1194" s="6">
        <f t="shared" si="165"/>
        <v>701</v>
      </c>
      <c r="C1194" s="17"/>
      <c r="D1194" s="17"/>
      <c r="E1194" s="17"/>
      <c r="F1194" s="18"/>
      <c r="G1194" s="19">
        <v>635</v>
      </c>
      <c r="H1194" s="17" t="s">
        <v>130</v>
      </c>
      <c r="I1194" s="20">
        <v>6200</v>
      </c>
      <c r="J1194" s="20">
        <v>838</v>
      </c>
      <c r="K1194" s="354">
        <f t="shared" si="166"/>
        <v>13.516129032258064</v>
      </c>
      <c r="L1194" s="20"/>
      <c r="M1194" s="20"/>
      <c r="N1194" s="354"/>
      <c r="O1194" s="21">
        <f t="shared" si="160"/>
        <v>6200</v>
      </c>
      <c r="P1194" s="21">
        <f t="shared" ref="P1194:P1257" si="167">J1194+M1194</f>
        <v>838</v>
      </c>
      <c r="Q1194" s="354">
        <f t="shared" si="161"/>
        <v>13.516129032258064</v>
      </c>
    </row>
    <row r="1195" spans="2:17" x14ac:dyDescent="0.2">
      <c r="B1195" s="6">
        <f t="shared" si="165"/>
        <v>702</v>
      </c>
      <c r="C1195" s="17"/>
      <c r="D1195" s="17"/>
      <c r="E1195" s="17"/>
      <c r="F1195" s="18"/>
      <c r="G1195" s="19">
        <v>637</v>
      </c>
      <c r="H1195" s="17" t="s">
        <v>119</v>
      </c>
      <c r="I1195" s="20">
        <f>5720+400</f>
        <v>6120</v>
      </c>
      <c r="J1195" s="20">
        <v>2424</v>
      </c>
      <c r="K1195" s="354">
        <f t="shared" si="166"/>
        <v>39.607843137254903</v>
      </c>
      <c r="L1195" s="20"/>
      <c r="M1195" s="20"/>
      <c r="N1195" s="354"/>
      <c r="O1195" s="21">
        <f t="shared" ref="O1195:O1258" si="168">I1195+L1195</f>
        <v>6120</v>
      </c>
      <c r="P1195" s="21">
        <f t="shared" si="167"/>
        <v>2424</v>
      </c>
      <c r="Q1195" s="354">
        <f t="shared" ref="Q1195:Q1235" si="169">P1195/O1195*100</f>
        <v>39.607843137254903</v>
      </c>
    </row>
    <row r="1196" spans="2:17" x14ac:dyDescent="0.2">
      <c r="B1196" s="6">
        <f t="shared" si="165"/>
        <v>703</v>
      </c>
      <c r="C1196" s="12"/>
      <c r="D1196" s="12"/>
      <c r="E1196" s="12"/>
      <c r="F1196" s="13" t="s">
        <v>157</v>
      </c>
      <c r="G1196" s="14">
        <v>640</v>
      </c>
      <c r="H1196" s="12" t="s">
        <v>126</v>
      </c>
      <c r="I1196" s="15">
        <v>450</v>
      </c>
      <c r="J1196" s="15">
        <v>241</v>
      </c>
      <c r="K1196" s="354">
        <f t="shared" si="166"/>
        <v>53.555555555555557</v>
      </c>
      <c r="L1196" s="15"/>
      <c r="M1196" s="15"/>
      <c r="N1196" s="354"/>
      <c r="O1196" s="16">
        <f t="shared" si="168"/>
        <v>450</v>
      </c>
      <c r="P1196" s="16">
        <f t="shared" si="167"/>
        <v>241</v>
      </c>
      <c r="Q1196" s="354">
        <f t="shared" si="169"/>
        <v>53.555555555555557</v>
      </c>
    </row>
    <row r="1197" spans="2:17" ht="15" x14ac:dyDescent="0.25">
      <c r="B1197" s="6">
        <f t="shared" si="165"/>
        <v>704</v>
      </c>
      <c r="C1197" s="95"/>
      <c r="D1197" s="95"/>
      <c r="E1197" s="95">
        <v>6</v>
      </c>
      <c r="F1197" s="96"/>
      <c r="G1197" s="96"/>
      <c r="H1197" s="95" t="s">
        <v>279</v>
      </c>
      <c r="I1197" s="97">
        <f>I1198+I1199+I1200+I1205+I1206+I1207+I1208+I1213</f>
        <v>431117</v>
      </c>
      <c r="J1197" s="97">
        <f>J1198+J1199+J1200+J1205+J1206+J1207+J1208+J1213</f>
        <v>158220</v>
      </c>
      <c r="K1197" s="354">
        <f t="shared" si="166"/>
        <v>36.700014149291263</v>
      </c>
      <c r="L1197" s="97">
        <f>L1214</f>
        <v>26000</v>
      </c>
      <c r="M1197" s="97">
        <f>M1214</f>
        <v>0</v>
      </c>
      <c r="N1197" s="354">
        <f>M1197/L1197*100</f>
        <v>0</v>
      </c>
      <c r="O1197" s="98">
        <f t="shared" si="168"/>
        <v>457117</v>
      </c>
      <c r="P1197" s="98">
        <f t="shared" si="167"/>
        <v>158220</v>
      </c>
      <c r="Q1197" s="354">
        <f t="shared" si="169"/>
        <v>34.612582774213166</v>
      </c>
    </row>
    <row r="1198" spans="2:17" x14ac:dyDescent="0.2">
      <c r="B1198" s="6">
        <f t="shared" si="165"/>
        <v>705</v>
      </c>
      <c r="C1198" s="12"/>
      <c r="D1198" s="12"/>
      <c r="E1198" s="12"/>
      <c r="F1198" s="13" t="s">
        <v>79</v>
      </c>
      <c r="G1198" s="14">
        <v>610</v>
      </c>
      <c r="H1198" s="12" t="s">
        <v>128</v>
      </c>
      <c r="I1198" s="15">
        <v>53242</v>
      </c>
      <c r="J1198" s="15">
        <v>22235</v>
      </c>
      <c r="K1198" s="354">
        <f t="shared" si="166"/>
        <v>41.762142669321214</v>
      </c>
      <c r="L1198" s="15"/>
      <c r="M1198" s="15"/>
      <c r="N1198" s="354"/>
      <c r="O1198" s="16">
        <f t="shared" si="168"/>
        <v>53242</v>
      </c>
      <c r="P1198" s="16">
        <f t="shared" si="167"/>
        <v>22235</v>
      </c>
      <c r="Q1198" s="354">
        <f t="shared" si="169"/>
        <v>41.762142669321214</v>
      </c>
    </row>
    <row r="1199" spans="2:17" x14ac:dyDescent="0.2">
      <c r="B1199" s="6">
        <f t="shared" si="165"/>
        <v>706</v>
      </c>
      <c r="C1199" s="12"/>
      <c r="D1199" s="12"/>
      <c r="E1199" s="12"/>
      <c r="F1199" s="13" t="s">
        <v>79</v>
      </c>
      <c r="G1199" s="14">
        <v>620</v>
      </c>
      <c r="H1199" s="12" t="s">
        <v>121</v>
      </c>
      <c r="I1199" s="15">
        <v>19167</v>
      </c>
      <c r="J1199" s="15">
        <v>7994</v>
      </c>
      <c r="K1199" s="354">
        <f t="shared" si="166"/>
        <v>41.707100746073984</v>
      </c>
      <c r="L1199" s="15"/>
      <c r="M1199" s="15"/>
      <c r="N1199" s="354"/>
      <c r="O1199" s="16">
        <f t="shared" si="168"/>
        <v>19167</v>
      </c>
      <c r="P1199" s="16">
        <f t="shared" si="167"/>
        <v>7994</v>
      </c>
      <c r="Q1199" s="354">
        <f t="shared" si="169"/>
        <v>41.707100746073984</v>
      </c>
    </row>
    <row r="1200" spans="2:17" x14ac:dyDescent="0.2">
      <c r="B1200" s="6">
        <f t="shared" si="165"/>
        <v>707</v>
      </c>
      <c r="C1200" s="12"/>
      <c r="D1200" s="12"/>
      <c r="E1200" s="12"/>
      <c r="F1200" s="13" t="s">
        <v>79</v>
      </c>
      <c r="G1200" s="14">
        <v>630</v>
      </c>
      <c r="H1200" s="12" t="s">
        <v>118</v>
      </c>
      <c r="I1200" s="15">
        <f>SUM(I1201:I1204)</f>
        <v>136941</v>
      </c>
      <c r="J1200" s="15">
        <f>SUM(J1201:J1204)</f>
        <v>42642</v>
      </c>
      <c r="K1200" s="354">
        <f t="shared" si="166"/>
        <v>31.138957653295947</v>
      </c>
      <c r="L1200" s="15"/>
      <c r="M1200" s="15"/>
      <c r="N1200" s="354"/>
      <c r="O1200" s="16">
        <f t="shared" si="168"/>
        <v>136941</v>
      </c>
      <c r="P1200" s="16">
        <f t="shared" si="167"/>
        <v>42642</v>
      </c>
      <c r="Q1200" s="354">
        <f t="shared" si="169"/>
        <v>31.138957653295947</v>
      </c>
    </row>
    <row r="1201" spans="2:17" x14ac:dyDescent="0.2">
      <c r="B1201" s="6">
        <f t="shared" si="165"/>
        <v>708</v>
      </c>
      <c r="C1201" s="17"/>
      <c r="D1201" s="17"/>
      <c r="E1201" s="17"/>
      <c r="F1201" s="18"/>
      <c r="G1201" s="19">
        <v>632</v>
      </c>
      <c r="H1201" s="17" t="s">
        <v>131</v>
      </c>
      <c r="I1201" s="20">
        <v>26971</v>
      </c>
      <c r="J1201" s="20">
        <v>6152</v>
      </c>
      <c r="K1201" s="354">
        <f t="shared" si="166"/>
        <v>22.80968447591858</v>
      </c>
      <c r="L1201" s="20"/>
      <c r="M1201" s="20"/>
      <c r="N1201" s="354"/>
      <c r="O1201" s="21">
        <f t="shared" si="168"/>
        <v>26971</v>
      </c>
      <c r="P1201" s="21">
        <f t="shared" si="167"/>
        <v>6152</v>
      </c>
      <c r="Q1201" s="354">
        <f t="shared" si="169"/>
        <v>22.80968447591858</v>
      </c>
    </row>
    <row r="1202" spans="2:17" x14ac:dyDescent="0.2">
      <c r="B1202" s="6">
        <f t="shared" ref="B1202:B1234" si="170">B1201+1</f>
        <v>709</v>
      </c>
      <c r="C1202" s="17"/>
      <c r="D1202" s="17"/>
      <c r="E1202" s="17"/>
      <c r="F1202" s="18"/>
      <c r="G1202" s="19">
        <v>633</v>
      </c>
      <c r="H1202" s="17" t="s">
        <v>122</v>
      </c>
      <c r="I1202" s="20">
        <v>101130</v>
      </c>
      <c r="J1202" s="20">
        <v>34885</v>
      </c>
      <c r="K1202" s="354">
        <f t="shared" si="166"/>
        <v>34.495204192623355</v>
      </c>
      <c r="L1202" s="20"/>
      <c r="M1202" s="20"/>
      <c r="N1202" s="354"/>
      <c r="O1202" s="21">
        <f t="shared" si="168"/>
        <v>101130</v>
      </c>
      <c r="P1202" s="21">
        <f t="shared" si="167"/>
        <v>34885</v>
      </c>
      <c r="Q1202" s="354">
        <f t="shared" si="169"/>
        <v>34.495204192623355</v>
      </c>
    </row>
    <row r="1203" spans="2:17" x14ac:dyDescent="0.2">
      <c r="B1203" s="6">
        <f t="shared" si="170"/>
        <v>710</v>
      </c>
      <c r="C1203" s="17"/>
      <c r="D1203" s="17"/>
      <c r="E1203" s="17"/>
      <c r="F1203" s="18"/>
      <c r="G1203" s="19">
        <v>635</v>
      </c>
      <c r="H1203" s="17" t="s">
        <v>130</v>
      </c>
      <c r="I1203" s="20">
        <v>5821</v>
      </c>
      <c r="J1203" s="20">
        <v>0</v>
      </c>
      <c r="K1203" s="354">
        <f t="shared" si="166"/>
        <v>0</v>
      </c>
      <c r="L1203" s="20"/>
      <c r="M1203" s="20"/>
      <c r="N1203" s="354"/>
      <c r="O1203" s="21">
        <f t="shared" si="168"/>
        <v>5821</v>
      </c>
      <c r="P1203" s="21">
        <f t="shared" si="167"/>
        <v>0</v>
      </c>
      <c r="Q1203" s="354">
        <f t="shared" si="169"/>
        <v>0</v>
      </c>
    </row>
    <row r="1204" spans="2:17" x14ac:dyDescent="0.2">
      <c r="B1204" s="6">
        <f t="shared" si="170"/>
        <v>711</v>
      </c>
      <c r="C1204" s="17"/>
      <c r="D1204" s="17"/>
      <c r="E1204" s="17"/>
      <c r="F1204" s="18"/>
      <c r="G1204" s="19">
        <v>637</v>
      </c>
      <c r="H1204" s="17" t="s">
        <v>119</v>
      </c>
      <c r="I1204" s="20">
        <v>3019</v>
      </c>
      <c r="J1204" s="20">
        <v>1605</v>
      </c>
      <c r="K1204" s="354">
        <f t="shared" si="166"/>
        <v>53.16329910566413</v>
      </c>
      <c r="L1204" s="20"/>
      <c r="M1204" s="20"/>
      <c r="N1204" s="354"/>
      <c r="O1204" s="21">
        <f t="shared" si="168"/>
        <v>3019</v>
      </c>
      <c r="P1204" s="21">
        <f t="shared" si="167"/>
        <v>1605</v>
      </c>
      <c r="Q1204" s="354">
        <f t="shared" si="169"/>
        <v>53.16329910566413</v>
      </c>
    </row>
    <row r="1205" spans="2:17" x14ac:dyDescent="0.2">
      <c r="B1205" s="6">
        <f t="shared" si="170"/>
        <v>712</v>
      </c>
      <c r="C1205" s="12"/>
      <c r="D1205" s="12"/>
      <c r="E1205" s="12"/>
      <c r="F1205" s="13" t="s">
        <v>79</v>
      </c>
      <c r="G1205" s="14">
        <v>640</v>
      </c>
      <c r="H1205" s="12" t="s">
        <v>126</v>
      </c>
      <c r="I1205" s="15">
        <v>2275</v>
      </c>
      <c r="J1205" s="15">
        <v>0</v>
      </c>
      <c r="K1205" s="354">
        <f t="shared" si="166"/>
        <v>0</v>
      </c>
      <c r="L1205" s="15"/>
      <c r="M1205" s="15"/>
      <c r="N1205" s="354"/>
      <c r="O1205" s="16">
        <f t="shared" si="168"/>
        <v>2275</v>
      </c>
      <c r="P1205" s="16">
        <f t="shared" si="167"/>
        <v>0</v>
      </c>
      <c r="Q1205" s="354">
        <f t="shared" si="169"/>
        <v>0</v>
      </c>
    </row>
    <row r="1206" spans="2:17" x14ac:dyDescent="0.2">
      <c r="B1206" s="6">
        <f t="shared" si="170"/>
        <v>713</v>
      </c>
      <c r="C1206" s="12"/>
      <c r="D1206" s="12"/>
      <c r="E1206" s="12"/>
      <c r="F1206" s="13" t="s">
        <v>49</v>
      </c>
      <c r="G1206" s="14">
        <v>610</v>
      </c>
      <c r="H1206" s="12" t="s">
        <v>128</v>
      </c>
      <c r="I1206" s="15">
        <v>58202</v>
      </c>
      <c r="J1206" s="15">
        <v>22334</v>
      </c>
      <c r="K1206" s="354">
        <f t="shared" si="166"/>
        <v>38.373251778289408</v>
      </c>
      <c r="L1206" s="15"/>
      <c r="M1206" s="15"/>
      <c r="N1206" s="354"/>
      <c r="O1206" s="16">
        <f t="shared" si="168"/>
        <v>58202</v>
      </c>
      <c r="P1206" s="16">
        <f t="shared" si="167"/>
        <v>22334</v>
      </c>
      <c r="Q1206" s="354">
        <f t="shared" si="169"/>
        <v>38.373251778289408</v>
      </c>
    </row>
    <row r="1207" spans="2:17" x14ac:dyDescent="0.2">
      <c r="B1207" s="6">
        <f t="shared" si="170"/>
        <v>714</v>
      </c>
      <c r="C1207" s="12"/>
      <c r="D1207" s="12"/>
      <c r="E1207" s="12"/>
      <c r="F1207" s="13" t="s">
        <v>49</v>
      </c>
      <c r="G1207" s="14">
        <v>620</v>
      </c>
      <c r="H1207" s="12" t="s">
        <v>121</v>
      </c>
      <c r="I1207" s="15">
        <v>20953</v>
      </c>
      <c r="J1207" s="15">
        <v>8030</v>
      </c>
      <c r="K1207" s="354">
        <f t="shared" si="166"/>
        <v>38.323867703908746</v>
      </c>
      <c r="L1207" s="15"/>
      <c r="M1207" s="15"/>
      <c r="N1207" s="354"/>
      <c r="O1207" s="16">
        <f t="shared" si="168"/>
        <v>20953</v>
      </c>
      <c r="P1207" s="16">
        <f t="shared" si="167"/>
        <v>8030</v>
      </c>
      <c r="Q1207" s="354">
        <f t="shared" si="169"/>
        <v>38.323867703908746</v>
      </c>
    </row>
    <row r="1208" spans="2:17" x14ac:dyDescent="0.2">
      <c r="B1208" s="6">
        <f t="shared" si="170"/>
        <v>715</v>
      </c>
      <c r="C1208" s="12"/>
      <c r="D1208" s="12"/>
      <c r="E1208" s="12"/>
      <c r="F1208" s="13" t="s">
        <v>49</v>
      </c>
      <c r="G1208" s="14">
        <v>630</v>
      </c>
      <c r="H1208" s="12" t="s">
        <v>118</v>
      </c>
      <c r="I1208" s="15">
        <f>SUM(I1209:I1212)</f>
        <v>140062</v>
      </c>
      <c r="J1208" s="15">
        <f>SUM(J1209:J1212)</f>
        <v>52868</v>
      </c>
      <c r="K1208" s="354">
        <f t="shared" si="166"/>
        <v>37.746140994702351</v>
      </c>
      <c r="L1208" s="15"/>
      <c r="M1208" s="15"/>
      <c r="N1208" s="354"/>
      <c r="O1208" s="16">
        <f t="shared" si="168"/>
        <v>140062</v>
      </c>
      <c r="P1208" s="16">
        <f t="shared" si="167"/>
        <v>52868</v>
      </c>
      <c r="Q1208" s="354">
        <f t="shared" si="169"/>
        <v>37.746140994702351</v>
      </c>
    </row>
    <row r="1209" spans="2:17" x14ac:dyDescent="0.2">
      <c r="B1209" s="6">
        <f t="shared" si="170"/>
        <v>716</v>
      </c>
      <c r="C1209" s="17"/>
      <c r="D1209" s="17"/>
      <c r="E1209" s="17"/>
      <c r="F1209" s="18"/>
      <c r="G1209" s="19">
        <v>632</v>
      </c>
      <c r="H1209" s="17" t="s">
        <v>131</v>
      </c>
      <c r="I1209" s="20">
        <v>26972</v>
      </c>
      <c r="J1209" s="20">
        <v>6152</v>
      </c>
      <c r="K1209" s="354">
        <f t="shared" si="166"/>
        <v>22.808838795788226</v>
      </c>
      <c r="L1209" s="20"/>
      <c r="M1209" s="20"/>
      <c r="N1209" s="354"/>
      <c r="O1209" s="21">
        <f t="shared" si="168"/>
        <v>26972</v>
      </c>
      <c r="P1209" s="21">
        <f t="shared" si="167"/>
        <v>6152</v>
      </c>
      <c r="Q1209" s="354">
        <f t="shared" si="169"/>
        <v>22.808838795788226</v>
      </c>
    </row>
    <row r="1210" spans="2:17" x14ac:dyDescent="0.2">
      <c r="B1210" s="6">
        <f t="shared" si="170"/>
        <v>717</v>
      </c>
      <c r="C1210" s="17"/>
      <c r="D1210" s="17"/>
      <c r="E1210" s="17"/>
      <c r="F1210" s="18"/>
      <c r="G1210" s="19">
        <v>633</v>
      </c>
      <c r="H1210" s="17" t="s">
        <v>122</v>
      </c>
      <c r="I1210" s="20">
        <v>104250</v>
      </c>
      <c r="J1210" s="20">
        <v>45294</v>
      </c>
      <c r="K1210" s="354">
        <f t="shared" si="166"/>
        <v>43.447482014388491</v>
      </c>
      <c r="L1210" s="20"/>
      <c r="M1210" s="20"/>
      <c r="N1210" s="354"/>
      <c r="O1210" s="21">
        <f t="shared" si="168"/>
        <v>104250</v>
      </c>
      <c r="P1210" s="21">
        <f t="shared" si="167"/>
        <v>45294</v>
      </c>
      <c r="Q1210" s="354">
        <f t="shared" si="169"/>
        <v>43.447482014388491</v>
      </c>
    </row>
    <row r="1211" spans="2:17" x14ac:dyDescent="0.2">
      <c r="B1211" s="6">
        <f t="shared" si="170"/>
        <v>718</v>
      </c>
      <c r="C1211" s="17"/>
      <c r="D1211" s="17"/>
      <c r="E1211" s="17"/>
      <c r="F1211" s="18"/>
      <c r="G1211" s="19">
        <v>635</v>
      </c>
      <c r="H1211" s="17" t="s">
        <v>130</v>
      </c>
      <c r="I1211" s="20">
        <v>5821</v>
      </c>
      <c r="J1211" s="20">
        <v>0</v>
      </c>
      <c r="K1211" s="354">
        <f t="shared" si="166"/>
        <v>0</v>
      </c>
      <c r="L1211" s="20"/>
      <c r="M1211" s="20"/>
      <c r="N1211" s="354"/>
      <c r="O1211" s="21">
        <f t="shared" si="168"/>
        <v>5821</v>
      </c>
      <c r="P1211" s="21">
        <f t="shared" si="167"/>
        <v>0</v>
      </c>
      <c r="Q1211" s="354">
        <f t="shared" si="169"/>
        <v>0</v>
      </c>
    </row>
    <row r="1212" spans="2:17" x14ac:dyDescent="0.2">
      <c r="B1212" s="6">
        <f t="shared" si="170"/>
        <v>719</v>
      </c>
      <c r="C1212" s="17"/>
      <c r="D1212" s="17"/>
      <c r="E1212" s="17"/>
      <c r="F1212" s="18"/>
      <c r="G1212" s="19">
        <v>637</v>
      </c>
      <c r="H1212" s="17" t="s">
        <v>119</v>
      </c>
      <c r="I1212" s="20">
        <v>3019</v>
      </c>
      <c r="J1212" s="20">
        <v>1422</v>
      </c>
      <c r="K1212" s="354">
        <f t="shared" si="166"/>
        <v>47.101689301093074</v>
      </c>
      <c r="L1212" s="20"/>
      <c r="M1212" s="20"/>
      <c r="N1212" s="354"/>
      <c r="O1212" s="21">
        <f t="shared" si="168"/>
        <v>3019</v>
      </c>
      <c r="P1212" s="21">
        <f t="shared" si="167"/>
        <v>1422</v>
      </c>
      <c r="Q1212" s="354">
        <f t="shared" si="169"/>
        <v>47.101689301093074</v>
      </c>
    </row>
    <row r="1213" spans="2:17" x14ac:dyDescent="0.2">
      <c r="B1213" s="6">
        <f t="shared" si="170"/>
        <v>720</v>
      </c>
      <c r="C1213" s="12"/>
      <c r="D1213" s="12"/>
      <c r="E1213" s="12"/>
      <c r="F1213" s="13" t="s">
        <v>49</v>
      </c>
      <c r="G1213" s="14">
        <v>640</v>
      </c>
      <c r="H1213" s="12" t="s">
        <v>126</v>
      </c>
      <c r="I1213" s="15">
        <v>275</v>
      </c>
      <c r="J1213" s="15">
        <v>2117</v>
      </c>
      <c r="K1213" s="354">
        <f t="shared" si="166"/>
        <v>769.81818181818187</v>
      </c>
      <c r="L1213" s="15"/>
      <c r="M1213" s="15"/>
      <c r="N1213" s="354"/>
      <c r="O1213" s="16">
        <f t="shared" si="168"/>
        <v>275</v>
      </c>
      <c r="P1213" s="16">
        <f t="shared" si="167"/>
        <v>2117</v>
      </c>
      <c r="Q1213" s="354">
        <f t="shared" si="169"/>
        <v>769.81818181818187</v>
      </c>
    </row>
    <row r="1214" spans="2:17" x14ac:dyDescent="0.2">
      <c r="B1214" s="6">
        <f t="shared" si="170"/>
        <v>721</v>
      </c>
      <c r="C1214" s="12"/>
      <c r="D1214" s="12"/>
      <c r="E1214" s="12"/>
      <c r="F1214" s="13" t="s">
        <v>49</v>
      </c>
      <c r="G1214" s="14">
        <v>710</v>
      </c>
      <c r="H1214" s="12" t="s">
        <v>172</v>
      </c>
      <c r="I1214" s="15"/>
      <c r="J1214" s="15"/>
      <c r="K1214" s="354"/>
      <c r="L1214" s="15">
        <f>L1215</f>
        <v>26000</v>
      </c>
      <c r="M1214" s="15">
        <f>M1215</f>
        <v>0</v>
      </c>
      <c r="N1214" s="354">
        <f>M1214/L1214*100</f>
        <v>0</v>
      </c>
      <c r="O1214" s="16">
        <f t="shared" si="168"/>
        <v>26000</v>
      </c>
      <c r="P1214" s="16">
        <f t="shared" si="167"/>
        <v>0</v>
      </c>
      <c r="Q1214" s="354">
        <f t="shared" si="169"/>
        <v>0</v>
      </c>
    </row>
    <row r="1215" spans="2:17" x14ac:dyDescent="0.2">
      <c r="B1215" s="6">
        <f t="shared" si="170"/>
        <v>722</v>
      </c>
      <c r="C1215" s="12"/>
      <c r="D1215" s="12"/>
      <c r="E1215" s="12"/>
      <c r="F1215" s="18"/>
      <c r="G1215" s="19">
        <v>717</v>
      </c>
      <c r="H1215" s="17" t="s">
        <v>179</v>
      </c>
      <c r="I1215" s="15"/>
      <c r="J1215" s="15"/>
      <c r="K1215" s="354"/>
      <c r="L1215" s="20">
        <f>L1216</f>
        <v>26000</v>
      </c>
      <c r="M1215" s="20">
        <f>M1216</f>
        <v>0</v>
      </c>
      <c r="N1215" s="354">
        <f>M1215/L1215*100</f>
        <v>0</v>
      </c>
      <c r="O1215" s="21">
        <f t="shared" si="168"/>
        <v>26000</v>
      </c>
      <c r="P1215" s="21">
        <f t="shared" si="167"/>
        <v>0</v>
      </c>
      <c r="Q1215" s="354">
        <f t="shared" si="169"/>
        <v>0</v>
      </c>
    </row>
    <row r="1216" spans="2:17" x14ac:dyDescent="0.2">
      <c r="B1216" s="6">
        <f t="shared" si="170"/>
        <v>723</v>
      </c>
      <c r="C1216" s="12"/>
      <c r="D1216" s="12"/>
      <c r="E1216" s="12"/>
      <c r="F1216" s="99"/>
      <c r="G1216" s="23"/>
      <c r="H1216" s="1" t="s">
        <v>665</v>
      </c>
      <c r="I1216" s="15"/>
      <c r="J1216" s="15"/>
      <c r="K1216" s="354"/>
      <c r="L1216" s="24">
        <v>26000</v>
      </c>
      <c r="M1216" s="24">
        <v>0</v>
      </c>
      <c r="N1216" s="354">
        <f>M1216/L1216*100</f>
        <v>0</v>
      </c>
      <c r="O1216" s="21">
        <f t="shared" si="168"/>
        <v>26000</v>
      </c>
      <c r="P1216" s="21">
        <f t="shared" si="167"/>
        <v>0</v>
      </c>
      <c r="Q1216" s="354">
        <f t="shared" si="169"/>
        <v>0</v>
      </c>
    </row>
    <row r="1217" spans="2:17" ht="15" x14ac:dyDescent="0.25">
      <c r="B1217" s="6">
        <f t="shared" si="170"/>
        <v>724</v>
      </c>
      <c r="C1217" s="95"/>
      <c r="D1217" s="95"/>
      <c r="E1217" s="95">
        <v>7</v>
      </c>
      <c r="F1217" s="96"/>
      <c r="G1217" s="96"/>
      <c r="H1217" s="95" t="s">
        <v>281</v>
      </c>
      <c r="I1217" s="97">
        <f>I1218+I1219+I1220+I1223+I1224+I1225+I1226+I1231</f>
        <v>435493</v>
      </c>
      <c r="J1217" s="97">
        <f>J1218+J1219+J1220+J1223+J1224+J1225+J1226+J1231</f>
        <v>231718</v>
      </c>
      <c r="K1217" s="354">
        <f t="shared" ref="K1217:K1231" si="171">J1217/I1217*100</f>
        <v>53.208203116927258</v>
      </c>
      <c r="L1217" s="97">
        <f>L1232</f>
        <v>20782</v>
      </c>
      <c r="M1217" s="97">
        <f>M1232</f>
        <v>0</v>
      </c>
      <c r="N1217" s="354">
        <f>M1217/L1217*100</f>
        <v>0</v>
      </c>
      <c r="O1217" s="98">
        <f t="shared" si="168"/>
        <v>456275</v>
      </c>
      <c r="P1217" s="98">
        <f t="shared" si="167"/>
        <v>231718</v>
      </c>
      <c r="Q1217" s="354">
        <f t="shared" si="169"/>
        <v>50.784724124705491</v>
      </c>
    </row>
    <row r="1218" spans="2:17" x14ac:dyDescent="0.2">
      <c r="B1218" s="6">
        <f t="shared" si="170"/>
        <v>725</v>
      </c>
      <c r="C1218" s="12"/>
      <c r="D1218" s="12"/>
      <c r="E1218" s="12"/>
      <c r="F1218" s="13" t="s">
        <v>79</v>
      </c>
      <c r="G1218" s="14">
        <v>610</v>
      </c>
      <c r="H1218" s="12" t="s">
        <v>128</v>
      </c>
      <c r="I1218" s="15">
        <v>64120</v>
      </c>
      <c r="J1218" s="15">
        <v>30479</v>
      </c>
      <c r="K1218" s="354">
        <f t="shared" si="171"/>
        <v>47.534310667498438</v>
      </c>
      <c r="L1218" s="15"/>
      <c r="M1218" s="15"/>
      <c r="N1218" s="354"/>
      <c r="O1218" s="16">
        <f t="shared" si="168"/>
        <v>64120</v>
      </c>
      <c r="P1218" s="16">
        <f t="shared" si="167"/>
        <v>30479</v>
      </c>
      <c r="Q1218" s="354">
        <f t="shared" si="169"/>
        <v>47.534310667498438</v>
      </c>
    </row>
    <row r="1219" spans="2:17" x14ac:dyDescent="0.2">
      <c r="B1219" s="6">
        <f t="shared" si="170"/>
        <v>726</v>
      </c>
      <c r="C1219" s="12"/>
      <c r="D1219" s="12"/>
      <c r="E1219" s="12"/>
      <c r="F1219" s="13" t="s">
        <v>79</v>
      </c>
      <c r="G1219" s="14">
        <v>620</v>
      </c>
      <c r="H1219" s="12" t="s">
        <v>121</v>
      </c>
      <c r="I1219" s="15">
        <v>24560</v>
      </c>
      <c r="J1219" s="15">
        <v>11723</v>
      </c>
      <c r="K1219" s="354">
        <f t="shared" si="171"/>
        <v>47.732084690553748</v>
      </c>
      <c r="L1219" s="15"/>
      <c r="M1219" s="15"/>
      <c r="N1219" s="354"/>
      <c r="O1219" s="16">
        <f t="shared" si="168"/>
        <v>24560</v>
      </c>
      <c r="P1219" s="16">
        <f t="shared" si="167"/>
        <v>11723</v>
      </c>
      <c r="Q1219" s="354">
        <f t="shared" si="169"/>
        <v>47.732084690553748</v>
      </c>
    </row>
    <row r="1220" spans="2:17" x14ac:dyDescent="0.2">
      <c r="B1220" s="6">
        <f t="shared" si="170"/>
        <v>727</v>
      </c>
      <c r="C1220" s="12"/>
      <c r="D1220" s="12"/>
      <c r="E1220" s="12"/>
      <c r="F1220" s="13" t="s">
        <v>79</v>
      </c>
      <c r="G1220" s="14">
        <v>630</v>
      </c>
      <c r="H1220" s="12" t="s">
        <v>118</v>
      </c>
      <c r="I1220" s="15">
        <f>SUM(I1221:I1222)</f>
        <v>107000</v>
      </c>
      <c r="J1220" s="15">
        <f>SUM(J1221:J1222)</f>
        <v>48807</v>
      </c>
      <c r="K1220" s="354">
        <f t="shared" si="171"/>
        <v>45.61401869158879</v>
      </c>
      <c r="L1220" s="15"/>
      <c r="M1220" s="15"/>
      <c r="N1220" s="354"/>
      <c r="O1220" s="16">
        <f t="shared" si="168"/>
        <v>107000</v>
      </c>
      <c r="P1220" s="16">
        <f t="shared" si="167"/>
        <v>48807</v>
      </c>
      <c r="Q1220" s="354">
        <f t="shared" si="169"/>
        <v>45.61401869158879</v>
      </c>
    </row>
    <row r="1221" spans="2:17" x14ac:dyDescent="0.2">
      <c r="B1221" s="6">
        <f t="shared" si="170"/>
        <v>728</v>
      </c>
      <c r="C1221" s="17"/>
      <c r="D1221" s="17"/>
      <c r="E1221" s="17"/>
      <c r="F1221" s="18"/>
      <c r="G1221" s="19">
        <v>633</v>
      </c>
      <c r="H1221" s="17" t="s">
        <v>122</v>
      </c>
      <c r="I1221" s="20">
        <v>101000</v>
      </c>
      <c r="J1221" s="20">
        <v>45226</v>
      </c>
      <c r="K1221" s="354">
        <f t="shared" si="171"/>
        <v>44.778217821782178</v>
      </c>
      <c r="L1221" s="20"/>
      <c r="M1221" s="20"/>
      <c r="N1221" s="354"/>
      <c r="O1221" s="21">
        <f t="shared" si="168"/>
        <v>101000</v>
      </c>
      <c r="P1221" s="21">
        <f t="shared" si="167"/>
        <v>45226</v>
      </c>
      <c r="Q1221" s="354">
        <f t="shared" si="169"/>
        <v>44.778217821782178</v>
      </c>
    </row>
    <row r="1222" spans="2:17" x14ac:dyDescent="0.2">
      <c r="B1222" s="6">
        <f t="shared" si="170"/>
        <v>729</v>
      </c>
      <c r="C1222" s="17"/>
      <c r="D1222" s="17"/>
      <c r="E1222" s="17"/>
      <c r="F1222" s="18"/>
      <c r="G1222" s="19">
        <v>637</v>
      </c>
      <c r="H1222" s="17" t="s">
        <v>119</v>
      </c>
      <c r="I1222" s="20">
        <v>6000</v>
      </c>
      <c r="J1222" s="20">
        <v>3581</v>
      </c>
      <c r="K1222" s="354">
        <f t="shared" si="171"/>
        <v>59.68333333333333</v>
      </c>
      <c r="L1222" s="20"/>
      <c r="M1222" s="20"/>
      <c r="N1222" s="354"/>
      <c r="O1222" s="21">
        <f t="shared" si="168"/>
        <v>6000</v>
      </c>
      <c r="P1222" s="21">
        <f t="shared" si="167"/>
        <v>3581</v>
      </c>
      <c r="Q1222" s="354">
        <f t="shared" si="169"/>
        <v>59.68333333333333</v>
      </c>
    </row>
    <row r="1223" spans="2:17" x14ac:dyDescent="0.2">
      <c r="B1223" s="6">
        <f t="shared" si="170"/>
        <v>730</v>
      </c>
      <c r="C1223" s="12"/>
      <c r="D1223" s="12"/>
      <c r="E1223" s="12"/>
      <c r="F1223" s="13" t="s">
        <v>79</v>
      </c>
      <c r="G1223" s="14">
        <v>640</v>
      </c>
      <c r="H1223" s="12" t="s">
        <v>126</v>
      </c>
      <c r="I1223" s="15">
        <f>900+1947</f>
        <v>2847</v>
      </c>
      <c r="J1223" s="15">
        <v>2485</v>
      </c>
      <c r="K1223" s="354">
        <f t="shared" si="171"/>
        <v>87.284861257464001</v>
      </c>
      <c r="L1223" s="15"/>
      <c r="M1223" s="15"/>
      <c r="N1223" s="354"/>
      <c r="O1223" s="16">
        <f t="shared" si="168"/>
        <v>2847</v>
      </c>
      <c r="P1223" s="16">
        <f t="shared" si="167"/>
        <v>2485</v>
      </c>
      <c r="Q1223" s="354">
        <f t="shared" si="169"/>
        <v>87.284861257464001</v>
      </c>
    </row>
    <row r="1224" spans="2:17" x14ac:dyDescent="0.2">
      <c r="B1224" s="6">
        <f t="shared" si="170"/>
        <v>731</v>
      </c>
      <c r="C1224" s="12"/>
      <c r="D1224" s="12"/>
      <c r="E1224" s="12"/>
      <c r="F1224" s="13" t="s">
        <v>49</v>
      </c>
      <c r="G1224" s="14">
        <v>610</v>
      </c>
      <c r="H1224" s="12" t="s">
        <v>128</v>
      </c>
      <c r="I1224" s="15">
        <v>82248</v>
      </c>
      <c r="J1224" s="15">
        <v>40650</v>
      </c>
      <c r="K1224" s="354">
        <f t="shared" si="171"/>
        <v>49.423694193171869</v>
      </c>
      <c r="L1224" s="15"/>
      <c r="M1224" s="15"/>
      <c r="N1224" s="354"/>
      <c r="O1224" s="16">
        <f t="shared" si="168"/>
        <v>82248</v>
      </c>
      <c r="P1224" s="16">
        <f t="shared" si="167"/>
        <v>40650</v>
      </c>
      <c r="Q1224" s="354">
        <f t="shared" si="169"/>
        <v>49.423694193171869</v>
      </c>
    </row>
    <row r="1225" spans="2:17" x14ac:dyDescent="0.2">
      <c r="B1225" s="6">
        <f t="shared" si="170"/>
        <v>732</v>
      </c>
      <c r="C1225" s="12"/>
      <c r="D1225" s="12"/>
      <c r="E1225" s="12"/>
      <c r="F1225" s="13" t="s">
        <v>49</v>
      </c>
      <c r="G1225" s="14">
        <v>620</v>
      </c>
      <c r="H1225" s="12" t="s">
        <v>121</v>
      </c>
      <c r="I1225" s="15">
        <v>30500</v>
      </c>
      <c r="J1225" s="15">
        <v>15295</v>
      </c>
      <c r="K1225" s="354">
        <f t="shared" si="171"/>
        <v>50.147540983606554</v>
      </c>
      <c r="L1225" s="15"/>
      <c r="M1225" s="15"/>
      <c r="N1225" s="354"/>
      <c r="O1225" s="16">
        <f t="shared" si="168"/>
        <v>30500</v>
      </c>
      <c r="P1225" s="16">
        <f t="shared" si="167"/>
        <v>15295</v>
      </c>
      <c r="Q1225" s="354">
        <f t="shared" si="169"/>
        <v>50.147540983606554</v>
      </c>
    </row>
    <row r="1226" spans="2:17" x14ac:dyDescent="0.2">
      <c r="B1226" s="6">
        <f t="shared" si="170"/>
        <v>733</v>
      </c>
      <c r="C1226" s="12"/>
      <c r="D1226" s="12"/>
      <c r="E1226" s="12"/>
      <c r="F1226" s="13" t="s">
        <v>49</v>
      </c>
      <c r="G1226" s="14">
        <v>630</v>
      </c>
      <c r="H1226" s="12" t="s">
        <v>118</v>
      </c>
      <c r="I1226" s="15">
        <f>SUM(I1227:I1230)</f>
        <v>123668</v>
      </c>
      <c r="J1226" s="15">
        <f>SUM(J1227:J1230)</f>
        <v>82089</v>
      </c>
      <c r="K1226" s="354">
        <f t="shared" si="171"/>
        <v>66.378529611540571</v>
      </c>
      <c r="L1226" s="15"/>
      <c r="M1226" s="15"/>
      <c r="N1226" s="354"/>
      <c r="O1226" s="16">
        <f t="shared" si="168"/>
        <v>123668</v>
      </c>
      <c r="P1226" s="16">
        <f t="shared" si="167"/>
        <v>82089</v>
      </c>
      <c r="Q1226" s="354">
        <f t="shared" si="169"/>
        <v>66.378529611540571</v>
      </c>
    </row>
    <row r="1227" spans="2:17" x14ac:dyDescent="0.2">
      <c r="B1227" s="6">
        <f t="shared" si="170"/>
        <v>734</v>
      </c>
      <c r="C1227" s="17"/>
      <c r="D1227" s="17"/>
      <c r="E1227" s="17"/>
      <c r="F1227" s="18"/>
      <c r="G1227" s="19">
        <v>632</v>
      </c>
      <c r="H1227" s="17" t="s">
        <v>131</v>
      </c>
      <c r="I1227" s="20">
        <v>4000</v>
      </c>
      <c r="J1227" s="20">
        <v>0</v>
      </c>
      <c r="K1227" s="354">
        <f t="shared" si="171"/>
        <v>0</v>
      </c>
      <c r="L1227" s="20"/>
      <c r="M1227" s="20"/>
      <c r="N1227" s="354"/>
      <c r="O1227" s="21">
        <f t="shared" si="168"/>
        <v>4000</v>
      </c>
      <c r="P1227" s="21">
        <f t="shared" si="167"/>
        <v>0</v>
      </c>
      <c r="Q1227" s="354">
        <f t="shared" si="169"/>
        <v>0</v>
      </c>
    </row>
    <row r="1228" spans="2:17" x14ac:dyDescent="0.2">
      <c r="B1228" s="6">
        <f t="shared" si="170"/>
        <v>735</v>
      </c>
      <c r="C1228" s="17"/>
      <c r="D1228" s="17"/>
      <c r="E1228" s="17"/>
      <c r="F1228" s="18"/>
      <c r="G1228" s="19">
        <v>633</v>
      </c>
      <c r="H1228" s="17" t="s">
        <v>122</v>
      </c>
      <c r="I1228" s="20">
        <f>132000-7282-13500</f>
        <v>111218</v>
      </c>
      <c r="J1228" s="20">
        <v>78774</v>
      </c>
      <c r="K1228" s="354">
        <f t="shared" si="171"/>
        <v>70.82846301857613</v>
      </c>
      <c r="L1228" s="20"/>
      <c r="M1228" s="20"/>
      <c r="N1228" s="354"/>
      <c r="O1228" s="21">
        <f t="shared" si="168"/>
        <v>111218</v>
      </c>
      <c r="P1228" s="21">
        <f t="shared" si="167"/>
        <v>78774</v>
      </c>
      <c r="Q1228" s="354">
        <f t="shared" si="169"/>
        <v>70.82846301857613</v>
      </c>
    </row>
    <row r="1229" spans="2:17" x14ac:dyDescent="0.2">
      <c r="B1229" s="6">
        <f t="shared" si="170"/>
        <v>736</v>
      </c>
      <c r="C1229" s="17"/>
      <c r="D1229" s="17"/>
      <c r="E1229" s="17"/>
      <c r="F1229" s="18"/>
      <c r="G1229" s="19">
        <v>635</v>
      </c>
      <c r="H1229" s="17" t="s">
        <v>130</v>
      </c>
      <c r="I1229" s="20">
        <v>3000</v>
      </c>
      <c r="J1229" s="20">
        <v>1070</v>
      </c>
      <c r="K1229" s="354">
        <f t="shared" si="171"/>
        <v>35.666666666666671</v>
      </c>
      <c r="L1229" s="20"/>
      <c r="M1229" s="20"/>
      <c r="N1229" s="354"/>
      <c r="O1229" s="21">
        <f t="shared" si="168"/>
        <v>3000</v>
      </c>
      <c r="P1229" s="21">
        <f t="shared" si="167"/>
        <v>1070</v>
      </c>
      <c r="Q1229" s="354">
        <f t="shared" si="169"/>
        <v>35.666666666666671</v>
      </c>
    </row>
    <row r="1230" spans="2:17" x14ac:dyDescent="0.2">
      <c r="B1230" s="6">
        <f t="shared" si="170"/>
        <v>737</v>
      </c>
      <c r="C1230" s="17"/>
      <c r="D1230" s="17"/>
      <c r="E1230" s="17"/>
      <c r="F1230" s="18"/>
      <c r="G1230" s="19">
        <v>637</v>
      </c>
      <c r="H1230" s="17" t="s">
        <v>119</v>
      </c>
      <c r="I1230" s="20">
        <v>5450</v>
      </c>
      <c r="J1230" s="20">
        <v>2245</v>
      </c>
      <c r="K1230" s="354">
        <f t="shared" si="171"/>
        <v>41.192660550458712</v>
      </c>
      <c r="L1230" s="20"/>
      <c r="M1230" s="20"/>
      <c r="N1230" s="354"/>
      <c r="O1230" s="21">
        <f t="shared" si="168"/>
        <v>5450</v>
      </c>
      <c r="P1230" s="21">
        <f t="shared" si="167"/>
        <v>2245</v>
      </c>
      <c r="Q1230" s="354">
        <f t="shared" si="169"/>
        <v>41.192660550458712</v>
      </c>
    </row>
    <row r="1231" spans="2:17" x14ac:dyDescent="0.2">
      <c r="B1231" s="6">
        <f t="shared" si="170"/>
        <v>738</v>
      </c>
      <c r="C1231" s="12"/>
      <c r="D1231" s="12"/>
      <c r="E1231" s="12"/>
      <c r="F1231" s="13" t="s">
        <v>49</v>
      </c>
      <c r="G1231" s="14">
        <v>640</v>
      </c>
      <c r="H1231" s="12" t="s">
        <v>126</v>
      </c>
      <c r="I1231" s="15">
        <v>550</v>
      </c>
      <c r="J1231" s="15">
        <v>190</v>
      </c>
      <c r="K1231" s="354">
        <f t="shared" si="171"/>
        <v>34.545454545454547</v>
      </c>
      <c r="L1231" s="15"/>
      <c r="M1231" s="15"/>
      <c r="N1231" s="354"/>
      <c r="O1231" s="16">
        <f t="shared" si="168"/>
        <v>550</v>
      </c>
      <c r="P1231" s="16">
        <f t="shared" si="167"/>
        <v>190</v>
      </c>
      <c r="Q1231" s="354">
        <f t="shared" si="169"/>
        <v>34.545454545454547</v>
      </c>
    </row>
    <row r="1232" spans="2:17" x14ac:dyDescent="0.2">
      <c r="B1232" s="6">
        <f t="shared" si="170"/>
        <v>739</v>
      </c>
      <c r="C1232" s="12"/>
      <c r="D1232" s="12"/>
      <c r="E1232" s="12"/>
      <c r="F1232" s="13" t="s">
        <v>49</v>
      </c>
      <c r="G1232" s="14">
        <v>710</v>
      </c>
      <c r="H1232" s="12" t="s">
        <v>172</v>
      </c>
      <c r="I1232" s="15"/>
      <c r="J1232" s="15"/>
      <c r="K1232" s="354"/>
      <c r="L1232" s="15">
        <f>L1233</f>
        <v>20782</v>
      </c>
      <c r="M1232" s="15">
        <f>M1233</f>
        <v>0</v>
      </c>
      <c r="N1232" s="354">
        <f>M1232/L1232*100</f>
        <v>0</v>
      </c>
      <c r="O1232" s="16">
        <f t="shared" si="168"/>
        <v>20782</v>
      </c>
      <c r="P1232" s="16">
        <f t="shared" si="167"/>
        <v>0</v>
      </c>
      <c r="Q1232" s="354">
        <f t="shared" si="169"/>
        <v>0</v>
      </c>
    </row>
    <row r="1233" spans="2:17" x14ac:dyDescent="0.2">
      <c r="B1233" s="6">
        <f t="shared" si="170"/>
        <v>740</v>
      </c>
      <c r="C1233" s="12"/>
      <c r="D1233" s="12"/>
      <c r="E1233" s="12"/>
      <c r="F1233" s="18"/>
      <c r="G1233" s="19">
        <v>713</v>
      </c>
      <c r="H1233" s="17" t="s">
        <v>215</v>
      </c>
      <c r="I1233" s="15"/>
      <c r="J1233" s="15"/>
      <c r="K1233" s="354"/>
      <c r="L1233" s="20">
        <f>L1234+L1235</f>
        <v>20782</v>
      </c>
      <c r="M1233" s="20">
        <f>M1234+M1235</f>
        <v>0</v>
      </c>
      <c r="N1233" s="354">
        <f>M1233/L1233*100</f>
        <v>0</v>
      </c>
      <c r="O1233" s="21">
        <f t="shared" si="168"/>
        <v>20782</v>
      </c>
      <c r="P1233" s="21">
        <f t="shared" si="167"/>
        <v>0</v>
      </c>
      <c r="Q1233" s="354">
        <f t="shared" si="169"/>
        <v>0</v>
      </c>
    </row>
    <row r="1234" spans="2:17" x14ac:dyDescent="0.2">
      <c r="B1234" s="6">
        <f t="shared" si="170"/>
        <v>741</v>
      </c>
      <c r="C1234" s="12"/>
      <c r="D1234" s="12"/>
      <c r="E1234" s="12"/>
      <c r="F1234" s="99"/>
      <c r="G1234" s="23"/>
      <c r="H1234" s="1" t="s">
        <v>670</v>
      </c>
      <c r="I1234" s="15"/>
      <c r="J1234" s="15"/>
      <c r="K1234" s="354"/>
      <c r="L1234" s="24">
        <v>7282</v>
      </c>
      <c r="M1234" s="24">
        <v>0</v>
      </c>
      <c r="N1234" s="354">
        <f>M1234/L1234*100</f>
        <v>0</v>
      </c>
      <c r="O1234" s="26">
        <f t="shared" si="168"/>
        <v>7282</v>
      </c>
      <c r="P1234" s="26">
        <f t="shared" si="167"/>
        <v>0</v>
      </c>
      <c r="Q1234" s="354">
        <f t="shared" si="169"/>
        <v>0</v>
      </c>
    </row>
    <row r="1235" spans="2:17" x14ac:dyDescent="0.2">
      <c r="B1235" s="6"/>
      <c r="C1235" s="12"/>
      <c r="D1235" s="12"/>
      <c r="E1235" s="12"/>
      <c r="F1235" s="99"/>
      <c r="G1235" s="23"/>
      <c r="H1235" s="1" t="s">
        <v>703</v>
      </c>
      <c r="I1235" s="15"/>
      <c r="J1235" s="15"/>
      <c r="K1235" s="354"/>
      <c r="L1235" s="24">
        <v>13500</v>
      </c>
      <c r="M1235" s="24">
        <v>0</v>
      </c>
      <c r="N1235" s="354">
        <f>M1235/L1235*100</f>
        <v>0</v>
      </c>
      <c r="O1235" s="26">
        <f t="shared" si="168"/>
        <v>13500</v>
      </c>
      <c r="P1235" s="26">
        <f t="shared" si="167"/>
        <v>0</v>
      </c>
      <c r="Q1235" s="354">
        <f t="shared" si="169"/>
        <v>0</v>
      </c>
    </row>
    <row r="1236" spans="2:17" ht="15" x14ac:dyDescent="0.25">
      <c r="B1236" s="6">
        <f>B1234+1</f>
        <v>742</v>
      </c>
      <c r="C1236" s="95"/>
      <c r="D1236" s="95"/>
      <c r="E1236" s="95">
        <v>8</v>
      </c>
      <c r="F1236" s="96"/>
      <c r="G1236" s="96"/>
      <c r="H1236" s="95" t="s">
        <v>6</v>
      </c>
      <c r="I1236" s="97">
        <v>0</v>
      </c>
      <c r="J1236" s="97">
        <v>0</v>
      </c>
      <c r="K1236" s="354"/>
      <c r="L1236" s="97"/>
      <c r="M1236" s="97"/>
      <c r="N1236" s="354"/>
      <c r="O1236" s="98">
        <f t="shared" si="168"/>
        <v>0</v>
      </c>
      <c r="P1236" s="98">
        <f t="shared" si="167"/>
        <v>0</v>
      </c>
      <c r="Q1236" s="354"/>
    </row>
    <row r="1237" spans="2:17" ht="15" x14ac:dyDescent="0.25">
      <c r="B1237" s="6">
        <f t="shared" ref="B1237:B1268" si="172">B1236+1</f>
        <v>743</v>
      </c>
      <c r="C1237" s="95"/>
      <c r="D1237" s="95"/>
      <c r="E1237" s="95">
        <v>9</v>
      </c>
      <c r="F1237" s="96"/>
      <c r="G1237" s="96"/>
      <c r="H1237" s="95" t="s">
        <v>4</v>
      </c>
      <c r="I1237" s="97">
        <f>I1238+I1239+I1240+I1245+I1246+I1247+I1248+I1253</f>
        <v>460430</v>
      </c>
      <c r="J1237" s="97">
        <f>J1238+J1239+J1240+J1245+J1246+J1247+J1248+J1253</f>
        <v>211615</v>
      </c>
      <c r="K1237" s="354">
        <f t="shared" ref="K1237:K1272" si="173">J1237/I1237*100</f>
        <v>45.960297982320874</v>
      </c>
      <c r="L1237" s="97"/>
      <c r="M1237" s="97"/>
      <c r="N1237" s="354"/>
      <c r="O1237" s="98">
        <f t="shared" si="168"/>
        <v>460430</v>
      </c>
      <c r="P1237" s="98">
        <f t="shared" si="167"/>
        <v>211615</v>
      </c>
      <c r="Q1237" s="354">
        <f t="shared" ref="Q1237:Q1268" si="174">P1237/O1237*100</f>
        <v>45.960297982320874</v>
      </c>
    </row>
    <row r="1238" spans="2:17" x14ac:dyDescent="0.2">
      <c r="B1238" s="6">
        <f t="shared" si="172"/>
        <v>744</v>
      </c>
      <c r="C1238" s="12"/>
      <c r="D1238" s="12"/>
      <c r="E1238" s="12"/>
      <c r="F1238" s="13" t="s">
        <v>79</v>
      </c>
      <c r="G1238" s="14">
        <v>610</v>
      </c>
      <c r="H1238" s="12" t="s">
        <v>128</v>
      </c>
      <c r="I1238" s="15">
        <v>52000</v>
      </c>
      <c r="J1238" s="15">
        <v>27076</v>
      </c>
      <c r="K1238" s="354">
        <f t="shared" si="173"/>
        <v>52.069230769230771</v>
      </c>
      <c r="L1238" s="15"/>
      <c r="M1238" s="15"/>
      <c r="N1238" s="354"/>
      <c r="O1238" s="16">
        <f t="shared" si="168"/>
        <v>52000</v>
      </c>
      <c r="P1238" s="16">
        <f t="shared" si="167"/>
        <v>27076</v>
      </c>
      <c r="Q1238" s="354">
        <f t="shared" si="174"/>
        <v>52.069230769230771</v>
      </c>
    </row>
    <row r="1239" spans="2:17" x14ac:dyDescent="0.2">
      <c r="B1239" s="6">
        <f t="shared" si="172"/>
        <v>745</v>
      </c>
      <c r="C1239" s="12"/>
      <c r="D1239" s="12"/>
      <c r="E1239" s="12"/>
      <c r="F1239" s="13" t="s">
        <v>79</v>
      </c>
      <c r="G1239" s="14">
        <v>620</v>
      </c>
      <c r="H1239" s="12" t="s">
        <v>121</v>
      </c>
      <c r="I1239" s="15">
        <f>18980+923</f>
        <v>19903</v>
      </c>
      <c r="J1239" s="15">
        <v>10380</v>
      </c>
      <c r="K1239" s="354">
        <f t="shared" si="173"/>
        <v>52.152941767572727</v>
      </c>
      <c r="L1239" s="15"/>
      <c r="M1239" s="15"/>
      <c r="N1239" s="354"/>
      <c r="O1239" s="16">
        <f t="shared" si="168"/>
        <v>19903</v>
      </c>
      <c r="P1239" s="16">
        <f t="shared" si="167"/>
        <v>10380</v>
      </c>
      <c r="Q1239" s="354">
        <f t="shared" si="174"/>
        <v>52.152941767572727</v>
      </c>
    </row>
    <row r="1240" spans="2:17" x14ac:dyDescent="0.2">
      <c r="B1240" s="6">
        <f t="shared" si="172"/>
        <v>746</v>
      </c>
      <c r="C1240" s="12"/>
      <c r="D1240" s="12"/>
      <c r="E1240" s="12"/>
      <c r="F1240" s="13" t="s">
        <v>79</v>
      </c>
      <c r="G1240" s="14">
        <v>630</v>
      </c>
      <c r="H1240" s="12" t="s">
        <v>118</v>
      </c>
      <c r="I1240" s="15">
        <f>SUM(I1241:I1244)</f>
        <v>152754</v>
      </c>
      <c r="J1240" s="15">
        <f>SUM(J1241:J1244)</f>
        <v>62303</v>
      </c>
      <c r="K1240" s="354">
        <f t="shared" si="173"/>
        <v>40.786493316050645</v>
      </c>
      <c r="L1240" s="15"/>
      <c r="M1240" s="15"/>
      <c r="N1240" s="354"/>
      <c r="O1240" s="16">
        <f t="shared" si="168"/>
        <v>152754</v>
      </c>
      <c r="P1240" s="16">
        <f t="shared" si="167"/>
        <v>62303</v>
      </c>
      <c r="Q1240" s="354">
        <f t="shared" si="174"/>
        <v>40.786493316050645</v>
      </c>
    </row>
    <row r="1241" spans="2:17" x14ac:dyDescent="0.2">
      <c r="B1241" s="6">
        <f t="shared" si="172"/>
        <v>747</v>
      </c>
      <c r="C1241" s="17"/>
      <c r="D1241" s="17"/>
      <c r="E1241" s="17"/>
      <c r="F1241" s="18"/>
      <c r="G1241" s="19">
        <v>632</v>
      </c>
      <c r="H1241" s="17" t="s">
        <v>131</v>
      </c>
      <c r="I1241" s="20">
        <v>15200</v>
      </c>
      <c r="J1241" s="20">
        <v>6958</v>
      </c>
      <c r="K1241" s="354">
        <f t="shared" si="173"/>
        <v>45.776315789473685</v>
      </c>
      <c r="L1241" s="20"/>
      <c r="M1241" s="20"/>
      <c r="N1241" s="354"/>
      <c r="O1241" s="21">
        <f t="shared" si="168"/>
        <v>15200</v>
      </c>
      <c r="P1241" s="21">
        <f t="shared" si="167"/>
        <v>6958</v>
      </c>
      <c r="Q1241" s="354">
        <f t="shared" si="174"/>
        <v>45.776315789473685</v>
      </c>
    </row>
    <row r="1242" spans="2:17" x14ac:dyDescent="0.2">
      <c r="B1242" s="6">
        <f t="shared" si="172"/>
        <v>748</v>
      </c>
      <c r="C1242" s="17"/>
      <c r="D1242" s="17"/>
      <c r="E1242" s="17"/>
      <c r="F1242" s="18"/>
      <c r="G1242" s="19">
        <v>633</v>
      </c>
      <c r="H1242" s="17" t="s">
        <v>122</v>
      </c>
      <c r="I1242" s="20">
        <v>123054</v>
      </c>
      <c r="J1242" s="20">
        <v>52482</v>
      </c>
      <c r="K1242" s="354">
        <f t="shared" si="173"/>
        <v>42.649568482129794</v>
      </c>
      <c r="L1242" s="20"/>
      <c r="M1242" s="20"/>
      <c r="N1242" s="354"/>
      <c r="O1242" s="21">
        <f t="shared" si="168"/>
        <v>123054</v>
      </c>
      <c r="P1242" s="21">
        <f t="shared" si="167"/>
        <v>52482</v>
      </c>
      <c r="Q1242" s="354">
        <f t="shared" si="174"/>
        <v>42.649568482129794</v>
      </c>
    </row>
    <row r="1243" spans="2:17" x14ac:dyDescent="0.2">
      <c r="B1243" s="6">
        <f t="shared" si="172"/>
        <v>749</v>
      </c>
      <c r="C1243" s="17"/>
      <c r="D1243" s="17"/>
      <c r="E1243" s="17"/>
      <c r="F1243" s="18"/>
      <c r="G1243" s="19">
        <v>635</v>
      </c>
      <c r="H1243" s="17" t="s">
        <v>130</v>
      </c>
      <c r="I1243" s="20">
        <v>6000</v>
      </c>
      <c r="J1243" s="20">
        <v>398</v>
      </c>
      <c r="K1243" s="354">
        <f t="shared" si="173"/>
        <v>6.6333333333333329</v>
      </c>
      <c r="L1243" s="20"/>
      <c r="M1243" s="20"/>
      <c r="N1243" s="354"/>
      <c r="O1243" s="21">
        <f t="shared" si="168"/>
        <v>6000</v>
      </c>
      <c r="P1243" s="21">
        <f t="shared" si="167"/>
        <v>398</v>
      </c>
      <c r="Q1243" s="354">
        <f t="shared" si="174"/>
        <v>6.6333333333333329</v>
      </c>
    </row>
    <row r="1244" spans="2:17" x14ac:dyDescent="0.2">
      <c r="B1244" s="6">
        <f t="shared" si="172"/>
        <v>750</v>
      </c>
      <c r="C1244" s="17"/>
      <c r="D1244" s="17"/>
      <c r="E1244" s="17"/>
      <c r="F1244" s="18"/>
      <c r="G1244" s="19">
        <v>637</v>
      </c>
      <c r="H1244" s="17" t="s">
        <v>119</v>
      </c>
      <c r="I1244" s="20">
        <v>8500</v>
      </c>
      <c r="J1244" s="20">
        <v>2465</v>
      </c>
      <c r="K1244" s="354">
        <f t="shared" si="173"/>
        <v>28.999999999999996</v>
      </c>
      <c r="L1244" s="20"/>
      <c r="M1244" s="20"/>
      <c r="N1244" s="354"/>
      <c r="O1244" s="21">
        <f t="shared" si="168"/>
        <v>8500</v>
      </c>
      <c r="P1244" s="21">
        <f t="shared" si="167"/>
        <v>2465</v>
      </c>
      <c r="Q1244" s="354">
        <f t="shared" si="174"/>
        <v>28.999999999999996</v>
      </c>
    </row>
    <row r="1245" spans="2:17" x14ac:dyDescent="0.2">
      <c r="B1245" s="6">
        <f t="shared" si="172"/>
        <v>751</v>
      </c>
      <c r="C1245" s="12"/>
      <c r="D1245" s="12"/>
      <c r="E1245" s="12"/>
      <c r="F1245" s="13" t="s">
        <v>79</v>
      </c>
      <c r="G1245" s="14">
        <v>640</v>
      </c>
      <c r="H1245" s="12" t="s">
        <v>126</v>
      </c>
      <c r="I1245" s="15">
        <f>500+332</f>
        <v>832</v>
      </c>
      <c r="J1245" s="15">
        <v>936</v>
      </c>
      <c r="K1245" s="354">
        <f t="shared" si="173"/>
        <v>112.5</v>
      </c>
      <c r="L1245" s="15"/>
      <c r="M1245" s="15"/>
      <c r="N1245" s="354"/>
      <c r="O1245" s="16">
        <f t="shared" si="168"/>
        <v>832</v>
      </c>
      <c r="P1245" s="16">
        <f t="shared" si="167"/>
        <v>936</v>
      </c>
      <c r="Q1245" s="354">
        <f t="shared" si="174"/>
        <v>112.5</v>
      </c>
    </row>
    <row r="1246" spans="2:17" x14ac:dyDescent="0.2">
      <c r="B1246" s="6">
        <f t="shared" si="172"/>
        <v>752</v>
      </c>
      <c r="C1246" s="12"/>
      <c r="D1246" s="12"/>
      <c r="E1246" s="12"/>
      <c r="F1246" s="13" t="s">
        <v>49</v>
      </c>
      <c r="G1246" s="14">
        <v>610</v>
      </c>
      <c r="H1246" s="12" t="s">
        <v>128</v>
      </c>
      <c r="I1246" s="15">
        <v>52000</v>
      </c>
      <c r="J1246" s="15">
        <v>33476</v>
      </c>
      <c r="K1246" s="354">
        <f t="shared" si="173"/>
        <v>64.376923076923077</v>
      </c>
      <c r="L1246" s="15"/>
      <c r="M1246" s="15"/>
      <c r="N1246" s="354"/>
      <c r="O1246" s="16">
        <f t="shared" si="168"/>
        <v>52000</v>
      </c>
      <c r="P1246" s="16">
        <f t="shared" si="167"/>
        <v>33476</v>
      </c>
      <c r="Q1246" s="354">
        <f t="shared" si="174"/>
        <v>64.376923076923077</v>
      </c>
    </row>
    <row r="1247" spans="2:17" x14ac:dyDescent="0.2">
      <c r="B1247" s="6">
        <f t="shared" si="172"/>
        <v>753</v>
      </c>
      <c r="C1247" s="12"/>
      <c r="D1247" s="12"/>
      <c r="E1247" s="12"/>
      <c r="F1247" s="13" t="s">
        <v>49</v>
      </c>
      <c r="G1247" s="14">
        <v>620</v>
      </c>
      <c r="H1247" s="12" t="s">
        <v>121</v>
      </c>
      <c r="I1247" s="15">
        <f>18980+924</f>
        <v>19904</v>
      </c>
      <c r="J1247" s="15">
        <v>12681</v>
      </c>
      <c r="K1247" s="354">
        <f t="shared" si="173"/>
        <v>63.710811897106112</v>
      </c>
      <c r="L1247" s="15"/>
      <c r="M1247" s="15"/>
      <c r="N1247" s="354"/>
      <c r="O1247" s="16">
        <f t="shared" si="168"/>
        <v>19904</v>
      </c>
      <c r="P1247" s="16">
        <f t="shared" si="167"/>
        <v>12681</v>
      </c>
      <c r="Q1247" s="354">
        <f t="shared" si="174"/>
        <v>63.710811897106112</v>
      </c>
    </row>
    <row r="1248" spans="2:17" x14ac:dyDescent="0.2">
      <c r="B1248" s="6">
        <f t="shared" si="172"/>
        <v>754</v>
      </c>
      <c r="C1248" s="12"/>
      <c r="D1248" s="12"/>
      <c r="E1248" s="12"/>
      <c r="F1248" s="13" t="s">
        <v>49</v>
      </c>
      <c r="G1248" s="14">
        <v>630</v>
      </c>
      <c r="H1248" s="12" t="s">
        <v>118</v>
      </c>
      <c r="I1248" s="15">
        <f>SUM(I1249:I1252)</f>
        <v>160617</v>
      </c>
      <c r="J1248" s="15">
        <f>SUM(J1249:J1252)</f>
        <v>63169</v>
      </c>
      <c r="K1248" s="354">
        <f t="shared" si="173"/>
        <v>39.328962687635801</v>
      </c>
      <c r="L1248" s="15"/>
      <c r="M1248" s="15"/>
      <c r="N1248" s="354"/>
      <c r="O1248" s="16">
        <f t="shared" si="168"/>
        <v>160617</v>
      </c>
      <c r="P1248" s="16">
        <f t="shared" si="167"/>
        <v>63169</v>
      </c>
      <c r="Q1248" s="354">
        <f t="shared" si="174"/>
        <v>39.328962687635801</v>
      </c>
    </row>
    <row r="1249" spans="2:17" x14ac:dyDescent="0.2">
      <c r="B1249" s="6">
        <f t="shared" si="172"/>
        <v>755</v>
      </c>
      <c r="C1249" s="17"/>
      <c r="D1249" s="17"/>
      <c r="E1249" s="17"/>
      <c r="F1249" s="18"/>
      <c r="G1249" s="19">
        <v>632</v>
      </c>
      <c r="H1249" s="17" t="s">
        <v>131</v>
      </c>
      <c r="I1249" s="20">
        <v>15200</v>
      </c>
      <c r="J1249" s="20">
        <v>6958</v>
      </c>
      <c r="K1249" s="354">
        <f t="shared" si="173"/>
        <v>45.776315789473685</v>
      </c>
      <c r="L1249" s="20"/>
      <c r="M1249" s="20"/>
      <c r="N1249" s="354"/>
      <c r="O1249" s="21">
        <f t="shared" si="168"/>
        <v>15200</v>
      </c>
      <c r="P1249" s="21">
        <f t="shared" si="167"/>
        <v>6958</v>
      </c>
      <c r="Q1249" s="354">
        <f t="shared" si="174"/>
        <v>45.776315789473685</v>
      </c>
    </row>
    <row r="1250" spans="2:17" x14ac:dyDescent="0.2">
      <c r="B1250" s="6">
        <f t="shared" si="172"/>
        <v>756</v>
      </c>
      <c r="C1250" s="17"/>
      <c r="D1250" s="17"/>
      <c r="E1250" s="17"/>
      <c r="F1250" s="18"/>
      <c r="G1250" s="19">
        <v>633</v>
      </c>
      <c r="H1250" s="17" t="s">
        <v>122</v>
      </c>
      <c r="I1250" s="20">
        <v>130917</v>
      </c>
      <c r="J1250" s="20">
        <v>53348</v>
      </c>
      <c r="K1250" s="354">
        <f t="shared" si="173"/>
        <v>40.749482496543607</v>
      </c>
      <c r="L1250" s="20"/>
      <c r="M1250" s="20"/>
      <c r="N1250" s="354"/>
      <c r="O1250" s="21">
        <f t="shared" si="168"/>
        <v>130917</v>
      </c>
      <c r="P1250" s="21">
        <f t="shared" si="167"/>
        <v>53348</v>
      </c>
      <c r="Q1250" s="354">
        <f t="shared" si="174"/>
        <v>40.749482496543607</v>
      </c>
    </row>
    <row r="1251" spans="2:17" x14ac:dyDescent="0.2">
      <c r="B1251" s="6">
        <f t="shared" si="172"/>
        <v>757</v>
      </c>
      <c r="C1251" s="17"/>
      <c r="D1251" s="17"/>
      <c r="E1251" s="17"/>
      <c r="F1251" s="18"/>
      <c r="G1251" s="19">
        <v>635</v>
      </c>
      <c r="H1251" s="17" t="s">
        <v>130</v>
      </c>
      <c r="I1251" s="20">
        <v>6000</v>
      </c>
      <c r="J1251" s="20">
        <v>398</v>
      </c>
      <c r="K1251" s="354">
        <f t="shared" si="173"/>
        <v>6.6333333333333329</v>
      </c>
      <c r="L1251" s="20"/>
      <c r="M1251" s="20"/>
      <c r="N1251" s="354"/>
      <c r="O1251" s="21">
        <f t="shared" si="168"/>
        <v>6000</v>
      </c>
      <c r="P1251" s="21">
        <f t="shared" si="167"/>
        <v>398</v>
      </c>
      <c r="Q1251" s="354">
        <f t="shared" si="174"/>
        <v>6.6333333333333329</v>
      </c>
    </row>
    <row r="1252" spans="2:17" x14ac:dyDescent="0.2">
      <c r="B1252" s="6">
        <f t="shared" si="172"/>
        <v>758</v>
      </c>
      <c r="C1252" s="17"/>
      <c r="D1252" s="17"/>
      <c r="E1252" s="17"/>
      <c r="F1252" s="18"/>
      <c r="G1252" s="19">
        <v>637</v>
      </c>
      <c r="H1252" s="17" t="s">
        <v>119</v>
      </c>
      <c r="I1252" s="20">
        <v>8500</v>
      </c>
      <c r="J1252" s="20">
        <v>2465</v>
      </c>
      <c r="K1252" s="354">
        <f t="shared" si="173"/>
        <v>28.999999999999996</v>
      </c>
      <c r="L1252" s="20"/>
      <c r="M1252" s="20"/>
      <c r="N1252" s="354"/>
      <c r="O1252" s="21">
        <f t="shared" si="168"/>
        <v>8500</v>
      </c>
      <c r="P1252" s="21">
        <f t="shared" si="167"/>
        <v>2465</v>
      </c>
      <c r="Q1252" s="354">
        <f t="shared" si="174"/>
        <v>28.999999999999996</v>
      </c>
    </row>
    <row r="1253" spans="2:17" x14ac:dyDescent="0.2">
      <c r="B1253" s="6">
        <f t="shared" si="172"/>
        <v>759</v>
      </c>
      <c r="C1253" s="12"/>
      <c r="D1253" s="12"/>
      <c r="E1253" s="12"/>
      <c r="F1253" s="13" t="s">
        <v>49</v>
      </c>
      <c r="G1253" s="14">
        <v>640</v>
      </c>
      <c r="H1253" s="12" t="s">
        <v>126</v>
      </c>
      <c r="I1253" s="15">
        <f>2088+332</f>
        <v>2420</v>
      </c>
      <c r="J1253" s="15">
        <v>1594</v>
      </c>
      <c r="K1253" s="354">
        <f t="shared" si="173"/>
        <v>65.867768595041326</v>
      </c>
      <c r="L1253" s="15"/>
      <c r="M1253" s="15"/>
      <c r="N1253" s="354"/>
      <c r="O1253" s="16">
        <f t="shared" si="168"/>
        <v>2420</v>
      </c>
      <c r="P1253" s="16">
        <f t="shared" si="167"/>
        <v>1594</v>
      </c>
      <c r="Q1253" s="354">
        <f t="shared" si="174"/>
        <v>65.867768595041326</v>
      </c>
    </row>
    <row r="1254" spans="2:17" ht="15" x14ac:dyDescent="0.25">
      <c r="B1254" s="6">
        <f t="shared" si="172"/>
        <v>760</v>
      </c>
      <c r="C1254" s="95"/>
      <c r="D1254" s="95"/>
      <c r="E1254" s="95">
        <v>10</v>
      </c>
      <c r="F1254" s="96"/>
      <c r="G1254" s="96"/>
      <c r="H1254" s="95" t="s">
        <v>0</v>
      </c>
      <c r="I1254" s="97">
        <f>I1255+I1257+I1258+I1259+I1264+I1265+I1266+I1267+I1272</f>
        <v>494737</v>
      </c>
      <c r="J1254" s="97">
        <f>J1255+J1257+J1258+J1259+J1264+J1265+J1266+J1267+J1272</f>
        <v>207491</v>
      </c>
      <c r="K1254" s="354">
        <f t="shared" si="173"/>
        <v>41.939656827769092</v>
      </c>
      <c r="L1254" s="97">
        <f>L1273</f>
        <v>32700</v>
      </c>
      <c r="M1254" s="97">
        <f>M1273</f>
        <v>0</v>
      </c>
      <c r="N1254" s="354">
        <f>M1254/L1254*100</f>
        <v>0</v>
      </c>
      <c r="O1254" s="98">
        <f t="shared" si="168"/>
        <v>527437</v>
      </c>
      <c r="P1254" s="98">
        <f t="shared" si="167"/>
        <v>207491</v>
      </c>
      <c r="Q1254" s="354">
        <f t="shared" si="174"/>
        <v>39.339485094902329</v>
      </c>
    </row>
    <row r="1255" spans="2:17" x14ac:dyDescent="0.2">
      <c r="B1255" s="6">
        <f t="shared" si="172"/>
        <v>761</v>
      </c>
      <c r="C1255" s="12"/>
      <c r="D1255" s="12"/>
      <c r="E1255" s="12"/>
      <c r="F1255" s="13" t="s">
        <v>157</v>
      </c>
      <c r="G1255" s="14">
        <v>630</v>
      </c>
      <c r="H1255" s="12" t="s">
        <v>118</v>
      </c>
      <c r="I1255" s="15">
        <f>I1256</f>
        <v>77973</v>
      </c>
      <c r="J1255" s="15">
        <f>J1256</f>
        <v>24151</v>
      </c>
      <c r="K1255" s="354">
        <f t="shared" si="173"/>
        <v>30.973542123555593</v>
      </c>
      <c r="L1255" s="15"/>
      <c r="M1255" s="15"/>
      <c r="N1255" s="354"/>
      <c r="O1255" s="16">
        <f t="shared" si="168"/>
        <v>77973</v>
      </c>
      <c r="P1255" s="16">
        <f t="shared" si="167"/>
        <v>24151</v>
      </c>
      <c r="Q1255" s="354">
        <f t="shared" si="174"/>
        <v>30.973542123555593</v>
      </c>
    </row>
    <row r="1256" spans="2:17" x14ac:dyDescent="0.2">
      <c r="B1256" s="6">
        <f t="shared" si="172"/>
        <v>762</v>
      </c>
      <c r="C1256" s="17"/>
      <c r="D1256" s="17"/>
      <c r="E1256" s="17"/>
      <c r="F1256" s="18"/>
      <c r="G1256" s="19">
        <v>633</v>
      </c>
      <c r="H1256" s="17" t="s">
        <v>122</v>
      </c>
      <c r="I1256" s="20">
        <v>77973</v>
      </c>
      <c r="J1256" s="20">
        <v>24151</v>
      </c>
      <c r="K1256" s="354">
        <f t="shared" si="173"/>
        <v>30.973542123555593</v>
      </c>
      <c r="L1256" s="20"/>
      <c r="M1256" s="20"/>
      <c r="N1256" s="354"/>
      <c r="O1256" s="21">
        <f t="shared" si="168"/>
        <v>77973</v>
      </c>
      <c r="P1256" s="21">
        <f t="shared" si="167"/>
        <v>24151</v>
      </c>
      <c r="Q1256" s="354">
        <f t="shared" si="174"/>
        <v>30.973542123555593</v>
      </c>
    </row>
    <row r="1257" spans="2:17" x14ac:dyDescent="0.2">
      <c r="B1257" s="6">
        <f t="shared" si="172"/>
        <v>763</v>
      </c>
      <c r="C1257" s="12"/>
      <c r="D1257" s="12"/>
      <c r="E1257" s="12"/>
      <c r="F1257" s="13" t="s">
        <v>79</v>
      </c>
      <c r="G1257" s="14">
        <v>610</v>
      </c>
      <c r="H1257" s="12" t="s">
        <v>128</v>
      </c>
      <c r="I1257" s="15">
        <f>54656+3600</f>
        <v>58256</v>
      </c>
      <c r="J1257" s="15">
        <v>25471</v>
      </c>
      <c r="K1257" s="354">
        <f t="shared" si="173"/>
        <v>43.722535017852238</v>
      </c>
      <c r="L1257" s="15"/>
      <c r="M1257" s="15"/>
      <c r="N1257" s="354"/>
      <c r="O1257" s="16">
        <f t="shared" si="168"/>
        <v>58256</v>
      </c>
      <c r="P1257" s="16">
        <f t="shared" si="167"/>
        <v>25471</v>
      </c>
      <c r="Q1257" s="354">
        <f t="shared" si="174"/>
        <v>43.722535017852238</v>
      </c>
    </row>
    <row r="1258" spans="2:17" x14ac:dyDescent="0.2">
      <c r="B1258" s="6">
        <f t="shared" si="172"/>
        <v>764</v>
      </c>
      <c r="C1258" s="12"/>
      <c r="D1258" s="12"/>
      <c r="E1258" s="12"/>
      <c r="F1258" s="13" t="s">
        <v>79</v>
      </c>
      <c r="G1258" s="14">
        <v>620</v>
      </c>
      <c r="H1258" s="12" t="s">
        <v>121</v>
      </c>
      <c r="I1258" s="15">
        <f>19650+1295</f>
        <v>20945</v>
      </c>
      <c r="J1258" s="15">
        <v>9156</v>
      </c>
      <c r="K1258" s="354">
        <f t="shared" si="173"/>
        <v>43.714490331821438</v>
      </c>
      <c r="L1258" s="15"/>
      <c r="M1258" s="15"/>
      <c r="N1258" s="354"/>
      <c r="O1258" s="16">
        <f t="shared" si="168"/>
        <v>20945</v>
      </c>
      <c r="P1258" s="16">
        <f t="shared" ref="P1258:P1316" si="175">J1258+M1258</f>
        <v>9156</v>
      </c>
      <c r="Q1258" s="354">
        <f t="shared" si="174"/>
        <v>43.714490331821438</v>
      </c>
    </row>
    <row r="1259" spans="2:17" x14ac:dyDescent="0.2">
      <c r="B1259" s="6">
        <f t="shared" si="172"/>
        <v>765</v>
      </c>
      <c r="C1259" s="12"/>
      <c r="D1259" s="12"/>
      <c r="E1259" s="12"/>
      <c r="F1259" s="13" t="s">
        <v>79</v>
      </c>
      <c r="G1259" s="14">
        <v>630</v>
      </c>
      <c r="H1259" s="12" t="s">
        <v>118</v>
      </c>
      <c r="I1259" s="15">
        <f>SUM(I1260:I1263)</f>
        <v>107677</v>
      </c>
      <c r="J1259" s="15">
        <f>SUM(J1260:J1263)</f>
        <v>43479</v>
      </c>
      <c r="K1259" s="354">
        <f t="shared" si="173"/>
        <v>40.379096743037046</v>
      </c>
      <c r="L1259" s="15"/>
      <c r="M1259" s="15"/>
      <c r="N1259" s="354"/>
      <c r="O1259" s="16">
        <f t="shared" ref="O1259:O1316" si="176">I1259+L1259</f>
        <v>107677</v>
      </c>
      <c r="P1259" s="16">
        <f t="shared" si="175"/>
        <v>43479</v>
      </c>
      <c r="Q1259" s="354">
        <f t="shared" si="174"/>
        <v>40.379096743037046</v>
      </c>
    </row>
    <row r="1260" spans="2:17" x14ac:dyDescent="0.2">
      <c r="B1260" s="6">
        <f t="shared" si="172"/>
        <v>766</v>
      </c>
      <c r="C1260" s="17"/>
      <c r="D1260" s="17"/>
      <c r="E1260" s="17"/>
      <c r="F1260" s="18"/>
      <c r="G1260" s="19">
        <v>632</v>
      </c>
      <c r="H1260" s="17" t="s">
        <v>131</v>
      </c>
      <c r="I1260" s="20">
        <v>16250</v>
      </c>
      <c r="J1260" s="20">
        <v>10734</v>
      </c>
      <c r="K1260" s="354">
        <f t="shared" si="173"/>
        <v>66.055384615384611</v>
      </c>
      <c r="L1260" s="20"/>
      <c r="M1260" s="20"/>
      <c r="N1260" s="354"/>
      <c r="O1260" s="21">
        <f t="shared" si="176"/>
        <v>16250</v>
      </c>
      <c r="P1260" s="21">
        <f t="shared" si="175"/>
        <v>10734</v>
      </c>
      <c r="Q1260" s="354">
        <f t="shared" si="174"/>
        <v>66.055384615384611</v>
      </c>
    </row>
    <row r="1261" spans="2:17" x14ac:dyDescent="0.2">
      <c r="B1261" s="6">
        <f t="shared" si="172"/>
        <v>767</v>
      </c>
      <c r="C1261" s="17"/>
      <c r="D1261" s="17"/>
      <c r="E1261" s="17"/>
      <c r="F1261" s="18"/>
      <c r="G1261" s="19">
        <v>633</v>
      </c>
      <c r="H1261" s="17" t="s">
        <v>122</v>
      </c>
      <c r="I1261" s="20">
        <f>78024-2447</f>
        <v>75577</v>
      </c>
      <c r="J1261" s="20">
        <v>30764</v>
      </c>
      <c r="K1261" s="354">
        <f t="shared" si="173"/>
        <v>40.705505643251257</v>
      </c>
      <c r="L1261" s="20"/>
      <c r="M1261" s="20"/>
      <c r="N1261" s="354"/>
      <c r="O1261" s="21">
        <f t="shared" si="176"/>
        <v>75577</v>
      </c>
      <c r="P1261" s="21">
        <f t="shared" si="175"/>
        <v>30764</v>
      </c>
      <c r="Q1261" s="354">
        <f t="shared" si="174"/>
        <v>40.705505643251257</v>
      </c>
    </row>
    <row r="1262" spans="2:17" x14ac:dyDescent="0.2">
      <c r="B1262" s="6">
        <f t="shared" si="172"/>
        <v>768</v>
      </c>
      <c r="C1262" s="17"/>
      <c r="D1262" s="17"/>
      <c r="E1262" s="17"/>
      <c r="F1262" s="18"/>
      <c r="G1262" s="19">
        <v>635</v>
      </c>
      <c r="H1262" s="17" t="s">
        <v>130</v>
      </c>
      <c r="I1262" s="20">
        <v>7000</v>
      </c>
      <c r="J1262" s="20">
        <v>158</v>
      </c>
      <c r="K1262" s="354">
        <f t="shared" si="173"/>
        <v>2.2571428571428571</v>
      </c>
      <c r="L1262" s="20"/>
      <c r="M1262" s="20"/>
      <c r="N1262" s="354"/>
      <c r="O1262" s="21">
        <f t="shared" si="176"/>
        <v>7000</v>
      </c>
      <c r="P1262" s="21">
        <f t="shared" si="175"/>
        <v>158</v>
      </c>
      <c r="Q1262" s="354">
        <f t="shared" si="174"/>
        <v>2.2571428571428571</v>
      </c>
    </row>
    <row r="1263" spans="2:17" x14ac:dyDescent="0.2">
      <c r="B1263" s="6">
        <f t="shared" si="172"/>
        <v>769</v>
      </c>
      <c r="C1263" s="17"/>
      <c r="D1263" s="17"/>
      <c r="E1263" s="17"/>
      <c r="F1263" s="18"/>
      <c r="G1263" s="19">
        <v>637</v>
      </c>
      <c r="H1263" s="17" t="s">
        <v>119</v>
      </c>
      <c r="I1263" s="20">
        <v>8850</v>
      </c>
      <c r="J1263" s="20">
        <v>1823</v>
      </c>
      <c r="K1263" s="354">
        <f t="shared" si="173"/>
        <v>20.598870056497177</v>
      </c>
      <c r="L1263" s="20"/>
      <c r="M1263" s="20"/>
      <c r="N1263" s="354"/>
      <c r="O1263" s="21">
        <f t="shared" si="176"/>
        <v>8850</v>
      </c>
      <c r="P1263" s="21">
        <f t="shared" si="175"/>
        <v>1823</v>
      </c>
      <c r="Q1263" s="354">
        <f t="shared" si="174"/>
        <v>20.598870056497177</v>
      </c>
    </row>
    <row r="1264" spans="2:17" x14ac:dyDescent="0.2">
      <c r="B1264" s="6">
        <f t="shared" si="172"/>
        <v>770</v>
      </c>
      <c r="C1264" s="12"/>
      <c r="D1264" s="12"/>
      <c r="E1264" s="12"/>
      <c r="F1264" s="13" t="s">
        <v>79</v>
      </c>
      <c r="G1264" s="14">
        <v>640</v>
      </c>
      <c r="H1264" s="12" t="s">
        <v>126</v>
      </c>
      <c r="I1264" s="15">
        <v>500</v>
      </c>
      <c r="J1264" s="15">
        <v>375</v>
      </c>
      <c r="K1264" s="354">
        <f t="shared" si="173"/>
        <v>75</v>
      </c>
      <c r="L1264" s="15"/>
      <c r="M1264" s="15"/>
      <c r="N1264" s="354"/>
      <c r="O1264" s="16">
        <f t="shared" si="176"/>
        <v>500</v>
      </c>
      <c r="P1264" s="16">
        <f t="shared" si="175"/>
        <v>375</v>
      </c>
      <c r="Q1264" s="354">
        <f t="shared" si="174"/>
        <v>75</v>
      </c>
    </row>
    <row r="1265" spans="2:17" x14ac:dyDescent="0.2">
      <c r="B1265" s="6">
        <f t="shared" si="172"/>
        <v>771</v>
      </c>
      <c r="C1265" s="12"/>
      <c r="D1265" s="12"/>
      <c r="E1265" s="12"/>
      <c r="F1265" s="13" t="s">
        <v>49</v>
      </c>
      <c r="G1265" s="14">
        <v>610</v>
      </c>
      <c r="H1265" s="12" t="s">
        <v>128</v>
      </c>
      <c r="I1265" s="15">
        <v>54485</v>
      </c>
      <c r="J1265" s="15">
        <v>22857</v>
      </c>
      <c r="K1265" s="354">
        <f t="shared" si="173"/>
        <v>41.950995686886301</v>
      </c>
      <c r="L1265" s="15"/>
      <c r="M1265" s="15"/>
      <c r="N1265" s="354"/>
      <c r="O1265" s="16">
        <f t="shared" si="176"/>
        <v>54485</v>
      </c>
      <c r="P1265" s="16">
        <f t="shared" si="175"/>
        <v>22857</v>
      </c>
      <c r="Q1265" s="354">
        <f t="shared" si="174"/>
        <v>41.950995686886301</v>
      </c>
    </row>
    <row r="1266" spans="2:17" x14ac:dyDescent="0.2">
      <c r="B1266" s="6">
        <f t="shared" si="172"/>
        <v>772</v>
      </c>
      <c r="C1266" s="12"/>
      <c r="D1266" s="12"/>
      <c r="E1266" s="12"/>
      <c r="F1266" s="13" t="s">
        <v>49</v>
      </c>
      <c r="G1266" s="14">
        <v>620</v>
      </c>
      <c r="H1266" s="12" t="s">
        <v>121</v>
      </c>
      <c r="I1266" s="15">
        <f>20544+110</f>
        <v>20654</v>
      </c>
      <c r="J1266" s="15">
        <v>7880</v>
      </c>
      <c r="K1266" s="354">
        <f t="shared" si="173"/>
        <v>38.152415996901325</v>
      </c>
      <c r="L1266" s="15"/>
      <c r="M1266" s="15"/>
      <c r="N1266" s="354"/>
      <c r="O1266" s="16">
        <f t="shared" si="176"/>
        <v>20654</v>
      </c>
      <c r="P1266" s="16">
        <f t="shared" si="175"/>
        <v>7880</v>
      </c>
      <c r="Q1266" s="354">
        <f t="shared" si="174"/>
        <v>38.152415996901325</v>
      </c>
    </row>
    <row r="1267" spans="2:17" x14ac:dyDescent="0.2">
      <c r="B1267" s="6">
        <f t="shared" si="172"/>
        <v>773</v>
      </c>
      <c r="C1267" s="12"/>
      <c r="D1267" s="12"/>
      <c r="E1267" s="12"/>
      <c r="F1267" s="13" t="s">
        <v>49</v>
      </c>
      <c r="G1267" s="14">
        <v>630</v>
      </c>
      <c r="H1267" s="12" t="s">
        <v>118</v>
      </c>
      <c r="I1267" s="15">
        <f>SUM(I1268:I1271)</f>
        <v>151087</v>
      </c>
      <c r="J1267" s="15">
        <f>SUM(J1268:J1271)</f>
        <v>73701</v>
      </c>
      <c r="K1267" s="354">
        <f t="shared" si="173"/>
        <v>48.78050394805642</v>
      </c>
      <c r="L1267" s="15"/>
      <c r="M1267" s="15"/>
      <c r="N1267" s="354"/>
      <c r="O1267" s="16">
        <f t="shared" si="176"/>
        <v>151087</v>
      </c>
      <c r="P1267" s="16">
        <f t="shared" si="175"/>
        <v>73701</v>
      </c>
      <c r="Q1267" s="354">
        <f t="shared" si="174"/>
        <v>48.78050394805642</v>
      </c>
    </row>
    <row r="1268" spans="2:17" x14ac:dyDescent="0.2">
      <c r="B1268" s="6">
        <f t="shared" si="172"/>
        <v>774</v>
      </c>
      <c r="C1268" s="17"/>
      <c r="D1268" s="17"/>
      <c r="E1268" s="17"/>
      <c r="F1268" s="18"/>
      <c r="G1268" s="19">
        <v>632</v>
      </c>
      <c r="H1268" s="17" t="s">
        <v>131</v>
      </c>
      <c r="I1268" s="20">
        <v>16260</v>
      </c>
      <c r="J1268" s="20">
        <v>10754</v>
      </c>
      <c r="K1268" s="354">
        <f t="shared" si="173"/>
        <v>66.137761377613785</v>
      </c>
      <c r="L1268" s="20"/>
      <c r="M1268" s="20"/>
      <c r="N1268" s="354"/>
      <c r="O1268" s="21">
        <f t="shared" si="176"/>
        <v>16260</v>
      </c>
      <c r="P1268" s="21">
        <f t="shared" si="175"/>
        <v>10754</v>
      </c>
      <c r="Q1268" s="354">
        <f t="shared" si="174"/>
        <v>66.137761377613785</v>
      </c>
    </row>
    <row r="1269" spans="2:17" x14ac:dyDescent="0.2">
      <c r="B1269" s="6">
        <f t="shared" ref="B1269:B1300" si="177">B1268+1</f>
        <v>775</v>
      </c>
      <c r="C1269" s="17"/>
      <c r="D1269" s="17"/>
      <c r="E1269" s="17"/>
      <c r="F1269" s="18"/>
      <c r="G1269" s="19">
        <v>633</v>
      </c>
      <c r="H1269" s="17" t="s">
        <v>122</v>
      </c>
      <c r="I1269" s="20">
        <f>121425-2448</f>
        <v>118977</v>
      </c>
      <c r="J1269" s="20">
        <v>58533</v>
      </c>
      <c r="K1269" s="354">
        <f t="shared" si="173"/>
        <v>49.196903603217429</v>
      </c>
      <c r="L1269" s="20"/>
      <c r="M1269" s="20"/>
      <c r="N1269" s="354"/>
      <c r="O1269" s="21">
        <f t="shared" si="176"/>
        <v>118977</v>
      </c>
      <c r="P1269" s="21">
        <f t="shared" si="175"/>
        <v>58533</v>
      </c>
      <c r="Q1269" s="354">
        <f t="shared" ref="Q1269:Q1300" si="178">P1269/O1269*100</f>
        <v>49.196903603217429</v>
      </c>
    </row>
    <row r="1270" spans="2:17" x14ac:dyDescent="0.2">
      <c r="B1270" s="6">
        <f t="shared" si="177"/>
        <v>776</v>
      </c>
      <c r="C1270" s="17"/>
      <c r="D1270" s="17"/>
      <c r="E1270" s="17"/>
      <c r="F1270" s="18"/>
      <c r="G1270" s="19">
        <v>635</v>
      </c>
      <c r="H1270" s="17" t="s">
        <v>130</v>
      </c>
      <c r="I1270" s="20">
        <v>7000</v>
      </c>
      <c r="J1270" s="20">
        <v>2448</v>
      </c>
      <c r="K1270" s="354">
        <f t="shared" si="173"/>
        <v>34.971428571428568</v>
      </c>
      <c r="L1270" s="20"/>
      <c r="M1270" s="20"/>
      <c r="N1270" s="354"/>
      <c r="O1270" s="21">
        <f t="shared" si="176"/>
        <v>7000</v>
      </c>
      <c r="P1270" s="21">
        <f t="shared" si="175"/>
        <v>2448</v>
      </c>
      <c r="Q1270" s="354">
        <f t="shared" si="178"/>
        <v>34.971428571428568</v>
      </c>
    </row>
    <row r="1271" spans="2:17" x14ac:dyDescent="0.2">
      <c r="B1271" s="6">
        <f t="shared" si="177"/>
        <v>777</v>
      </c>
      <c r="C1271" s="17"/>
      <c r="D1271" s="17"/>
      <c r="E1271" s="17"/>
      <c r="F1271" s="18"/>
      <c r="G1271" s="19">
        <v>637</v>
      </c>
      <c r="H1271" s="17" t="s">
        <v>119</v>
      </c>
      <c r="I1271" s="20">
        <v>8850</v>
      </c>
      <c r="J1271" s="20">
        <v>1966</v>
      </c>
      <c r="K1271" s="354">
        <f t="shared" si="173"/>
        <v>22.214689265536723</v>
      </c>
      <c r="L1271" s="20"/>
      <c r="M1271" s="20"/>
      <c r="N1271" s="354"/>
      <c r="O1271" s="21">
        <f t="shared" si="176"/>
        <v>8850</v>
      </c>
      <c r="P1271" s="21">
        <f t="shared" si="175"/>
        <v>1966</v>
      </c>
      <c r="Q1271" s="354">
        <f t="shared" si="178"/>
        <v>22.214689265536723</v>
      </c>
    </row>
    <row r="1272" spans="2:17" x14ac:dyDescent="0.2">
      <c r="B1272" s="6">
        <f t="shared" si="177"/>
        <v>778</v>
      </c>
      <c r="C1272" s="12"/>
      <c r="D1272" s="12"/>
      <c r="E1272" s="12"/>
      <c r="F1272" s="13" t="s">
        <v>49</v>
      </c>
      <c r="G1272" s="14">
        <v>640</v>
      </c>
      <c r="H1272" s="12" t="s">
        <v>126</v>
      </c>
      <c r="I1272" s="15">
        <v>3160</v>
      </c>
      <c r="J1272" s="15">
        <v>421</v>
      </c>
      <c r="K1272" s="354">
        <f t="shared" si="173"/>
        <v>13.322784810126581</v>
      </c>
      <c r="L1272" s="15"/>
      <c r="M1272" s="15"/>
      <c r="N1272" s="354"/>
      <c r="O1272" s="16">
        <f t="shared" si="176"/>
        <v>3160</v>
      </c>
      <c r="P1272" s="16">
        <f t="shared" si="175"/>
        <v>421</v>
      </c>
      <c r="Q1272" s="354">
        <f t="shared" si="178"/>
        <v>13.322784810126581</v>
      </c>
    </row>
    <row r="1273" spans="2:17" x14ac:dyDescent="0.2">
      <c r="B1273" s="6">
        <f t="shared" si="177"/>
        <v>779</v>
      </c>
      <c r="C1273" s="12"/>
      <c r="D1273" s="12"/>
      <c r="E1273" s="12"/>
      <c r="F1273" s="13" t="s">
        <v>49</v>
      </c>
      <c r="G1273" s="14">
        <v>710</v>
      </c>
      <c r="H1273" s="12" t="s">
        <v>172</v>
      </c>
      <c r="I1273" s="15"/>
      <c r="J1273" s="15"/>
      <c r="K1273" s="354"/>
      <c r="L1273" s="15">
        <f>L1274</f>
        <v>32700</v>
      </c>
      <c r="M1273" s="15">
        <f>M1274</f>
        <v>0</v>
      </c>
      <c r="N1273" s="354">
        <f>M1273/L1273*100</f>
        <v>0</v>
      </c>
      <c r="O1273" s="16">
        <f t="shared" si="176"/>
        <v>32700</v>
      </c>
      <c r="P1273" s="16">
        <f t="shared" si="175"/>
        <v>0</v>
      </c>
      <c r="Q1273" s="354">
        <f t="shared" si="178"/>
        <v>0</v>
      </c>
    </row>
    <row r="1274" spans="2:17" x14ac:dyDescent="0.2">
      <c r="B1274" s="6">
        <f t="shared" si="177"/>
        <v>780</v>
      </c>
      <c r="C1274" s="12"/>
      <c r="D1274" s="12"/>
      <c r="E1274" s="12"/>
      <c r="F1274" s="18"/>
      <c r="G1274" s="19">
        <v>713</v>
      </c>
      <c r="H1274" s="17" t="s">
        <v>215</v>
      </c>
      <c r="I1274" s="15"/>
      <c r="J1274" s="15"/>
      <c r="K1274" s="354"/>
      <c r="L1274" s="20">
        <f>L1275</f>
        <v>32700</v>
      </c>
      <c r="M1274" s="20">
        <f>M1275</f>
        <v>0</v>
      </c>
      <c r="N1274" s="354">
        <f>M1274/L1274*100</f>
        <v>0</v>
      </c>
      <c r="O1274" s="21">
        <f t="shared" si="176"/>
        <v>32700</v>
      </c>
      <c r="P1274" s="21">
        <f t="shared" si="175"/>
        <v>0</v>
      </c>
      <c r="Q1274" s="354">
        <f t="shared" si="178"/>
        <v>0</v>
      </c>
    </row>
    <row r="1275" spans="2:17" x14ac:dyDescent="0.2">
      <c r="B1275" s="6">
        <f t="shared" si="177"/>
        <v>781</v>
      </c>
      <c r="C1275" s="12"/>
      <c r="D1275" s="12"/>
      <c r="E1275" s="12"/>
      <c r="F1275" s="99"/>
      <c r="G1275" s="23"/>
      <c r="H1275" s="1" t="s">
        <v>666</v>
      </c>
      <c r="I1275" s="15"/>
      <c r="J1275" s="15"/>
      <c r="K1275" s="354"/>
      <c r="L1275" s="24">
        <v>32700</v>
      </c>
      <c r="M1275" s="24">
        <v>0</v>
      </c>
      <c r="N1275" s="354">
        <f>M1275/L1275*100</f>
        <v>0</v>
      </c>
      <c r="O1275" s="26">
        <f t="shared" si="176"/>
        <v>32700</v>
      </c>
      <c r="P1275" s="26">
        <f t="shared" si="175"/>
        <v>0</v>
      </c>
      <c r="Q1275" s="354">
        <f t="shared" si="178"/>
        <v>0</v>
      </c>
    </row>
    <row r="1276" spans="2:17" ht="15" x14ac:dyDescent="0.25">
      <c r="B1276" s="6">
        <f t="shared" si="177"/>
        <v>782</v>
      </c>
      <c r="C1276" s="95"/>
      <c r="D1276" s="95"/>
      <c r="E1276" s="95">
        <v>11</v>
      </c>
      <c r="F1276" s="96"/>
      <c r="G1276" s="96"/>
      <c r="H1276" s="95" t="s">
        <v>7</v>
      </c>
      <c r="I1276" s="97">
        <f>I1277+I1278+I1279+I1284+I1285+I1286+I1287+I1292</f>
        <v>599748</v>
      </c>
      <c r="J1276" s="97">
        <f>J1277+J1278+J1279+J1284+J1285+J1286+J1287+J1292</f>
        <v>323356</v>
      </c>
      <c r="K1276" s="354">
        <f t="shared" ref="K1276:K1316" si="179">J1276/I1276*100</f>
        <v>53.915311097327546</v>
      </c>
      <c r="L1276" s="97"/>
      <c r="M1276" s="97"/>
      <c r="N1276" s="354"/>
      <c r="O1276" s="98">
        <f t="shared" si="176"/>
        <v>599748</v>
      </c>
      <c r="P1276" s="98">
        <f t="shared" si="175"/>
        <v>323356</v>
      </c>
      <c r="Q1276" s="354">
        <f t="shared" si="178"/>
        <v>53.915311097327546</v>
      </c>
    </row>
    <row r="1277" spans="2:17" x14ac:dyDescent="0.2">
      <c r="B1277" s="6">
        <f t="shared" si="177"/>
        <v>783</v>
      </c>
      <c r="C1277" s="12"/>
      <c r="D1277" s="12"/>
      <c r="E1277" s="12"/>
      <c r="F1277" s="13" t="s">
        <v>79</v>
      </c>
      <c r="G1277" s="14">
        <v>610</v>
      </c>
      <c r="H1277" s="12" t="s">
        <v>128</v>
      </c>
      <c r="I1277" s="15">
        <v>77150</v>
      </c>
      <c r="J1277" s="15">
        <v>29425</v>
      </c>
      <c r="K1277" s="354">
        <f t="shared" si="179"/>
        <v>38.139987038237201</v>
      </c>
      <c r="L1277" s="15"/>
      <c r="M1277" s="15"/>
      <c r="N1277" s="354"/>
      <c r="O1277" s="16">
        <f t="shared" si="176"/>
        <v>77150</v>
      </c>
      <c r="P1277" s="16">
        <f t="shared" si="175"/>
        <v>29425</v>
      </c>
      <c r="Q1277" s="354">
        <f t="shared" si="178"/>
        <v>38.139987038237201</v>
      </c>
    </row>
    <row r="1278" spans="2:17" x14ac:dyDescent="0.2">
      <c r="B1278" s="6">
        <f t="shared" si="177"/>
        <v>784</v>
      </c>
      <c r="C1278" s="12"/>
      <c r="D1278" s="12"/>
      <c r="E1278" s="12"/>
      <c r="F1278" s="13" t="s">
        <v>79</v>
      </c>
      <c r="G1278" s="14">
        <v>620</v>
      </c>
      <c r="H1278" s="12" t="s">
        <v>121</v>
      </c>
      <c r="I1278" s="15">
        <v>30300</v>
      </c>
      <c r="J1278" s="15">
        <v>11972</v>
      </c>
      <c r="K1278" s="354">
        <f t="shared" si="179"/>
        <v>39.511551155115512</v>
      </c>
      <c r="L1278" s="15"/>
      <c r="M1278" s="15"/>
      <c r="N1278" s="354"/>
      <c r="O1278" s="16">
        <f t="shared" si="176"/>
        <v>30300</v>
      </c>
      <c r="P1278" s="16">
        <f t="shared" si="175"/>
        <v>11972</v>
      </c>
      <c r="Q1278" s="354">
        <f t="shared" si="178"/>
        <v>39.511551155115512</v>
      </c>
    </row>
    <row r="1279" spans="2:17" x14ac:dyDescent="0.2">
      <c r="B1279" s="6">
        <f t="shared" si="177"/>
        <v>785</v>
      </c>
      <c r="C1279" s="12"/>
      <c r="D1279" s="12"/>
      <c r="E1279" s="12"/>
      <c r="F1279" s="13" t="s">
        <v>79</v>
      </c>
      <c r="G1279" s="14">
        <v>630</v>
      </c>
      <c r="H1279" s="12" t="s">
        <v>118</v>
      </c>
      <c r="I1279" s="15">
        <f>SUM(I1280:I1283)</f>
        <v>36364</v>
      </c>
      <c r="J1279" s="15">
        <f>SUM(J1280:J1283)</f>
        <v>28722</v>
      </c>
      <c r="K1279" s="354">
        <f t="shared" si="179"/>
        <v>78.984710152898472</v>
      </c>
      <c r="L1279" s="15"/>
      <c r="M1279" s="15"/>
      <c r="N1279" s="354"/>
      <c r="O1279" s="16">
        <f t="shared" si="176"/>
        <v>36364</v>
      </c>
      <c r="P1279" s="16">
        <f t="shared" si="175"/>
        <v>28722</v>
      </c>
      <c r="Q1279" s="354">
        <f t="shared" si="178"/>
        <v>78.984710152898472</v>
      </c>
    </row>
    <row r="1280" spans="2:17" x14ac:dyDescent="0.2">
      <c r="B1280" s="6">
        <f t="shared" si="177"/>
        <v>786</v>
      </c>
      <c r="C1280" s="17"/>
      <c r="D1280" s="17"/>
      <c r="E1280" s="17"/>
      <c r="F1280" s="18"/>
      <c r="G1280" s="19">
        <v>632</v>
      </c>
      <c r="H1280" s="17" t="s">
        <v>131</v>
      </c>
      <c r="I1280" s="20">
        <v>17204</v>
      </c>
      <c r="J1280" s="20">
        <v>17143</v>
      </c>
      <c r="K1280" s="354">
        <f t="shared" si="179"/>
        <v>99.645431295047658</v>
      </c>
      <c r="L1280" s="20"/>
      <c r="M1280" s="20"/>
      <c r="N1280" s="354"/>
      <c r="O1280" s="21">
        <f t="shared" si="176"/>
        <v>17204</v>
      </c>
      <c r="P1280" s="21">
        <f t="shared" si="175"/>
        <v>17143</v>
      </c>
      <c r="Q1280" s="354">
        <f t="shared" si="178"/>
        <v>99.645431295047658</v>
      </c>
    </row>
    <row r="1281" spans="2:17" x14ac:dyDescent="0.2">
      <c r="B1281" s="6">
        <f t="shared" si="177"/>
        <v>787</v>
      </c>
      <c r="C1281" s="17"/>
      <c r="D1281" s="17"/>
      <c r="E1281" s="17"/>
      <c r="F1281" s="18"/>
      <c r="G1281" s="19">
        <v>633</v>
      </c>
      <c r="H1281" s="17" t="s">
        <v>122</v>
      </c>
      <c r="I1281" s="20">
        <v>9300</v>
      </c>
      <c r="J1281" s="20">
        <v>8093</v>
      </c>
      <c r="K1281" s="354">
        <f t="shared" si="179"/>
        <v>87.021505376344095</v>
      </c>
      <c r="L1281" s="20"/>
      <c r="M1281" s="20"/>
      <c r="N1281" s="354"/>
      <c r="O1281" s="21">
        <f t="shared" si="176"/>
        <v>9300</v>
      </c>
      <c r="P1281" s="21">
        <f t="shared" si="175"/>
        <v>8093</v>
      </c>
      <c r="Q1281" s="354">
        <f t="shared" si="178"/>
        <v>87.021505376344095</v>
      </c>
    </row>
    <row r="1282" spans="2:17" x14ac:dyDescent="0.2">
      <c r="B1282" s="6">
        <f t="shared" si="177"/>
        <v>788</v>
      </c>
      <c r="C1282" s="17"/>
      <c r="D1282" s="17"/>
      <c r="E1282" s="17"/>
      <c r="F1282" s="18"/>
      <c r="G1282" s="19">
        <v>635</v>
      </c>
      <c r="H1282" s="17" t="s">
        <v>130</v>
      </c>
      <c r="I1282" s="20">
        <v>2800</v>
      </c>
      <c r="J1282" s="20">
        <v>0</v>
      </c>
      <c r="K1282" s="354">
        <f t="shared" si="179"/>
        <v>0</v>
      </c>
      <c r="L1282" s="20"/>
      <c r="M1282" s="20"/>
      <c r="N1282" s="354"/>
      <c r="O1282" s="21">
        <f t="shared" si="176"/>
        <v>2800</v>
      </c>
      <c r="P1282" s="21">
        <f t="shared" si="175"/>
        <v>0</v>
      </c>
      <c r="Q1282" s="354">
        <f t="shared" si="178"/>
        <v>0</v>
      </c>
    </row>
    <row r="1283" spans="2:17" x14ac:dyDescent="0.2">
      <c r="B1283" s="6">
        <f t="shared" si="177"/>
        <v>789</v>
      </c>
      <c r="C1283" s="17"/>
      <c r="D1283" s="17"/>
      <c r="E1283" s="17"/>
      <c r="F1283" s="18"/>
      <c r="G1283" s="19">
        <v>637</v>
      </c>
      <c r="H1283" s="17" t="s">
        <v>119</v>
      </c>
      <c r="I1283" s="20">
        <v>7060</v>
      </c>
      <c r="J1283" s="20">
        <v>3486</v>
      </c>
      <c r="K1283" s="354">
        <f t="shared" si="179"/>
        <v>49.376770538243626</v>
      </c>
      <c r="L1283" s="20"/>
      <c r="M1283" s="20"/>
      <c r="N1283" s="354"/>
      <c r="O1283" s="21">
        <f t="shared" si="176"/>
        <v>7060</v>
      </c>
      <c r="P1283" s="21">
        <f t="shared" si="175"/>
        <v>3486</v>
      </c>
      <c r="Q1283" s="354">
        <f t="shared" si="178"/>
        <v>49.376770538243626</v>
      </c>
    </row>
    <row r="1284" spans="2:17" x14ac:dyDescent="0.2">
      <c r="B1284" s="6">
        <f t="shared" si="177"/>
        <v>790</v>
      </c>
      <c r="C1284" s="12"/>
      <c r="D1284" s="12"/>
      <c r="E1284" s="12"/>
      <c r="F1284" s="13" t="s">
        <v>79</v>
      </c>
      <c r="G1284" s="14">
        <v>640</v>
      </c>
      <c r="H1284" s="12" t="s">
        <v>126</v>
      </c>
      <c r="I1284" s="15">
        <v>3790</v>
      </c>
      <c r="J1284" s="15">
        <v>420</v>
      </c>
      <c r="K1284" s="354">
        <f t="shared" si="179"/>
        <v>11.081794195250659</v>
      </c>
      <c r="L1284" s="15"/>
      <c r="M1284" s="15"/>
      <c r="N1284" s="354"/>
      <c r="O1284" s="16">
        <f t="shared" si="176"/>
        <v>3790</v>
      </c>
      <c r="P1284" s="16">
        <f t="shared" si="175"/>
        <v>420</v>
      </c>
      <c r="Q1284" s="354">
        <f t="shared" si="178"/>
        <v>11.081794195250659</v>
      </c>
    </row>
    <row r="1285" spans="2:17" x14ac:dyDescent="0.2">
      <c r="B1285" s="6">
        <f t="shared" si="177"/>
        <v>791</v>
      </c>
      <c r="C1285" s="12"/>
      <c r="D1285" s="12"/>
      <c r="E1285" s="12"/>
      <c r="F1285" s="13" t="s">
        <v>49</v>
      </c>
      <c r="G1285" s="14">
        <v>610</v>
      </c>
      <c r="H1285" s="12" t="s">
        <v>128</v>
      </c>
      <c r="I1285" s="15">
        <v>107200</v>
      </c>
      <c r="J1285" s="15">
        <v>48793</v>
      </c>
      <c r="K1285" s="354">
        <f t="shared" si="179"/>
        <v>45.515858208955223</v>
      </c>
      <c r="L1285" s="15"/>
      <c r="M1285" s="15"/>
      <c r="N1285" s="354"/>
      <c r="O1285" s="16">
        <f t="shared" si="176"/>
        <v>107200</v>
      </c>
      <c r="P1285" s="16">
        <f t="shared" si="175"/>
        <v>48793</v>
      </c>
      <c r="Q1285" s="354">
        <f t="shared" si="178"/>
        <v>45.515858208955223</v>
      </c>
    </row>
    <row r="1286" spans="2:17" x14ac:dyDescent="0.2">
      <c r="B1286" s="6">
        <f t="shared" si="177"/>
        <v>792</v>
      </c>
      <c r="C1286" s="12"/>
      <c r="D1286" s="12"/>
      <c r="E1286" s="12"/>
      <c r="F1286" s="13" t="s">
        <v>49</v>
      </c>
      <c r="G1286" s="14">
        <v>620</v>
      </c>
      <c r="H1286" s="12" t="s">
        <v>121</v>
      </c>
      <c r="I1286" s="15">
        <v>44910</v>
      </c>
      <c r="J1286" s="15">
        <v>17043</v>
      </c>
      <c r="K1286" s="354">
        <f t="shared" si="179"/>
        <v>37.949231796927187</v>
      </c>
      <c r="L1286" s="15"/>
      <c r="M1286" s="15"/>
      <c r="N1286" s="354"/>
      <c r="O1286" s="16">
        <f t="shared" si="176"/>
        <v>44910</v>
      </c>
      <c r="P1286" s="16">
        <f t="shared" si="175"/>
        <v>17043</v>
      </c>
      <c r="Q1286" s="354">
        <f t="shared" si="178"/>
        <v>37.949231796927187</v>
      </c>
    </row>
    <row r="1287" spans="2:17" x14ac:dyDescent="0.2">
      <c r="B1287" s="6">
        <f t="shared" si="177"/>
        <v>793</v>
      </c>
      <c r="C1287" s="12"/>
      <c r="D1287" s="12"/>
      <c r="E1287" s="12"/>
      <c r="F1287" s="13" t="s">
        <v>49</v>
      </c>
      <c r="G1287" s="14">
        <v>630</v>
      </c>
      <c r="H1287" s="12" t="s">
        <v>118</v>
      </c>
      <c r="I1287" s="15">
        <f>SUM(I1288:I1291)</f>
        <v>296434</v>
      </c>
      <c r="J1287" s="15">
        <f>SUM(J1288:J1291)</f>
        <v>185297</v>
      </c>
      <c r="K1287" s="354">
        <f t="shared" si="179"/>
        <v>62.508686587908272</v>
      </c>
      <c r="L1287" s="15"/>
      <c r="M1287" s="15"/>
      <c r="N1287" s="354"/>
      <c r="O1287" s="16">
        <f t="shared" si="176"/>
        <v>296434</v>
      </c>
      <c r="P1287" s="16">
        <f t="shared" si="175"/>
        <v>185297</v>
      </c>
      <c r="Q1287" s="354">
        <f t="shared" si="178"/>
        <v>62.508686587908272</v>
      </c>
    </row>
    <row r="1288" spans="2:17" x14ac:dyDescent="0.2">
      <c r="B1288" s="6">
        <f t="shared" si="177"/>
        <v>794</v>
      </c>
      <c r="C1288" s="17"/>
      <c r="D1288" s="17"/>
      <c r="E1288" s="17"/>
      <c r="F1288" s="18"/>
      <c r="G1288" s="19">
        <v>632</v>
      </c>
      <c r="H1288" s="17" t="s">
        <v>131</v>
      </c>
      <c r="I1288" s="20">
        <v>21194</v>
      </c>
      <c r="J1288" s="20">
        <v>20941</v>
      </c>
      <c r="K1288" s="354">
        <f t="shared" si="179"/>
        <v>98.806265924318211</v>
      </c>
      <c r="L1288" s="20"/>
      <c r="M1288" s="20"/>
      <c r="N1288" s="354"/>
      <c r="O1288" s="21">
        <f t="shared" si="176"/>
        <v>21194</v>
      </c>
      <c r="P1288" s="21">
        <f t="shared" si="175"/>
        <v>20941</v>
      </c>
      <c r="Q1288" s="354">
        <f t="shared" si="178"/>
        <v>98.806265924318211</v>
      </c>
    </row>
    <row r="1289" spans="2:17" x14ac:dyDescent="0.2">
      <c r="B1289" s="6">
        <f t="shared" si="177"/>
        <v>795</v>
      </c>
      <c r="C1289" s="17"/>
      <c r="D1289" s="17"/>
      <c r="E1289" s="17"/>
      <c r="F1289" s="18"/>
      <c r="G1289" s="19">
        <v>633</v>
      </c>
      <c r="H1289" s="17" t="s">
        <v>122</v>
      </c>
      <c r="I1289" s="20">
        <f>232920+6120</f>
        <v>239040</v>
      </c>
      <c r="J1289" s="20">
        <v>158781</v>
      </c>
      <c r="K1289" s="354">
        <f t="shared" si="179"/>
        <v>66.424447791164653</v>
      </c>
      <c r="L1289" s="20"/>
      <c r="M1289" s="20"/>
      <c r="N1289" s="354"/>
      <c r="O1289" s="21">
        <f t="shared" si="176"/>
        <v>239040</v>
      </c>
      <c r="P1289" s="21">
        <f t="shared" si="175"/>
        <v>158781</v>
      </c>
      <c r="Q1289" s="354">
        <f t="shared" si="178"/>
        <v>66.424447791164653</v>
      </c>
    </row>
    <row r="1290" spans="2:17" x14ac:dyDescent="0.2">
      <c r="B1290" s="6">
        <f t="shared" si="177"/>
        <v>796</v>
      </c>
      <c r="C1290" s="17"/>
      <c r="D1290" s="17"/>
      <c r="E1290" s="17"/>
      <c r="F1290" s="18"/>
      <c r="G1290" s="19">
        <v>635</v>
      </c>
      <c r="H1290" s="17" t="s">
        <v>130</v>
      </c>
      <c r="I1290" s="20">
        <v>4100</v>
      </c>
      <c r="J1290" s="20">
        <v>0</v>
      </c>
      <c r="K1290" s="354">
        <f t="shared" si="179"/>
        <v>0</v>
      </c>
      <c r="L1290" s="20"/>
      <c r="M1290" s="20"/>
      <c r="N1290" s="354"/>
      <c r="O1290" s="21">
        <f t="shared" si="176"/>
        <v>4100</v>
      </c>
      <c r="P1290" s="21">
        <f t="shared" si="175"/>
        <v>0</v>
      </c>
      <c r="Q1290" s="354">
        <f t="shared" si="178"/>
        <v>0</v>
      </c>
    </row>
    <row r="1291" spans="2:17" x14ac:dyDescent="0.2">
      <c r="B1291" s="6">
        <f t="shared" si="177"/>
        <v>797</v>
      </c>
      <c r="C1291" s="17"/>
      <c r="D1291" s="17"/>
      <c r="E1291" s="17"/>
      <c r="F1291" s="18"/>
      <c r="G1291" s="19">
        <v>637</v>
      </c>
      <c r="H1291" s="17" t="s">
        <v>119</v>
      </c>
      <c r="I1291" s="20">
        <v>32100</v>
      </c>
      <c r="J1291" s="20">
        <v>5575</v>
      </c>
      <c r="K1291" s="354">
        <f t="shared" si="179"/>
        <v>17.367601246105917</v>
      </c>
      <c r="L1291" s="20"/>
      <c r="M1291" s="20"/>
      <c r="N1291" s="354"/>
      <c r="O1291" s="21">
        <f t="shared" si="176"/>
        <v>32100</v>
      </c>
      <c r="P1291" s="21">
        <f t="shared" si="175"/>
        <v>5575</v>
      </c>
      <c r="Q1291" s="354">
        <f t="shared" si="178"/>
        <v>17.367601246105917</v>
      </c>
    </row>
    <row r="1292" spans="2:17" x14ac:dyDescent="0.2">
      <c r="B1292" s="6">
        <f t="shared" si="177"/>
        <v>798</v>
      </c>
      <c r="C1292" s="12"/>
      <c r="D1292" s="12"/>
      <c r="E1292" s="12"/>
      <c r="F1292" s="13" t="s">
        <v>49</v>
      </c>
      <c r="G1292" s="14">
        <v>640</v>
      </c>
      <c r="H1292" s="12" t="s">
        <v>126</v>
      </c>
      <c r="I1292" s="15">
        <v>3600</v>
      </c>
      <c r="J1292" s="15">
        <v>1684</v>
      </c>
      <c r="K1292" s="354">
        <f t="shared" si="179"/>
        <v>46.777777777777779</v>
      </c>
      <c r="L1292" s="15"/>
      <c r="M1292" s="15"/>
      <c r="N1292" s="354"/>
      <c r="O1292" s="16">
        <f t="shared" si="176"/>
        <v>3600</v>
      </c>
      <c r="P1292" s="16">
        <f t="shared" si="175"/>
        <v>1684</v>
      </c>
      <c r="Q1292" s="354">
        <f t="shared" si="178"/>
        <v>46.777777777777779</v>
      </c>
    </row>
    <row r="1293" spans="2:17" ht="15" x14ac:dyDescent="0.25">
      <c r="B1293" s="6">
        <f t="shared" si="177"/>
        <v>799</v>
      </c>
      <c r="C1293" s="95"/>
      <c r="D1293" s="95"/>
      <c r="E1293" s="95">
        <v>12</v>
      </c>
      <c r="F1293" s="96"/>
      <c r="G1293" s="96"/>
      <c r="H1293" s="95" t="s">
        <v>5</v>
      </c>
      <c r="I1293" s="97">
        <f>I1294+I1295+I1296+I1301+I1302+I1303+I1304+I1310</f>
        <v>574380</v>
      </c>
      <c r="J1293" s="97">
        <f>J1294+J1295+J1296+J1301+J1302+J1303+J1304+J1310</f>
        <v>261947</v>
      </c>
      <c r="K1293" s="354">
        <f t="shared" si="179"/>
        <v>45.605174274870294</v>
      </c>
      <c r="L1293" s="97"/>
      <c r="M1293" s="97"/>
      <c r="N1293" s="354"/>
      <c r="O1293" s="98">
        <f t="shared" si="176"/>
        <v>574380</v>
      </c>
      <c r="P1293" s="98">
        <f t="shared" si="175"/>
        <v>261947</v>
      </c>
      <c r="Q1293" s="354">
        <f t="shared" si="178"/>
        <v>45.605174274870294</v>
      </c>
    </row>
    <row r="1294" spans="2:17" x14ac:dyDescent="0.2">
      <c r="B1294" s="6">
        <f t="shared" si="177"/>
        <v>800</v>
      </c>
      <c r="C1294" s="12"/>
      <c r="D1294" s="12"/>
      <c r="E1294" s="12"/>
      <c r="F1294" s="13" t="s">
        <v>79</v>
      </c>
      <c r="G1294" s="14">
        <v>610</v>
      </c>
      <c r="H1294" s="12" t="s">
        <v>128</v>
      </c>
      <c r="I1294" s="15">
        <v>67900</v>
      </c>
      <c r="J1294" s="15">
        <v>57232</v>
      </c>
      <c r="K1294" s="354">
        <f t="shared" si="179"/>
        <v>84.288659793814432</v>
      </c>
      <c r="L1294" s="15"/>
      <c r="M1294" s="15"/>
      <c r="N1294" s="354"/>
      <c r="O1294" s="16">
        <f t="shared" si="176"/>
        <v>67900</v>
      </c>
      <c r="P1294" s="16">
        <f t="shared" si="175"/>
        <v>57232</v>
      </c>
      <c r="Q1294" s="354">
        <f t="shared" si="178"/>
        <v>84.288659793814432</v>
      </c>
    </row>
    <row r="1295" spans="2:17" x14ac:dyDescent="0.2">
      <c r="B1295" s="6">
        <f t="shared" si="177"/>
        <v>801</v>
      </c>
      <c r="C1295" s="12"/>
      <c r="D1295" s="12"/>
      <c r="E1295" s="12"/>
      <c r="F1295" s="13" t="s">
        <v>79</v>
      </c>
      <c r="G1295" s="14">
        <v>620</v>
      </c>
      <c r="H1295" s="12" t="s">
        <v>121</v>
      </c>
      <c r="I1295" s="15">
        <v>25220</v>
      </c>
      <c r="J1295" s="15">
        <v>22969</v>
      </c>
      <c r="K1295" s="354">
        <f t="shared" si="179"/>
        <v>91.074544012688335</v>
      </c>
      <c r="L1295" s="15"/>
      <c r="M1295" s="15"/>
      <c r="N1295" s="354"/>
      <c r="O1295" s="16">
        <f t="shared" si="176"/>
        <v>25220</v>
      </c>
      <c r="P1295" s="16">
        <f t="shared" si="175"/>
        <v>22969</v>
      </c>
      <c r="Q1295" s="354">
        <f t="shared" si="178"/>
        <v>91.074544012688335</v>
      </c>
    </row>
    <row r="1296" spans="2:17" x14ac:dyDescent="0.2">
      <c r="B1296" s="6">
        <f t="shared" si="177"/>
        <v>802</v>
      </c>
      <c r="C1296" s="12"/>
      <c r="D1296" s="12"/>
      <c r="E1296" s="12"/>
      <c r="F1296" s="13" t="s">
        <v>79</v>
      </c>
      <c r="G1296" s="14">
        <v>630</v>
      </c>
      <c r="H1296" s="12" t="s">
        <v>118</v>
      </c>
      <c r="I1296" s="15">
        <f>SUM(I1297:I1300)</f>
        <v>199795</v>
      </c>
      <c r="J1296" s="15">
        <f>SUM(J1297:J1300)</f>
        <v>153180</v>
      </c>
      <c r="K1296" s="354">
        <f t="shared" si="179"/>
        <v>76.668585299932431</v>
      </c>
      <c r="L1296" s="15"/>
      <c r="M1296" s="15"/>
      <c r="N1296" s="354"/>
      <c r="O1296" s="16">
        <f t="shared" si="176"/>
        <v>199795</v>
      </c>
      <c r="P1296" s="16">
        <f t="shared" si="175"/>
        <v>153180</v>
      </c>
      <c r="Q1296" s="354">
        <f t="shared" si="178"/>
        <v>76.668585299932431</v>
      </c>
    </row>
    <row r="1297" spans="2:17" x14ac:dyDescent="0.2">
      <c r="B1297" s="6">
        <f t="shared" si="177"/>
        <v>803</v>
      </c>
      <c r="C1297" s="17"/>
      <c r="D1297" s="17"/>
      <c r="E1297" s="17"/>
      <c r="F1297" s="18"/>
      <c r="G1297" s="19">
        <v>632</v>
      </c>
      <c r="H1297" s="17" t="s">
        <v>131</v>
      </c>
      <c r="I1297" s="20">
        <v>15600</v>
      </c>
      <c r="J1297" s="20">
        <v>10365</v>
      </c>
      <c r="K1297" s="354">
        <f t="shared" si="179"/>
        <v>66.442307692307693</v>
      </c>
      <c r="L1297" s="20"/>
      <c r="M1297" s="20"/>
      <c r="N1297" s="354"/>
      <c r="O1297" s="21">
        <f t="shared" si="176"/>
        <v>15600</v>
      </c>
      <c r="P1297" s="21">
        <f t="shared" si="175"/>
        <v>10365</v>
      </c>
      <c r="Q1297" s="354">
        <f t="shared" si="178"/>
        <v>66.442307692307693</v>
      </c>
    </row>
    <row r="1298" spans="2:17" x14ac:dyDescent="0.2">
      <c r="B1298" s="6">
        <f t="shared" si="177"/>
        <v>804</v>
      </c>
      <c r="C1298" s="17"/>
      <c r="D1298" s="17"/>
      <c r="E1298" s="17"/>
      <c r="F1298" s="18"/>
      <c r="G1298" s="19">
        <v>633</v>
      </c>
      <c r="H1298" s="17" t="s">
        <v>122</v>
      </c>
      <c r="I1298" s="20">
        <v>153000</v>
      </c>
      <c r="J1298" s="20">
        <v>129840</v>
      </c>
      <c r="K1298" s="354">
        <f t="shared" si="179"/>
        <v>84.862745098039213</v>
      </c>
      <c r="L1298" s="20"/>
      <c r="M1298" s="20"/>
      <c r="N1298" s="354"/>
      <c r="O1298" s="21">
        <f t="shared" si="176"/>
        <v>153000</v>
      </c>
      <c r="P1298" s="21">
        <f t="shared" si="175"/>
        <v>129840</v>
      </c>
      <c r="Q1298" s="354">
        <f t="shared" si="178"/>
        <v>84.862745098039213</v>
      </c>
    </row>
    <row r="1299" spans="2:17" x14ac:dyDescent="0.2">
      <c r="B1299" s="6">
        <f t="shared" si="177"/>
        <v>805</v>
      </c>
      <c r="C1299" s="17"/>
      <c r="D1299" s="17"/>
      <c r="E1299" s="17"/>
      <c r="F1299" s="18"/>
      <c r="G1299" s="19">
        <v>635</v>
      </c>
      <c r="H1299" s="17" t="s">
        <v>130</v>
      </c>
      <c r="I1299" s="20">
        <v>3000</v>
      </c>
      <c r="J1299" s="20">
        <v>1820</v>
      </c>
      <c r="K1299" s="354">
        <f t="shared" si="179"/>
        <v>60.666666666666671</v>
      </c>
      <c r="L1299" s="20"/>
      <c r="M1299" s="20"/>
      <c r="N1299" s="354"/>
      <c r="O1299" s="21">
        <f t="shared" si="176"/>
        <v>3000</v>
      </c>
      <c r="P1299" s="21">
        <f t="shared" si="175"/>
        <v>1820</v>
      </c>
      <c r="Q1299" s="354">
        <f t="shared" si="178"/>
        <v>60.666666666666671</v>
      </c>
    </row>
    <row r="1300" spans="2:17" x14ac:dyDescent="0.2">
      <c r="B1300" s="6">
        <f t="shared" si="177"/>
        <v>806</v>
      </c>
      <c r="C1300" s="17"/>
      <c r="D1300" s="17"/>
      <c r="E1300" s="17"/>
      <c r="F1300" s="18"/>
      <c r="G1300" s="19">
        <v>637</v>
      </c>
      <c r="H1300" s="17" t="s">
        <v>119</v>
      </c>
      <c r="I1300" s="20">
        <v>28195</v>
      </c>
      <c r="J1300" s="20">
        <v>11155</v>
      </c>
      <c r="K1300" s="354">
        <f t="shared" si="179"/>
        <v>39.563752438375602</v>
      </c>
      <c r="L1300" s="20"/>
      <c r="M1300" s="20"/>
      <c r="N1300" s="354"/>
      <c r="O1300" s="21">
        <f t="shared" si="176"/>
        <v>28195</v>
      </c>
      <c r="P1300" s="21">
        <f t="shared" si="175"/>
        <v>11155</v>
      </c>
      <c r="Q1300" s="354">
        <f t="shared" si="178"/>
        <v>39.563752438375602</v>
      </c>
    </row>
    <row r="1301" spans="2:17" x14ac:dyDescent="0.2">
      <c r="B1301" s="6">
        <f t="shared" ref="B1301:B1332" si="180">B1300+1</f>
        <v>807</v>
      </c>
      <c r="C1301" s="12"/>
      <c r="D1301" s="12"/>
      <c r="E1301" s="12"/>
      <c r="F1301" s="13" t="s">
        <v>79</v>
      </c>
      <c r="G1301" s="14">
        <v>640</v>
      </c>
      <c r="H1301" s="12" t="s">
        <v>126</v>
      </c>
      <c r="I1301" s="15">
        <v>1500</v>
      </c>
      <c r="J1301" s="15">
        <v>384</v>
      </c>
      <c r="K1301" s="354">
        <f t="shared" si="179"/>
        <v>25.6</v>
      </c>
      <c r="L1301" s="15"/>
      <c r="M1301" s="15"/>
      <c r="N1301" s="354"/>
      <c r="O1301" s="16">
        <f t="shared" si="176"/>
        <v>1500</v>
      </c>
      <c r="P1301" s="16">
        <f t="shared" si="175"/>
        <v>384</v>
      </c>
      <c r="Q1301" s="354">
        <f t="shared" ref="Q1301:Q1316" si="181">P1301/O1301*100</f>
        <v>25.6</v>
      </c>
    </row>
    <row r="1302" spans="2:17" x14ac:dyDescent="0.2">
      <c r="B1302" s="6">
        <f t="shared" si="180"/>
        <v>808</v>
      </c>
      <c r="C1302" s="12"/>
      <c r="D1302" s="12"/>
      <c r="E1302" s="12"/>
      <c r="F1302" s="13" t="s">
        <v>49</v>
      </c>
      <c r="G1302" s="14">
        <v>610</v>
      </c>
      <c r="H1302" s="12" t="s">
        <v>128</v>
      </c>
      <c r="I1302" s="15">
        <v>67900</v>
      </c>
      <c r="J1302" s="15">
        <v>0</v>
      </c>
      <c r="K1302" s="354">
        <f t="shared" si="179"/>
        <v>0</v>
      </c>
      <c r="L1302" s="15"/>
      <c r="M1302" s="15"/>
      <c r="N1302" s="354"/>
      <c r="O1302" s="16">
        <f t="shared" si="176"/>
        <v>67900</v>
      </c>
      <c r="P1302" s="16">
        <f t="shared" si="175"/>
        <v>0</v>
      </c>
      <c r="Q1302" s="354">
        <f t="shared" si="181"/>
        <v>0</v>
      </c>
    </row>
    <row r="1303" spans="2:17" x14ac:dyDescent="0.2">
      <c r="B1303" s="6">
        <f t="shared" si="180"/>
        <v>809</v>
      </c>
      <c r="C1303" s="12"/>
      <c r="D1303" s="12"/>
      <c r="E1303" s="12"/>
      <c r="F1303" s="13" t="s">
        <v>49</v>
      </c>
      <c r="G1303" s="14">
        <v>620</v>
      </c>
      <c r="H1303" s="12" t="s">
        <v>121</v>
      </c>
      <c r="I1303" s="15">
        <v>25220</v>
      </c>
      <c r="J1303" s="15">
        <v>2340</v>
      </c>
      <c r="K1303" s="354">
        <f t="shared" si="179"/>
        <v>9.2783505154639183</v>
      </c>
      <c r="L1303" s="15"/>
      <c r="M1303" s="15"/>
      <c r="N1303" s="354"/>
      <c r="O1303" s="16">
        <f t="shared" si="176"/>
        <v>25220</v>
      </c>
      <c r="P1303" s="16">
        <f t="shared" si="175"/>
        <v>2340</v>
      </c>
      <c r="Q1303" s="354">
        <f t="shared" si="181"/>
        <v>9.2783505154639183</v>
      </c>
    </row>
    <row r="1304" spans="2:17" x14ac:dyDescent="0.2">
      <c r="B1304" s="6">
        <f t="shared" si="180"/>
        <v>810</v>
      </c>
      <c r="C1304" s="12"/>
      <c r="D1304" s="12"/>
      <c r="E1304" s="12"/>
      <c r="F1304" s="13" t="s">
        <v>49</v>
      </c>
      <c r="G1304" s="14">
        <v>630</v>
      </c>
      <c r="H1304" s="12" t="s">
        <v>118</v>
      </c>
      <c r="I1304" s="15">
        <f>SUM(I1305:I1309)</f>
        <v>185345</v>
      </c>
      <c r="J1304" s="15">
        <f>SUM(J1305:J1309)</f>
        <v>24486</v>
      </c>
      <c r="K1304" s="354">
        <f t="shared" si="179"/>
        <v>13.21103887345221</v>
      </c>
      <c r="L1304" s="15"/>
      <c r="M1304" s="15"/>
      <c r="N1304" s="354"/>
      <c r="O1304" s="16">
        <f t="shared" si="176"/>
        <v>185345</v>
      </c>
      <c r="P1304" s="16">
        <f t="shared" si="175"/>
        <v>24486</v>
      </c>
      <c r="Q1304" s="354">
        <f t="shared" si="181"/>
        <v>13.21103887345221</v>
      </c>
    </row>
    <row r="1305" spans="2:17" x14ac:dyDescent="0.2">
      <c r="B1305" s="6">
        <f t="shared" si="180"/>
        <v>811</v>
      </c>
      <c r="C1305" s="17"/>
      <c r="D1305" s="17"/>
      <c r="E1305" s="17"/>
      <c r="F1305" s="18"/>
      <c r="G1305" s="19">
        <v>631</v>
      </c>
      <c r="H1305" s="17" t="s">
        <v>124</v>
      </c>
      <c r="I1305" s="20">
        <v>55</v>
      </c>
      <c r="J1305" s="20">
        <v>0</v>
      </c>
      <c r="K1305" s="354">
        <f t="shared" si="179"/>
        <v>0</v>
      </c>
      <c r="L1305" s="20"/>
      <c r="M1305" s="20"/>
      <c r="N1305" s="354"/>
      <c r="O1305" s="21">
        <f t="shared" si="176"/>
        <v>55</v>
      </c>
      <c r="P1305" s="21">
        <f t="shared" si="175"/>
        <v>0</v>
      </c>
      <c r="Q1305" s="354">
        <f t="shared" si="181"/>
        <v>0</v>
      </c>
    </row>
    <row r="1306" spans="2:17" x14ac:dyDescent="0.2">
      <c r="B1306" s="6">
        <f t="shared" si="180"/>
        <v>812</v>
      </c>
      <c r="C1306" s="17"/>
      <c r="D1306" s="17"/>
      <c r="E1306" s="17"/>
      <c r="F1306" s="18"/>
      <c r="G1306" s="19">
        <v>632</v>
      </c>
      <c r="H1306" s="17" t="s">
        <v>131</v>
      </c>
      <c r="I1306" s="20">
        <v>15600</v>
      </c>
      <c r="J1306" s="20">
        <v>0</v>
      </c>
      <c r="K1306" s="354">
        <f t="shared" si="179"/>
        <v>0</v>
      </c>
      <c r="L1306" s="20"/>
      <c r="M1306" s="20"/>
      <c r="N1306" s="354"/>
      <c r="O1306" s="21">
        <f t="shared" si="176"/>
        <v>15600</v>
      </c>
      <c r="P1306" s="21">
        <f t="shared" si="175"/>
        <v>0</v>
      </c>
      <c r="Q1306" s="354">
        <f t="shared" si="181"/>
        <v>0</v>
      </c>
    </row>
    <row r="1307" spans="2:17" x14ac:dyDescent="0.2">
      <c r="B1307" s="6">
        <f t="shared" si="180"/>
        <v>813</v>
      </c>
      <c r="C1307" s="17"/>
      <c r="D1307" s="17"/>
      <c r="E1307" s="17"/>
      <c r="F1307" s="18"/>
      <c r="G1307" s="19">
        <v>633</v>
      </c>
      <c r="H1307" s="17" t="s">
        <v>122</v>
      </c>
      <c r="I1307" s="20">
        <v>153000</v>
      </c>
      <c r="J1307" s="20">
        <f>23932-18</f>
        <v>23914</v>
      </c>
      <c r="K1307" s="354">
        <f t="shared" si="179"/>
        <v>15.630065359477124</v>
      </c>
      <c r="L1307" s="20"/>
      <c r="M1307" s="20"/>
      <c r="N1307" s="354"/>
      <c r="O1307" s="21">
        <f t="shared" si="176"/>
        <v>153000</v>
      </c>
      <c r="P1307" s="21">
        <f t="shared" si="175"/>
        <v>23914</v>
      </c>
      <c r="Q1307" s="354">
        <f t="shared" si="181"/>
        <v>15.630065359477124</v>
      </c>
    </row>
    <row r="1308" spans="2:17" x14ac:dyDescent="0.2">
      <c r="B1308" s="6">
        <f t="shared" si="180"/>
        <v>814</v>
      </c>
      <c r="C1308" s="17"/>
      <c r="D1308" s="17"/>
      <c r="E1308" s="17"/>
      <c r="F1308" s="18"/>
      <c r="G1308" s="19">
        <v>635</v>
      </c>
      <c r="H1308" s="17" t="s">
        <v>130</v>
      </c>
      <c r="I1308" s="20">
        <v>6150</v>
      </c>
      <c r="J1308" s="20">
        <v>0</v>
      </c>
      <c r="K1308" s="354">
        <f t="shared" si="179"/>
        <v>0</v>
      </c>
      <c r="L1308" s="20"/>
      <c r="M1308" s="20"/>
      <c r="N1308" s="354"/>
      <c r="O1308" s="21">
        <f t="shared" si="176"/>
        <v>6150</v>
      </c>
      <c r="P1308" s="21">
        <f t="shared" si="175"/>
        <v>0</v>
      </c>
      <c r="Q1308" s="354">
        <f t="shared" si="181"/>
        <v>0</v>
      </c>
    </row>
    <row r="1309" spans="2:17" x14ac:dyDescent="0.2">
      <c r="B1309" s="6">
        <f t="shared" si="180"/>
        <v>815</v>
      </c>
      <c r="C1309" s="17"/>
      <c r="D1309" s="17"/>
      <c r="E1309" s="17"/>
      <c r="F1309" s="18"/>
      <c r="G1309" s="19">
        <v>637</v>
      </c>
      <c r="H1309" s="17" t="s">
        <v>119</v>
      </c>
      <c r="I1309" s="20">
        <v>10540</v>
      </c>
      <c r="J1309" s="20">
        <v>572</v>
      </c>
      <c r="K1309" s="354">
        <f t="shared" si="179"/>
        <v>5.4269449715370017</v>
      </c>
      <c r="L1309" s="20"/>
      <c r="M1309" s="20"/>
      <c r="N1309" s="354"/>
      <c r="O1309" s="21">
        <f t="shared" si="176"/>
        <v>10540</v>
      </c>
      <c r="P1309" s="21">
        <f t="shared" si="175"/>
        <v>572</v>
      </c>
      <c r="Q1309" s="354">
        <f t="shared" si="181"/>
        <v>5.4269449715370017</v>
      </c>
    </row>
    <row r="1310" spans="2:17" x14ac:dyDescent="0.2">
      <c r="B1310" s="6">
        <f t="shared" si="180"/>
        <v>816</v>
      </c>
      <c r="C1310" s="12"/>
      <c r="D1310" s="12"/>
      <c r="E1310" s="12"/>
      <c r="F1310" s="13" t="s">
        <v>49</v>
      </c>
      <c r="G1310" s="14">
        <v>640</v>
      </c>
      <c r="H1310" s="12" t="s">
        <v>126</v>
      </c>
      <c r="I1310" s="15">
        <v>1500</v>
      </c>
      <c r="J1310" s="15">
        <v>1356</v>
      </c>
      <c r="K1310" s="354">
        <f t="shared" si="179"/>
        <v>90.4</v>
      </c>
      <c r="L1310" s="15"/>
      <c r="M1310" s="15"/>
      <c r="N1310" s="354"/>
      <c r="O1310" s="16">
        <f t="shared" si="176"/>
        <v>1500</v>
      </c>
      <c r="P1310" s="16">
        <f t="shared" si="175"/>
        <v>1356</v>
      </c>
      <c r="Q1310" s="354">
        <f t="shared" si="181"/>
        <v>90.4</v>
      </c>
    </row>
    <row r="1311" spans="2:17" ht="15" x14ac:dyDescent="0.25">
      <c r="B1311" s="6">
        <f t="shared" si="180"/>
        <v>817</v>
      </c>
      <c r="C1311" s="95"/>
      <c r="D1311" s="95"/>
      <c r="E1311" s="95">
        <v>13</v>
      </c>
      <c r="F1311" s="96"/>
      <c r="G1311" s="96"/>
      <c r="H1311" s="95" t="s">
        <v>12</v>
      </c>
      <c r="I1311" s="97">
        <f>I1314+I1315+I1316+I1322+I1323+I1324+I1325+I1330+I1312</f>
        <v>304296</v>
      </c>
      <c r="J1311" s="97">
        <f>J1314+J1315+J1316+J1322+J1323+J1324+J1325+J1330+J1312</f>
        <v>132430</v>
      </c>
      <c r="K1311" s="354">
        <f t="shared" si="179"/>
        <v>43.520125141309776</v>
      </c>
      <c r="L1311" s="97">
        <f>L1331</f>
        <v>5437</v>
      </c>
      <c r="M1311" s="97">
        <f>M1331</f>
        <v>5437</v>
      </c>
      <c r="N1311" s="354">
        <f>M1311/L1311*100</f>
        <v>100</v>
      </c>
      <c r="O1311" s="98">
        <f t="shared" si="176"/>
        <v>309733</v>
      </c>
      <c r="P1311" s="98">
        <f t="shared" si="175"/>
        <v>137867</v>
      </c>
      <c r="Q1311" s="354">
        <f t="shared" si="181"/>
        <v>44.511563185065846</v>
      </c>
    </row>
    <row r="1312" spans="2:17" x14ac:dyDescent="0.2">
      <c r="B1312" s="6">
        <f t="shared" si="180"/>
        <v>818</v>
      </c>
      <c r="C1312" s="12"/>
      <c r="D1312" s="12"/>
      <c r="E1312" s="12"/>
      <c r="F1312" s="13" t="s">
        <v>157</v>
      </c>
      <c r="G1312" s="14">
        <v>630</v>
      </c>
      <c r="H1312" s="12" t="s">
        <v>118</v>
      </c>
      <c r="I1312" s="15">
        <f>I1313</f>
        <v>25886</v>
      </c>
      <c r="J1312" s="15">
        <f>J1313</f>
        <v>0</v>
      </c>
      <c r="K1312" s="354">
        <f t="shared" si="179"/>
        <v>0</v>
      </c>
      <c r="L1312" s="15"/>
      <c r="M1312" s="15"/>
      <c r="N1312" s="354"/>
      <c r="O1312" s="16">
        <f t="shared" si="176"/>
        <v>25886</v>
      </c>
      <c r="P1312" s="16">
        <f t="shared" si="175"/>
        <v>0</v>
      </c>
      <c r="Q1312" s="354">
        <f t="shared" si="181"/>
        <v>0</v>
      </c>
    </row>
    <row r="1313" spans="2:17" x14ac:dyDescent="0.2">
      <c r="B1313" s="6">
        <f t="shared" si="180"/>
        <v>819</v>
      </c>
      <c r="C1313" s="17"/>
      <c r="D1313" s="17"/>
      <c r="E1313" s="17"/>
      <c r="F1313" s="18"/>
      <c r="G1313" s="19">
        <v>633</v>
      </c>
      <c r="H1313" s="17" t="s">
        <v>122</v>
      </c>
      <c r="I1313" s="20">
        <v>25886</v>
      </c>
      <c r="J1313" s="20">
        <v>0</v>
      </c>
      <c r="K1313" s="354">
        <f t="shared" si="179"/>
        <v>0</v>
      </c>
      <c r="L1313" s="20"/>
      <c r="M1313" s="20"/>
      <c r="N1313" s="354"/>
      <c r="O1313" s="21">
        <f t="shared" si="176"/>
        <v>25886</v>
      </c>
      <c r="P1313" s="21">
        <f t="shared" si="175"/>
        <v>0</v>
      </c>
      <c r="Q1313" s="354">
        <f t="shared" si="181"/>
        <v>0</v>
      </c>
    </row>
    <row r="1314" spans="2:17" x14ac:dyDescent="0.2">
      <c r="B1314" s="6">
        <f t="shared" si="180"/>
        <v>820</v>
      </c>
      <c r="C1314" s="12"/>
      <c r="D1314" s="12"/>
      <c r="E1314" s="12"/>
      <c r="F1314" s="13" t="s">
        <v>79</v>
      </c>
      <c r="G1314" s="14">
        <v>610</v>
      </c>
      <c r="H1314" s="12" t="s">
        <v>128</v>
      </c>
      <c r="I1314" s="15">
        <v>49000</v>
      </c>
      <c r="J1314" s="15">
        <v>22829</v>
      </c>
      <c r="K1314" s="354">
        <f t="shared" si="179"/>
        <v>46.589795918367351</v>
      </c>
      <c r="L1314" s="15"/>
      <c r="M1314" s="15"/>
      <c r="N1314" s="354"/>
      <c r="O1314" s="16">
        <f t="shared" si="176"/>
        <v>49000</v>
      </c>
      <c r="P1314" s="16">
        <f t="shared" si="175"/>
        <v>22829</v>
      </c>
      <c r="Q1314" s="354">
        <f t="shared" si="181"/>
        <v>46.589795918367351</v>
      </c>
    </row>
    <row r="1315" spans="2:17" x14ac:dyDescent="0.2">
      <c r="B1315" s="6">
        <f t="shared" si="180"/>
        <v>821</v>
      </c>
      <c r="C1315" s="12"/>
      <c r="D1315" s="12"/>
      <c r="E1315" s="12"/>
      <c r="F1315" s="13" t="s">
        <v>79</v>
      </c>
      <c r="G1315" s="14">
        <v>620</v>
      </c>
      <c r="H1315" s="12" t="s">
        <v>121</v>
      </c>
      <c r="I1315" s="15">
        <v>17248</v>
      </c>
      <c r="J1315" s="15">
        <v>8206</v>
      </c>
      <c r="K1315" s="354">
        <f t="shared" si="179"/>
        <v>47.576530612244902</v>
      </c>
      <c r="L1315" s="15"/>
      <c r="M1315" s="15"/>
      <c r="N1315" s="354"/>
      <c r="O1315" s="16">
        <f t="shared" si="176"/>
        <v>17248</v>
      </c>
      <c r="P1315" s="16">
        <f t="shared" si="175"/>
        <v>8206</v>
      </c>
      <c r="Q1315" s="354">
        <f t="shared" si="181"/>
        <v>47.576530612244902</v>
      </c>
    </row>
    <row r="1316" spans="2:17" x14ac:dyDescent="0.2">
      <c r="B1316" s="6">
        <f t="shared" si="180"/>
        <v>822</v>
      </c>
      <c r="C1316" s="12"/>
      <c r="D1316" s="12"/>
      <c r="E1316" s="12"/>
      <c r="F1316" s="13" t="s">
        <v>79</v>
      </c>
      <c r="G1316" s="14">
        <v>630</v>
      </c>
      <c r="H1316" s="12" t="s">
        <v>118</v>
      </c>
      <c r="I1316" s="15">
        <f>SUM(I1318:I1321)</f>
        <v>69356</v>
      </c>
      <c r="J1316" s="15">
        <f>SUM(J1317:J1321)</f>
        <v>9527</v>
      </c>
      <c r="K1316" s="354">
        <f t="shared" si="179"/>
        <v>13.736374646750102</v>
      </c>
      <c r="L1316" s="15"/>
      <c r="M1316" s="15"/>
      <c r="N1316" s="354"/>
      <c r="O1316" s="16">
        <f t="shared" si="176"/>
        <v>69356</v>
      </c>
      <c r="P1316" s="16">
        <f t="shared" si="175"/>
        <v>9527</v>
      </c>
      <c r="Q1316" s="354">
        <f t="shared" si="181"/>
        <v>13.736374646750102</v>
      </c>
    </row>
    <row r="1317" spans="2:17" x14ac:dyDescent="0.2">
      <c r="B1317" s="6">
        <f t="shared" si="180"/>
        <v>823</v>
      </c>
      <c r="C1317" s="12"/>
      <c r="D1317" s="12"/>
      <c r="E1317" s="12"/>
      <c r="F1317" s="13"/>
      <c r="G1317" s="19">
        <v>631</v>
      </c>
      <c r="H1317" s="17" t="s">
        <v>124</v>
      </c>
      <c r="I1317" s="20">
        <v>0</v>
      </c>
      <c r="J1317" s="20">
        <v>116</v>
      </c>
      <c r="K1317" s="354"/>
      <c r="L1317" s="15"/>
      <c r="M1317" s="15"/>
      <c r="N1317" s="354"/>
      <c r="O1317" s="16"/>
      <c r="P1317" s="16"/>
      <c r="Q1317" s="354"/>
    </row>
    <row r="1318" spans="2:17" x14ac:dyDescent="0.2">
      <c r="B1318" s="6">
        <f t="shared" si="180"/>
        <v>824</v>
      </c>
      <c r="C1318" s="17"/>
      <c r="D1318" s="17"/>
      <c r="E1318" s="17"/>
      <c r="F1318" s="18"/>
      <c r="G1318" s="19">
        <v>632</v>
      </c>
      <c r="H1318" s="17" t="s">
        <v>131</v>
      </c>
      <c r="I1318" s="20">
        <v>13180</v>
      </c>
      <c r="J1318" s="20">
        <v>5771</v>
      </c>
      <c r="K1318" s="354">
        <f t="shared" ref="K1318:K1330" si="182">J1318/I1318*100</f>
        <v>43.786039453717756</v>
      </c>
      <c r="L1318" s="20"/>
      <c r="M1318" s="20"/>
      <c r="N1318" s="354"/>
      <c r="O1318" s="21">
        <f t="shared" ref="O1318:O1348" si="183">I1318+L1318</f>
        <v>13180</v>
      </c>
      <c r="P1318" s="21">
        <f t="shared" ref="P1318:P1348" si="184">J1318+M1318</f>
        <v>5771</v>
      </c>
      <c r="Q1318" s="354">
        <f t="shared" ref="Q1318:Q1348" si="185">P1318/O1318*100</f>
        <v>43.786039453717756</v>
      </c>
    </row>
    <row r="1319" spans="2:17" x14ac:dyDescent="0.2">
      <c r="B1319" s="6">
        <f t="shared" si="180"/>
        <v>825</v>
      </c>
      <c r="C1319" s="17"/>
      <c r="D1319" s="17"/>
      <c r="E1319" s="17"/>
      <c r="F1319" s="18"/>
      <c r="G1319" s="19">
        <v>633</v>
      </c>
      <c r="H1319" s="17" t="s">
        <v>122</v>
      </c>
      <c r="I1319" s="20">
        <f>46913-5437</f>
        <v>41476</v>
      </c>
      <c r="J1319" s="20">
        <v>2164</v>
      </c>
      <c r="K1319" s="354">
        <f t="shared" si="182"/>
        <v>5.2174751663612691</v>
      </c>
      <c r="L1319" s="20"/>
      <c r="M1319" s="20"/>
      <c r="N1319" s="354"/>
      <c r="O1319" s="21">
        <f t="shared" si="183"/>
        <v>41476</v>
      </c>
      <c r="P1319" s="21">
        <f t="shared" si="184"/>
        <v>2164</v>
      </c>
      <c r="Q1319" s="354">
        <f t="shared" si="185"/>
        <v>5.2174751663612691</v>
      </c>
    </row>
    <row r="1320" spans="2:17" x14ac:dyDescent="0.2">
      <c r="B1320" s="6">
        <f t="shared" si="180"/>
        <v>826</v>
      </c>
      <c r="C1320" s="17"/>
      <c r="D1320" s="17"/>
      <c r="E1320" s="17"/>
      <c r="F1320" s="18"/>
      <c r="G1320" s="19">
        <v>635</v>
      </c>
      <c r="H1320" s="17" t="s">
        <v>130</v>
      </c>
      <c r="I1320" s="20">
        <v>10600</v>
      </c>
      <c r="J1320" s="20">
        <v>0</v>
      </c>
      <c r="K1320" s="354">
        <f t="shared" si="182"/>
        <v>0</v>
      </c>
      <c r="L1320" s="20"/>
      <c r="M1320" s="20"/>
      <c r="N1320" s="354"/>
      <c r="O1320" s="21">
        <f t="shared" si="183"/>
        <v>10600</v>
      </c>
      <c r="P1320" s="21">
        <f t="shared" si="184"/>
        <v>0</v>
      </c>
      <c r="Q1320" s="354">
        <f t="shared" si="185"/>
        <v>0</v>
      </c>
    </row>
    <row r="1321" spans="2:17" x14ac:dyDescent="0.2">
      <c r="B1321" s="6">
        <f t="shared" si="180"/>
        <v>827</v>
      </c>
      <c r="C1321" s="17"/>
      <c r="D1321" s="17"/>
      <c r="E1321" s="17"/>
      <c r="F1321" s="18"/>
      <c r="G1321" s="19">
        <v>637</v>
      </c>
      <c r="H1321" s="17" t="s">
        <v>119</v>
      </c>
      <c r="I1321" s="20">
        <v>4100</v>
      </c>
      <c r="J1321" s="20">
        <v>1476</v>
      </c>
      <c r="K1321" s="354">
        <f t="shared" si="182"/>
        <v>36</v>
      </c>
      <c r="L1321" s="20"/>
      <c r="M1321" s="20"/>
      <c r="N1321" s="354"/>
      <c r="O1321" s="21">
        <f t="shared" si="183"/>
        <v>4100</v>
      </c>
      <c r="P1321" s="21">
        <f t="shared" si="184"/>
        <v>1476</v>
      </c>
      <c r="Q1321" s="354">
        <f t="shared" si="185"/>
        <v>36</v>
      </c>
    </row>
    <row r="1322" spans="2:17" x14ac:dyDescent="0.2">
      <c r="B1322" s="6">
        <f t="shared" si="180"/>
        <v>828</v>
      </c>
      <c r="C1322" s="12"/>
      <c r="D1322" s="12"/>
      <c r="E1322" s="12"/>
      <c r="F1322" s="13" t="s">
        <v>79</v>
      </c>
      <c r="G1322" s="14">
        <v>640</v>
      </c>
      <c r="H1322" s="12" t="s">
        <v>126</v>
      </c>
      <c r="I1322" s="15">
        <v>300</v>
      </c>
      <c r="J1322" s="15">
        <v>474</v>
      </c>
      <c r="K1322" s="354">
        <f t="shared" si="182"/>
        <v>158</v>
      </c>
      <c r="L1322" s="15"/>
      <c r="M1322" s="15"/>
      <c r="N1322" s="354"/>
      <c r="O1322" s="16">
        <f t="shared" si="183"/>
        <v>300</v>
      </c>
      <c r="P1322" s="16">
        <f t="shared" si="184"/>
        <v>474</v>
      </c>
      <c r="Q1322" s="354">
        <f t="shared" si="185"/>
        <v>158</v>
      </c>
    </row>
    <row r="1323" spans="2:17" x14ac:dyDescent="0.2">
      <c r="B1323" s="6">
        <f t="shared" si="180"/>
        <v>829</v>
      </c>
      <c r="C1323" s="12"/>
      <c r="D1323" s="12"/>
      <c r="E1323" s="12"/>
      <c r="F1323" s="13" t="s">
        <v>49</v>
      </c>
      <c r="G1323" s="14">
        <v>610</v>
      </c>
      <c r="H1323" s="12" t="s">
        <v>128</v>
      </c>
      <c r="I1323" s="15">
        <v>42868</v>
      </c>
      <c r="J1323" s="15">
        <v>17444</v>
      </c>
      <c r="K1323" s="354">
        <f t="shared" si="182"/>
        <v>40.692357935989548</v>
      </c>
      <c r="L1323" s="15"/>
      <c r="M1323" s="15"/>
      <c r="N1323" s="354"/>
      <c r="O1323" s="16">
        <f t="shared" si="183"/>
        <v>42868</v>
      </c>
      <c r="P1323" s="16">
        <f t="shared" si="184"/>
        <v>17444</v>
      </c>
      <c r="Q1323" s="354">
        <f t="shared" si="185"/>
        <v>40.692357935989548</v>
      </c>
    </row>
    <row r="1324" spans="2:17" x14ac:dyDescent="0.2">
      <c r="B1324" s="6">
        <f t="shared" si="180"/>
        <v>830</v>
      </c>
      <c r="C1324" s="12"/>
      <c r="D1324" s="12"/>
      <c r="E1324" s="12"/>
      <c r="F1324" s="13" t="s">
        <v>49</v>
      </c>
      <c r="G1324" s="14">
        <v>620</v>
      </c>
      <c r="H1324" s="12" t="s">
        <v>121</v>
      </c>
      <c r="I1324" s="15">
        <v>15090</v>
      </c>
      <c r="J1324" s="15">
        <v>6271</v>
      </c>
      <c r="K1324" s="354">
        <f t="shared" si="182"/>
        <v>41.557322730284959</v>
      </c>
      <c r="L1324" s="15"/>
      <c r="M1324" s="15"/>
      <c r="N1324" s="354"/>
      <c r="O1324" s="16">
        <f t="shared" si="183"/>
        <v>15090</v>
      </c>
      <c r="P1324" s="16">
        <f t="shared" si="184"/>
        <v>6271</v>
      </c>
      <c r="Q1324" s="354">
        <f t="shared" si="185"/>
        <v>41.557322730284959</v>
      </c>
    </row>
    <row r="1325" spans="2:17" x14ac:dyDescent="0.2">
      <c r="B1325" s="6">
        <f t="shared" si="180"/>
        <v>831</v>
      </c>
      <c r="C1325" s="12"/>
      <c r="D1325" s="12"/>
      <c r="E1325" s="12"/>
      <c r="F1325" s="13" t="s">
        <v>49</v>
      </c>
      <c r="G1325" s="14">
        <v>630</v>
      </c>
      <c r="H1325" s="12" t="s">
        <v>118</v>
      </c>
      <c r="I1325" s="15">
        <f>SUM(I1326:I1329)</f>
        <v>84248</v>
      </c>
      <c r="J1325" s="15">
        <f>SUM(J1326:J1329)</f>
        <v>67679</v>
      </c>
      <c r="K1325" s="354">
        <f t="shared" si="182"/>
        <v>80.333064286392556</v>
      </c>
      <c r="L1325" s="15"/>
      <c r="M1325" s="15"/>
      <c r="N1325" s="354"/>
      <c r="O1325" s="16">
        <f t="shared" si="183"/>
        <v>84248</v>
      </c>
      <c r="P1325" s="16">
        <f t="shared" si="184"/>
        <v>67679</v>
      </c>
      <c r="Q1325" s="354">
        <f t="shared" si="185"/>
        <v>80.333064286392556</v>
      </c>
    </row>
    <row r="1326" spans="2:17" x14ac:dyDescent="0.2">
      <c r="B1326" s="6">
        <f t="shared" si="180"/>
        <v>832</v>
      </c>
      <c r="C1326" s="17"/>
      <c r="D1326" s="17"/>
      <c r="E1326" s="17"/>
      <c r="F1326" s="18"/>
      <c r="G1326" s="19">
        <v>632</v>
      </c>
      <c r="H1326" s="17" t="s">
        <v>131</v>
      </c>
      <c r="I1326" s="20">
        <v>15300</v>
      </c>
      <c r="J1326" s="20">
        <v>5604</v>
      </c>
      <c r="K1326" s="354">
        <f t="shared" si="182"/>
        <v>36.627450980392155</v>
      </c>
      <c r="L1326" s="20"/>
      <c r="M1326" s="20"/>
      <c r="N1326" s="354"/>
      <c r="O1326" s="21">
        <f t="shared" si="183"/>
        <v>15300</v>
      </c>
      <c r="P1326" s="21">
        <f t="shared" si="184"/>
        <v>5604</v>
      </c>
      <c r="Q1326" s="354">
        <f t="shared" si="185"/>
        <v>36.627450980392155</v>
      </c>
    </row>
    <row r="1327" spans="2:17" x14ac:dyDescent="0.2">
      <c r="B1327" s="6">
        <f t="shared" si="180"/>
        <v>833</v>
      </c>
      <c r="C1327" s="17"/>
      <c r="D1327" s="17"/>
      <c r="E1327" s="17"/>
      <c r="F1327" s="18"/>
      <c r="G1327" s="19">
        <v>633</v>
      </c>
      <c r="H1327" s="17" t="s">
        <v>122</v>
      </c>
      <c r="I1327" s="20">
        <v>62738</v>
      </c>
      <c r="J1327" s="20">
        <v>60600</v>
      </c>
      <c r="K1327" s="354">
        <f t="shared" si="182"/>
        <v>96.592176990021997</v>
      </c>
      <c r="L1327" s="20"/>
      <c r="M1327" s="20"/>
      <c r="N1327" s="354"/>
      <c r="O1327" s="21">
        <f t="shared" si="183"/>
        <v>62738</v>
      </c>
      <c r="P1327" s="21">
        <f t="shared" si="184"/>
        <v>60600</v>
      </c>
      <c r="Q1327" s="354">
        <f t="shared" si="185"/>
        <v>96.592176990021997</v>
      </c>
    </row>
    <row r="1328" spans="2:17" x14ac:dyDescent="0.2">
      <c r="B1328" s="6">
        <f t="shared" si="180"/>
        <v>834</v>
      </c>
      <c r="C1328" s="17"/>
      <c r="D1328" s="17"/>
      <c r="E1328" s="17"/>
      <c r="F1328" s="18"/>
      <c r="G1328" s="19">
        <v>635</v>
      </c>
      <c r="H1328" s="17" t="s">
        <v>130</v>
      </c>
      <c r="I1328" s="20">
        <v>2600</v>
      </c>
      <c r="J1328" s="20">
        <v>0</v>
      </c>
      <c r="K1328" s="354">
        <f t="shared" si="182"/>
        <v>0</v>
      </c>
      <c r="L1328" s="20"/>
      <c r="M1328" s="20"/>
      <c r="N1328" s="354"/>
      <c r="O1328" s="21">
        <f t="shared" si="183"/>
        <v>2600</v>
      </c>
      <c r="P1328" s="21">
        <f t="shared" si="184"/>
        <v>0</v>
      </c>
      <c r="Q1328" s="354">
        <f t="shared" si="185"/>
        <v>0</v>
      </c>
    </row>
    <row r="1329" spans="2:17" x14ac:dyDescent="0.2">
      <c r="B1329" s="6">
        <f t="shared" si="180"/>
        <v>835</v>
      </c>
      <c r="C1329" s="17"/>
      <c r="D1329" s="17"/>
      <c r="E1329" s="17"/>
      <c r="F1329" s="18"/>
      <c r="G1329" s="19">
        <v>637</v>
      </c>
      <c r="H1329" s="17" t="s">
        <v>119</v>
      </c>
      <c r="I1329" s="20">
        <v>3610</v>
      </c>
      <c r="J1329" s="20">
        <v>1475</v>
      </c>
      <c r="K1329" s="354">
        <f t="shared" si="182"/>
        <v>40.858725761772853</v>
      </c>
      <c r="L1329" s="20"/>
      <c r="M1329" s="20"/>
      <c r="N1329" s="354"/>
      <c r="O1329" s="21">
        <f t="shared" si="183"/>
        <v>3610</v>
      </c>
      <c r="P1329" s="21">
        <f t="shared" si="184"/>
        <v>1475</v>
      </c>
      <c r="Q1329" s="354">
        <f t="shared" si="185"/>
        <v>40.858725761772853</v>
      </c>
    </row>
    <row r="1330" spans="2:17" x14ac:dyDescent="0.2">
      <c r="B1330" s="6">
        <f t="shared" si="180"/>
        <v>836</v>
      </c>
      <c r="C1330" s="12"/>
      <c r="D1330" s="12"/>
      <c r="E1330" s="12"/>
      <c r="F1330" s="13" t="s">
        <v>49</v>
      </c>
      <c r="G1330" s="14">
        <v>640</v>
      </c>
      <c r="H1330" s="12" t="s">
        <v>126</v>
      </c>
      <c r="I1330" s="15">
        <v>300</v>
      </c>
      <c r="J1330" s="15">
        <v>0</v>
      </c>
      <c r="K1330" s="354">
        <f t="shared" si="182"/>
        <v>0</v>
      </c>
      <c r="L1330" s="15"/>
      <c r="M1330" s="15"/>
      <c r="N1330" s="354"/>
      <c r="O1330" s="16">
        <f t="shared" si="183"/>
        <v>300</v>
      </c>
      <c r="P1330" s="16">
        <f t="shared" si="184"/>
        <v>0</v>
      </c>
      <c r="Q1330" s="354">
        <f t="shared" si="185"/>
        <v>0</v>
      </c>
    </row>
    <row r="1331" spans="2:17" x14ac:dyDescent="0.2">
      <c r="B1331" s="6">
        <f t="shared" si="180"/>
        <v>837</v>
      </c>
      <c r="C1331" s="12"/>
      <c r="D1331" s="12"/>
      <c r="E1331" s="12"/>
      <c r="F1331" s="13" t="s">
        <v>79</v>
      </c>
      <c r="G1331" s="14">
        <v>710</v>
      </c>
      <c r="H1331" s="12" t="s">
        <v>172</v>
      </c>
      <c r="I1331" s="15"/>
      <c r="J1331" s="15"/>
      <c r="K1331" s="354"/>
      <c r="L1331" s="15">
        <f>L1332</f>
        <v>5437</v>
      </c>
      <c r="M1331" s="15">
        <f>M1332</f>
        <v>5437</v>
      </c>
      <c r="N1331" s="354">
        <f>M1331/L1331*100</f>
        <v>100</v>
      </c>
      <c r="O1331" s="16">
        <f t="shared" si="183"/>
        <v>5437</v>
      </c>
      <c r="P1331" s="16">
        <f t="shared" si="184"/>
        <v>5437</v>
      </c>
      <c r="Q1331" s="354">
        <f t="shared" si="185"/>
        <v>100</v>
      </c>
    </row>
    <row r="1332" spans="2:17" x14ac:dyDescent="0.2">
      <c r="B1332" s="6">
        <f t="shared" si="180"/>
        <v>838</v>
      </c>
      <c r="C1332" s="12"/>
      <c r="D1332" s="12"/>
      <c r="E1332" s="12"/>
      <c r="F1332" s="18"/>
      <c r="G1332" s="19">
        <v>713</v>
      </c>
      <c r="H1332" s="17" t="s">
        <v>215</v>
      </c>
      <c r="I1332" s="15"/>
      <c r="J1332" s="15"/>
      <c r="K1332" s="354"/>
      <c r="L1332" s="20">
        <f>L1333</f>
        <v>5437</v>
      </c>
      <c r="M1332" s="20">
        <f>M1333</f>
        <v>5437</v>
      </c>
      <c r="N1332" s="354">
        <f>M1332/L1332*100</f>
        <v>100</v>
      </c>
      <c r="O1332" s="21">
        <f t="shared" si="183"/>
        <v>5437</v>
      </c>
      <c r="P1332" s="21">
        <f t="shared" si="184"/>
        <v>5437</v>
      </c>
      <c r="Q1332" s="354">
        <f t="shared" si="185"/>
        <v>100</v>
      </c>
    </row>
    <row r="1333" spans="2:17" x14ac:dyDescent="0.2">
      <c r="B1333" s="6">
        <f t="shared" ref="B1333:B1352" si="186">B1332+1</f>
        <v>839</v>
      </c>
      <c r="C1333" s="12"/>
      <c r="D1333" s="12"/>
      <c r="E1333" s="12"/>
      <c r="F1333" s="99"/>
      <c r="G1333" s="23"/>
      <c r="H1333" s="1" t="s">
        <v>700</v>
      </c>
      <c r="I1333" s="15"/>
      <c r="J1333" s="15"/>
      <c r="K1333" s="354"/>
      <c r="L1333" s="24">
        <v>5437</v>
      </c>
      <c r="M1333" s="24">
        <v>5437</v>
      </c>
      <c r="N1333" s="354">
        <f>M1333/L1333*100</f>
        <v>100</v>
      </c>
      <c r="O1333" s="26">
        <f t="shared" si="183"/>
        <v>5437</v>
      </c>
      <c r="P1333" s="26">
        <f t="shared" si="184"/>
        <v>5437</v>
      </c>
      <c r="Q1333" s="354">
        <f t="shared" si="185"/>
        <v>100</v>
      </c>
    </row>
    <row r="1334" spans="2:17" ht="15" x14ac:dyDescent="0.2">
      <c r="B1334" s="6">
        <f t="shared" si="186"/>
        <v>840</v>
      </c>
      <c r="C1334" s="9">
        <v>5</v>
      </c>
      <c r="D1334" s="459" t="s">
        <v>117</v>
      </c>
      <c r="E1334" s="460"/>
      <c r="F1334" s="460"/>
      <c r="G1334" s="460"/>
      <c r="H1334" s="460"/>
      <c r="I1334" s="10">
        <f>I1335+I1338+I1345+I1350</f>
        <v>233167</v>
      </c>
      <c r="J1334" s="10">
        <f>J1335+J1338+J1345+J1350</f>
        <v>64137</v>
      </c>
      <c r="K1334" s="354">
        <f t="shared" ref="K1334:K1352" si="187">J1334/I1334*100</f>
        <v>27.506894200294209</v>
      </c>
      <c r="L1334" s="10"/>
      <c r="M1334" s="10"/>
      <c r="N1334" s="354"/>
      <c r="O1334" s="31">
        <f t="shared" si="183"/>
        <v>233167</v>
      </c>
      <c r="P1334" s="31">
        <f t="shared" si="184"/>
        <v>64137</v>
      </c>
      <c r="Q1334" s="354">
        <f t="shared" si="185"/>
        <v>27.506894200294209</v>
      </c>
    </row>
    <row r="1335" spans="2:17" x14ac:dyDescent="0.2">
      <c r="B1335" s="6">
        <f t="shared" si="186"/>
        <v>841</v>
      </c>
      <c r="C1335" s="105"/>
      <c r="D1335" s="105"/>
      <c r="E1335" s="105"/>
      <c r="F1335" s="106"/>
      <c r="G1335" s="106"/>
      <c r="H1335" s="105" t="s">
        <v>125</v>
      </c>
      <c r="I1335" s="107">
        <f>I1336</f>
        <v>4900</v>
      </c>
      <c r="J1335" s="107">
        <f>J1336</f>
        <v>530</v>
      </c>
      <c r="K1335" s="354">
        <f t="shared" si="187"/>
        <v>10.816326530612246</v>
      </c>
      <c r="L1335" s="107"/>
      <c r="M1335" s="107"/>
      <c r="N1335" s="354"/>
      <c r="O1335" s="108">
        <f t="shared" si="183"/>
        <v>4900</v>
      </c>
      <c r="P1335" s="108">
        <f t="shared" si="184"/>
        <v>530</v>
      </c>
      <c r="Q1335" s="354">
        <f t="shared" si="185"/>
        <v>10.816326530612246</v>
      </c>
    </row>
    <row r="1336" spans="2:17" x14ac:dyDescent="0.2">
      <c r="B1336" s="6">
        <f t="shared" si="186"/>
        <v>842</v>
      </c>
      <c r="C1336" s="12"/>
      <c r="D1336" s="12"/>
      <c r="E1336" s="12"/>
      <c r="F1336" s="13" t="s">
        <v>50</v>
      </c>
      <c r="G1336" s="14">
        <v>630</v>
      </c>
      <c r="H1336" s="12" t="s">
        <v>118</v>
      </c>
      <c r="I1336" s="15">
        <v>4900</v>
      </c>
      <c r="J1336" s="15">
        <f>J1337</f>
        <v>530</v>
      </c>
      <c r="K1336" s="354">
        <f t="shared" si="187"/>
        <v>10.816326530612246</v>
      </c>
      <c r="L1336" s="15"/>
      <c r="M1336" s="15"/>
      <c r="N1336" s="354"/>
      <c r="O1336" s="16">
        <f t="shared" si="183"/>
        <v>4900</v>
      </c>
      <c r="P1336" s="16">
        <f t="shared" si="184"/>
        <v>530</v>
      </c>
      <c r="Q1336" s="354">
        <f t="shared" si="185"/>
        <v>10.816326530612246</v>
      </c>
    </row>
    <row r="1337" spans="2:17" x14ac:dyDescent="0.2">
      <c r="B1337" s="6">
        <f t="shared" si="186"/>
        <v>843</v>
      </c>
      <c r="C1337" s="17"/>
      <c r="D1337" s="17"/>
      <c r="E1337" s="17"/>
      <c r="F1337" s="18"/>
      <c r="G1337" s="19">
        <v>633</v>
      </c>
      <c r="H1337" s="17" t="s">
        <v>122</v>
      </c>
      <c r="I1337" s="20">
        <v>4900</v>
      </c>
      <c r="J1337" s="20">
        <v>530</v>
      </c>
      <c r="K1337" s="354">
        <f t="shared" si="187"/>
        <v>10.816326530612246</v>
      </c>
      <c r="L1337" s="20"/>
      <c r="M1337" s="20"/>
      <c r="N1337" s="354"/>
      <c r="O1337" s="21">
        <f t="shared" si="183"/>
        <v>4900</v>
      </c>
      <c r="P1337" s="21">
        <f t="shared" si="184"/>
        <v>530</v>
      </c>
      <c r="Q1337" s="354">
        <f t="shared" si="185"/>
        <v>10.816326530612246</v>
      </c>
    </row>
    <row r="1338" spans="2:17" x14ac:dyDescent="0.2">
      <c r="B1338" s="6">
        <f t="shared" si="186"/>
        <v>844</v>
      </c>
      <c r="C1338" s="105"/>
      <c r="D1338" s="105"/>
      <c r="E1338" s="105"/>
      <c r="F1338" s="106"/>
      <c r="G1338" s="106"/>
      <c r="H1338" s="105" t="s">
        <v>120</v>
      </c>
      <c r="I1338" s="107">
        <f>I1339+I1340+I1341+I1344</f>
        <v>87395</v>
      </c>
      <c r="J1338" s="107">
        <f>J1339+J1340+J1341+J1344</f>
        <v>33607</v>
      </c>
      <c r="K1338" s="354">
        <f t="shared" si="187"/>
        <v>38.454144973968759</v>
      </c>
      <c r="L1338" s="107"/>
      <c r="M1338" s="107"/>
      <c r="N1338" s="354"/>
      <c r="O1338" s="108">
        <f t="shared" si="183"/>
        <v>87395</v>
      </c>
      <c r="P1338" s="108">
        <f t="shared" si="184"/>
        <v>33607</v>
      </c>
      <c r="Q1338" s="354">
        <f t="shared" si="185"/>
        <v>38.454144973968759</v>
      </c>
    </row>
    <row r="1339" spans="2:17" x14ac:dyDescent="0.2">
      <c r="B1339" s="6">
        <f t="shared" si="186"/>
        <v>845</v>
      </c>
      <c r="C1339" s="12"/>
      <c r="D1339" s="12"/>
      <c r="E1339" s="12"/>
      <c r="F1339" s="13" t="s">
        <v>50</v>
      </c>
      <c r="G1339" s="14">
        <v>610</v>
      </c>
      <c r="H1339" s="12" t="s">
        <v>128</v>
      </c>
      <c r="I1339" s="15">
        <f>42000+19320</f>
        <v>61320</v>
      </c>
      <c r="J1339" s="15">
        <f>20983+1920</f>
        <v>22903</v>
      </c>
      <c r="K1339" s="354">
        <f t="shared" si="187"/>
        <v>37.349967384213961</v>
      </c>
      <c r="L1339" s="15"/>
      <c r="M1339" s="15"/>
      <c r="N1339" s="354"/>
      <c r="O1339" s="16">
        <f t="shared" si="183"/>
        <v>61320</v>
      </c>
      <c r="P1339" s="16">
        <f t="shared" si="184"/>
        <v>22903</v>
      </c>
      <c r="Q1339" s="354">
        <f t="shared" si="185"/>
        <v>37.349967384213961</v>
      </c>
    </row>
    <row r="1340" spans="2:17" x14ac:dyDescent="0.2">
      <c r="B1340" s="6">
        <f t="shared" si="186"/>
        <v>846</v>
      </c>
      <c r="C1340" s="12"/>
      <c r="D1340" s="12"/>
      <c r="E1340" s="12"/>
      <c r="F1340" s="13" t="s">
        <v>50</v>
      </c>
      <c r="G1340" s="14">
        <v>620</v>
      </c>
      <c r="H1340" s="12" t="s">
        <v>121</v>
      </c>
      <c r="I1340" s="15">
        <f>15519+7140</f>
        <v>22659</v>
      </c>
      <c r="J1340" s="15">
        <f>8105+690</f>
        <v>8795</v>
      </c>
      <c r="K1340" s="354">
        <f t="shared" si="187"/>
        <v>38.814599055562908</v>
      </c>
      <c r="L1340" s="15"/>
      <c r="M1340" s="15"/>
      <c r="N1340" s="354"/>
      <c r="O1340" s="16">
        <f t="shared" si="183"/>
        <v>22659</v>
      </c>
      <c r="P1340" s="16">
        <f t="shared" si="184"/>
        <v>8795</v>
      </c>
      <c r="Q1340" s="354">
        <f t="shared" si="185"/>
        <v>38.814599055562908</v>
      </c>
    </row>
    <row r="1341" spans="2:17" x14ac:dyDescent="0.2">
      <c r="B1341" s="6">
        <f t="shared" si="186"/>
        <v>847</v>
      </c>
      <c r="C1341" s="12"/>
      <c r="D1341" s="12"/>
      <c r="E1341" s="12"/>
      <c r="F1341" s="13" t="s">
        <v>50</v>
      </c>
      <c r="G1341" s="14">
        <v>630</v>
      </c>
      <c r="H1341" s="12" t="s">
        <v>118</v>
      </c>
      <c r="I1341" s="15">
        <f>SUM(I1342:I1343)</f>
        <v>1716</v>
      </c>
      <c r="J1341" s="15">
        <f>SUM(J1342:J1343)</f>
        <v>771</v>
      </c>
      <c r="K1341" s="354">
        <f t="shared" si="187"/>
        <v>44.930069930069934</v>
      </c>
      <c r="L1341" s="15"/>
      <c r="M1341" s="15"/>
      <c r="N1341" s="354"/>
      <c r="O1341" s="16">
        <f t="shared" si="183"/>
        <v>1716</v>
      </c>
      <c r="P1341" s="16">
        <f t="shared" si="184"/>
        <v>771</v>
      </c>
      <c r="Q1341" s="354">
        <f t="shared" si="185"/>
        <v>44.930069930069934</v>
      </c>
    </row>
    <row r="1342" spans="2:17" x14ac:dyDescent="0.2">
      <c r="B1342" s="6">
        <f t="shared" si="186"/>
        <v>848</v>
      </c>
      <c r="C1342" s="17"/>
      <c r="D1342" s="17"/>
      <c r="E1342" s="17"/>
      <c r="F1342" s="18"/>
      <c r="G1342" s="19">
        <v>633</v>
      </c>
      <c r="H1342" s="17" t="s">
        <v>122</v>
      </c>
      <c r="I1342" s="20">
        <v>400</v>
      </c>
      <c r="J1342" s="20">
        <v>0</v>
      </c>
      <c r="K1342" s="354">
        <f t="shared" si="187"/>
        <v>0</v>
      </c>
      <c r="L1342" s="20"/>
      <c r="M1342" s="20"/>
      <c r="N1342" s="354"/>
      <c r="O1342" s="21">
        <f t="shared" si="183"/>
        <v>400</v>
      </c>
      <c r="P1342" s="21">
        <f t="shared" si="184"/>
        <v>0</v>
      </c>
      <c r="Q1342" s="354">
        <f t="shared" si="185"/>
        <v>0</v>
      </c>
    </row>
    <row r="1343" spans="2:17" x14ac:dyDescent="0.2">
      <c r="B1343" s="6">
        <f t="shared" si="186"/>
        <v>849</v>
      </c>
      <c r="C1343" s="17"/>
      <c r="D1343" s="17"/>
      <c r="E1343" s="17"/>
      <c r="F1343" s="18"/>
      <c r="G1343" s="19">
        <v>637</v>
      </c>
      <c r="H1343" s="17" t="s">
        <v>119</v>
      </c>
      <c r="I1343" s="20">
        <v>1316</v>
      </c>
      <c r="J1343" s="20">
        <f>237+258+275+1</f>
        <v>771</v>
      </c>
      <c r="K1343" s="354">
        <f t="shared" si="187"/>
        <v>58.586626139817632</v>
      </c>
      <c r="L1343" s="20"/>
      <c r="M1343" s="20"/>
      <c r="N1343" s="354"/>
      <c r="O1343" s="21">
        <f t="shared" si="183"/>
        <v>1316</v>
      </c>
      <c r="P1343" s="21">
        <f t="shared" si="184"/>
        <v>771</v>
      </c>
      <c r="Q1343" s="354">
        <f t="shared" si="185"/>
        <v>58.586626139817632</v>
      </c>
    </row>
    <row r="1344" spans="2:17" x14ac:dyDescent="0.2">
      <c r="B1344" s="6">
        <f t="shared" si="186"/>
        <v>850</v>
      </c>
      <c r="C1344" s="17"/>
      <c r="D1344" s="17"/>
      <c r="E1344" s="17"/>
      <c r="F1344" s="18" t="s">
        <v>50</v>
      </c>
      <c r="G1344" s="14">
        <v>640</v>
      </c>
      <c r="H1344" s="12" t="s">
        <v>126</v>
      </c>
      <c r="I1344" s="15">
        <v>1700</v>
      </c>
      <c r="J1344" s="15">
        <f>415+723</f>
        <v>1138</v>
      </c>
      <c r="K1344" s="354">
        <f t="shared" si="187"/>
        <v>66.941176470588232</v>
      </c>
      <c r="L1344" s="20"/>
      <c r="M1344" s="20"/>
      <c r="N1344" s="354"/>
      <c r="O1344" s="21">
        <f t="shared" si="183"/>
        <v>1700</v>
      </c>
      <c r="P1344" s="21">
        <f t="shared" si="184"/>
        <v>1138</v>
      </c>
      <c r="Q1344" s="354">
        <f t="shared" si="185"/>
        <v>66.941176470588232</v>
      </c>
    </row>
    <row r="1345" spans="2:17" x14ac:dyDescent="0.2">
      <c r="B1345" s="6">
        <f t="shared" si="186"/>
        <v>851</v>
      </c>
      <c r="C1345" s="110"/>
      <c r="D1345" s="110"/>
      <c r="E1345" s="110"/>
      <c r="F1345" s="111"/>
      <c r="G1345" s="112"/>
      <c r="H1345" s="110" t="s">
        <v>336</v>
      </c>
      <c r="I1345" s="113">
        <f>I1346</f>
        <v>30000</v>
      </c>
      <c r="J1345" s="113">
        <f>J1346</f>
        <v>30000</v>
      </c>
      <c r="K1345" s="354">
        <f t="shared" si="187"/>
        <v>100</v>
      </c>
      <c r="L1345" s="113"/>
      <c r="M1345" s="113"/>
      <c r="N1345" s="354"/>
      <c r="O1345" s="114">
        <f t="shared" si="183"/>
        <v>30000</v>
      </c>
      <c r="P1345" s="114">
        <f t="shared" si="184"/>
        <v>30000</v>
      </c>
      <c r="Q1345" s="354">
        <f t="shared" si="185"/>
        <v>100</v>
      </c>
    </row>
    <row r="1346" spans="2:17" x14ac:dyDescent="0.2">
      <c r="B1346" s="6">
        <f t="shared" si="186"/>
        <v>852</v>
      </c>
      <c r="C1346" s="12"/>
      <c r="D1346" s="12"/>
      <c r="E1346" s="12"/>
      <c r="F1346" s="13" t="s">
        <v>50</v>
      </c>
      <c r="G1346" s="14">
        <v>640</v>
      </c>
      <c r="H1346" s="12" t="s">
        <v>126</v>
      </c>
      <c r="I1346" s="15">
        <f>SUM(I1347:I1349)</f>
        <v>30000</v>
      </c>
      <c r="J1346" s="15">
        <f>SUM(J1347:J1349)</f>
        <v>30000</v>
      </c>
      <c r="K1346" s="354">
        <f t="shared" si="187"/>
        <v>100</v>
      </c>
      <c r="L1346" s="15"/>
      <c r="M1346" s="15"/>
      <c r="N1346" s="354"/>
      <c r="O1346" s="16">
        <f t="shared" si="183"/>
        <v>30000</v>
      </c>
      <c r="P1346" s="16">
        <f t="shared" si="184"/>
        <v>30000</v>
      </c>
      <c r="Q1346" s="354">
        <f t="shared" si="185"/>
        <v>100</v>
      </c>
    </row>
    <row r="1347" spans="2:17" x14ac:dyDescent="0.2">
      <c r="B1347" s="6">
        <f t="shared" si="186"/>
        <v>853</v>
      </c>
      <c r="C1347" s="17"/>
      <c r="D1347" s="17"/>
      <c r="E1347" s="17"/>
      <c r="F1347" s="18"/>
      <c r="G1347" s="19"/>
      <c r="H1347" s="17" t="s">
        <v>260</v>
      </c>
      <c r="I1347" s="20">
        <f>15000+620</f>
        <v>15620</v>
      </c>
      <c r="J1347" s="20">
        <f>14200+320+800+300</f>
        <v>15620</v>
      </c>
      <c r="K1347" s="354">
        <f t="shared" si="187"/>
        <v>100</v>
      </c>
      <c r="L1347" s="20"/>
      <c r="M1347" s="20"/>
      <c r="N1347" s="354"/>
      <c r="O1347" s="21">
        <f t="shared" si="183"/>
        <v>15620</v>
      </c>
      <c r="P1347" s="21">
        <f t="shared" si="184"/>
        <v>15620</v>
      </c>
      <c r="Q1347" s="354">
        <f t="shared" si="185"/>
        <v>100</v>
      </c>
    </row>
    <row r="1348" spans="2:17" x14ac:dyDescent="0.2">
      <c r="B1348" s="6">
        <f t="shared" si="186"/>
        <v>854</v>
      </c>
      <c r="C1348" s="17"/>
      <c r="D1348" s="17"/>
      <c r="E1348" s="17"/>
      <c r="F1348" s="18"/>
      <c r="G1348" s="19"/>
      <c r="H1348" s="17" t="s">
        <v>13</v>
      </c>
      <c r="I1348" s="20">
        <f>15000-620-3500</f>
        <v>10880</v>
      </c>
      <c r="J1348" s="20">
        <v>10880</v>
      </c>
      <c r="K1348" s="354">
        <f t="shared" si="187"/>
        <v>100</v>
      </c>
      <c r="L1348" s="20"/>
      <c r="M1348" s="20"/>
      <c r="N1348" s="354"/>
      <c r="O1348" s="21">
        <f t="shared" si="183"/>
        <v>10880</v>
      </c>
      <c r="P1348" s="21">
        <f t="shared" si="184"/>
        <v>10880</v>
      </c>
      <c r="Q1348" s="354">
        <f t="shared" si="185"/>
        <v>100</v>
      </c>
    </row>
    <row r="1349" spans="2:17" ht="24" x14ac:dyDescent="0.2">
      <c r="B1349" s="6">
        <f t="shared" si="186"/>
        <v>855</v>
      </c>
      <c r="C1349" s="17"/>
      <c r="D1349" s="17"/>
      <c r="E1349" s="17"/>
      <c r="F1349" s="18"/>
      <c r="G1349" s="19"/>
      <c r="H1349" s="322" t="s">
        <v>686</v>
      </c>
      <c r="I1349" s="20">
        <v>3500</v>
      </c>
      <c r="J1349" s="20">
        <v>3500</v>
      </c>
      <c r="K1349" s="354">
        <f t="shared" si="187"/>
        <v>100</v>
      </c>
      <c r="L1349" s="20"/>
      <c r="M1349" s="20"/>
      <c r="N1349" s="354"/>
      <c r="O1349" s="21"/>
      <c r="P1349" s="21"/>
      <c r="Q1349" s="354"/>
    </row>
    <row r="1350" spans="2:17" x14ac:dyDescent="0.2">
      <c r="B1350" s="6">
        <f t="shared" si="186"/>
        <v>856</v>
      </c>
      <c r="C1350" s="110"/>
      <c r="D1350" s="110"/>
      <c r="E1350" s="110"/>
      <c r="F1350" s="111"/>
      <c r="G1350" s="112"/>
      <c r="H1350" s="110" t="s">
        <v>126</v>
      </c>
      <c r="I1350" s="113">
        <f>I1351</f>
        <v>110872</v>
      </c>
      <c r="J1350" s="113">
        <f>J1351</f>
        <v>0</v>
      </c>
      <c r="K1350" s="354">
        <f t="shared" si="187"/>
        <v>0</v>
      </c>
      <c r="L1350" s="113"/>
      <c r="M1350" s="113"/>
      <c r="N1350" s="354"/>
      <c r="O1350" s="114">
        <f t="shared" ref="O1350:P1352" si="188">I1350+L1350</f>
        <v>110872</v>
      </c>
      <c r="P1350" s="114">
        <f t="shared" si="188"/>
        <v>0</v>
      </c>
      <c r="Q1350" s="354">
        <f>P1350/O1350*100</f>
        <v>0</v>
      </c>
    </row>
    <row r="1351" spans="2:17" ht="24" x14ac:dyDescent="0.2">
      <c r="B1351" s="6">
        <f t="shared" si="186"/>
        <v>857</v>
      </c>
      <c r="C1351" s="52"/>
      <c r="D1351" s="52"/>
      <c r="E1351" s="52"/>
      <c r="F1351" s="53" t="s">
        <v>116</v>
      </c>
      <c r="G1351" s="54">
        <v>642</v>
      </c>
      <c r="H1351" s="55" t="s">
        <v>127</v>
      </c>
      <c r="I1351" s="56">
        <f>I1352</f>
        <v>110872</v>
      </c>
      <c r="J1351" s="56">
        <f>J1352</f>
        <v>0</v>
      </c>
      <c r="K1351" s="354">
        <f t="shared" si="187"/>
        <v>0</v>
      </c>
      <c r="L1351" s="56"/>
      <c r="M1351" s="56"/>
      <c r="N1351" s="354"/>
      <c r="O1351" s="57">
        <f t="shared" si="188"/>
        <v>110872</v>
      </c>
      <c r="P1351" s="57">
        <f t="shared" si="188"/>
        <v>0</v>
      </c>
      <c r="Q1351" s="354">
        <f>P1351/O1351*100</f>
        <v>0</v>
      </c>
    </row>
    <row r="1352" spans="2:17" ht="24" x14ac:dyDescent="0.2">
      <c r="B1352" s="155">
        <f t="shared" si="186"/>
        <v>858</v>
      </c>
      <c r="C1352" s="312"/>
      <c r="D1352" s="312"/>
      <c r="E1352" s="312"/>
      <c r="F1352" s="313"/>
      <c r="G1352" s="313"/>
      <c r="H1352" s="314" t="s">
        <v>352</v>
      </c>
      <c r="I1352" s="315">
        <f>172107-2727+2287-17503-10000-2169-31123</f>
        <v>110872</v>
      </c>
      <c r="J1352" s="315">
        <v>0</v>
      </c>
      <c r="K1352" s="354">
        <f t="shared" si="187"/>
        <v>0</v>
      </c>
      <c r="L1352" s="315"/>
      <c r="M1352" s="315"/>
      <c r="N1352" s="315"/>
      <c r="O1352" s="316">
        <f t="shared" si="188"/>
        <v>110872</v>
      </c>
      <c r="P1352" s="316">
        <f t="shared" si="188"/>
        <v>0</v>
      </c>
      <c r="Q1352" s="354">
        <f>P1352/O1352*100</f>
        <v>0</v>
      </c>
    </row>
    <row r="1355" spans="2:17" ht="27.75" x14ac:dyDescent="0.4">
      <c r="B1355" s="511" t="s">
        <v>394</v>
      </c>
      <c r="C1355" s="511"/>
      <c r="D1355" s="511"/>
      <c r="E1355" s="511"/>
      <c r="F1355" s="511"/>
      <c r="G1355" s="511"/>
      <c r="H1355" s="511"/>
      <c r="I1355" s="511"/>
      <c r="J1355" s="511"/>
      <c r="K1355" s="511"/>
      <c r="L1355" s="511"/>
      <c r="M1355" s="511"/>
      <c r="N1355" s="511"/>
      <c r="O1355" s="511"/>
    </row>
    <row r="1356" spans="2:17" ht="15" x14ac:dyDescent="0.35">
      <c r="B1356" s="461" t="s">
        <v>437</v>
      </c>
      <c r="C1356" s="462"/>
      <c r="D1356" s="462"/>
      <c r="E1356" s="462"/>
      <c r="F1356" s="462"/>
      <c r="G1356" s="462"/>
      <c r="H1356" s="462"/>
      <c r="I1356" s="462"/>
      <c r="J1356" s="462"/>
      <c r="K1356" s="462"/>
      <c r="L1356" s="462"/>
      <c r="M1356" s="462"/>
      <c r="N1356" s="463"/>
      <c r="O1356" s="466" t="s">
        <v>717</v>
      </c>
      <c r="P1356" s="466" t="s">
        <v>712</v>
      </c>
      <c r="Q1356" s="468" t="s">
        <v>711</v>
      </c>
    </row>
    <row r="1357" spans="2:17" x14ac:dyDescent="0.2">
      <c r="B1357" s="478"/>
      <c r="C1357" s="475" t="s">
        <v>111</v>
      </c>
      <c r="D1357" s="475" t="s">
        <v>112</v>
      </c>
      <c r="E1357" s="475"/>
      <c r="F1357" s="475" t="s">
        <v>113</v>
      </c>
      <c r="G1357" s="477" t="s">
        <v>114</v>
      </c>
      <c r="H1357" s="476" t="s">
        <v>115</v>
      </c>
      <c r="I1357" s="471" t="s">
        <v>713</v>
      </c>
      <c r="J1357" s="471" t="s">
        <v>714</v>
      </c>
      <c r="K1357" s="472" t="s">
        <v>711</v>
      </c>
      <c r="L1357" s="471" t="s">
        <v>715</v>
      </c>
      <c r="M1357" s="471" t="s">
        <v>716</v>
      </c>
      <c r="N1357" s="451" t="s">
        <v>711</v>
      </c>
      <c r="O1357" s="467"/>
      <c r="P1357" s="467"/>
      <c r="Q1357" s="469"/>
    </row>
    <row r="1358" spans="2:17" x14ac:dyDescent="0.2">
      <c r="B1358" s="478"/>
      <c r="C1358" s="475"/>
      <c r="D1358" s="475"/>
      <c r="E1358" s="475"/>
      <c r="F1358" s="475"/>
      <c r="G1358" s="477"/>
      <c r="H1358" s="476"/>
      <c r="I1358" s="471"/>
      <c r="J1358" s="471"/>
      <c r="K1358" s="473"/>
      <c r="L1358" s="471"/>
      <c r="M1358" s="471"/>
      <c r="N1358" s="452"/>
      <c r="O1358" s="467"/>
      <c r="P1358" s="467"/>
      <c r="Q1358" s="469"/>
    </row>
    <row r="1359" spans="2:17" x14ac:dyDescent="0.2">
      <c r="B1359" s="478"/>
      <c r="C1359" s="475"/>
      <c r="D1359" s="475"/>
      <c r="E1359" s="475"/>
      <c r="F1359" s="475"/>
      <c r="G1359" s="477"/>
      <c r="H1359" s="476"/>
      <c r="I1359" s="471"/>
      <c r="J1359" s="471"/>
      <c r="K1359" s="473"/>
      <c r="L1359" s="471"/>
      <c r="M1359" s="471"/>
      <c r="N1359" s="452"/>
      <c r="O1359" s="467"/>
      <c r="P1359" s="467"/>
      <c r="Q1359" s="469"/>
    </row>
    <row r="1360" spans="2:17" x14ac:dyDescent="0.2">
      <c r="B1360" s="478"/>
      <c r="C1360" s="475"/>
      <c r="D1360" s="475"/>
      <c r="E1360" s="475"/>
      <c r="F1360" s="475"/>
      <c r="G1360" s="477"/>
      <c r="H1360" s="476"/>
      <c r="I1360" s="471"/>
      <c r="J1360" s="471"/>
      <c r="K1360" s="474"/>
      <c r="L1360" s="471"/>
      <c r="M1360" s="471"/>
      <c r="N1360" s="452"/>
      <c r="O1360" s="467"/>
      <c r="P1360" s="467"/>
      <c r="Q1360" s="470"/>
    </row>
    <row r="1361" spans="2:17" ht="15.75" x14ac:dyDescent="0.2">
      <c r="B1361" s="6">
        <v>1</v>
      </c>
      <c r="C1361" s="505" t="s">
        <v>394</v>
      </c>
      <c r="D1361" s="506"/>
      <c r="E1361" s="506"/>
      <c r="F1361" s="506"/>
      <c r="G1361" s="506"/>
      <c r="H1361" s="507"/>
      <c r="I1361" s="7">
        <f>I1362+I1365+I1381+I1438</f>
        <v>2967185</v>
      </c>
      <c r="J1361" s="7">
        <f>J1362+J1365+J1381+J1438</f>
        <v>1613053</v>
      </c>
      <c r="K1361" s="354">
        <f t="shared" ref="K1361:K1378" si="189">J1361/I1361*100</f>
        <v>54.363074766150412</v>
      </c>
      <c r="L1361" s="7">
        <f>L1438+L1381+L1365+L1362</f>
        <v>45006636</v>
      </c>
      <c r="M1361" s="7">
        <f>M1438+M1381+M1365+M1362</f>
        <v>5365178</v>
      </c>
      <c r="N1361" s="354">
        <f>M1361/L1361*100</f>
        <v>11.920859848312148</v>
      </c>
      <c r="O1361" s="8">
        <f t="shared" ref="O1361:O1392" si="190">I1361+L1361</f>
        <v>47973821</v>
      </c>
      <c r="P1361" s="8">
        <f t="shared" ref="P1361:P1392" si="191">J1361+M1361</f>
        <v>6978231</v>
      </c>
      <c r="Q1361" s="354">
        <f t="shared" ref="Q1361:Q1392" si="192">P1361/O1361*100</f>
        <v>14.545914531177326</v>
      </c>
    </row>
    <row r="1362" spans="2:17" ht="15" x14ac:dyDescent="0.2">
      <c r="B1362" s="6">
        <f t="shared" ref="B1362:B1393" si="193">B1361+1</f>
        <v>2</v>
      </c>
      <c r="C1362" s="9">
        <v>1</v>
      </c>
      <c r="D1362" s="508" t="s">
        <v>224</v>
      </c>
      <c r="E1362" s="509"/>
      <c r="F1362" s="509"/>
      <c r="G1362" s="509"/>
      <c r="H1362" s="510"/>
      <c r="I1362" s="10">
        <f>I1363</f>
        <v>6000</v>
      </c>
      <c r="J1362" s="10">
        <f>J1363</f>
        <v>5958</v>
      </c>
      <c r="K1362" s="354">
        <f t="shared" si="189"/>
        <v>99.3</v>
      </c>
      <c r="L1362" s="10"/>
      <c r="M1362" s="10"/>
      <c r="N1362" s="354"/>
      <c r="O1362" s="31">
        <f t="shared" si="190"/>
        <v>6000</v>
      </c>
      <c r="P1362" s="31">
        <f t="shared" si="191"/>
        <v>5958</v>
      </c>
      <c r="Q1362" s="354">
        <f t="shared" si="192"/>
        <v>99.3</v>
      </c>
    </row>
    <row r="1363" spans="2:17" x14ac:dyDescent="0.2">
      <c r="B1363" s="6">
        <f t="shared" si="193"/>
        <v>3</v>
      </c>
      <c r="C1363" s="12"/>
      <c r="D1363" s="12"/>
      <c r="E1363" s="12"/>
      <c r="F1363" s="13" t="s">
        <v>176</v>
      </c>
      <c r="G1363" s="14">
        <v>630</v>
      </c>
      <c r="H1363" s="12" t="s">
        <v>118</v>
      </c>
      <c r="I1363" s="15">
        <f>I1364</f>
        <v>6000</v>
      </c>
      <c r="J1363" s="15">
        <f>J1364</f>
        <v>5958</v>
      </c>
      <c r="K1363" s="354">
        <f t="shared" si="189"/>
        <v>99.3</v>
      </c>
      <c r="L1363" s="15"/>
      <c r="M1363" s="15"/>
      <c r="N1363" s="354"/>
      <c r="O1363" s="16">
        <f t="shared" si="190"/>
        <v>6000</v>
      </c>
      <c r="P1363" s="16">
        <f t="shared" si="191"/>
        <v>5958</v>
      </c>
      <c r="Q1363" s="354">
        <f t="shared" si="192"/>
        <v>99.3</v>
      </c>
    </row>
    <row r="1364" spans="2:17" x14ac:dyDescent="0.2">
      <c r="B1364" s="6">
        <f t="shared" si="193"/>
        <v>4</v>
      </c>
      <c r="C1364" s="17"/>
      <c r="D1364" s="17"/>
      <c r="E1364" s="17"/>
      <c r="F1364" s="18"/>
      <c r="G1364" s="19">
        <v>637</v>
      </c>
      <c r="H1364" s="17" t="s">
        <v>119</v>
      </c>
      <c r="I1364" s="20">
        <v>6000</v>
      </c>
      <c r="J1364" s="20">
        <v>5958</v>
      </c>
      <c r="K1364" s="354">
        <f t="shared" si="189"/>
        <v>99.3</v>
      </c>
      <c r="L1364" s="20"/>
      <c r="M1364" s="20"/>
      <c r="N1364" s="354"/>
      <c r="O1364" s="21">
        <f t="shared" si="190"/>
        <v>6000</v>
      </c>
      <c r="P1364" s="21">
        <f t="shared" si="191"/>
        <v>5958</v>
      </c>
      <c r="Q1364" s="354">
        <f t="shared" si="192"/>
        <v>99.3</v>
      </c>
    </row>
    <row r="1365" spans="2:17" ht="15" x14ac:dyDescent="0.2">
      <c r="B1365" s="6">
        <f t="shared" si="193"/>
        <v>5</v>
      </c>
      <c r="C1365" s="9">
        <v>2</v>
      </c>
      <c r="D1365" s="508" t="s">
        <v>360</v>
      </c>
      <c r="E1365" s="509"/>
      <c r="F1365" s="509"/>
      <c r="G1365" s="509"/>
      <c r="H1365" s="510"/>
      <c r="I1365" s="10">
        <f>I1366</f>
        <v>221000</v>
      </c>
      <c r="J1365" s="10">
        <f>J1366</f>
        <v>210745</v>
      </c>
      <c r="K1365" s="354">
        <f t="shared" si="189"/>
        <v>95.359728506787334</v>
      </c>
      <c r="L1365" s="10">
        <f>L1379</f>
        <v>22200</v>
      </c>
      <c r="M1365" s="10">
        <f>M1379</f>
        <v>0</v>
      </c>
      <c r="N1365" s="354">
        <f>M1365/L1365*100</f>
        <v>0</v>
      </c>
      <c r="O1365" s="31">
        <f t="shared" si="190"/>
        <v>243200</v>
      </c>
      <c r="P1365" s="31">
        <f t="shared" si="191"/>
        <v>210745</v>
      </c>
      <c r="Q1365" s="354">
        <f t="shared" si="192"/>
        <v>86.655016447368411</v>
      </c>
    </row>
    <row r="1366" spans="2:17" x14ac:dyDescent="0.2">
      <c r="B1366" s="6">
        <f t="shared" si="193"/>
        <v>6</v>
      </c>
      <c r="C1366" s="12"/>
      <c r="D1366" s="12"/>
      <c r="E1366" s="12"/>
      <c r="F1366" s="13" t="s">
        <v>176</v>
      </c>
      <c r="G1366" s="14">
        <v>640</v>
      </c>
      <c r="H1366" s="12" t="s">
        <v>126</v>
      </c>
      <c r="I1366" s="15">
        <f>SUM(I1367:I1378)</f>
        <v>221000</v>
      </c>
      <c r="J1366" s="15">
        <f>SUM(J1367:J1378)</f>
        <v>210745</v>
      </c>
      <c r="K1366" s="354">
        <f t="shared" si="189"/>
        <v>95.359728506787334</v>
      </c>
      <c r="L1366" s="15"/>
      <c r="M1366" s="15"/>
      <c r="N1366" s="354"/>
      <c r="O1366" s="16">
        <f t="shared" si="190"/>
        <v>221000</v>
      </c>
      <c r="P1366" s="16">
        <f t="shared" si="191"/>
        <v>210745</v>
      </c>
      <c r="Q1366" s="354">
        <f t="shared" si="192"/>
        <v>95.359728506787334</v>
      </c>
    </row>
    <row r="1367" spans="2:17" x14ac:dyDescent="0.2">
      <c r="B1367" s="6">
        <f t="shared" si="193"/>
        <v>7</v>
      </c>
      <c r="C1367" s="22"/>
      <c r="D1367" s="22"/>
      <c r="E1367" s="22"/>
      <c r="F1367" s="123"/>
      <c r="G1367" s="123"/>
      <c r="H1367" s="1" t="s">
        <v>435</v>
      </c>
      <c r="I1367" s="24">
        <f>40000-4386</f>
        <v>35614</v>
      </c>
      <c r="J1367" s="24">
        <f>32140+1119</f>
        <v>33259</v>
      </c>
      <c r="K1367" s="354">
        <f t="shared" si="189"/>
        <v>93.387431908799911</v>
      </c>
      <c r="L1367" s="25"/>
      <c r="M1367" s="25"/>
      <c r="N1367" s="354"/>
      <c r="O1367" s="26">
        <f t="shared" si="190"/>
        <v>35614</v>
      </c>
      <c r="P1367" s="26">
        <f t="shared" si="191"/>
        <v>33259</v>
      </c>
      <c r="Q1367" s="354">
        <f t="shared" si="192"/>
        <v>93.387431908799911</v>
      </c>
    </row>
    <row r="1368" spans="2:17" x14ac:dyDescent="0.2">
      <c r="B1368" s="6">
        <f t="shared" si="193"/>
        <v>8</v>
      </c>
      <c r="C1368" s="22"/>
      <c r="D1368" s="22"/>
      <c r="E1368" s="22"/>
      <c r="F1368" s="123"/>
      <c r="G1368" s="123"/>
      <c r="H1368" s="1" t="s">
        <v>434</v>
      </c>
      <c r="I1368" s="24">
        <v>35000</v>
      </c>
      <c r="J1368" s="24">
        <f>600+2300+25200+2000</f>
        <v>30100</v>
      </c>
      <c r="K1368" s="354">
        <f t="shared" si="189"/>
        <v>86</v>
      </c>
      <c r="L1368" s="25"/>
      <c r="M1368" s="25"/>
      <c r="N1368" s="354"/>
      <c r="O1368" s="26">
        <f t="shared" si="190"/>
        <v>35000</v>
      </c>
      <c r="P1368" s="26">
        <f t="shared" si="191"/>
        <v>30100</v>
      </c>
      <c r="Q1368" s="354">
        <f t="shared" si="192"/>
        <v>86</v>
      </c>
    </row>
    <row r="1369" spans="2:17" ht="24" x14ac:dyDescent="0.2">
      <c r="B1369" s="6">
        <f t="shared" si="193"/>
        <v>9</v>
      </c>
      <c r="C1369" s="22"/>
      <c r="D1369" s="22"/>
      <c r="E1369" s="22"/>
      <c r="F1369" s="123"/>
      <c r="G1369" s="123"/>
      <c r="H1369" s="39" t="s">
        <v>653</v>
      </c>
      <c r="I1369" s="24">
        <v>4386</v>
      </c>
      <c r="J1369" s="24">
        <v>4386</v>
      </c>
      <c r="K1369" s="354">
        <f t="shared" si="189"/>
        <v>100</v>
      </c>
      <c r="L1369" s="25"/>
      <c r="M1369" s="25"/>
      <c r="N1369" s="354"/>
      <c r="O1369" s="26">
        <f t="shared" si="190"/>
        <v>4386</v>
      </c>
      <c r="P1369" s="26">
        <f t="shared" si="191"/>
        <v>4386</v>
      </c>
      <c r="Q1369" s="354">
        <f t="shared" si="192"/>
        <v>100</v>
      </c>
    </row>
    <row r="1370" spans="2:17" ht="24" x14ac:dyDescent="0.2">
      <c r="B1370" s="6">
        <f t="shared" si="193"/>
        <v>10</v>
      </c>
      <c r="C1370" s="22"/>
      <c r="D1370" s="22"/>
      <c r="E1370" s="22"/>
      <c r="F1370" s="123"/>
      <c r="G1370" s="123"/>
      <c r="H1370" s="39" t="s">
        <v>631</v>
      </c>
      <c r="I1370" s="24">
        <v>3000</v>
      </c>
      <c r="J1370" s="24">
        <v>3000</v>
      </c>
      <c r="K1370" s="354">
        <f t="shared" si="189"/>
        <v>100</v>
      </c>
      <c r="L1370" s="25"/>
      <c r="M1370" s="25"/>
      <c r="N1370" s="354"/>
      <c r="O1370" s="26">
        <f t="shared" si="190"/>
        <v>3000</v>
      </c>
      <c r="P1370" s="26">
        <f t="shared" si="191"/>
        <v>3000</v>
      </c>
      <c r="Q1370" s="354">
        <f t="shared" si="192"/>
        <v>100</v>
      </c>
    </row>
    <row r="1371" spans="2:17" x14ac:dyDescent="0.2">
      <c r="B1371" s="6">
        <f t="shared" si="193"/>
        <v>11</v>
      </c>
      <c r="C1371" s="22"/>
      <c r="D1371" s="22"/>
      <c r="E1371" s="22"/>
      <c r="F1371" s="123"/>
      <c r="G1371" s="123"/>
      <c r="H1371" s="39" t="s">
        <v>640</v>
      </c>
      <c r="I1371" s="24">
        <v>40500</v>
      </c>
      <c r="J1371" s="24">
        <v>40500</v>
      </c>
      <c r="K1371" s="354">
        <f t="shared" si="189"/>
        <v>100</v>
      </c>
      <c r="L1371" s="25"/>
      <c r="M1371" s="25"/>
      <c r="N1371" s="354"/>
      <c r="O1371" s="26">
        <f t="shared" si="190"/>
        <v>40500</v>
      </c>
      <c r="P1371" s="26">
        <f t="shared" si="191"/>
        <v>40500</v>
      </c>
      <c r="Q1371" s="354">
        <f t="shared" si="192"/>
        <v>100</v>
      </c>
    </row>
    <row r="1372" spans="2:17" ht="24" x14ac:dyDescent="0.2">
      <c r="B1372" s="6">
        <f t="shared" si="193"/>
        <v>12</v>
      </c>
      <c r="C1372" s="22"/>
      <c r="D1372" s="22"/>
      <c r="E1372" s="22"/>
      <c r="F1372" s="123"/>
      <c r="G1372" s="123"/>
      <c r="H1372" s="39" t="s">
        <v>687</v>
      </c>
      <c r="I1372" s="24">
        <v>3000</v>
      </c>
      <c r="J1372" s="24">
        <v>0</v>
      </c>
      <c r="K1372" s="354">
        <f t="shared" si="189"/>
        <v>0</v>
      </c>
      <c r="L1372" s="25"/>
      <c r="M1372" s="25"/>
      <c r="N1372" s="354"/>
      <c r="O1372" s="26">
        <f t="shared" si="190"/>
        <v>3000</v>
      </c>
      <c r="P1372" s="26">
        <f t="shared" si="191"/>
        <v>0</v>
      </c>
      <c r="Q1372" s="354">
        <f t="shared" si="192"/>
        <v>0</v>
      </c>
    </row>
    <row r="1373" spans="2:17" ht="24" x14ac:dyDescent="0.2">
      <c r="B1373" s="6">
        <f t="shared" si="193"/>
        <v>13</v>
      </c>
      <c r="C1373" s="22"/>
      <c r="D1373" s="22"/>
      <c r="E1373" s="22"/>
      <c r="F1373" s="123"/>
      <c r="G1373" s="123"/>
      <c r="H1373" s="39" t="s">
        <v>641</v>
      </c>
      <c r="I1373" s="24">
        <v>40500</v>
      </c>
      <c r="J1373" s="24">
        <v>40500</v>
      </c>
      <c r="K1373" s="354">
        <f t="shared" si="189"/>
        <v>100</v>
      </c>
      <c r="L1373" s="25"/>
      <c r="M1373" s="25"/>
      <c r="N1373" s="354"/>
      <c r="O1373" s="26">
        <f t="shared" si="190"/>
        <v>40500</v>
      </c>
      <c r="P1373" s="26">
        <f t="shared" si="191"/>
        <v>40500</v>
      </c>
      <c r="Q1373" s="354">
        <f t="shared" si="192"/>
        <v>100</v>
      </c>
    </row>
    <row r="1374" spans="2:17" ht="24" x14ac:dyDescent="0.2">
      <c r="B1374" s="6">
        <f t="shared" si="193"/>
        <v>14</v>
      </c>
      <c r="C1374" s="22"/>
      <c r="D1374" s="22"/>
      <c r="E1374" s="22"/>
      <c r="F1374" s="123"/>
      <c r="G1374" s="123"/>
      <c r="H1374" s="39" t="s">
        <v>642</v>
      </c>
      <c r="I1374" s="24">
        <v>12000</v>
      </c>
      <c r="J1374" s="24">
        <v>12000</v>
      </c>
      <c r="K1374" s="354">
        <f t="shared" si="189"/>
        <v>100</v>
      </c>
      <c r="L1374" s="25"/>
      <c r="M1374" s="25"/>
      <c r="N1374" s="354"/>
      <c r="O1374" s="26">
        <f t="shared" si="190"/>
        <v>12000</v>
      </c>
      <c r="P1374" s="26">
        <f t="shared" si="191"/>
        <v>12000</v>
      </c>
      <c r="Q1374" s="354">
        <f t="shared" si="192"/>
        <v>100</v>
      </c>
    </row>
    <row r="1375" spans="2:17" ht="24" x14ac:dyDescent="0.2">
      <c r="B1375" s="6">
        <f t="shared" si="193"/>
        <v>15</v>
      </c>
      <c r="C1375" s="22"/>
      <c r="D1375" s="22"/>
      <c r="E1375" s="22"/>
      <c r="F1375" s="123"/>
      <c r="G1375" s="123"/>
      <c r="H1375" s="39" t="s">
        <v>643</v>
      </c>
      <c r="I1375" s="24">
        <v>15000</v>
      </c>
      <c r="J1375" s="24">
        <v>15000</v>
      </c>
      <c r="K1375" s="354">
        <f t="shared" si="189"/>
        <v>100</v>
      </c>
      <c r="L1375" s="25"/>
      <c r="M1375" s="25"/>
      <c r="N1375" s="354"/>
      <c r="O1375" s="26">
        <f t="shared" si="190"/>
        <v>15000</v>
      </c>
      <c r="P1375" s="26">
        <f t="shared" si="191"/>
        <v>15000</v>
      </c>
      <c r="Q1375" s="354">
        <f t="shared" si="192"/>
        <v>100</v>
      </c>
    </row>
    <row r="1376" spans="2:17" ht="24" x14ac:dyDescent="0.2">
      <c r="B1376" s="6">
        <f t="shared" si="193"/>
        <v>16</v>
      </c>
      <c r="C1376" s="22"/>
      <c r="D1376" s="22"/>
      <c r="E1376" s="22"/>
      <c r="F1376" s="123"/>
      <c r="G1376" s="123"/>
      <c r="H1376" s="39" t="s">
        <v>644</v>
      </c>
      <c r="I1376" s="24">
        <v>12000</v>
      </c>
      <c r="J1376" s="24">
        <v>12000</v>
      </c>
      <c r="K1376" s="354">
        <f t="shared" si="189"/>
        <v>100</v>
      </c>
      <c r="L1376" s="25"/>
      <c r="M1376" s="25"/>
      <c r="N1376" s="354"/>
      <c r="O1376" s="26">
        <f t="shared" si="190"/>
        <v>12000</v>
      </c>
      <c r="P1376" s="26">
        <f t="shared" si="191"/>
        <v>12000</v>
      </c>
      <c r="Q1376" s="354">
        <f t="shared" si="192"/>
        <v>100</v>
      </c>
    </row>
    <row r="1377" spans="2:17" ht="24" x14ac:dyDescent="0.2">
      <c r="B1377" s="6">
        <f t="shared" si="193"/>
        <v>17</v>
      </c>
      <c r="C1377" s="22"/>
      <c r="D1377" s="22"/>
      <c r="E1377" s="22"/>
      <c r="F1377" s="123"/>
      <c r="G1377" s="123"/>
      <c r="H1377" s="39" t="s">
        <v>630</v>
      </c>
      <c r="I1377" s="24">
        <v>10000</v>
      </c>
      <c r="J1377" s="24">
        <v>10000</v>
      </c>
      <c r="K1377" s="354">
        <f t="shared" si="189"/>
        <v>100</v>
      </c>
      <c r="L1377" s="25"/>
      <c r="M1377" s="25"/>
      <c r="N1377" s="354"/>
      <c r="O1377" s="26">
        <f t="shared" si="190"/>
        <v>10000</v>
      </c>
      <c r="P1377" s="26">
        <f t="shared" si="191"/>
        <v>10000</v>
      </c>
      <c r="Q1377" s="354">
        <f t="shared" si="192"/>
        <v>100</v>
      </c>
    </row>
    <row r="1378" spans="2:17" x14ac:dyDescent="0.2">
      <c r="B1378" s="6">
        <f t="shared" si="193"/>
        <v>18</v>
      </c>
      <c r="C1378" s="22"/>
      <c r="D1378" s="22"/>
      <c r="E1378" s="22"/>
      <c r="F1378" s="123"/>
      <c r="G1378" s="123"/>
      <c r="H1378" s="1" t="s">
        <v>541</v>
      </c>
      <c r="I1378" s="24">
        <v>10000</v>
      </c>
      <c r="J1378" s="24">
        <v>10000</v>
      </c>
      <c r="K1378" s="354">
        <f t="shared" si="189"/>
        <v>100</v>
      </c>
      <c r="L1378" s="25"/>
      <c r="M1378" s="25"/>
      <c r="N1378" s="354"/>
      <c r="O1378" s="26">
        <f t="shared" si="190"/>
        <v>10000</v>
      </c>
      <c r="P1378" s="26">
        <f t="shared" si="191"/>
        <v>10000</v>
      </c>
      <c r="Q1378" s="354">
        <f t="shared" si="192"/>
        <v>100</v>
      </c>
    </row>
    <row r="1379" spans="2:17" x14ac:dyDescent="0.2">
      <c r="B1379" s="6">
        <f t="shared" si="193"/>
        <v>19</v>
      </c>
      <c r="C1379" s="22"/>
      <c r="D1379" s="22"/>
      <c r="E1379" s="22"/>
      <c r="F1379" s="13" t="s">
        <v>176</v>
      </c>
      <c r="G1379" s="14">
        <v>720</v>
      </c>
      <c r="H1379" s="12" t="s">
        <v>3</v>
      </c>
      <c r="I1379" s="15"/>
      <c r="J1379" s="15"/>
      <c r="K1379" s="354"/>
      <c r="L1379" s="15">
        <f>L1380</f>
        <v>22200</v>
      </c>
      <c r="M1379" s="15">
        <f>M1380</f>
        <v>0</v>
      </c>
      <c r="N1379" s="354">
        <f>M1379/L1379*100</f>
        <v>0</v>
      </c>
      <c r="O1379" s="16">
        <f t="shared" si="190"/>
        <v>22200</v>
      </c>
      <c r="P1379" s="16">
        <f t="shared" si="191"/>
        <v>0</v>
      </c>
      <c r="Q1379" s="354">
        <f t="shared" si="192"/>
        <v>0</v>
      </c>
    </row>
    <row r="1380" spans="2:17" ht="24" x14ac:dyDescent="0.2">
      <c r="B1380" s="6">
        <f t="shared" si="193"/>
        <v>20</v>
      </c>
      <c r="C1380" s="22"/>
      <c r="D1380" s="22"/>
      <c r="E1380" s="22"/>
      <c r="F1380" s="123"/>
      <c r="G1380" s="123"/>
      <c r="H1380" s="39" t="s">
        <v>702</v>
      </c>
      <c r="I1380" s="24"/>
      <c r="J1380" s="24"/>
      <c r="K1380" s="354"/>
      <c r="L1380" s="25">
        <v>22200</v>
      </c>
      <c r="M1380" s="25">
        <v>0</v>
      </c>
      <c r="N1380" s="354">
        <f>M1380/L1380*100</f>
        <v>0</v>
      </c>
      <c r="O1380" s="26">
        <f t="shared" si="190"/>
        <v>22200</v>
      </c>
      <c r="P1380" s="26">
        <f t="shared" si="191"/>
        <v>0</v>
      </c>
      <c r="Q1380" s="354">
        <f t="shared" si="192"/>
        <v>0</v>
      </c>
    </row>
    <row r="1381" spans="2:17" ht="15" x14ac:dyDescent="0.2">
      <c r="B1381" s="6">
        <f t="shared" si="193"/>
        <v>21</v>
      </c>
      <c r="C1381" s="9">
        <v>3</v>
      </c>
      <c r="D1381" s="459" t="s">
        <v>195</v>
      </c>
      <c r="E1381" s="460"/>
      <c r="F1381" s="460"/>
      <c r="G1381" s="460"/>
      <c r="H1381" s="460"/>
      <c r="I1381" s="10">
        <f>I1382+I1390+I1399+I1422+I1437</f>
        <v>2491065</v>
      </c>
      <c r="J1381" s="10">
        <f>J1382+J1390+J1399+J1422+J1437</f>
        <v>1307837</v>
      </c>
      <c r="K1381" s="354">
        <f>J1381/I1381*100</f>
        <v>52.501118999303507</v>
      </c>
      <c r="L1381" s="10">
        <f>L1382+L1390+L1399+L1422+L1437</f>
        <v>10682238</v>
      </c>
      <c r="M1381" s="10">
        <f>M1382+M1390+M1399+M1422+M1437</f>
        <v>2705227</v>
      </c>
      <c r="N1381" s="354">
        <f>M1381/L1381*100</f>
        <v>25.32453405363183</v>
      </c>
      <c r="O1381" s="31">
        <f t="shared" si="190"/>
        <v>13173303</v>
      </c>
      <c r="P1381" s="31">
        <f t="shared" si="191"/>
        <v>4013064</v>
      </c>
      <c r="Q1381" s="354">
        <f t="shared" si="192"/>
        <v>30.46361265659797</v>
      </c>
    </row>
    <row r="1382" spans="2:17" ht="15" x14ac:dyDescent="0.25">
      <c r="B1382" s="6">
        <f t="shared" si="193"/>
        <v>22</v>
      </c>
      <c r="C1382" s="27"/>
      <c r="D1382" s="27">
        <v>1</v>
      </c>
      <c r="E1382" s="457" t="s">
        <v>194</v>
      </c>
      <c r="F1382" s="458"/>
      <c r="G1382" s="458"/>
      <c r="H1382" s="458"/>
      <c r="I1382" s="28">
        <f>I1383</f>
        <v>252980</v>
      </c>
      <c r="J1382" s="28">
        <f>J1383</f>
        <v>188651</v>
      </c>
      <c r="K1382" s="354">
        <f>J1382/I1382*100</f>
        <v>74.571507629061585</v>
      </c>
      <c r="L1382" s="28">
        <f>L1385</f>
        <v>1345530</v>
      </c>
      <c r="M1382" s="28">
        <f>M1385</f>
        <v>1345032</v>
      </c>
      <c r="N1382" s="354">
        <f>M1382/L1382*100</f>
        <v>99.962988562127933</v>
      </c>
      <c r="O1382" s="29">
        <f t="shared" si="190"/>
        <v>1598510</v>
      </c>
      <c r="P1382" s="29">
        <f t="shared" si="191"/>
        <v>1533683</v>
      </c>
      <c r="Q1382" s="354">
        <f t="shared" si="192"/>
        <v>95.944535849009398</v>
      </c>
    </row>
    <row r="1383" spans="2:17" x14ac:dyDescent="0.2">
      <c r="B1383" s="6">
        <f t="shared" si="193"/>
        <v>23</v>
      </c>
      <c r="C1383" s="12"/>
      <c r="D1383" s="12"/>
      <c r="E1383" s="12"/>
      <c r="F1383" s="13" t="s">
        <v>176</v>
      </c>
      <c r="G1383" s="14">
        <v>630</v>
      </c>
      <c r="H1383" s="12" t="s">
        <v>118</v>
      </c>
      <c r="I1383" s="15">
        <f>I1384+I1385</f>
        <v>252980</v>
      </c>
      <c r="J1383" s="15">
        <f>J1384+J1385</f>
        <v>188651</v>
      </c>
      <c r="K1383" s="354">
        <f>J1383/I1383*100</f>
        <v>74.571507629061585</v>
      </c>
      <c r="L1383" s="15"/>
      <c r="M1383" s="15"/>
      <c r="N1383" s="354"/>
      <c r="O1383" s="16">
        <f t="shared" si="190"/>
        <v>252980</v>
      </c>
      <c r="P1383" s="16">
        <f t="shared" si="191"/>
        <v>188651</v>
      </c>
      <c r="Q1383" s="354">
        <f t="shared" si="192"/>
        <v>74.571507629061585</v>
      </c>
    </row>
    <row r="1384" spans="2:17" x14ac:dyDescent="0.2">
      <c r="B1384" s="6">
        <f t="shared" si="193"/>
        <v>24</v>
      </c>
      <c r="C1384" s="17"/>
      <c r="D1384" s="17"/>
      <c r="E1384" s="17"/>
      <c r="F1384" s="18"/>
      <c r="G1384" s="19">
        <v>636</v>
      </c>
      <c r="H1384" s="17" t="s">
        <v>123</v>
      </c>
      <c r="I1384" s="20">
        <v>250000</v>
      </c>
      <c r="J1384" s="20">
        <v>187500</v>
      </c>
      <c r="K1384" s="354">
        <f>J1384/I1384*100</f>
        <v>75</v>
      </c>
      <c r="L1384" s="20"/>
      <c r="M1384" s="20"/>
      <c r="N1384" s="354"/>
      <c r="O1384" s="21">
        <f t="shared" si="190"/>
        <v>250000</v>
      </c>
      <c r="P1384" s="21">
        <f t="shared" si="191"/>
        <v>187500</v>
      </c>
      <c r="Q1384" s="354">
        <f t="shared" si="192"/>
        <v>75</v>
      </c>
    </row>
    <row r="1385" spans="2:17" x14ac:dyDescent="0.2">
      <c r="B1385" s="6">
        <f t="shared" si="193"/>
        <v>25</v>
      </c>
      <c r="C1385" s="17"/>
      <c r="D1385" s="17"/>
      <c r="E1385" s="17"/>
      <c r="F1385" s="18"/>
      <c r="G1385" s="19">
        <v>637</v>
      </c>
      <c r="H1385" s="17" t="s">
        <v>119</v>
      </c>
      <c r="I1385" s="20">
        <v>2980</v>
      </c>
      <c r="J1385" s="20">
        <v>1151</v>
      </c>
      <c r="K1385" s="354">
        <f>J1385/I1385*100</f>
        <v>38.624161073825505</v>
      </c>
      <c r="L1385" s="15">
        <f>L1386</f>
        <v>1345530</v>
      </c>
      <c r="M1385" s="15">
        <f>M1386</f>
        <v>1345032</v>
      </c>
      <c r="N1385" s="354">
        <f t="shared" ref="N1385:N1390" si="194">M1385/L1385*100</f>
        <v>99.962988562127933</v>
      </c>
      <c r="O1385" s="21">
        <f t="shared" si="190"/>
        <v>1348510</v>
      </c>
      <c r="P1385" s="21">
        <f t="shared" si="191"/>
        <v>1346183</v>
      </c>
      <c r="Q1385" s="354">
        <f t="shared" si="192"/>
        <v>99.827439173606422</v>
      </c>
    </row>
    <row r="1386" spans="2:17" x14ac:dyDescent="0.2">
      <c r="B1386" s="6">
        <f t="shared" si="193"/>
        <v>26</v>
      </c>
      <c r="C1386" s="17"/>
      <c r="D1386" s="17"/>
      <c r="E1386" s="17"/>
      <c r="F1386" s="13" t="s">
        <v>176</v>
      </c>
      <c r="G1386" s="14">
        <v>710</v>
      </c>
      <c r="H1386" s="12" t="s">
        <v>172</v>
      </c>
      <c r="I1386" s="20"/>
      <c r="J1386" s="20"/>
      <c r="K1386" s="354"/>
      <c r="L1386" s="20">
        <f>L1387</f>
        <v>1345530</v>
      </c>
      <c r="M1386" s="20">
        <f>M1387</f>
        <v>1345032</v>
      </c>
      <c r="N1386" s="354">
        <f t="shared" si="194"/>
        <v>99.962988562127933</v>
      </c>
      <c r="O1386" s="21">
        <f t="shared" si="190"/>
        <v>1345530</v>
      </c>
      <c r="P1386" s="21">
        <f t="shared" si="191"/>
        <v>1345032</v>
      </c>
      <c r="Q1386" s="354">
        <f t="shared" si="192"/>
        <v>99.962988562127933</v>
      </c>
    </row>
    <row r="1387" spans="2:17" x14ac:dyDescent="0.2">
      <c r="B1387" s="6">
        <f t="shared" si="193"/>
        <v>27</v>
      </c>
      <c r="C1387" s="17"/>
      <c r="D1387" s="17"/>
      <c r="E1387" s="17"/>
      <c r="F1387" s="18"/>
      <c r="G1387" s="19">
        <v>717</v>
      </c>
      <c r="H1387" s="17" t="s">
        <v>179</v>
      </c>
      <c r="I1387" s="20"/>
      <c r="J1387" s="20"/>
      <c r="K1387" s="354"/>
      <c r="L1387" s="20">
        <f>L1389+L1388</f>
        <v>1345530</v>
      </c>
      <c r="M1387" s="20">
        <f>M1389+M1388</f>
        <v>1345032</v>
      </c>
      <c r="N1387" s="354">
        <f t="shared" si="194"/>
        <v>99.962988562127933</v>
      </c>
      <c r="O1387" s="21">
        <f t="shared" si="190"/>
        <v>1345530</v>
      </c>
      <c r="P1387" s="21">
        <f t="shared" si="191"/>
        <v>1345032</v>
      </c>
      <c r="Q1387" s="354">
        <f t="shared" si="192"/>
        <v>99.962988562127933</v>
      </c>
    </row>
    <row r="1388" spans="2:17" x14ac:dyDescent="0.2">
      <c r="B1388" s="6">
        <f t="shared" si="193"/>
        <v>28</v>
      </c>
      <c r="C1388" s="17"/>
      <c r="D1388" s="17"/>
      <c r="E1388" s="17"/>
      <c r="F1388" s="18"/>
      <c r="G1388" s="19"/>
      <c r="H1388" s="1" t="s">
        <v>651</v>
      </c>
      <c r="I1388" s="20"/>
      <c r="J1388" s="20"/>
      <c r="K1388" s="354"/>
      <c r="L1388" s="24">
        <v>5500</v>
      </c>
      <c r="M1388" s="24">
        <v>5046</v>
      </c>
      <c r="N1388" s="354">
        <f t="shared" si="194"/>
        <v>91.745454545454535</v>
      </c>
      <c r="O1388" s="26">
        <f t="shared" si="190"/>
        <v>5500</v>
      </c>
      <c r="P1388" s="26">
        <f t="shared" si="191"/>
        <v>5046</v>
      </c>
      <c r="Q1388" s="354">
        <f t="shared" si="192"/>
        <v>91.745454545454535</v>
      </c>
    </row>
    <row r="1389" spans="2:17" x14ac:dyDescent="0.2">
      <c r="B1389" s="6">
        <f t="shared" si="193"/>
        <v>29</v>
      </c>
      <c r="C1389" s="17"/>
      <c r="D1389" s="17"/>
      <c r="E1389" s="17"/>
      <c r="F1389" s="99"/>
      <c r="G1389" s="23"/>
      <c r="H1389" s="1" t="s">
        <v>645</v>
      </c>
      <c r="I1389" s="20"/>
      <c r="J1389" s="20"/>
      <c r="K1389" s="354"/>
      <c r="L1389" s="24">
        <f>1208630+78200+21200+6000+11000+15000</f>
        <v>1340030</v>
      </c>
      <c r="M1389" s="24">
        <v>1339986</v>
      </c>
      <c r="N1389" s="354">
        <f t="shared" si="194"/>
        <v>99.996716491421836</v>
      </c>
      <c r="O1389" s="26">
        <f t="shared" si="190"/>
        <v>1340030</v>
      </c>
      <c r="P1389" s="26">
        <f t="shared" si="191"/>
        <v>1339986</v>
      </c>
      <c r="Q1389" s="354">
        <f t="shared" si="192"/>
        <v>99.996716491421836</v>
      </c>
    </row>
    <row r="1390" spans="2:17" ht="15" x14ac:dyDescent="0.25">
      <c r="B1390" s="6">
        <f t="shared" si="193"/>
        <v>30</v>
      </c>
      <c r="C1390" s="27"/>
      <c r="D1390" s="27">
        <v>2</v>
      </c>
      <c r="E1390" s="457" t="s">
        <v>196</v>
      </c>
      <c r="F1390" s="458"/>
      <c r="G1390" s="458"/>
      <c r="H1390" s="458"/>
      <c r="I1390" s="28">
        <f>I1391</f>
        <v>522050</v>
      </c>
      <c r="J1390" s="28">
        <f>J1391</f>
        <v>384227</v>
      </c>
      <c r="K1390" s="354">
        <f>J1390/I1390*100</f>
        <v>73.599655205440101</v>
      </c>
      <c r="L1390" s="28">
        <f>L1395</f>
        <v>31750</v>
      </c>
      <c r="M1390" s="28">
        <f>M1395</f>
        <v>0</v>
      </c>
      <c r="N1390" s="354">
        <f t="shared" si="194"/>
        <v>0</v>
      </c>
      <c r="O1390" s="29">
        <f t="shared" si="190"/>
        <v>553800</v>
      </c>
      <c r="P1390" s="29">
        <f t="shared" si="191"/>
        <v>384227</v>
      </c>
      <c r="Q1390" s="354">
        <f t="shared" si="192"/>
        <v>69.380101119537741</v>
      </c>
    </row>
    <row r="1391" spans="2:17" x14ac:dyDescent="0.2">
      <c r="B1391" s="6">
        <f t="shared" si="193"/>
        <v>31</v>
      </c>
      <c r="C1391" s="12"/>
      <c r="D1391" s="12"/>
      <c r="E1391" s="12"/>
      <c r="F1391" s="13" t="s">
        <v>176</v>
      </c>
      <c r="G1391" s="14">
        <v>630</v>
      </c>
      <c r="H1391" s="12" t="s">
        <v>118</v>
      </c>
      <c r="I1391" s="15">
        <f>SUM(I1392:I1394)</f>
        <v>522050</v>
      </c>
      <c r="J1391" s="15">
        <f>SUM(J1392:J1394)</f>
        <v>384227</v>
      </c>
      <c r="K1391" s="354">
        <f>J1391/I1391*100</f>
        <v>73.599655205440101</v>
      </c>
      <c r="L1391" s="15"/>
      <c r="M1391" s="15"/>
      <c r="N1391" s="354"/>
      <c r="O1391" s="16">
        <f t="shared" si="190"/>
        <v>522050</v>
      </c>
      <c r="P1391" s="16">
        <f t="shared" si="191"/>
        <v>384227</v>
      </c>
      <c r="Q1391" s="354">
        <f t="shared" si="192"/>
        <v>73.599655205440101</v>
      </c>
    </row>
    <row r="1392" spans="2:17" x14ac:dyDescent="0.2">
      <c r="B1392" s="6">
        <f t="shared" si="193"/>
        <v>32</v>
      </c>
      <c r="C1392" s="17"/>
      <c r="D1392" s="17"/>
      <c r="E1392" s="17"/>
      <c r="F1392" s="18"/>
      <c r="G1392" s="19">
        <v>632</v>
      </c>
      <c r="H1392" s="17" t="s">
        <v>131</v>
      </c>
      <c r="I1392" s="20">
        <v>20800</v>
      </c>
      <c r="J1392" s="20">
        <v>8897</v>
      </c>
      <c r="K1392" s="354">
        <f>J1392/I1392*100</f>
        <v>42.77403846153846</v>
      </c>
      <c r="L1392" s="20"/>
      <c r="M1392" s="20"/>
      <c r="N1392" s="354"/>
      <c r="O1392" s="21">
        <f t="shared" si="190"/>
        <v>20800</v>
      </c>
      <c r="P1392" s="21">
        <f t="shared" si="191"/>
        <v>8897</v>
      </c>
      <c r="Q1392" s="354">
        <f t="shared" si="192"/>
        <v>42.77403846153846</v>
      </c>
    </row>
    <row r="1393" spans="2:17" x14ac:dyDescent="0.2">
      <c r="B1393" s="6">
        <f t="shared" si="193"/>
        <v>33</v>
      </c>
      <c r="C1393" s="17"/>
      <c r="D1393" s="17"/>
      <c r="E1393" s="17"/>
      <c r="F1393" s="18"/>
      <c r="G1393" s="19">
        <v>636</v>
      </c>
      <c r="H1393" s="17" t="s">
        <v>123</v>
      </c>
      <c r="I1393" s="20">
        <v>500000</v>
      </c>
      <c r="J1393" s="20">
        <v>375000</v>
      </c>
      <c r="K1393" s="354">
        <f>J1393/I1393*100</f>
        <v>75</v>
      </c>
      <c r="L1393" s="20"/>
      <c r="M1393" s="20"/>
      <c r="N1393" s="354"/>
      <c r="O1393" s="21">
        <f t="shared" ref="O1393:O1424" si="195">I1393+L1393</f>
        <v>500000</v>
      </c>
      <c r="P1393" s="21">
        <f t="shared" ref="P1393:P1424" si="196">J1393+M1393</f>
        <v>375000</v>
      </c>
      <c r="Q1393" s="354">
        <f t="shared" ref="Q1393:Q1424" si="197">P1393/O1393*100</f>
        <v>75</v>
      </c>
    </row>
    <row r="1394" spans="2:17" x14ac:dyDescent="0.2">
      <c r="B1394" s="6">
        <f t="shared" ref="B1394:B1423" si="198">B1393+1</f>
        <v>34</v>
      </c>
      <c r="C1394" s="17"/>
      <c r="D1394" s="17"/>
      <c r="E1394" s="17"/>
      <c r="F1394" s="18"/>
      <c r="G1394" s="19">
        <v>637</v>
      </c>
      <c r="H1394" s="17" t="s">
        <v>119</v>
      </c>
      <c r="I1394" s="20">
        <v>1250</v>
      </c>
      <c r="J1394" s="20">
        <v>330</v>
      </c>
      <c r="K1394" s="354">
        <f>J1394/I1394*100</f>
        <v>26.400000000000002</v>
      </c>
      <c r="L1394" s="20"/>
      <c r="M1394" s="20"/>
      <c r="N1394" s="354"/>
      <c r="O1394" s="21">
        <f t="shared" si="195"/>
        <v>1250</v>
      </c>
      <c r="P1394" s="21">
        <f t="shared" si="196"/>
        <v>330</v>
      </c>
      <c r="Q1394" s="354">
        <f t="shared" si="197"/>
        <v>26.400000000000002</v>
      </c>
    </row>
    <row r="1395" spans="2:17" x14ac:dyDescent="0.2">
      <c r="B1395" s="6">
        <f t="shared" si="198"/>
        <v>35</v>
      </c>
      <c r="C1395" s="12"/>
      <c r="D1395" s="12"/>
      <c r="E1395" s="12"/>
      <c r="F1395" s="13" t="s">
        <v>176</v>
      </c>
      <c r="G1395" s="14">
        <v>710</v>
      </c>
      <c r="H1395" s="12" t="s">
        <v>172</v>
      </c>
      <c r="I1395" s="15"/>
      <c r="J1395" s="15"/>
      <c r="K1395" s="354"/>
      <c r="L1395" s="15">
        <f>L1396</f>
        <v>31750</v>
      </c>
      <c r="M1395" s="15">
        <f>M1396</f>
        <v>0</v>
      </c>
      <c r="N1395" s="354">
        <f>M1395/L1395*100</f>
        <v>0</v>
      </c>
      <c r="O1395" s="16">
        <f t="shared" si="195"/>
        <v>31750</v>
      </c>
      <c r="P1395" s="16">
        <f t="shared" si="196"/>
        <v>0</v>
      </c>
      <c r="Q1395" s="354">
        <f t="shared" si="197"/>
        <v>0</v>
      </c>
    </row>
    <row r="1396" spans="2:17" x14ac:dyDescent="0.2">
      <c r="B1396" s="6">
        <f t="shared" si="198"/>
        <v>36</v>
      </c>
      <c r="C1396" s="17"/>
      <c r="D1396" s="17"/>
      <c r="E1396" s="17"/>
      <c r="F1396" s="18"/>
      <c r="G1396" s="19">
        <v>717</v>
      </c>
      <c r="H1396" s="17" t="s">
        <v>179</v>
      </c>
      <c r="I1396" s="20"/>
      <c r="J1396" s="20"/>
      <c r="K1396" s="354"/>
      <c r="L1396" s="20">
        <f>SUM(L1397:L1398)</f>
        <v>31750</v>
      </c>
      <c r="M1396" s="20">
        <f>SUM(M1397:M1398)</f>
        <v>0</v>
      </c>
      <c r="N1396" s="354">
        <f>M1396/L1396*100</f>
        <v>0</v>
      </c>
      <c r="O1396" s="21">
        <f t="shared" si="195"/>
        <v>31750</v>
      </c>
      <c r="P1396" s="21">
        <f t="shared" si="196"/>
        <v>0</v>
      </c>
      <c r="Q1396" s="354">
        <f t="shared" si="197"/>
        <v>0</v>
      </c>
    </row>
    <row r="1397" spans="2:17" x14ac:dyDescent="0.2">
      <c r="B1397" s="6">
        <f t="shared" si="198"/>
        <v>37</v>
      </c>
      <c r="C1397" s="22"/>
      <c r="D1397" s="22"/>
      <c r="E1397" s="22"/>
      <c r="F1397" s="123"/>
      <c r="G1397" s="123"/>
      <c r="H1397" s="1" t="s">
        <v>487</v>
      </c>
      <c r="I1397" s="24"/>
      <c r="J1397" s="24"/>
      <c r="K1397" s="354"/>
      <c r="L1397" s="24">
        <v>21750</v>
      </c>
      <c r="M1397" s="24">
        <v>0</v>
      </c>
      <c r="N1397" s="354">
        <f>M1397/L1397*100</f>
        <v>0</v>
      </c>
      <c r="O1397" s="26">
        <f t="shared" si="195"/>
        <v>21750</v>
      </c>
      <c r="P1397" s="26">
        <f t="shared" si="196"/>
        <v>0</v>
      </c>
      <c r="Q1397" s="354">
        <f t="shared" si="197"/>
        <v>0</v>
      </c>
    </row>
    <row r="1398" spans="2:17" x14ac:dyDescent="0.2">
      <c r="B1398" s="6">
        <f t="shared" si="198"/>
        <v>38</v>
      </c>
      <c r="C1398" s="22"/>
      <c r="D1398" s="22"/>
      <c r="E1398" s="22"/>
      <c r="F1398" s="123"/>
      <c r="G1398" s="123"/>
      <c r="H1398" s="1" t="s">
        <v>605</v>
      </c>
      <c r="I1398" s="24"/>
      <c r="J1398" s="24"/>
      <c r="K1398" s="354"/>
      <c r="L1398" s="24">
        <v>10000</v>
      </c>
      <c r="M1398" s="24">
        <v>0</v>
      </c>
      <c r="N1398" s="354">
        <f>M1398/L1398*100</f>
        <v>0</v>
      </c>
      <c r="O1398" s="26">
        <f t="shared" si="195"/>
        <v>10000</v>
      </c>
      <c r="P1398" s="26">
        <f t="shared" si="196"/>
        <v>0</v>
      </c>
      <c r="Q1398" s="354">
        <f t="shared" si="197"/>
        <v>0</v>
      </c>
    </row>
    <row r="1399" spans="2:17" ht="15" x14ac:dyDescent="0.25">
      <c r="B1399" s="6">
        <f t="shared" si="198"/>
        <v>39</v>
      </c>
      <c r="C1399" s="27"/>
      <c r="D1399" s="27">
        <v>3</v>
      </c>
      <c r="E1399" s="457" t="s">
        <v>197</v>
      </c>
      <c r="F1399" s="458"/>
      <c r="G1399" s="458"/>
      <c r="H1399" s="458"/>
      <c r="I1399" s="28">
        <f>I1400+I1409+I1419</f>
        <v>749765</v>
      </c>
      <c r="J1399" s="28">
        <f>J1400+J1409+J1419</f>
        <v>353603</v>
      </c>
      <c r="K1399" s="354">
        <f>J1399/I1399*100</f>
        <v>47.161844044467266</v>
      </c>
      <c r="L1399" s="28">
        <f>L1402</f>
        <v>8973458</v>
      </c>
      <c r="M1399" s="28">
        <f>M1402</f>
        <v>1360195</v>
      </c>
      <c r="N1399" s="354">
        <f>M1399/L1399*100</f>
        <v>15.157980346038283</v>
      </c>
      <c r="O1399" s="29">
        <f t="shared" si="195"/>
        <v>9723223</v>
      </c>
      <c r="P1399" s="29">
        <f t="shared" si="196"/>
        <v>1713798</v>
      </c>
      <c r="Q1399" s="354">
        <f t="shared" si="197"/>
        <v>17.625822219648775</v>
      </c>
    </row>
    <row r="1400" spans="2:17" x14ac:dyDescent="0.2">
      <c r="B1400" s="6">
        <f t="shared" si="198"/>
        <v>40</v>
      </c>
      <c r="C1400" s="12"/>
      <c r="D1400" s="12"/>
      <c r="E1400" s="12"/>
      <c r="F1400" s="13" t="s">
        <v>176</v>
      </c>
      <c r="G1400" s="14">
        <v>630</v>
      </c>
      <c r="H1400" s="12" t="s">
        <v>118</v>
      </c>
      <c r="I1400" s="15">
        <f>I1401</f>
        <v>8900</v>
      </c>
      <c r="J1400" s="15">
        <f>J1401</f>
        <v>3284</v>
      </c>
      <c r="K1400" s="354">
        <f>J1400/I1400*100</f>
        <v>36.898876404494381</v>
      </c>
      <c r="L1400" s="15"/>
      <c r="M1400" s="15"/>
      <c r="N1400" s="354"/>
      <c r="O1400" s="16">
        <f t="shared" si="195"/>
        <v>8900</v>
      </c>
      <c r="P1400" s="16">
        <f t="shared" si="196"/>
        <v>3284</v>
      </c>
      <c r="Q1400" s="354">
        <f t="shared" si="197"/>
        <v>36.898876404494381</v>
      </c>
    </row>
    <row r="1401" spans="2:17" x14ac:dyDescent="0.2">
      <c r="B1401" s="6">
        <f t="shared" si="198"/>
        <v>41</v>
      </c>
      <c r="C1401" s="17"/>
      <c r="D1401" s="17"/>
      <c r="E1401" s="17"/>
      <c r="F1401" s="18"/>
      <c r="G1401" s="19">
        <v>637</v>
      </c>
      <c r="H1401" s="17" t="s">
        <v>119</v>
      </c>
      <c r="I1401" s="20">
        <v>8900</v>
      </c>
      <c r="J1401" s="20">
        <v>3284</v>
      </c>
      <c r="K1401" s="354">
        <f>J1401/I1401*100</f>
        <v>36.898876404494381</v>
      </c>
      <c r="L1401" s="20"/>
      <c r="M1401" s="20"/>
      <c r="N1401" s="354"/>
      <c r="O1401" s="21">
        <f t="shared" si="195"/>
        <v>8900</v>
      </c>
      <c r="P1401" s="21">
        <f t="shared" si="196"/>
        <v>3284</v>
      </c>
      <c r="Q1401" s="354">
        <f t="shared" si="197"/>
        <v>36.898876404494381</v>
      </c>
    </row>
    <row r="1402" spans="2:17" x14ac:dyDescent="0.2">
      <c r="B1402" s="6">
        <f t="shared" si="198"/>
        <v>42</v>
      </c>
      <c r="C1402" s="12"/>
      <c r="D1402" s="12"/>
      <c r="E1402" s="12"/>
      <c r="F1402" s="13" t="s">
        <v>176</v>
      </c>
      <c r="G1402" s="14">
        <v>710</v>
      </c>
      <c r="H1402" s="12" t="s">
        <v>172</v>
      </c>
      <c r="I1402" s="15"/>
      <c r="J1402" s="15"/>
      <c r="K1402" s="354"/>
      <c r="L1402" s="15">
        <f>L1406+L1403</f>
        <v>8973458</v>
      </c>
      <c r="M1402" s="15">
        <f>M1406+M1403</f>
        <v>1360195</v>
      </c>
      <c r="N1402" s="354">
        <f t="shared" ref="N1402:N1408" si="199">M1402/L1402*100</f>
        <v>15.157980346038283</v>
      </c>
      <c r="O1402" s="16">
        <f t="shared" si="195"/>
        <v>8973458</v>
      </c>
      <c r="P1402" s="16">
        <f t="shared" si="196"/>
        <v>1360195</v>
      </c>
      <c r="Q1402" s="354">
        <f t="shared" si="197"/>
        <v>15.157980346038283</v>
      </c>
    </row>
    <row r="1403" spans="2:17" x14ac:dyDescent="0.2">
      <c r="B1403" s="6">
        <f t="shared" si="198"/>
        <v>43</v>
      </c>
      <c r="C1403" s="12"/>
      <c r="D1403" s="12"/>
      <c r="E1403" s="12"/>
      <c r="F1403" s="13"/>
      <c r="G1403" s="73">
        <v>716</v>
      </c>
      <c r="H1403" s="71" t="s">
        <v>212</v>
      </c>
      <c r="I1403" s="74"/>
      <c r="J1403" s="74"/>
      <c r="K1403" s="354"/>
      <c r="L1403" s="74">
        <f>L1404+L1405</f>
        <v>127800</v>
      </c>
      <c r="M1403" s="74">
        <f>M1404+M1405</f>
        <v>30000</v>
      </c>
      <c r="N1403" s="354">
        <f t="shared" si="199"/>
        <v>23.474178403755868</v>
      </c>
      <c r="O1403" s="75">
        <f t="shared" si="195"/>
        <v>127800</v>
      </c>
      <c r="P1403" s="75">
        <f t="shared" si="196"/>
        <v>30000</v>
      </c>
      <c r="Q1403" s="354">
        <f t="shared" si="197"/>
        <v>23.474178403755868</v>
      </c>
    </row>
    <row r="1404" spans="2:17" x14ac:dyDescent="0.2">
      <c r="B1404" s="6">
        <f t="shared" si="198"/>
        <v>44</v>
      </c>
      <c r="C1404" s="12"/>
      <c r="D1404" s="12"/>
      <c r="E1404" s="12"/>
      <c r="F1404" s="13"/>
      <c r="G1404" s="73"/>
      <c r="H1404" s="80" t="s">
        <v>268</v>
      </c>
      <c r="I1404" s="74"/>
      <c r="J1404" s="74"/>
      <c r="K1404" s="354"/>
      <c r="L1404" s="74">
        <f>48000+49800</f>
        <v>97800</v>
      </c>
      <c r="M1404" s="74">
        <v>0</v>
      </c>
      <c r="N1404" s="354">
        <f t="shared" si="199"/>
        <v>0</v>
      </c>
      <c r="O1404" s="75">
        <f t="shared" si="195"/>
        <v>97800</v>
      </c>
      <c r="P1404" s="75">
        <f t="shared" si="196"/>
        <v>0</v>
      </c>
      <c r="Q1404" s="354">
        <f t="shared" si="197"/>
        <v>0</v>
      </c>
    </row>
    <row r="1405" spans="2:17" x14ac:dyDescent="0.2">
      <c r="B1405" s="6">
        <f t="shared" si="198"/>
        <v>45</v>
      </c>
      <c r="C1405" s="12"/>
      <c r="D1405" s="12"/>
      <c r="E1405" s="12"/>
      <c r="F1405" s="13"/>
      <c r="G1405" s="323"/>
      <c r="H1405" s="1" t="s">
        <v>606</v>
      </c>
      <c r="I1405" s="24"/>
      <c r="J1405" s="24"/>
      <c r="K1405" s="354"/>
      <c r="L1405" s="24">
        <v>30000</v>
      </c>
      <c r="M1405" s="24">
        <v>30000</v>
      </c>
      <c r="N1405" s="354">
        <f t="shared" si="199"/>
        <v>100</v>
      </c>
      <c r="O1405" s="26">
        <f t="shared" si="195"/>
        <v>30000</v>
      </c>
      <c r="P1405" s="26">
        <f t="shared" si="196"/>
        <v>30000</v>
      </c>
      <c r="Q1405" s="354">
        <f t="shared" si="197"/>
        <v>100</v>
      </c>
    </row>
    <row r="1406" spans="2:17" x14ac:dyDescent="0.2">
      <c r="B1406" s="6">
        <f t="shared" si="198"/>
        <v>46</v>
      </c>
      <c r="C1406" s="17"/>
      <c r="D1406" s="17"/>
      <c r="E1406" s="17"/>
      <c r="F1406" s="18"/>
      <c r="G1406" s="19">
        <v>717</v>
      </c>
      <c r="H1406" s="17" t="s">
        <v>179</v>
      </c>
      <c r="I1406" s="20"/>
      <c r="J1406" s="20"/>
      <c r="K1406" s="354"/>
      <c r="L1406" s="20">
        <f>SUM(L1407:L1408)</f>
        <v>8845658</v>
      </c>
      <c r="M1406" s="20">
        <f>SUM(M1407:M1408)</f>
        <v>1330195</v>
      </c>
      <c r="N1406" s="354">
        <f t="shared" si="199"/>
        <v>15.037829859576302</v>
      </c>
      <c r="O1406" s="21">
        <f t="shared" si="195"/>
        <v>8845658</v>
      </c>
      <c r="P1406" s="21">
        <f t="shared" si="196"/>
        <v>1330195</v>
      </c>
      <c r="Q1406" s="354">
        <f t="shared" si="197"/>
        <v>15.037829859576302</v>
      </c>
    </row>
    <row r="1407" spans="2:17" x14ac:dyDescent="0.2">
      <c r="B1407" s="6">
        <f t="shared" si="198"/>
        <v>47</v>
      </c>
      <c r="C1407" s="22"/>
      <c r="D1407" s="22"/>
      <c r="E1407" s="22"/>
      <c r="F1407" s="123"/>
      <c r="G1407" s="123"/>
      <c r="H1407" s="1" t="s">
        <v>415</v>
      </c>
      <c r="I1407" s="24"/>
      <c r="J1407" s="24"/>
      <c r="K1407" s="354"/>
      <c r="L1407" s="24">
        <v>215900</v>
      </c>
      <c r="M1407" s="24">
        <v>0</v>
      </c>
      <c r="N1407" s="354">
        <f t="shared" si="199"/>
        <v>0</v>
      </c>
      <c r="O1407" s="26">
        <f t="shared" si="195"/>
        <v>215900</v>
      </c>
      <c r="P1407" s="26">
        <f t="shared" si="196"/>
        <v>0</v>
      </c>
      <c r="Q1407" s="354">
        <f t="shared" si="197"/>
        <v>0</v>
      </c>
    </row>
    <row r="1408" spans="2:17" x14ac:dyDescent="0.2">
      <c r="B1408" s="6">
        <f t="shared" si="198"/>
        <v>48</v>
      </c>
      <c r="C1408" s="22"/>
      <c r="D1408" s="22"/>
      <c r="E1408" s="22"/>
      <c r="F1408" s="123"/>
      <c r="G1408" s="123"/>
      <c r="H1408" s="1" t="s">
        <v>268</v>
      </c>
      <c r="I1408" s="24"/>
      <c r="J1408" s="24"/>
      <c r="K1408" s="354"/>
      <c r="L1408" s="24">
        <f>11200745-48000-2773987+251000</f>
        <v>8629758</v>
      </c>
      <c r="M1408" s="24">
        <v>1330195</v>
      </c>
      <c r="N1408" s="354">
        <f t="shared" si="199"/>
        <v>15.41404753180796</v>
      </c>
      <c r="O1408" s="26">
        <f t="shared" si="195"/>
        <v>8629758</v>
      </c>
      <c r="P1408" s="26">
        <f t="shared" si="196"/>
        <v>1330195</v>
      </c>
      <c r="Q1408" s="354">
        <f t="shared" si="197"/>
        <v>15.41404753180796</v>
      </c>
    </row>
    <row r="1409" spans="2:17" ht="15" x14ac:dyDescent="0.25">
      <c r="B1409" s="6">
        <f t="shared" si="198"/>
        <v>49</v>
      </c>
      <c r="C1409" s="95"/>
      <c r="D1409" s="95"/>
      <c r="E1409" s="95">
        <v>2</v>
      </c>
      <c r="F1409" s="96"/>
      <c r="G1409" s="96"/>
      <c r="H1409" s="95" t="s">
        <v>11</v>
      </c>
      <c r="I1409" s="97">
        <f>I1410+I1411+I1412+I1418</f>
        <v>700865</v>
      </c>
      <c r="J1409" s="97">
        <f>J1410+J1411+J1412+J1418</f>
        <v>330319</v>
      </c>
      <c r="K1409" s="354">
        <f t="shared" ref="K1409:K1422" si="200">J1409/I1409*100</f>
        <v>47.130189123440317</v>
      </c>
      <c r="L1409" s="97"/>
      <c r="M1409" s="97"/>
      <c r="N1409" s="354"/>
      <c r="O1409" s="98">
        <f t="shared" si="195"/>
        <v>700865</v>
      </c>
      <c r="P1409" s="98">
        <f t="shared" si="196"/>
        <v>330319</v>
      </c>
      <c r="Q1409" s="354">
        <f t="shared" si="197"/>
        <v>47.130189123440317</v>
      </c>
    </row>
    <row r="1410" spans="2:17" x14ac:dyDescent="0.2">
      <c r="B1410" s="6">
        <f t="shared" si="198"/>
        <v>50</v>
      </c>
      <c r="C1410" s="12"/>
      <c r="D1410" s="12"/>
      <c r="E1410" s="12"/>
      <c r="F1410" s="13" t="s">
        <v>176</v>
      </c>
      <c r="G1410" s="14">
        <v>610</v>
      </c>
      <c r="H1410" s="12" t="s">
        <v>128</v>
      </c>
      <c r="I1410" s="15">
        <v>103195</v>
      </c>
      <c r="J1410" s="15">
        <v>51144</v>
      </c>
      <c r="K1410" s="354">
        <f t="shared" si="200"/>
        <v>49.560540723872279</v>
      </c>
      <c r="L1410" s="15"/>
      <c r="M1410" s="15"/>
      <c r="N1410" s="354"/>
      <c r="O1410" s="16">
        <f t="shared" si="195"/>
        <v>103195</v>
      </c>
      <c r="P1410" s="16">
        <f t="shared" si="196"/>
        <v>51144</v>
      </c>
      <c r="Q1410" s="354">
        <f t="shared" si="197"/>
        <v>49.560540723872279</v>
      </c>
    </row>
    <row r="1411" spans="2:17" x14ac:dyDescent="0.2">
      <c r="B1411" s="6">
        <f t="shared" si="198"/>
        <v>51</v>
      </c>
      <c r="C1411" s="12"/>
      <c r="D1411" s="12"/>
      <c r="E1411" s="12"/>
      <c r="F1411" s="13" t="s">
        <v>176</v>
      </c>
      <c r="G1411" s="14">
        <v>620</v>
      </c>
      <c r="H1411" s="12" t="s">
        <v>121</v>
      </c>
      <c r="I1411" s="15">
        <v>39595</v>
      </c>
      <c r="J1411" s="15">
        <v>18071</v>
      </c>
      <c r="K1411" s="354">
        <f t="shared" si="200"/>
        <v>45.639600959717136</v>
      </c>
      <c r="L1411" s="15"/>
      <c r="M1411" s="15"/>
      <c r="N1411" s="354"/>
      <c r="O1411" s="16">
        <f t="shared" si="195"/>
        <v>39595</v>
      </c>
      <c r="P1411" s="16">
        <f t="shared" si="196"/>
        <v>18071</v>
      </c>
      <c r="Q1411" s="354">
        <f t="shared" si="197"/>
        <v>45.639600959717136</v>
      </c>
    </row>
    <row r="1412" spans="2:17" x14ac:dyDescent="0.2">
      <c r="B1412" s="6">
        <f t="shared" si="198"/>
        <v>52</v>
      </c>
      <c r="C1412" s="12"/>
      <c r="D1412" s="12"/>
      <c r="E1412" s="12"/>
      <c r="F1412" s="13" t="s">
        <v>176</v>
      </c>
      <c r="G1412" s="14">
        <v>630</v>
      </c>
      <c r="H1412" s="12" t="s">
        <v>118</v>
      </c>
      <c r="I1412" s="15">
        <f>SUM(I1413:I1417)</f>
        <v>548475</v>
      </c>
      <c r="J1412" s="15">
        <f>SUM(J1413:J1417)</f>
        <v>257874</v>
      </c>
      <c r="K1412" s="354">
        <f t="shared" si="200"/>
        <v>47.016545877204976</v>
      </c>
      <c r="L1412" s="15"/>
      <c r="M1412" s="15"/>
      <c r="N1412" s="354"/>
      <c r="O1412" s="16">
        <f t="shared" si="195"/>
        <v>548475</v>
      </c>
      <c r="P1412" s="16">
        <f t="shared" si="196"/>
        <v>257874</v>
      </c>
      <c r="Q1412" s="354">
        <f t="shared" si="197"/>
        <v>47.016545877204976</v>
      </c>
    </row>
    <row r="1413" spans="2:17" x14ac:dyDescent="0.2">
      <c r="B1413" s="6">
        <f t="shared" si="198"/>
        <v>53</v>
      </c>
      <c r="C1413" s="17"/>
      <c r="D1413" s="17"/>
      <c r="E1413" s="17"/>
      <c r="F1413" s="18"/>
      <c r="G1413" s="19">
        <v>632</v>
      </c>
      <c r="H1413" s="17" t="s">
        <v>131</v>
      </c>
      <c r="I1413" s="20">
        <v>392000</v>
      </c>
      <c r="J1413" s="20">
        <v>211229</v>
      </c>
      <c r="K1413" s="354">
        <f t="shared" si="200"/>
        <v>53.88494897959184</v>
      </c>
      <c r="L1413" s="20"/>
      <c r="M1413" s="20"/>
      <c r="N1413" s="354"/>
      <c r="O1413" s="21">
        <f t="shared" si="195"/>
        <v>392000</v>
      </c>
      <c r="P1413" s="21">
        <f t="shared" si="196"/>
        <v>211229</v>
      </c>
      <c r="Q1413" s="354">
        <f t="shared" si="197"/>
        <v>53.88494897959184</v>
      </c>
    </row>
    <row r="1414" spans="2:17" x14ac:dyDescent="0.2">
      <c r="B1414" s="6">
        <f t="shared" si="198"/>
        <v>54</v>
      </c>
      <c r="C1414" s="17"/>
      <c r="D1414" s="17"/>
      <c r="E1414" s="17"/>
      <c r="F1414" s="18"/>
      <c r="G1414" s="19">
        <v>633</v>
      </c>
      <c r="H1414" s="17" t="s">
        <v>122</v>
      </c>
      <c r="I1414" s="20">
        <v>18000</v>
      </c>
      <c r="J1414" s="20">
        <v>6256</v>
      </c>
      <c r="K1414" s="354">
        <f t="shared" si="200"/>
        <v>34.755555555555553</v>
      </c>
      <c r="L1414" s="20"/>
      <c r="M1414" s="20"/>
      <c r="N1414" s="354"/>
      <c r="O1414" s="21">
        <f t="shared" si="195"/>
        <v>18000</v>
      </c>
      <c r="P1414" s="21">
        <f t="shared" si="196"/>
        <v>6256</v>
      </c>
      <c r="Q1414" s="354">
        <f t="shared" si="197"/>
        <v>34.755555555555553</v>
      </c>
    </row>
    <row r="1415" spans="2:17" x14ac:dyDescent="0.2">
      <c r="B1415" s="6">
        <f t="shared" si="198"/>
        <v>55</v>
      </c>
      <c r="C1415" s="17"/>
      <c r="D1415" s="17"/>
      <c r="E1415" s="17"/>
      <c r="F1415" s="18"/>
      <c r="G1415" s="19">
        <v>635</v>
      </c>
      <c r="H1415" s="17" t="s">
        <v>130</v>
      </c>
      <c r="I1415" s="20">
        <v>71000</v>
      </c>
      <c r="J1415" s="20">
        <v>15599</v>
      </c>
      <c r="K1415" s="354">
        <f t="shared" si="200"/>
        <v>21.970422535211267</v>
      </c>
      <c r="L1415" s="20"/>
      <c r="M1415" s="20"/>
      <c r="N1415" s="354"/>
      <c r="O1415" s="21">
        <f t="shared" si="195"/>
        <v>71000</v>
      </c>
      <c r="P1415" s="21">
        <f t="shared" si="196"/>
        <v>15599</v>
      </c>
      <c r="Q1415" s="354">
        <f t="shared" si="197"/>
        <v>21.970422535211267</v>
      </c>
    </row>
    <row r="1416" spans="2:17" x14ac:dyDescent="0.2">
      <c r="B1416" s="6">
        <f t="shared" si="198"/>
        <v>56</v>
      </c>
      <c r="C1416" s="17"/>
      <c r="D1416" s="17"/>
      <c r="E1416" s="17"/>
      <c r="F1416" s="18"/>
      <c r="G1416" s="19">
        <v>636</v>
      </c>
      <c r="H1416" s="17" t="s">
        <v>123</v>
      </c>
      <c r="I1416" s="20">
        <v>200</v>
      </c>
      <c r="J1416" s="20">
        <v>0</v>
      </c>
      <c r="K1416" s="354">
        <f t="shared" si="200"/>
        <v>0</v>
      </c>
      <c r="L1416" s="20"/>
      <c r="M1416" s="20"/>
      <c r="N1416" s="354"/>
      <c r="O1416" s="21">
        <f t="shared" si="195"/>
        <v>200</v>
      </c>
      <c r="P1416" s="21">
        <f t="shared" si="196"/>
        <v>0</v>
      </c>
      <c r="Q1416" s="354">
        <f t="shared" si="197"/>
        <v>0</v>
      </c>
    </row>
    <row r="1417" spans="2:17" x14ac:dyDescent="0.2">
      <c r="B1417" s="6">
        <f t="shared" si="198"/>
        <v>57</v>
      </c>
      <c r="C1417" s="17"/>
      <c r="D1417" s="17"/>
      <c r="E1417" s="17"/>
      <c r="F1417" s="18"/>
      <c r="G1417" s="19">
        <v>637</v>
      </c>
      <c r="H1417" s="17" t="s">
        <v>119</v>
      </c>
      <c r="I1417" s="20">
        <v>67275</v>
      </c>
      <c r="J1417" s="20">
        <v>24790</v>
      </c>
      <c r="K1417" s="354">
        <f t="shared" si="200"/>
        <v>36.848755109624676</v>
      </c>
      <c r="L1417" s="20"/>
      <c r="M1417" s="20"/>
      <c r="N1417" s="354"/>
      <c r="O1417" s="21">
        <f t="shared" si="195"/>
        <v>67275</v>
      </c>
      <c r="P1417" s="21">
        <f t="shared" si="196"/>
        <v>24790</v>
      </c>
      <c r="Q1417" s="354">
        <f t="shared" si="197"/>
        <v>36.848755109624676</v>
      </c>
    </row>
    <row r="1418" spans="2:17" x14ac:dyDescent="0.2">
      <c r="B1418" s="6">
        <f t="shared" si="198"/>
        <v>58</v>
      </c>
      <c r="C1418" s="12"/>
      <c r="D1418" s="12"/>
      <c r="E1418" s="12"/>
      <c r="F1418" s="13" t="s">
        <v>176</v>
      </c>
      <c r="G1418" s="14">
        <v>640</v>
      </c>
      <c r="H1418" s="12" t="s">
        <v>126</v>
      </c>
      <c r="I1418" s="15">
        <v>9600</v>
      </c>
      <c r="J1418" s="15">
        <v>3230</v>
      </c>
      <c r="K1418" s="354">
        <f t="shared" si="200"/>
        <v>33.645833333333336</v>
      </c>
      <c r="L1418" s="15"/>
      <c r="M1418" s="15"/>
      <c r="N1418" s="354"/>
      <c r="O1418" s="16">
        <f t="shared" si="195"/>
        <v>9600</v>
      </c>
      <c r="P1418" s="16">
        <f t="shared" si="196"/>
        <v>3230</v>
      </c>
      <c r="Q1418" s="354">
        <f t="shared" si="197"/>
        <v>33.645833333333336</v>
      </c>
    </row>
    <row r="1419" spans="2:17" ht="15" x14ac:dyDescent="0.25">
      <c r="B1419" s="6">
        <f t="shared" si="198"/>
        <v>59</v>
      </c>
      <c r="C1419" s="95"/>
      <c r="D1419" s="95"/>
      <c r="E1419" s="95">
        <v>8</v>
      </c>
      <c r="F1419" s="96"/>
      <c r="G1419" s="96"/>
      <c r="H1419" s="95" t="s">
        <v>6</v>
      </c>
      <c r="I1419" s="97">
        <f>I1420</f>
        <v>40000</v>
      </c>
      <c r="J1419" s="97">
        <f>J1420</f>
        <v>20000</v>
      </c>
      <c r="K1419" s="354">
        <f t="shared" si="200"/>
        <v>50</v>
      </c>
      <c r="L1419" s="97"/>
      <c r="M1419" s="97"/>
      <c r="N1419" s="354"/>
      <c r="O1419" s="98">
        <f t="shared" si="195"/>
        <v>40000</v>
      </c>
      <c r="P1419" s="98">
        <f t="shared" si="196"/>
        <v>20000</v>
      </c>
      <c r="Q1419" s="354">
        <f t="shared" si="197"/>
        <v>50</v>
      </c>
    </row>
    <row r="1420" spans="2:17" x14ac:dyDescent="0.2">
      <c r="B1420" s="6">
        <f t="shared" si="198"/>
        <v>60</v>
      </c>
      <c r="C1420" s="12"/>
      <c r="D1420" s="12"/>
      <c r="E1420" s="12"/>
      <c r="F1420" s="13" t="s">
        <v>176</v>
      </c>
      <c r="G1420" s="14">
        <v>630</v>
      </c>
      <c r="H1420" s="12" t="s">
        <v>118</v>
      </c>
      <c r="I1420" s="15">
        <f>I1421</f>
        <v>40000</v>
      </c>
      <c r="J1420" s="15">
        <f>J1421</f>
        <v>20000</v>
      </c>
      <c r="K1420" s="354">
        <f t="shared" si="200"/>
        <v>50</v>
      </c>
      <c r="L1420" s="15"/>
      <c r="M1420" s="15"/>
      <c r="N1420" s="354"/>
      <c r="O1420" s="16">
        <f t="shared" si="195"/>
        <v>40000</v>
      </c>
      <c r="P1420" s="16">
        <f t="shared" si="196"/>
        <v>20000</v>
      </c>
      <c r="Q1420" s="354">
        <f t="shared" si="197"/>
        <v>50</v>
      </c>
    </row>
    <row r="1421" spans="2:17" x14ac:dyDescent="0.2">
      <c r="B1421" s="6">
        <f t="shared" si="198"/>
        <v>61</v>
      </c>
      <c r="C1421" s="17"/>
      <c r="D1421" s="17"/>
      <c r="E1421" s="17"/>
      <c r="F1421" s="18"/>
      <c r="G1421" s="19">
        <v>636</v>
      </c>
      <c r="H1421" s="17" t="s">
        <v>123</v>
      </c>
      <c r="I1421" s="30">
        <v>40000</v>
      </c>
      <c r="J1421" s="30">
        <v>20000</v>
      </c>
      <c r="K1421" s="354">
        <f t="shared" si="200"/>
        <v>50</v>
      </c>
      <c r="L1421" s="20"/>
      <c r="M1421" s="20"/>
      <c r="N1421" s="354"/>
      <c r="O1421" s="21">
        <f t="shared" si="195"/>
        <v>40000</v>
      </c>
      <c r="P1421" s="21">
        <f t="shared" si="196"/>
        <v>20000</v>
      </c>
      <c r="Q1421" s="354">
        <f t="shared" si="197"/>
        <v>50</v>
      </c>
    </row>
    <row r="1422" spans="2:17" ht="15" x14ac:dyDescent="0.25">
      <c r="B1422" s="6">
        <f t="shared" si="198"/>
        <v>62</v>
      </c>
      <c r="C1422" s="27"/>
      <c r="D1422" s="27">
        <v>4</v>
      </c>
      <c r="E1422" s="457" t="s">
        <v>198</v>
      </c>
      <c r="F1422" s="458"/>
      <c r="G1422" s="458"/>
      <c r="H1422" s="458"/>
      <c r="I1422" s="28">
        <f>I1428</f>
        <v>966270</v>
      </c>
      <c r="J1422" s="28">
        <f>J1428</f>
        <v>381356</v>
      </c>
      <c r="K1422" s="354">
        <f t="shared" si="200"/>
        <v>39.46681569333623</v>
      </c>
      <c r="L1422" s="28">
        <f>L1423</f>
        <v>331500</v>
      </c>
      <c r="M1422" s="28">
        <f>M1423</f>
        <v>0</v>
      </c>
      <c r="N1422" s="354">
        <f t="shared" ref="N1422:N1427" si="201">M1422/L1422*100</f>
        <v>0</v>
      </c>
      <c r="O1422" s="29">
        <f t="shared" si="195"/>
        <v>1297770</v>
      </c>
      <c r="P1422" s="29">
        <f t="shared" si="196"/>
        <v>381356</v>
      </c>
      <c r="Q1422" s="354">
        <f t="shared" si="197"/>
        <v>29.385484330813625</v>
      </c>
    </row>
    <row r="1423" spans="2:17" x14ac:dyDescent="0.2">
      <c r="B1423" s="6">
        <f t="shared" si="198"/>
        <v>63</v>
      </c>
      <c r="C1423" s="12"/>
      <c r="D1423" s="12"/>
      <c r="E1423" s="12"/>
      <c r="F1423" s="13" t="s">
        <v>176</v>
      </c>
      <c r="G1423" s="14">
        <v>710</v>
      </c>
      <c r="H1423" s="12" t="s">
        <v>172</v>
      </c>
      <c r="I1423" s="15"/>
      <c r="J1423" s="15"/>
      <c r="K1423" s="354"/>
      <c r="L1423" s="15">
        <f>L1426+L1424</f>
        <v>331500</v>
      </c>
      <c r="M1423" s="15">
        <f>M1426+M1424</f>
        <v>0</v>
      </c>
      <c r="N1423" s="354">
        <f t="shared" si="201"/>
        <v>0</v>
      </c>
      <c r="O1423" s="16">
        <f t="shared" si="195"/>
        <v>331500</v>
      </c>
      <c r="P1423" s="16">
        <f t="shared" si="196"/>
        <v>0</v>
      </c>
      <c r="Q1423" s="354">
        <f t="shared" si="197"/>
        <v>0</v>
      </c>
    </row>
    <row r="1424" spans="2:17" x14ac:dyDescent="0.2">
      <c r="B1424" s="6"/>
      <c r="C1424" s="12"/>
      <c r="D1424" s="12"/>
      <c r="E1424" s="12"/>
      <c r="F1424" s="13"/>
      <c r="G1424" s="73">
        <v>716</v>
      </c>
      <c r="H1424" s="71" t="s">
        <v>212</v>
      </c>
      <c r="I1424" s="74"/>
      <c r="J1424" s="74"/>
      <c r="K1424" s="354"/>
      <c r="L1424" s="74">
        <f>L1425</f>
        <v>271500</v>
      </c>
      <c r="M1424" s="74">
        <f>M1425</f>
        <v>0</v>
      </c>
      <c r="N1424" s="354">
        <f t="shared" si="201"/>
        <v>0</v>
      </c>
      <c r="O1424" s="75">
        <f t="shared" si="195"/>
        <v>271500</v>
      </c>
      <c r="P1424" s="75">
        <f t="shared" si="196"/>
        <v>0</v>
      </c>
      <c r="Q1424" s="354">
        <f t="shared" si="197"/>
        <v>0</v>
      </c>
    </row>
    <row r="1425" spans="2:17" x14ac:dyDescent="0.2">
      <c r="B1425" s="6"/>
      <c r="C1425" s="12"/>
      <c r="D1425" s="12"/>
      <c r="E1425" s="12"/>
      <c r="F1425" s="13"/>
      <c r="G1425" s="73"/>
      <c r="H1425" s="80" t="s">
        <v>667</v>
      </c>
      <c r="I1425" s="74"/>
      <c r="J1425" s="74"/>
      <c r="K1425" s="354"/>
      <c r="L1425" s="74">
        <f>260759+10741</f>
        <v>271500</v>
      </c>
      <c r="M1425" s="74">
        <v>0</v>
      </c>
      <c r="N1425" s="354">
        <f t="shared" si="201"/>
        <v>0</v>
      </c>
      <c r="O1425" s="75">
        <f t="shared" ref="O1425:O1456" si="202">I1425+L1425</f>
        <v>271500</v>
      </c>
      <c r="P1425" s="75">
        <f t="shared" ref="P1425:P1456" si="203">J1425+M1425</f>
        <v>0</v>
      </c>
      <c r="Q1425" s="354">
        <f t="shared" ref="Q1425:Q1436" si="204">P1425/O1425*100</f>
        <v>0</v>
      </c>
    </row>
    <row r="1426" spans="2:17" x14ac:dyDescent="0.2">
      <c r="B1426" s="6">
        <f>B1423+1</f>
        <v>64</v>
      </c>
      <c r="C1426" s="17"/>
      <c r="D1426" s="17"/>
      <c r="E1426" s="17"/>
      <c r="F1426" s="18"/>
      <c r="G1426" s="19">
        <v>717</v>
      </c>
      <c r="H1426" s="17" t="s">
        <v>179</v>
      </c>
      <c r="I1426" s="20"/>
      <c r="J1426" s="20"/>
      <c r="K1426" s="354"/>
      <c r="L1426" s="20">
        <f>SUM(L1427:L1427)</f>
        <v>60000</v>
      </c>
      <c r="M1426" s="20">
        <f>SUM(M1427:M1427)</f>
        <v>0</v>
      </c>
      <c r="N1426" s="354">
        <f t="shared" si="201"/>
        <v>0</v>
      </c>
      <c r="O1426" s="21">
        <f t="shared" si="202"/>
        <v>60000</v>
      </c>
      <c r="P1426" s="21">
        <f t="shared" si="203"/>
        <v>0</v>
      </c>
      <c r="Q1426" s="354">
        <f t="shared" si="204"/>
        <v>0</v>
      </c>
    </row>
    <row r="1427" spans="2:17" x14ac:dyDescent="0.2">
      <c r="B1427" s="6">
        <f t="shared" ref="B1427:B1458" si="205">B1426+1</f>
        <v>65</v>
      </c>
      <c r="C1427" s="22"/>
      <c r="D1427" s="22"/>
      <c r="E1427" s="22"/>
      <c r="F1427" s="123"/>
      <c r="G1427" s="123"/>
      <c r="H1427" s="1" t="s">
        <v>559</v>
      </c>
      <c r="I1427" s="24"/>
      <c r="J1427" s="24"/>
      <c r="K1427" s="354"/>
      <c r="L1427" s="24">
        <v>60000</v>
      </c>
      <c r="M1427" s="24">
        <v>0</v>
      </c>
      <c r="N1427" s="354">
        <f t="shared" si="201"/>
        <v>0</v>
      </c>
      <c r="O1427" s="26">
        <f t="shared" si="202"/>
        <v>60000</v>
      </c>
      <c r="P1427" s="26">
        <f t="shared" si="203"/>
        <v>0</v>
      </c>
      <c r="Q1427" s="354">
        <f t="shared" si="204"/>
        <v>0</v>
      </c>
    </row>
    <row r="1428" spans="2:17" ht="15" x14ac:dyDescent="0.25">
      <c r="B1428" s="6">
        <f t="shared" si="205"/>
        <v>66</v>
      </c>
      <c r="C1428" s="95"/>
      <c r="D1428" s="95"/>
      <c r="E1428" s="95">
        <v>2</v>
      </c>
      <c r="F1428" s="96"/>
      <c r="G1428" s="96"/>
      <c r="H1428" s="95" t="s">
        <v>11</v>
      </c>
      <c r="I1428" s="97">
        <f>I1429+I1430+I1431+I1436</f>
        <v>966270</v>
      </c>
      <c r="J1428" s="97">
        <f>J1429+J1430+J1431+J1436</f>
        <v>381356</v>
      </c>
      <c r="K1428" s="354">
        <f t="shared" ref="K1428:K1436" si="206">J1428/I1428*100</f>
        <v>39.46681569333623</v>
      </c>
      <c r="L1428" s="97"/>
      <c r="M1428" s="97"/>
      <c r="N1428" s="354"/>
      <c r="O1428" s="98">
        <f t="shared" si="202"/>
        <v>966270</v>
      </c>
      <c r="P1428" s="98">
        <f t="shared" si="203"/>
        <v>381356</v>
      </c>
      <c r="Q1428" s="354">
        <f t="shared" si="204"/>
        <v>39.46681569333623</v>
      </c>
    </row>
    <row r="1429" spans="2:17" x14ac:dyDescent="0.2">
      <c r="B1429" s="6">
        <f t="shared" si="205"/>
        <v>67</v>
      </c>
      <c r="C1429" s="12"/>
      <c r="D1429" s="12"/>
      <c r="E1429" s="12"/>
      <c r="F1429" s="13" t="s">
        <v>176</v>
      </c>
      <c r="G1429" s="14">
        <v>610</v>
      </c>
      <c r="H1429" s="12" t="s">
        <v>128</v>
      </c>
      <c r="I1429" s="15">
        <v>239050</v>
      </c>
      <c r="J1429" s="15">
        <f>130279</f>
        <v>130279</v>
      </c>
      <c r="K1429" s="354">
        <f t="shared" si="206"/>
        <v>54.498640451788326</v>
      </c>
      <c r="L1429" s="15"/>
      <c r="M1429" s="15"/>
      <c r="N1429" s="354"/>
      <c r="O1429" s="16">
        <f t="shared" si="202"/>
        <v>239050</v>
      </c>
      <c r="P1429" s="16">
        <f t="shared" si="203"/>
        <v>130279</v>
      </c>
      <c r="Q1429" s="354">
        <f t="shared" si="204"/>
        <v>54.498640451788326</v>
      </c>
    </row>
    <row r="1430" spans="2:17" x14ac:dyDescent="0.2">
      <c r="B1430" s="6">
        <f t="shared" si="205"/>
        <v>68</v>
      </c>
      <c r="C1430" s="12"/>
      <c r="D1430" s="12"/>
      <c r="E1430" s="12"/>
      <c r="F1430" s="13" t="s">
        <v>176</v>
      </c>
      <c r="G1430" s="14">
        <v>620</v>
      </c>
      <c r="H1430" s="12" t="s">
        <v>121</v>
      </c>
      <c r="I1430" s="15">
        <v>118435</v>
      </c>
      <c r="J1430" s="15">
        <v>47094</v>
      </c>
      <c r="K1430" s="354">
        <f t="shared" si="206"/>
        <v>39.763583400177311</v>
      </c>
      <c r="L1430" s="15"/>
      <c r="M1430" s="15"/>
      <c r="N1430" s="354"/>
      <c r="O1430" s="16">
        <f t="shared" si="202"/>
        <v>118435</v>
      </c>
      <c r="P1430" s="16">
        <f t="shared" si="203"/>
        <v>47094</v>
      </c>
      <c r="Q1430" s="354">
        <f t="shared" si="204"/>
        <v>39.763583400177311</v>
      </c>
    </row>
    <row r="1431" spans="2:17" x14ac:dyDescent="0.2">
      <c r="B1431" s="6">
        <f t="shared" si="205"/>
        <v>69</v>
      </c>
      <c r="C1431" s="12"/>
      <c r="D1431" s="12"/>
      <c r="E1431" s="12"/>
      <c r="F1431" s="13" t="s">
        <v>176</v>
      </c>
      <c r="G1431" s="14">
        <v>630</v>
      </c>
      <c r="H1431" s="12" t="s">
        <v>118</v>
      </c>
      <c r="I1431" s="15">
        <f>SUM(I1432:I1435)</f>
        <v>594885</v>
      </c>
      <c r="J1431" s="15">
        <f>SUM(J1432:J1435)</f>
        <v>196718</v>
      </c>
      <c r="K1431" s="354">
        <f t="shared" si="206"/>
        <v>33.068240080015464</v>
      </c>
      <c r="L1431" s="15"/>
      <c r="M1431" s="15"/>
      <c r="N1431" s="354"/>
      <c r="O1431" s="16">
        <f t="shared" si="202"/>
        <v>594885</v>
      </c>
      <c r="P1431" s="16">
        <f t="shared" si="203"/>
        <v>196718</v>
      </c>
      <c r="Q1431" s="354">
        <f t="shared" si="204"/>
        <v>33.068240080015464</v>
      </c>
    </row>
    <row r="1432" spans="2:17" x14ac:dyDescent="0.2">
      <c r="B1432" s="6">
        <f t="shared" si="205"/>
        <v>70</v>
      </c>
      <c r="C1432" s="17"/>
      <c r="D1432" s="17"/>
      <c r="E1432" s="17"/>
      <c r="F1432" s="18"/>
      <c r="G1432" s="19">
        <v>632</v>
      </c>
      <c r="H1432" s="17" t="s">
        <v>131</v>
      </c>
      <c r="I1432" s="20">
        <f>343300+4000</f>
        <v>347300</v>
      </c>
      <c r="J1432" s="20">
        <f>100939+31340</f>
        <v>132279</v>
      </c>
      <c r="K1432" s="354">
        <f t="shared" si="206"/>
        <v>38.087820328246472</v>
      </c>
      <c r="L1432" s="20"/>
      <c r="M1432" s="20"/>
      <c r="N1432" s="354"/>
      <c r="O1432" s="21">
        <f t="shared" si="202"/>
        <v>347300</v>
      </c>
      <c r="P1432" s="21">
        <f t="shared" si="203"/>
        <v>132279</v>
      </c>
      <c r="Q1432" s="354">
        <f t="shared" si="204"/>
        <v>38.087820328246472</v>
      </c>
    </row>
    <row r="1433" spans="2:17" x14ac:dyDescent="0.2">
      <c r="B1433" s="6">
        <f t="shared" si="205"/>
        <v>71</v>
      </c>
      <c r="C1433" s="17"/>
      <c r="D1433" s="17"/>
      <c r="E1433" s="17"/>
      <c r="F1433" s="18"/>
      <c r="G1433" s="19">
        <v>633</v>
      </c>
      <c r="H1433" s="17" t="s">
        <v>122</v>
      </c>
      <c r="I1433" s="20">
        <v>63100</v>
      </c>
      <c r="J1433" s="20">
        <f>10962+19310</f>
        <v>30272</v>
      </c>
      <c r="K1433" s="354">
        <f t="shared" si="206"/>
        <v>47.974643423137877</v>
      </c>
      <c r="L1433" s="20"/>
      <c r="M1433" s="20"/>
      <c r="N1433" s="354"/>
      <c r="O1433" s="21">
        <f t="shared" si="202"/>
        <v>63100</v>
      </c>
      <c r="P1433" s="21">
        <f t="shared" si="203"/>
        <v>30272</v>
      </c>
      <c r="Q1433" s="354">
        <f t="shared" si="204"/>
        <v>47.974643423137877</v>
      </c>
    </row>
    <row r="1434" spans="2:17" x14ac:dyDescent="0.2">
      <c r="B1434" s="6">
        <f t="shared" si="205"/>
        <v>72</v>
      </c>
      <c r="C1434" s="17"/>
      <c r="D1434" s="17"/>
      <c r="E1434" s="17"/>
      <c r="F1434" s="18"/>
      <c r="G1434" s="19">
        <v>635</v>
      </c>
      <c r="H1434" s="17" t="s">
        <v>130</v>
      </c>
      <c r="I1434" s="20">
        <v>67000</v>
      </c>
      <c r="J1434" s="20">
        <f>2883+13567</f>
        <v>16450</v>
      </c>
      <c r="K1434" s="354">
        <f t="shared" si="206"/>
        <v>24.552238805970148</v>
      </c>
      <c r="L1434" s="20"/>
      <c r="M1434" s="20"/>
      <c r="N1434" s="354"/>
      <c r="O1434" s="21">
        <f t="shared" si="202"/>
        <v>67000</v>
      </c>
      <c r="P1434" s="21">
        <f t="shared" si="203"/>
        <v>16450</v>
      </c>
      <c r="Q1434" s="354">
        <f t="shared" si="204"/>
        <v>24.552238805970148</v>
      </c>
    </row>
    <row r="1435" spans="2:17" x14ac:dyDescent="0.2">
      <c r="B1435" s="6">
        <f t="shared" si="205"/>
        <v>73</v>
      </c>
      <c r="C1435" s="17"/>
      <c r="D1435" s="17"/>
      <c r="E1435" s="17"/>
      <c r="F1435" s="18"/>
      <c r="G1435" s="19">
        <v>637</v>
      </c>
      <c r="H1435" s="17" t="s">
        <v>119</v>
      </c>
      <c r="I1435" s="20">
        <v>117485</v>
      </c>
      <c r="J1435" s="20">
        <f>11063+6654</f>
        <v>17717</v>
      </c>
      <c r="K1435" s="354">
        <f t="shared" si="206"/>
        <v>15.080223007192409</v>
      </c>
      <c r="L1435" s="20"/>
      <c r="M1435" s="20"/>
      <c r="N1435" s="354"/>
      <c r="O1435" s="21">
        <f t="shared" si="202"/>
        <v>117485</v>
      </c>
      <c r="P1435" s="21">
        <f t="shared" si="203"/>
        <v>17717</v>
      </c>
      <c r="Q1435" s="354">
        <f t="shared" si="204"/>
        <v>15.080223007192409</v>
      </c>
    </row>
    <row r="1436" spans="2:17" x14ac:dyDescent="0.2">
      <c r="B1436" s="6">
        <f t="shared" si="205"/>
        <v>74</v>
      </c>
      <c r="C1436" s="12"/>
      <c r="D1436" s="12"/>
      <c r="E1436" s="12"/>
      <c r="F1436" s="13" t="s">
        <v>176</v>
      </c>
      <c r="G1436" s="14">
        <v>640</v>
      </c>
      <c r="H1436" s="12" t="s">
        <v>126</v>
      </c>
      <c r="I1436" s="15">
        <v>13900</v>
      </c>
      <c r="J1436" s="15">
        <v>7265</v>
      </c>
      <c r="K1436" s="354">
        <f t="shared" si="206"/>
        <v>52.266187050359711</v>
      </c>
      <c r="L1436" s="15"/>
      <c r="M1436" s="15"/>
      <c r="N1436" s="354"/>
      <c r="O1436" s="16">
        <f t="shared" si="202"/>
        <v>13900</v>
      </c>
      <c r="P1436" s="16">
        <f t="shared" si="203"/>
        <v>7265</v>
      </c>
      <c r="Q1436" s="354">
        <f t="shared" si="204"/>
        <v>52.266187050359711</v>
      </c>
    </row>
    <row r="1437" spans="2:17" ht="15" x14ac:dyDescent="0.25">
      <c r="B1437" s="6">
        <f t="shared" si="205"/>
        <v>75</v>
      </c>
      <c r="C1437" s="27"/>
      <c r="D1437" s="27">
        <v>5</v>
      </c>
      <c r="E1437" s="457" t="s">
        <v>244</v>
      </c>
      <c r="F1437" s="458"/>
      <c r="G1437" s="458"/>
      <c r="H1437" s="458"/>
      <c r="I1437" s="28">
        <v>0</v>
      </c>
      <c r="J1437" s="28">
        <v>0</v>
      </c>
      <c r="K1437" s="354"/>
      <c r="L1437" s="28">
        <v>0</v>
      </c>
      <c r="M1437" s="28">
        <v>0</v>
      </c>
      <c r="N1437" s="354"/>
      <c r="O1437" s="29">
        <f t="shared" si="202"/>
        <v>0</v>
      </c>
      <c r="P1437" s="29">
        <f t="shared" si="203"/>
        <v>0</v>
      </c>
      <c r="Q1437" s="354"/>
    </row>
    <row r="1438" spans="2:17" ht="15" x14ac:dyDescent="0.2">
      <c r="B1438" s="6">
        <f t="shared" si="205"/>
        <v>76</v>
      </c>
      <c r="C1438" s="9">
        <v>4</v>
      </c>
      <c r="D1438" s="459" t="s">
        <v>262</v>
      </c>
      <c r="E1438" s="460"/>
      <c r="F1438" s="460"/>
      <c r="G1438" s="460"/>
      <c r="H1438" s="460"/>
      <c r="I1438" s="10">
        <f>I1472</f>
        <v>249120</v>
      </c>
      <c r="J1438" s="10">
        <f>J1472</f>
        <v>88513</v>
      </c>
      <c r="K1438" s="354">
        <f>J1438/I1438*100</f>
        <v>35.530266538214519</v>
      </c>
      <c r="L1438" s="10">
        <f>L1439+L1472</f>
        <v>34302198</v>
      </c>
      <c r="M1438" s="10">
        <f>M1439+M1472</f>
        <v>2659951</v>
      </c>
      <c r="N1438" s="354">
        <f t="shared" ref="N1438:N1471" si="207">M1438/L1438*100</f>
        <v>7.7544622650711768</v>
      </c>
      <c r="O1438" s="31">
        <f t="shared" si="202"/>
        <v>34551318</v>
      </c>
      <c r="P1438" s="31">
        <f t="shared" si="203"/>
        <v>2748464</v>
      </c>
      <c r="Q1438" s="354">
        <f t="shared" ref="Q1438:Q1482" si="208">P1438/O1438*100</f>
        <v>7.9547298311456602</v>
      </c>
    </row>
    <row r="1439" spans="2:17" x14ac:dyDescent="0.2">
      <c r="B1439" s="6">
        <f t="shared" si="205"/>
        <v>77</v>
      </c>
      <c r="C1439" s="12"/>
      <c r="D1439" s="12"/>
      <c r="E1439" s="12"/>
      <c r="F1439" s="13" t="s">
        <v>189</v>
      </c>
      <c r="G1439" s="14">
        <v>710</v>
      </c>
      <c r="H1439" s="12" t="s">
        <v>172</v>
      </c>
      <c r="I1439" s="15"/>
      <c r="J1439" s="15"/>
      <c r="K1439" s="354"/>
      <c r="L1439" s="15">
        <f>L1440+L1452</f>
        <v>34302198</v>
      </c>
      <c r="M1439" s="15">
        <f>M1440+M1452</f>
        <v>2659951</v>
      </c>
      <c r="N1439" s="354">
        <f t="shared" si="207"/>
        <v>7.7544622650711768</v>
      </c>
      <c r="O1439" s="16">
        <f t="shared" si="202"/>
        <v>34302198</v>
      </c>
      <c r="P1439" s="16">
        <f t="shared" si="203"/>
        <v>2659951</v>
      </c>
      <c r="Q1439" s="354">
        <f t="shared" si="208"/>
        <v>7.7544622650711768</v>
      </c>
    </row>
    <row r="1440" spans="2:17" x14ac:dyDescent="0.2">
      <c r="B1440" s="6">
        <f t="shared" si="205"/>
        <v>78</v>
      </c>
      <c r="C1440" s="100"/>
      <c r="D1440" s="100"/>
      <c r="E1440" s="100"/>
      <c r="F1440" s="101"/>
      <c r="G1440" s="102">
        <v>716</v>
      </c>
      <c r="H1440" s="100" t="s">
        <v>212</v>
      </c>
      <c r="I1440" s="103"/>
      <c r="J1440" s="103"/>
      <c r="K1440" s="354"/>
      <c r="L1440" s="103">
        <f>SUM(L1441:L1451)</f>
        <v>281188</v>
      </c>
      <c r="M1440" s="103">
        <f>SUM(M1441:M1451)</f>
        <v>20449</v>
      </c>
      <c r="N1440" s="354">
        <f t="shared" si="207"/>
        <v>7.27235870663044</v>
      </c>
      <c r="O1440" s="104">
        <f t="shared" si="202"/>
        <v>281188</v>
      </c>
      <c r="P1440" s="104">
        <f t="shared" si="203"/>
        <v>20449</v>
      </c>
      <c r="Q1440" s="354">
        <f t="shared" si="208"/>
        <v>7.27235870663044</v>
      </c>
    </row>
    <row r="1441" spans="2:17" x14ac:dyDescent="0.2">
      <c r="B1441" s="6">
        <f t="shared" si="205"/>
        <v>79</v>
      </c>
      <c r="C1441" s="22"/>
      <c r="D1441" s="22"/>
      <c r="E1441" s="22"/>
      <c r="F1441" s="123"/>
      <c r="G1441" s="123"/>
      <c r="H1441" s="1" t="s">
        <v>488</v>
      </c>
      <c r="I1441" s="24"/>
      <c r="J1441" s="24"/>
      <c r="K1441" s="354"/>
      <c r="L1441" s="24">
        <v>5000</v>
      </c>
      <c r="M1441" s="24">
        <v>2399</v>
      </c>
      <c r="N1441" s="354">
        <f t="shared" si="207"/>
        <v>47.980000000000004</v>
      </c>
      <c r="O1441" s="26">
        <f t="shared" si="202"/>
        <v>5000</v>
      </c>
      <c r="P1441" s="26">
        <f t="shared" si="203"/>
        <v>2399</v>
      </c>
      <c r="Q1441" s="354">
        <f t="shared" si="208"/>
        <v>47.980000000000004</v>
      </c>
    </row>
    <row r="1442" spans="2:17" x14ac:dyDescent="0.2">
      <c r="B1442" s="6">
        <f t="shared" si="205"/>
        <v>80</v>
      </c>
      <c r="C1442" s="22"/>
      <c r="D1442" s="22"/>
      <c r="E1442" s="22"/>
      <c r="F1442" s="123"/>
      <c r="G1442" s="123"/>
      <c r="H1442" s="1" t="s">
        <v>489</v>
      </c>
      <c r="I1442" s="24"/>
      <c r="J1442" s="24"/>
      <c r="K1442" s="354"/>
      <c r="L1442" s="24">
        <v>26000</v>
      </c>
      <c r="M1442" s="24">
        <v>0</v>
      </c>
      <c r="N1442" s="354">
        <f t="shared" si="207"/>
        <v>0</v>
      </c>
      <c r="O1442" s="26">
        <f t="shared" si="202"/>
        <v>26000</v>
      </c>
      <c r="P1442" s="26">
        <f t="shared" si="203"/>
        <v>0</v>
      </c>
      <c r="Q1442" s="354">
        <f t="shared" si="208"/>
        <v>0</v>
      </c>
    </row>
    <row r="1443" spans="2:17" x14ac:dyDescent="0.2">
      <c r="B1443" s="6">
        <f t="shared" si="205"/>
        <v>81</v>
      </c>
      <c r="C1443" s="22"/>
      <c r="D1443" s="22"/>
      <c r="E1443" s="22"/>
      <c r="F1443" s="123"/>
      <c r="G1443" s="123"/>
      <c r="H1443" s="1" t="s">
        <v>443</v>
      </c>
      <c r="I1443" s="24"/>
      <c r="J1443" s="24"/>
      <c r="K1443" s="354"/>
      <c r="L1443" s="24">
        <v>30000</v>
      </c>
      <c r="M1443" s="24">
        <v>0</v>
      </c>
      <c r="N1443" s="354">
        <f t="shared" si="207"/>
        <v>0</v>
      </c>
      <c r="O1443" s="26">
        <f t="shared" si="202"/>
        <v>30000</v>
      </c>
      <c r="P1443" s="26">
        <f t="shared" si="203"/>
        <v>0</v>
      </c>
      <c r="Q1443" s="354">
        <f t="shared" si="208"/>
        <v>0</v>
      </c>
    </row>
    <row r="1444" spans="2:17" x14ac:dyDescent="0.2">
      <c r="B1444" s="6">
        <f t="shared" si="205"/>
        <v>82</v>
      </c>
      <c r="C1444" s="22"/>
      <c r="D1444" s="22"/>
      <c r="E1444" s="22"/>
      <c r="F1444" s="123"/>
      <c r="G1444" s="123"/>
      <c r="H1444" s="1" t="s">
        <v>490</v>
      </c>
      <c r="I1444" s="24"/>
      <c r="J1444" s="24"/>
      <c r="K1444" s="354"/>
      <c r="L1444" s="24">
        <v>13500</v>
      </c>
      <c r="M1444" s="24">
        <v>11510</v>
      </c>
      <c r="N1444" s="354">
        <f t="shared" si="207"/>
        <v>85.259259259259252</v>
      </c>
      <c r="O1444" s="26">
        <f t="shared" si="202"/>
        <v>13500</v>
      </c>
      <c r="P1444" s="26">
        <f t="shared" si="203"/>
        <v>11510</v>
      </c>
      <c r="Q1444" s="354">
        <f t="shared" si="208"/>
        <v>85.259259259259252</v>
      </c>
    </row>
    <row r="1445" spans="2:17" x14ac:dyDescent="0.2">
      <c r="B1445" s="6">
        <f t="shared" si="205"/>
        <v>83</v>
      </c>
      <c r="C1445" s="22"/>
      <c r="D1445" s="22"/>
      <c r="E1445" s="22"/>
      <c r="F1445" s="123"/>
      <c r="G1445" s="123"/>
      <c r="H1445" s="1" t="s">
        <v>446</v>
      </c>
      <c r="I1445" s="24"/>
      <c r="J1445" s="24"/>
      <c r="K1445" s="354"/>
      <c r="L1445" s="24">
        <v>40000</v>
      </c>
      <c r="M1445" s="24">
        <v>0</v>
      </c>
      <c r="N1445" s="354">
        <f t="shared" si="207"/>
        <v>0</v>
      </c>
      <c r="O1445" s="26">
        <f t="shared" si="202"/>
        <v>40000</v>
      </c>
      <c r="P1445" s="26">
        <f t="shared" si="203"/>
        <v>0</v>
      </c>
      <c r="Q1445" s="354">
        <f t="shared" si="208"/>
        <v>0</v>
      </c>
    </row>
    <row r="1446" spans="2:17" x14ac:dyDescent="0.2">
      <c r="B1446" s="6">
        <f t="shared" si="205"/>
        <v>84</v>
      </c>
      <c r="C1446" s="22"/>
      <c r="D1446" s="22"/>
      <c r="E1446" s="22"/>
      <c r="F1446" s="123"/>
      <c r="G1446" s="123"/>
      <c r="H1446" s="1" t="s">
        <v>468</v>
      </c>
      <c r="I1446" s="24"/>
      <c r="J1446" s="24"/>
      <c r="K1446" s="354"/>
      <c r="L1446" s="24">
        <v>46000</v>
      </c>
      <c r="M1446" s="24">
        <v>615</v>
      </c>
      <c r="N1446" s="354">
        <f t="shared" si="207"/>
        <v>1.3369565217391304</v>
      </c>
      <c r="O1446" s="26">
        <f t="shared" si="202"/>
        <v>46000</v>
      </c>
      <c r="P1446" s="26">
        <f t="shared" si="203"/>
        <v>615</v>
      </c>
      <c r="Q1446" s="354">
        <f t="shared" si="208"/>
        <v>1.3369565217391304</v>
      </c>
    </row>
    <row r="1447" spans="2:17" x14ac:dyDescent="0.2">
      <c r="B1447" s="6">
        <f t="shared" si="205"/>
        <v>85</v>
      </c>
      <c r="C1447" s="22"/>
      <c r="D1447" s="22"/>
      <c r="E1447" s="22"/>
      <c r="F1447" s="123"/>
      <c r="G1447" s="123"/>
      <c r="H1447" s="1" t="s">
        <v>428</v>
      </c>
      <c r="I1447" s="24"/>
      <c r="J1447" s="24"/>
      <c r="K1447" s="354"/>
      <c r="L1447" s="24">
        <v>53300</v>
      </c>
      <c r="M1447" s="24">
        <v>1548</v>
      </c>
      <c r="N1447" s="354">
        <f t="shared" si="207"/>
        <v>2.9043151969981236</v>
      </c>
      <c r="O1447" s="26">
        <f t="shared" si="202"/>
        <v>53300</v>
      </c>
      <c r="P1447" s="26">
        <f t="shared" si="203"/>
        <v>1548</v>
      </c>
      <c r="Q1447" s="354">
        <f t="shared" si="208"/>
        <v>2.9043151969981236</v>
      </c>
    </row>
    <row r="1448" spans="2:17" x14ac:dyDescent="0.2">
      <c r="B1448" s="6">
        <f t="shared" si="205"/>
        <v>86</v>
      </c>
      <c r="C1448" s="22"/>
      <c r="D1448" s="22"/>
      <c r="E1448" s="22"/>
      <c r="F1448" s="123"/>
      <c r="G1448" s="123"/>
      <c r="H1448" s="1" t="s">
        <v>384</v>
      </c>
      <c r="I1448" s="24"/>
      <c r="J1448" s="24"/>
      <c r="K1448" s="354"/>
      <c r="L1448" s="24">
        <v>630</v>
      </c>
      <c r="M1448" s="24">
        <v>627</v>
      </c>
      <c r="N1448" s="354">
        <f t="shared" si="207"/>
        <v>99.523809523809518</v>
      </c>
      <c r="O1448" s="26">
        <f t="shared" si="202"/>
        <v>630</v>
      </c>
      <c r="P1448" s="26">
        <f t="shared" si="203"/>
        <v>627</v>
      </c>
      <c r="Q1448" s="354">
        <f t="shared" si="208"/>
        <v>99.523809523809518</v>
      </c>
    </row>
    <row r="1449" spans="2:17" x14ac:dyDescent="0.2">
      <c r="B1449" s="6">
        <f t="shared" si="205"/>
        <v>87</v>
      </c>
      <c r="C1449" s="22"/>
      <c r="D1449" s="22"/>
      <c r="E1449" s="22"/>
      <c r="F1449" s="123"/>
      <c r="G1449" s="123"/>
      <c r="H1449" s="1" t="s">
        <v>269</v>
      </c>
      <c r="I1449" s="24"/>
      <c r="J1449" s="24"/>
      <c r="K1449" s="354"/>
      <c r="L1449" s="24">
        <v>45000</v>
      </c>
      <c r="M1449" s="24">
        <v>3750</v>
      </c>
      <c r="N1449" s="354">
        <f t="shared" si="207"/>
        <v>8.3333333333333321</v>
      </c>
      <c r="O1449" s="26">
        <f t="shared" si="202"/>
        <v>45000</v>
      </c>
      <c r="P1449" s="26">
        <f t="shared" si="203"/>
        <v>3750</v>
      </c>
      <c r="Q1449" s="354">
        <f t="shared" si="208"/>
        <v>8.3333333333333321</v>
      </c>
    </row>
    <row r="1450" spans="2:17" x14ac:dyDescent="0.2">
      <c r="B1450" s="6">
        <f t="shared" si="205"/>
        <v>88</v>
      </c>
      <c r="C1450" s="22"/>
      <c r="D1450" s="22"/>
      <c r="E1450" s="22"/>
      <c r="F1450" s="123"/>
      <c r="G1450" s="123"/>
      <c r="H1450" s="1" t="s">
        <v>429</v>
      </c>
      <c r="I1450" s="24"/>
      <c r="J1450" s="24"/>
      <c r="K1450" s="354"/>
      <c r="L1450" s="24">
        <v>11758</v>
      </c>
      <c r="M1450" s="24">
        <v>0</v>
      </c>
      <c r="N1450" s="354">
        <f t="shared" si="207"/>
        <v>0</v>
      </c>
      <c r="O1450" s="26">
        <f t="shared" si="202"/>
        <v>11758</v>
      </c>
      <c r="P1450" s="26">
        <f t="shared" si="203"/>
        <v>0</v>
      </c>
      <c r="Q1450" s="354">
        <f t="shared" si="208"/>
        <v>0</v>
      </c>
    </row>
    <row r="1451" spans="2:17" x14ac:dyDescent="0.2">
      <c r="B1451" s="6">
        <f t="shared" si="205"/>
        <v>89</v>
      </c>
      <c r="C1451" s="22"/>
      <c r="D1451" s="22"/>
      <c r="E1451" s="22"/>
      <c r="F1451" s="123"/>
      <c r="G1451" s="123"/>
      <c r="H1451" s="1" t="s">
        <v>469</v>
      </c>
      <c r="I1451" s="24"/>
      <c r="J1451" s="24"/>
      <c r="K1451" s="354"/>
      <c r="L1451" s="24">
        <v>10000</v>
      </c>
      <c r="M1451" s="24">
        <v>0</v>
      </c>
      <c r="N1451" s="354">
        <f t="shared" si="207"/>
        <v>0</v>
      </c>
      <c r="O1451" s="26">
        <f t="shared" si="202"/>
        <v>10000</v>
      </c>
      <c r="P1451" s="26">
        <f t="shared" si="203"/>
        <v>0</v>
      </c>
      <c r="Q1451" s="354">
        <f t="shared" si="208"/>
        <v>0</v>
      </c>
    </row>
    <row r="1452" spans="2:17" x14ac:dyDescent="0.2">
      <c r="B1452" s="6">
        <f t="shared" si="205"/>
        <v>90</v>
      </c>
      <c r="C1452" s="100"/>
      <c r="D1452" s="100"/>
      <c r="E1452" s="100"/>
      <c r="F1452" s="101"/>
      <c r="G1452" s="102">
        <v>717</v>
      </c>
      <c r="H1452" s="100" t="s">
        <v>179</v>
      </c>
      <c r="I1452" s="103"/>
      <c r="J1452" s="103"/>
      <c r="K1452" s="354"/>
      <c r="L1452" s="103">
        <f>SUM(L1453:L1471)</f>
        <v>34021010</v>
      </c>
      <c r="M1452" s="103">
        <f>SUM(M1453:M1471)</f>
        <v>2639502</v>
      </c>
      <c r="N1452" s="354">
        <f t="shared" si="207"/>
        <v>7.7584469126577957</v>
      </c>
      <c r="O1452" s="104">
        <f t="shared" si="202"/>
        <v>34021010</v>
      </c>
      <c r="P1452" s="104">
        <f t="shared" si="203"/>
        <v>2639502</v>
      </c>
      <c r="Q1452" s="354">
        <f t="shared" si="208"/>
        <v>7.7584469126577957</v>
      </c>
    </row>
    <row r="1453" spans="2:17" x14ac:dyDescent="0.2">
      <c r="B1453" s="6">
        <f t="shared" si="205"/>
        <v>91</v>
      </c>
      <c r="C1453" s="22"/>
      <c r="D1453" s="22"/>
      <c r="E1453" s="22"/>
      <c r="F1453" s="123"/>
      <c r="G1453" s="123"/>
      <c r="H1453" s="1" t="s">
        <v>607</v>
      </c>
      <c r="I1453" s="24"/>
      <c r="J1453" s="24"/>
      <c r="K1453" s="354"/>
      <c r="L1453" s="24">
        <v>10000</v>
      </c>
      <c r="M1453" s="24">
        <v>0</v>
      </c>
      <c r="N1453" s="354">
        <f t="shared" si="207"/>
        <v>0</v>
      </c>
      <c r="O1453" s="26">
        <f t="shared" si="202"/>
        <v>10000</v>
      </c>
      <c r="P1453" s="26">
        <f t="shared" si="203"/>
        <v>0</v>
      </c>
      <c r="Q1453" s="354">
        <f t="shared" si="208"/>
        <v>0</v>
      </c>
    </row>
    <row r="1454" spans="2:17" x14ac:dyDescent="0.2">
      <c r="B1454" s="6">
        <f t="shared" si="205"/>
        <v>92</v>
      </c>
      <c r="C1454" s="22"/>
      <c r="D1454" s="22"/>
      <c r="E1454" s="22"/>
      <c r="F1454" s="123"/>
      <c r="G1454" s="123"/>
      <c r="H1454" s="1" t="s">
        <v>608</v>
      </c>
      <c r="I1454" s="24"/>
      <c r="J1454" s="24"/>
      <c r="K1454" s="354"/>
      <c r="L1454" s="24">
        <v>10000</v>
      </c>
      <c r="M1454" s="24">
        <v>0</v>
      </c>
      <c r="N1454" s="354">
        <f t="shared" si="207"/>
        <v>0</v>
      </c>
      <c r="O1454" s="26">
        <f t="shared" si="202"/>
        <v>10000</v>
      </c>
      <c r="P1454" s="26">
        <f t="shared" si="203"/>
        <v>0</v>
      </c>
      <c r="Q1454" s="354">
        <f t="shared" si="208"/>
        <v>0</v>
      </c>
    </row>
    <row r="1455" spans="2:17" x14ac:dyDescent="0.2">
      <c r="B1455" s="6">
        <f t="shared" si="205"/>
        <v>93</v>
      </c>
      <c r="C1455" s="22"/>
      <c r="D1455" s="22"/>
      <c r="E1455" s="22"/>
      <c r="F1455" s="123"/>
      <c r="G1455" s="123"/>
      <c r="H1455" s="1" t="s">
        <v>609</v>
      </c>
      <c r="I1455" s="24"/>
      <c r="J1455" s="24"/>
      <c r="K1455" s="354"/>
      <c r="L1455" s="24">
        <v>10000</v>
      </c>
      <c r="M1455" s="24">
        <v>0</v>
      </c>
      <c r="N1455" s="354">
        <f t="shared" si="207"/>
        <v>0</v>
      </c>
      <c r="O1455" s="26">
        <f t="shared" si="202"/>
        <v>10000</v>
      </c>
      <c r="P1455" s="26">
        <f t="shared" si="203"/>
        <v>0</v>
      </c>
      <c r="Q1455" s="354">
        <f t="shared" si="208"/>
        <v>0</v>
      </c>
    </row>
    <row r="1456" spans="2:17" x14ac:dyDescent="0.2">
      <c r="B1456" s="6">
        <f t="shared" si="205"/>
        <v>94</v>
      </c>
      <c r="C1456" s="22"/>
      <c r="D1456" s="22"/>
      <c r="E1456" s="22"/>
      <c r="F1456" s="123"/>
      <c r="G1456" s="123"/>
      <c r="H1456" s="1" t="s">
        <v>610</v>
      </c>
      <c r="I1456" s="24"/>
      <c r="J1456" s="24"/>
      <c r="K1456" s="354"/>
      <c r="L1456" s="24">
        <v>10000</v>
      </c>
      <c r="M1456" s="24">
        <v>0</v>
      </c>
      <c r="N1456" s="354">
        <f t="shared" si="207"/>
        <v>0</v>
      </c>
      <c r="O1456" s="26">
        <f t="shared" si="202"/>
        <v>10000</v>
      </c>
      <c r="P1456" s="26">
        <f t="shared" si="203"/>
        <v>0</v>
      </c>
      <c r="Q1456" s="354">
        <f t="shared" si="208"/>
        <v>0</v>
      </c>
    </row>
    <row r="1457" spans="2:17" x14ac:dyDescent="0.2">
      <c r="B1457" s="6">
        <f t="shared" si="205"/>
        <v>95</v>
      </c>
      <c r="C1457" s="22"/>
      <c r="D1457" s="22"/>
      <c r="E1457" s="22"/>
      <c r="F1457" s="123"/>
      <c r="G1457" s="123"/>
      <c r="H1457" s="1" t="s">
        <v>528</v>
      </c>
      <c r="I1457" s="24"/>
      <c r="J1457" s="24"/>
      <c r="K1457" s="354"/>
      <c r="L1457" s="24">
        <f>280000+52000</f>
        <v>332000</v>
      </c>
      <c r="M1457" s="24">
        <v>0</v>
      </c>
      <c r="N1457" s="354">
        <f t="shared" si="207"/>
        <v>0</v>
      </c>
      <c r="O1457" s="26">
        <f t="shared" ref="O1457:O1482" si="209">I1457+L1457</f>
        <v>332000</v>
      </c>
      <c r="P1457" s="26">
        <f t="shared" ref="P1457:P1482" si="210">J1457+M1457</f>
        <v>0</v>
      </c>
      <c r="Q1457" s="354">
        <f t="shared" si="208"/>
        <v>0</v>
      </c>
    </row>
    <row r="1458" spans="2:17" ht="36" x14ac:dyDescent="0.2">
      <c r="B1458" s="6">
        <f t="shared" si="205"/>
        <v>96</v>
      </c>
      <c r="C1458" s="32"/>
      <c r="D1458" s="32"/>
      <c r="E1458" s="32"/>
      <c r="F1458" s="149"/>
      <c r="G1458" s="149"/>
      <c r="H1458" s="293" t="s">
        <v>564</v>
      </c>
      <c r="I1458" s="35"/>
      <c r="J1458" s="35"/>
      <c r="K1458" s="354"/>
      <c r="L1458" s="35">
        <f>104000+1196000-1285000</f>
        <v>15000</v>
      </c>
      <c r="M1458" s="35">
        <v>0</v>
      </c>
      <c r="N1458" s="354">
        <f t="shared" si="207"/>
        <v>0</v>
      </c>
      <c r="O1458" s="37">
        <f t="shared" si="209"/>
        <v>15000</v>
      </c>
      <c r="P1458" s="37">
        <f t="shared" si="210"/>
        <v>0</v>
      </c>
      <c r="Q1458" s="354">
        <f t="shared" si="208"/>
        <v>0</v>
      </c>
    </row>
    <row r="1459" spans="2:17" x14ac:dyDescent="0.2">
      <c r="B1459" s="6">
        <f t="shared" ref="B1459:B1482" si="211">B1458+1</f>
        <v>97</v>
      </c>
      <c r="C1459" s="22"/>
      <c r="D1459" s="22"/>
      <c r="E1459" s="22"/>
      <c r="F1459" s="123"/>
      <c r="G1459" s="123"/>
      <c r="H1459" s="1" t="s">
        <v>625</v>
      </c>
      <c r="I1459" s="24"/>
      <c r="J1459" s="24"/>
      <c r="K1459" s="354"/>
      <c r="L1459" s="24">
        <v>830000</v>
      </c>
      <c r="M1459" s="24">
        <v>500</v>
      </c>
      <c r="N1459" s="354">
        <f t="shared" si="207"/>
        <v>6.0240963855421693E-2</v>
      </c>
      <c r="O1459" s="26">
        <f t="shared" si="209"/>
        <v>830000</v>
      </c>
      <c r="P1459" s="26">
        <f t="shared" si="210"/>
        <v>500</v>
      </c>
      <c r="Q1459" s="354">
        <f t="shared" si="208"/>
        <v>6.0240963855421693E-2</v>
      </c>
    </row>
    <row r="1460" spans="2:17" x14ac:dyDescent="0.2">
      <c r="B1460" s="6">
        <f t="shared" si="211"/>
        <v>98</v>
      </c>
      <c r="C1460" s="22"/>
      <c r="D1460" s="22"/>
      <c r="E1460" s="22"/>
      <c r="F1460" s="123"/>
      <c r="G1460" s="123"/>
      <c r="H1460" s="1" t="s">
        <v>531</v>
      </c>
      <c r="I1460" s="24"/>
      <c r="J1460" s="24"/>
      <c r="K1460" s="354"/>
      <c r="L1460" s="24">
        <f>1700000-550000</f>
        <v>1150000</v>
      </c>
      <c r="M1460" s="24">
        <v>0</v>
      </c>
      <c r="N1460" s="354">
        <f t="shared" si="207"/>
        <v>0</v>
      </c>
      <c r="O1460" s="26">
        <f t="shared" si="209"/>
        <v>1150000</v>
      </c>
      <c r="P1460" s="26">
        <f t="shared" si="210"/>
        <v>0</v>
      </c>
      <c r="Q1460" s="354">
        <f t="shared" si="208"/>
        <v>0</v>
      </c>
    </row>
    <row r="1461" spans="2:17" x14ac:dyDescent="0.2">
      <c r="B1461" s="6">
        <f t="shared" si="211"/>
        <v>99</v>
      </c>
      <c r="C1461" s="22"/>
      <c r="D1461" s="22"/>
      <c r="E1461" s="22"/>
      <c r="F1461" s="123"/>
      <c r="G1461" s="123"/>
      <c r="H1461" s="1" t="s">
        <v>446</v>
      </c>
      <c r="I1461" s="24"/>
      <c r="J1461" s="24"/>
      <c r="K1461" s="354"/>
      <c r="L1461" s="24">
        <f>28000+322000</f>
        <v>350000</v>
      </c>
      <c r="M1461" s="24">
        <v>0</v>
      </c>
      <c r="N1461" s="354">
        <f t="shared" si="207"/>
        <v>0</v>
      </c>
      <c r="O1461" s="26">
        <f t="shared" si="209"/>
        <v>350000</v>
      </c>
      <c r="P1461" s="26">
        <f t="shared" si="210"/>
        <v>0</v>
      </c>
      <c r="Q1461" s="354">
        <f t="shared" si="208"/>
        <v>0</v>
      </c>
    </row>
    <row r="1462" spans="2:17" x14ac:dyDescent="0.2">
      <c r="B1462" s="6">
        <f t="shared" si="211"/>
        <v>100</v>
      </c>
      <c r="C1462" s="22"/>
      <c r="D1462" s="22"/>
      <c r="E1462" s="22"/>
      <c r="F1462" s="123"/>
      <c r="G1462" s="123"/>
      <c r="H1462" s="1" t="s">
        <v>624</v>
      </c>
      <c r="I1462" s="24"/>
      <c r="J1462" s="24"/>
      <c r="K1462" s="354"/>
      <c r="L1462" s="24">
        <v>95000</v>
      </c>
      <c r="M1462" s="24">
        <v>0</v>
      </c>
      <c r="N1462" s="354">
        <f t="shared" si="207"/>
        <v>0</v>
      </c>
      <c r="O1462" s="26">
        <f t="shared" si="209"/>
        <v>95000</v>
      </c>
      <c r="P1462" s="26">
        <f t="shared" si="210"/>
        <v>0</v>
      </c>
      <c r="Q1462" s="354">
        <f t="shared" si="208"/>
        <v>0</v>
      </c>
    </row>
    <row r="1463" spans="2:17" x14ac:dyDescent="0.2">
      <c r="B1463" s="6">
        <f t="shared" si="211"/>
        <v>101</v>
      </c>
      <c r="C1463" s="22"/>
      <c r="D1463" s="22"/>
      <c r="E1463" s="22"/>
      <c r="F1463" s="123"/>
      <c r="G1463" s="123"/>
      <c r="H1463" s="1" t="s">
        <v>491</v>
      </c>
      <c r="I1463" s="24"/>
      <c r="J1463" s="24"/>
      <c r="K1463" s="354"/>
      <c r="L1463" s="24">
        <v>720000</v>
      </c>
      <c r="M1463" s="24">
        <v>0</v>
      </c>
      <c r="N1463" s="354">
        <f t="shared" si="207"/>
        <v>0</v>
      </c>
      <c r="O1463" s="26">
        <f t="shared" si="209"/>
        <v>720000</v>
      </c>
      <c r="P1463" s="26">
        <f t="shared" si="210"/>
        <v>0</v>
      </c>
      <c r="Q1463" s="354">
        <f t="shared" si="208"/>
        <v>0</v>
      </c>
    </row>
    <row r="1464" spans="2:17" x14ac:dyDescent="0.2">
      <c r="B1464" s="6">
        <f t="shared" si="211"/>
        <v>102</v>
      </c>
      <c r="C1464" s="22"/>
      <c r="D1464" s="22"/>
      <c r="E1464" s="22"/>
      <c r="F1464" s="123"/>
      <c r="G1464" s="123"/>
      <c r="H1464" s="1" t="s">
        <v>384</v>
      </c>
      <c r="I1464" s="24"/>
      <c r="J1464" s="24"/>
      <c r="K1464" s="354"/>
      <c r="L1464" s="24">
        <f>160800+22210+23010</f>
        <v>206020</v>
      </c>
      <c r="M1464" s="24">
        <v>0</v>
      </c>
      <c r="N1464" s="354">
        <f t="shared" si="207"/>
        <v>0</v>
      </c>
      <c r="O1464" s="26">
        <f t="shared" si="209"/>
        <v>206020</v>
      </c>
      <c r="P1464" s="26">
        <f t="shared" si="210"/>
        <v>0</v>
      </c>
      <c r="Q1464" s="354">
        <f t="shared" si="208"/>
        <v>0</v>
      </c>
    </row>
    <row r="1465" spans="2:17" x14ac:dyDescent="0.2">
      <c r="B1465" s="6">
        <f t="shared" si="211"/>
        <v>103</v>
      </c>
      <c r="C1465" s="22"/>
      <c r="D1465" s="22"/>
      <c r="E1465" s="22"/>
      <c r="F1465" s="123"/>
      <c r="G1465" s="123"/>
      <c r="H1465" s="1" t="s">
        <v>416</v>
      </c>
      <c r="I1465" s="24"/>
      <c r="J1465" s="24"/>
      <c r="K1465" s="354"/>
      <c r="L1465" s="24">
        <v>1182600</v>
      </c>
      <c r="M1465" s="24">
        <v>0</v>
      </c>
      <c r="N1465" s="354">
        <f t="shared" si="207"/>
        <v>0</v>
      </c>
      <c r="O1465" s="26">
        <f t="shared" si="209"/>
        <v>1182600</v>
      </c>
      <c r="P1465" s="26">
        <f t="shared" si="210"/>
        <v>0</v>
      </c>
      <c r="Q1465" s="354">
        <f t="shared" si="208"/>
        <v>0</v>
      </c>
    </row>
    <row r="1466" spans="2:17" x14ac:dyDescent="0.2">
      <c r="B1466" s="6">
        <f t="shared" si="211"/>
        <v>104</v>
      </c>
      <c r="C1466" s="22"/>
      <c r="D1466" s="22"/>
      <c r="E1466" s="22"/>
      <c r="F1466" s="123"/>
      <c r="G1466" s="123"/>
      <c r="H1466" s="1" t="s">
        <v>448</v>
      </c>
      <c r="I1466" s="24"/>
      <c r="J1466" s="24"/>
      <c r="K1466" s="354"/>
      <c r="L1466" s="24">
        <f>6660000+37000+527890+402000+51100</f>
        <v>7677990</v>
      </c>
      <c r="M1466" s="24">
        <v>2480888</v>
      </c>
      <c r="N1466" s="354">
        <f t="shared" si="207"/>
        <v>32.311685740669105</v>
      </c>
      <c r="O1466" s="26">
        <f t="shared" si="209"/>
        <v>7677990</v>
      </c>
      <c r="P1466" s="26">
        <f t="shared" si="210"/>
        <v>2480888</v>
      </c>
      <c r="Q1466" s="354">
        <f t="shared" si="208"/>
        <v>32.311685740669105</v>
      </c>
    </row>
    <row r="1467" spans="2:17" x14ac:dyDescent="0.2">
      <c r="B1467" s="6">
        <f t="shared" si="211"/>
        <v>105</v>
      </c>
      <c r="C1467" s="22"/>
      <c r="D1467" s="22"/>
      <c r="E1467" s="22"/>
      <c r="F1467" s="123"/>
      <c r="G1467" s="123"/>
      <c r="H1467" s="1" t="s">
        <v>470</v>
      </c>
      <c r="I1467" s="24"/>
      <c r="J1467" s="24"/>
      <c r="K1467" s="354"/>
      <c r="L1467" s="24">
        <v>2400000</v>
      </c>
      <c r="M1467" s="24">
        <v>0</v>
      </c>
      <c r="N1467" s="354">
        <f t="shared" si="207"/>
        <v>0</v>
      </c>
      <c r="O1467" s="26">
        <f t="shared" si="209"/>
        <v>2400000</v>
      </c>
      <c r="P1467" s="26">
        <f t="shared" si="210"/>
        <v>0</v>
      </c>
      <c r="Q1467" s="354">
        <f t="shared" si="208"/>
        <v>0</v>
      </c>
    </row>
    <row r="1468" spans="2:17" x14ac:dyDescent="0.2">
      <c r="B1468" s="6">
        <f t="shared" si="211"/>
        <v>106</v>
      </c>
      <c r="C1468" s="22"/>
      <c r="D1468" s="22"/>
      <c r="E1468" s="22"/>
      <c r="F1468" s="123"/>
      <c r="G1468" s="123"/>
      <c r="H1468" s="1" t="s">
        <v>293</v>
      </c>
      <c r="I1468" s="24"/>
      <c r="J1468" s="24"/>
      <c r="K1468" s="354"/>
      <c r="L1468" s="24">
        <f>1800000+400000</f>
        <v>2200000</v>
      </c>
      <c r="M1468" s="24">
        <v>0</v>
      </c>
      <c r="N1468" s="354">
        <f t="shared" si="207"/>
        <v>0</v>
      </c>
      <c r="O1468" s="26">
        <f t="shared" si="209"/>
        <v>2200000</v>
      </c>
      <c r="P1468" s="26">
        <f t="shared" si="210"/>
        <v>0</v>
      </c>
      <c r="Q1468" s="354">
        <f t="shared" si="208"/>
        <v>0</v>
      </c>
    </row>
    <row r="1469" spans="2:17" x14ac:dyDescent="0.2">
      <c r="B1469" s="6">
        <f t="shared" si="211"/>
        <v>107</v>
      </c>
      <c r="C1469" s="22"/>
      <c r="D1469" s="22"/>
      <c r="E1469" s="22"/>
      <c r="F1469" s="123"/>
      <c r="G1469" s="123"/>
      <c r="H1469" s="1" t="s">
        <v>269</v>
      </c>
      <c r="I1469" s="24"/>
      <c r="J1469" s="24"/>
      <c r="K1469" s="354"/>
      <c r="L1469" s="24">
        <v>750000</v>
      </c>
      <c r="M1469" s="24">
        <v>0</v>
      </c>
      <c r="N1469" s="354">
        <f t="shared" si="207"/>
        <v>0</v>
      </c>
      <c r="O1469" s="26">
        <f t="shared" si="209"/>
        <v>750000</v>
      </c>
      <c r="P1469" s="26">
        <f t="shared" si="210"/>
        <v>0</v>
      </c>
      <c r="Q1469" s="354">
        <f t="shared" si="208"/>
        <v>0</v>
      </c>
    </row>
    <row r="1470" spans="2:17" x14ac:dyDescent="0.2">
      <c r="B1470" s="6">
        <f t="shared" si="211"/>
        <v>108</v>
      </c>
      <c r="C1470" s="22"/>
      <c r="D1470" s="22"/>
      <c r="E1470" s="22"/>
      <c r="F1470" s="123"/>
      <c r="G1470" s="123"/>
      <c r="H1470" s="1" t="s">
        <v>429</v>
      </c>
      <c r="I1470" s="24"/>
      <c r="J1470" s="24"/>
      <c r="K1470" s="354"/>
      <c r="L1470" s="24">
        <v>1000000</v>
      </c>
      <c r="M1470" s="24">
        <v>0</v>
      </c>
      <c r="N1470" s="354">
        <f t="shared" si="207"/>
        <v>0</v>
      </c>
      <c r="O1470" s="26">
        <f t="shared" si="209"/>
        <v>1000000</v>
      </c>
      <c r="P1470" s="26">
        <f t="shared" si="210"/>
        <v>0</v>
      </c>
      <c r="Q1470" s="354">
        <f t="shared" si="208"/>
        <v>0</v>
      </c>
    </row>
    <row r="1471" spans="2:17" x14ac:dyDescent="0.2">
      <c r="B1471" s="6">
        <f t="shared" si="211"/>
        <v>109</v>
      </c>
      <c r="C1471" s="22"/>
      <c r="D1471" s="22"/>
      <c r="E1471" s="22"/>
      <c r="F1471" s="123"/>
      <c r="G1471" s="123"/>
      <c r="H1471" s="1" t="s">
        <v>471</v>
      </c>
      <c r="I1471" s="24"/>
      <c r="J1471" s="24"/>
      <c r="K1471" s="354"/>
      <c r="L1471" s="24">
        <f>15000000+72400</f>
        <v>15072400</v>
      </c>
      <c r="M1471" s="24">
        <v>158114</v>
      </c>
      <c r="N1471" s="354">
        <f t="shared" si="207"/>
        <v>1.0490300151269871</v>
      </c>
      <c r="O1471" s="26">
        <f t="shared" si="209"/>
        <v>15072400</v>
      </c>
      <c r="P1471" s="26">
        <f t="shared" si="210"/>
        <v>158114</v>
      </c>
      <c r="Q1471" s="354">
        <f t="shared" si="208"/>
        <v>1.0490300151269871</v>
      </c>
    </row>
    <row r="1472" spans="2:17" ht="15" x14ac:dyDescent="0.25">
      <c r="B1472" s="6">
        <f t="shared" si="211"/>
        <v>110</v>
      </c>
      <c r="C1472" s="95"/>
      <c r="D1472" s="95"/>
      <c r="E1472" s="95">
        <v>2</v>
      </c>
      <c r="F1472" s="96"/>
      <c r="G1472" s="96"/>
      <c r="H1472" s="95" t="s">
        <v>11</v>
      </c>
      <c r="I1472" s="97">
        <f>I1473+I1474+I1475+I1482</f>
        <v>249120</v>
      </c>
      <c r="J1472" s="97">
        <f>J1473+J1474+J1475+J1482</f>
        <v>88513</v>
      </c>
      <c r="K1472" s="354">
        <f t="shared" ref="K1472:K1482" si="212">J1472/I1472*100</f>
        <v>35.530266538214519</v>
      </c>
      <c r="L1472" s="97"/>
      <c r="M1472" s="97"/>
      <c r="N1472" s="354"/>
      <c r="O1472" s="98">
        <f t="shared" si="209"/>
        <v>249120</v>
      </c>
      <c r="P1472" s="98">
        <f t="shared" si="210"/>
        <v>88513</v>
      </c>
      <c r="Q1472" s="354">
        <f t="shared" si="208"/>
        <v>35.530266538214519</v>
      </c>
    </row>
    <row r="1473" spans="2:17" x14ac:dyDescent="0.2">
      <c r="B1473" s="6">
        <f t="shared" si="211"/>
        <v>111</v>
      </c>
      <c r="C1473" s="12"/>
      <c r="D1473" s="12"/>
      <c r="E1473" s="12"/>
      <c r="F1473" s="13" t="s">
        <v>189</v>
      </c>
      <c r="G1473" s="14">
        <v>610</v>
      </c>
      <c r="H1473" s="12" t="s">
        <v>128</v>
      </c>
      <c r="I1473" s="15">
        <f>65015-2300</f>
        <v>62715</v>
      </c>
      <c r="J1473" s="15">
        <v>29323</v>
      </c>
      <c r="K1473" s="354">
        <f t="shared" si="212"/>
        <v>46.75595949932233</v>
      </c>
      <c r="L1473" s="15"/>
      <c r="M1473" s="15"/>
      <c r="N1473" s="354"/>
      <c r="O1473" s="16">
        <f t="shared" si="209"/>
        <v>62715</v>
      </c>
      <c r="P1473" s="16">
        <f t="shared" si="210"/>
        <v>29323</v>
      </c>
      <c r="Q1473" s="354">
        <f t="shared" si="208"/>
        <v>46.75595949932233</v>
      </c>
    </row>
    <row r="1474" spans="2:17" x14ac:dyDescent="0.2">
      <c r="B1474" s="6">
        <f t="shared" si="211"/>
        <v>112</v>
      </c>
      <c r="C1474" s="12"/>
      <c r="D1474" s="12"/>
      <c r="E1474" s="12"/>
      <c r="F1474" s="13" t="s">
        <v>189</v>
      </c>
      <c r="G1474" s="14">
        <v>620</v>
      </c>
      <c r="H1474" s="12" t="s">
        <v>121</v>
      </c>
      <c r="I1474" s="15">
        <v>28475</v>
      </c>
      <c r="J1474" s="15">
        <v>10889</v>
      </c>
      <c r="K1474" s="354">
        <f t="shared" si="212"/>
        <v>38.240561896400351</v>
      </c>
      <c r="L1474" s="15"/>
      <c r="M1474" s="15"/>
      <c r="N1474" s="354"/>
      <c r="O1474" s="16">
        <f t="shared" si="209"/>
        <v>28475</v>
      </c>
      <c r="P1474" s="16">
        <f t="shared" si="210"/>
        <v>10889</v>
      </c>
      <c r="Q1474" s="354">
        <f t="shared" si="208"/>
        <v>38.240561896400351</v>
      </c>
    </row>
    <row r="1475" spans="2:17" x14ac:dyDescent="0.2">
      <c r="B1475" s="6">
        <f t="shared" si="211"/>
        <v>113</v>
      </c>
      <c r="C1475" s="12"/>
      <c r="D1475" s="12"/>
      <c r="E1475" s="12"/>
      <c r="F1475" s="13" t="s">
        <v>189</v>
      </c>
      <c r="G1475" s="14">
        <v>630</v>
      </c>
      <c r="H1475" s="12" t="s">
        <v>118</v>
      </c>
      <c r="I1475" s="15">
        <f>SUM(I1476:I1481)</f>
        <v>151830</v>
      </c>
      <c r="J1475" s="15">
        <f>SUM(J1476:J1481)</f>
        <v>44307</v>
      </c>
      <c r="K1475" s="354">
        <f t="shared" si="212"/>
        <v>29.181979845880264</v>
      </c>
      <c r="L1475" s="15"/>
      <c r="M1475" s="15"/>
      <c r="N1475" s="354"/>
      <c r="O1475" s="16">
        <f t="shared" si="209"/>
        <v>151830</v>
      </c>
      <c r="P1475" s="16">
        <f t="shared" si="210"/>
        <v>44307</v>
      </c>
      <c r="Q1475" s="354">
        <f t="shared" si="208"/>
        <v>29.181979845880264</v>
      </c>
    </row>
    <row r="1476" spans="2:17" x14ac:dyDescent="0.2">
      <c r="B1476" s="6">
        <f t="shared" si="211"/>
        <v>114</v>
      </c>
      <c r="C1476" s="17"/>
      <c r="D1476" s="17"/>
      <c r="E1476" s="17"/>
      <c r="F1476" s="18"/>
      <c r="G1476" s="19">
        <v>632</v>
      </c>
      <c r="H1476" s="17" t="s">
        <v>131</v>
      </c>
      <c r="I1476" s="20">
        <v>3500</v>
      </c>
      <c r="J1476" s="20">
        <v>1369</v>
      </c>
      <c r="K1476" s="354">
        <f t="shared" si="212"/>
        <v>39.114285714285714</v>
      </c>
      <c r="L1476" s="20"/>
      <c r="M1476" s="20"/>
      <c r="N1476" s="354"/>
      <c r="O1476" s="21">
        <f t="shared" si="209"/>
        <v>3500</v>
      </c>
      <c r="P1476" s="21">
        <f t="shared" si="210"/>
        <v>1369</v>
      </c>
      <c r="Q1476" s="354">
        <f t="shared" si="208"/>
        <v>39.114285714285714</v>
      </c>
    </row>
    <row r="1477" spans="2:17" x14ac:dyDescent="0.2">
      <c r="B1477" s="6">
        <f t="shared" si="211"/>
        <v>115</v>
      </c>
      <c r="C1477" s="17"/>
      <c r="D1477" s="17"/>
      <c r="E1477" s="17"/>
      <c r="F1477" s="18"/>
      <c r="G1477" s="19">
        <v>633</v>
      </c>
      <c r="H1477" s="17" t="s">
        <v>122</v>
      </c>
      <c r="I1477" s="20">
        <f>52250+7000</f>
        <v>59250</v>
      </c>
      <c r="J1477" s="20">
        <v>32283</v>
      </c>
      <c r="K1477" s="354">
        <f t="shared" si="212"/>
        <v>54.486075949367084</v>
      </c>
      <c r="L1477" s="20"/>
      <c r="M1477" s="20"/>
      <c r="N1477" s="354"/>
      <c r="O1477" s="21">
        <f t="shared" si="209"/>
        <v>59250</v>
      </c>
      <c r="P1477" s="21">
        <f t="shared" si="210"/>
        <v>32283</v>
      </c>
      <c r="Q1477" s="354">
        <f t="shared" si="208"/>
        <v>54.486075949367084</v>
      </c>
    </row>
    <row r="1478" spans="2:17" x14ac:dyDescent="0.2">
      <c r="B1478" s="6">
        <f t="shared" si="211"/>
        <v>116</v>
      </c>
      <c r="C1478" s="17"/>
      <c r="D1478" s="17"/>
      <c r="E1478" s="17"/>
      <c r="F1478" s="18"/>
      <c r="G1478" s="19">
        <v>634</v>
      </c>
      <c r="H1478" s="17" t="s">
        <v>129</v>
      </c>
      <c r="I1478" s="20">
        <v>2500</v>
      </c>
      <c r="J1478" s="20">
        <v>1461</v>
      </c>
      <c r="K1478" s="354">
        <f t="shared" si="212"/>
        <v>58.440000000000005</v>
      </c>
      <c r="L1478" s="20"/>
      <c r="M1478" s="20"/>
      <c r="N1478" s="354"/>
      <c r="O1478" s="21">
        <f t="shared" si="209"/>
        <v>2500</v>
      </c>
      <c r="P1478" s="21">
        <f t="shared" si="210"/>
        <v>1461</v>
      </c>
      <c r="Q1478" s="354">
        <f t="shared" si="208"/>
        <v>58.440000000000005</v>
      </c>
    </row>
    <row r="1479" spans="2:17" x14ac:dyDescent="0.2">
      <c r="B1479" s="6">
        <f t="shared" si="211"/>
        <v>117</v>
      </c>
      <c r="C1479" s="17"/>
      <c r="D1479" s="17"/>
      <c r="E1479" s="17"/>
      <c r="F1479" s="18"/>
      <c r="G1479" s="19">
        <v>635</v>
      </c>
      <c r="H1479" s="17" t="s">
        <v>130</v>
      </c>
      <c r="I1479" s="20">
        <f>37200-7000+35000</f>
        <v>65200</v>
      </c>
      <c r="J1479" s="20">
        <v>3921</v>
      </c>
      <c r="K1479" s="354">
        <f t="shared" si="212"/>
        <v>6.0138036809815949</v>
      </c>
      <c r="L1479" s="20"/>
      <c r="M1479" s="20"/>
      <c r="N1479" s="354"/>
      <c r="O1479" s="21">
        <f t="shared" si="209"/>
        <v>65200</v>
      </c>
      <c r="P1479" s="21">
        <f t="shared" si="210"/>
        <v>3921</v>
      </c>
      <c r="Q1479" s="354">
        <f t="shared" si="208"/>
        <v>6.0138036809815949</v>
      </c>
    </row>
    <row r="1480" spans="2:17" x14ac:dyDescent="0.2">
      <c r="B1480" s="6">
        <f t="shared" si="211"/>
        <v>118</v>
      </c>
      <c r="C1480" s="17"/>
      <c r="D1480" s="17"/>
      <c r="E1480" s="17"/>
      <c r="F1480" s="18"/>
      <c r="G1480" s="19">
        <v>636</v>
      </c>
      <c r="H1480" s="17" t="s">
        <v>123</v>
      </c>
      <c r="I1480" s="20">
        <v>1500</v>
      </c>
      <c r="J1480" s="20">
        <v>315</v>
      </c>
      <c r="K1480" s="354">
        <f t="shared" si="212"/>
        <v>21</v>
      </c>
      <c r="L1480" s="20"/>
      <c r="M1480" s="20"/>
      <c r="N1480" s="354"/>
      <c r="O1480" s="21">
        <f t="shared" si="209"/>
        <v>1500</v>
      </c>
      <c r="P1480" s="21">
        <f t="shared" si="210"/>
        <v>315</v>
      </c>
      <c r="Q1480" s="354">
        <f t="shared" si="208"/>
        <v>21</v>
      </c>
    </row>
    <row r="1481" spans="2:17" x14ac:dyDescent="0.2">
      <c r="B1481" s="6">
        <f t="shared" si="211"/>
        <v>119</v>
      </c>
      <c r="C1481" s="17"/>
      <c r="D1481" s="17"/>
      <c r="E1481" s="17"/>
      <c r="F1481" s="18"/>
      <c r="G1481" s="19">
        <v>637</v>
      </c>
      <c r="H1481" s="17" t="s">
        <v>119</v>
      </c>
      <c r="I1481" s="20">
        <v>19880</v>
      </c>
      <c r="J1481" s="20">
        <v>4958</v>
      </c>
      <c r="K1481" s="354">
        <f t="shared" si="212"/>
        <v>24.939637826961771</v>
      </c>
      <c r="L1481" s="20"/>
      <c r="M1481" s="20"/>
      <c r="N1481" s="354"/>
      <c r="O1481" s="21">
        <f t="shared" si="209"/>
        <v>19880</v>
      </c>
      <c r="P1481" s="21">
        <f t="shared" si="210"/>
        <v>4958</v>
      </c>
      <c r="Q1481" s="354">
        <f t="shared" si="208"/>
        <v>24.939637826961771</v>
      </c>
    </row>
    <row r="1482" spans="2:17" x14ac:dyDescent="0.2">
      <c r="B1482" s="155">
        <f t="shared" si="211"/>
        <v>120</v>
      </c>
      <c r="C1482" s="156"/>
      <c r="D1482" s="156"/>
      <c r="E1482" s="156"/>
      <c r="F1482" s="157" t="s">
        <v>189</v>
      </c>
      <c r="G1482" s="158">
        <v>640</v>
      </c>
      <c r="H1482" s="156" t="s">
        <v>126</v>
      </c>
      <c r="I1482" s="159">
        <f>3800+2300</f>
        <v>6100</v>
      </c>
      <c r="J1482" s="159">
        <v>3994</v>
      </c>
      <c r="K1482" s="354">
        <f t="shared" si="212"/>
        <v>65.47540983606558</v>
      </c>
      <c r="L1482" s="159"/>
      <c r="M1482" s="159"/>
      <c r="N1482" s="354"/>
      <c r="O1482" s="160">
        <f t="shared" si="209"/>
        <v>6100</v>
      </c>
      <c r="P1482" s="160">
        <f t="shared" si="210"/>
        <v>3994</v>
      </c>
      <c r="Q1482" s="354">
        <f t="shared" si="208"/>
        <v>65.47540983606558</v>
      </c>
    </row>
    <row r="1489" spans="2:17" ht="27.75" x14ac:dyDescent="0.4">
      <c r="B1489" s="496" t="s">
        <v>21</v>
      </c>
      <c r="C1489" s="497"/>
      <c r="D1489" s="497"/>
      <c r="E1489" s="497"/>
      <c r="F1489" s="497"/>
      <c r="G1489" s="497"/>
      <c r="H1489" s="497"/>
      <c r="I1489" s="497"/>
      <c r="J1489" s="497"/>
      <c r="K1489" s="497"/>
      <c r="L1489" s="497"/>
      <c r="M1489" s="497"/>
      <c r="N1489" s="497"/>
      <c r="O1489" s="497"/>
    </row>
    <row r="1490" spans="2:17" ht="15" x14ac:dyDescent="0.35">
      <c r="B1490" s="461" t="s">
        <v>437</v>
      </c>
      <c r="C1490" s="462"/>
      <c r="D1490" s="462"/>
      <c r="E1490" s="462"/>
      <c r="F1490" s="462"/>
      <c r="G1490" s="462"/>
      <c r="H1490" s="462"/>
      <c r="I1490" s="462"/>
      <c r="J1490" s="462"/>
      <c r="K1490" s="462"/>
      <c r="L1490" s="462"/>
      <c r="M1490" s="462"/>
      <c r="N1490" s="463"/>
      <c r="O1490" s="466" t="s">
        <v>717</v>
      </c>
      <c r="P1490" s="466" t="s">
        <v>712</v>
      </c>
      <c r="Q1490" s="468" t="s">
        <v>711</v>
      </c>
    </row>
    <row r="1491" spans="2:17" x14ac:dyDescent="0.2">
      <c r="B1491" s="478"/>
      <c r="C1491" s="475" t="s">
        <v>111</v>
      </c>
      <c r="D1491" s="475" t="s">
        <v>112</v>
      </c>
      <c r="E1491" s="475"/>
      <c r="F1491" s="475" t="s">
        <v>113</v>
      </c>
      <c r="G1491" s="477" t="s">
        <v>114</v>
      </c>
      <c r="H1491" s="476" t="s">
        <v>115</v>
      </c>
      <c r="I1491" s="471" t="s">
        <v>713</v>
      </c>
      <c r="J1491" s="471" t="s">
        <v>714</v>
      </c>
      <c r="K1491" s="472" t="s">
        <v>711</v>
      </c>
      <c r="L1491" s="471" t="s">
        <v>715</v>
      </c>
      <c r="M1491" s="471" t="s">
        <v>716</v>
      </c>
      <c r="N1491" s="451" t="s">
        <v>711</v>
      </c>
      <c r="O1491" s="467"/>
      <c r="P1491" s="467"/>
      <c r="Q1491" s="469"/>
    </row>
    <row r="1492" spans="2:17" x14ac:dyDescent="0.2">
      <c r="B1492" s="478"/>
      <c r="C1492" s="475"/>
      <c r="D1492" s="475"/>
      <c r="E1492" s="475"/>
      <c r="F1492" s="475"/>
      <c r="G1492" s="477"/>
      <c r="H1492" s="476"/>
      <c r="I1492" s="471"/>
      <c r="J1492" s="471"/>
      <c r="K1492" s="473"/>
      <c r="L1492" s="471"/>
      <c r="M1492" s="471"/>
      <c r="N1492" s="452"/>
      <c r="O1492" s="467"/>
      <c r="P1492" s="467"/>
      <c r="Q1492" s="469"/>
    </row>
    <row r="1493" spans="2:17" x14ac:dyDescent="0.2">
      <c r="B1493" s="478"/>
      <c r="C1493" s="475"/>
      <c r="D1493" s="475"/>
      <c r="E1493" s="475"/>
      <c r="F1493" s="475"/>
      <c r="G1493" s="477"/>
      <c r="H1493" s="476"/>
      <c r="I1493" s="471"/>
      <c r="J1493" s="471"/>
      <c r="K1493" s="473"/>
      <c r="L1493" s="471"/>
      <c r="M1493" s="471"/>
      <c r="N1493" s="452"/>
      <c r="O1493" s="467"/>
      <c r="P1493" s="467"/>
      <c r="Q1493" s="469"/>
    </row>
    <row r="1494" spans="2:17" x14ac:dyDescent="0.2">
      <c r="B1494" s="478"/>
      <c r="C1494" s="475"/>
      <c r="D1494" s="475"/>
      <c r="E1494" s="475"/>
      <c r="F1494" s="475"/>
      <c r="G1494" s="477"/>
      <c r="H1494" s="476"/>
      <c r="I1494" s="471"/>
      <c r="J1494" s="471"/>
      <c r="K1494" s="474"/>
      <c r="L1494" s="471"/>
      <c r="M1494" s="471"/>
      <c r="N1494" s="452"/>
      <c r="O1494" s="467"/>
      <c r="P1494" s="467"/>
      <c r="Q1494" s="470"/>
    </row>
    <row r="1495" spans="2:17" ht="15.75" x14ac:dyDescent="0.2">
      <c r="B1495" s="6">
        <v>1</v>
      </c>
      <c r="C1495" s="464" t="s">
        <v>21</v>
      </c>
      <c r="D1495" s="465"/>
      <c r="E1495" s="465"/>
      <c r="F1495" s="465"/>
      <c r="G1495" s="465"/>
      <c r="H1495" s="465"/>
      <c r="I1495" s="7">
        <f>I1496+I1512+I1517+I1534+I1547</f>
        <v>2525528</v>
      </c>
      <c r="J1495" s="7">
        <f>J1496+J1512+J1517+J1534+J1547</f>
        <v>1175543</v>
      </c>
      <c r="K1495" s="354">
        <f t="shared" ref="K1495:K1524" si="213">J1495/I1495*100</f>
        <v>46.546425143573941</v>
      </c>
      <c r="L1495" s="7">
        <f>L1534+L1517+L1512+L1496+L1547</f>
        <v>7544126</v>
      </c>
      <c r="M1495" s="7">
        <f>M1534+M1517+M1512+M1496+M1547</f>
        <v>202948</v>
      </c>
      <c r="N1495" s="354">
        <f>M1495/L1495*100</f>
        <v>2.6901459493120874</v>
      </c>
      <c r="O1495" s="8">
        <f t="shared" ref="O1495:O1526" si="214">I1495+L1495</f>
        <v>10069654</v>
      </c>
      <c r="P1495" s="8">
        <f t="shared" ref="P1495:P1526" si="215">J1495+M1495</f>
        <v>1378491</v>
      </c>
      <c r="Q1495" s="354">
        <f t="shared" ref="Q1495:Q1526" si="216">P1495/O1495*100</f>
        <v>13.6895567613346</v>
      </c>
    </row>
    <row r="1496" spans="2:17" ht="15" x14ac:dyDescent="0.2">
      <c r="B1496" s="6">
        <f t="shared" ref="B1496:B1527" si="217">B1495+1</f>
        <v>2</v>
      </c>
      <c r="C1496" s="9">
        <v>1</v>
      </c>
      <c r="D1496" s="459" t="s">
        <v>225</v>
      </c>
      <c r="E1496" s="460"/>
      <c r="F1496" s="460"/>
      <c r="G1496" s="460"/>
      <c r="H1496" s="460"/>
      <c r="I1496" s="10">
        <f>I1497</f>
        <v>245000</v>
      </c>
      <c r="J1496" s="10">
        <f>J1497</f>
        <v>132000</v>
      </c>
      <c r="K1496" s="354">
        <f t="shared" si="213"/>
        <v>53.877551020408163</v>
      </c>
      <c r="L1496" s="10"/>
      <c r="M1496" s="10"/>
      <c r="N1496" s="354"/>
      <c r="O1496" s="31">
        <f t="shared" si="214"/>
        <v>245000</v>
      </c>
      <c r="P1496" s="31">
        <f t="shared" si="215"/>
        <v>132000</v>
      </c>
      <c r="Q1496" s="354">
        <f t="shared" si="216"/>
        <v>53.877551020408163</v>
      </c>
    </row>
    <row r="1497" spans="2:17" x14ac:dyDescent="0.2">
      <c r="B1497" s="6">
        <f t="shared" si="217"/>
        <v>3</v>
      </c>
      <c r="C1497" s="12"/>
      <c r="D1497" s="12"/>
      <c r="E1497" s="12"/>
      <c r="F1497" s="13" t="s">
        <v>74</v>
      </c>
      <c r="G1497" s="14">
        <v>640</v>
      </c>
      <c r="H1497" s="12" t="s">
        <v>126</v>
      </c>
      <c r="I1497" s="15">
        <f>SUM(I1498:I1511)</f>
        <v>245000</v>
      </c>
      <c r="J1497" s="15">
        <f>SUM(J1498:J1511)</f>
        <v>132000</v>
      </c>
      <c r="K1497" s="354">
        <f t="shared" si="213"/>
        <v>53.877551020408163</v>
      </c>
      <c r="L1497" s="15"/>
      <c r="M1497" s="15"/>
      <c r="N1497" s="354"/>
      <c r="O1497" s="16">
        <f t="shared" si="214"/>
        <v>245000</v>
      </c>
      <c r="P1497" s="16">
        <f t="shared" si="215"/>
        <v>132000</v>
      </c>
      <c r="Q1497" s="354">
        <f t="shared" si="216"/>
        <v>53.877551020408163</v>
      </c>
    </row>
    <row r="1498" spans="2:17" x14ac:dyDescent="0.2">
      <c r="B1498" s="6">
        <f t="shared" si="217"/>
        <v>4</v>
      </c>
      <c r="C1498" s="32"/>
      <c r="D1498" s="32"/>
      <c r="E1498" s="32"/>
      <c r="F1498" s="149"/>
      <c r="G1498" s="149"/>
      <c r="H1498" s="34" t="s">
        <v>260</v>
      </c>
      <c r="I1498" s="35">
        <f>48000+2000</f>
        <v>50000</v>
      </c>
      <c r="J1498" s="35">
        <v>44000</v>
      </c>
      <c r="K1498" s="354">
        <f t="shared" si="213"/>
        <v>88</v>
      </c>
      <c r="L1498" s="35"/>
      <c r="M1498" s="35"/>
      <c r="N1498" s="354"/>
      <c r="O1498" s="263">
        <f t="shared" si="214"/>
        <v>50000</v>
      </c>
      <c r="P1498" s="263">
        <f t="shared" si="215"/>
        <v>44000</v>
      </c>
      <c r="Q1498" s="354">
        <f t="shared" si="216"/>
        <v>88</v>
      </c>
    </row>
    <row r="1499" spans="2:17" x14ac:dyDescent="0.2">
      <c r="B1499" s="6">
        <f t="shared" si="217"/>
        <v>5</v>
      </c>
      <c r="C1499" s="32"/>
      <c r="D1499" s="32"/>
      <c r="E1499" s="32"/>
      <c r="F1499" s="149"/>
      <c r="G1499" s="149"/>
      <c r="H1499" s="34" t="s">
        <v>353</v>
      </c>
      <c r="I1499" s="35">
        <v>10000</v>
      </c>
      <c r="J1499" s="35">
        <v>10000</v>
      </c>
      <c r="K1499" s="354">
        <f t="shared" si="213"/>
        <v>100</v>
      </c>
      <c r="L1499" s="35"/>
      <c r="M1499" s="35"/>
      <c r="N1499" s="354"/>
      <c r="O1499" s="263">
        <f t="shared" si="214"/>
        <v>10000</v>
      </c>
      <c r="P1499" s="263">
        <f t="shared" si="215"/>
        <v>10000</v>
      </c>
      <c r="Q1499" s="354">
        <f t="shared" si="216"/>
        <v>100</v>
      </c>
    </row>
    <row r="1500" spans="2:17" x14ac:dyDescent="0.2">
      <c r="B1500" s="6">
        <f t="shared" si="217"/>
        <v>6</v>
      </c>
      <c r="C1500" s="32"/>
      <c r="D1500" s="32"/>
      <c r="E1500" s="32"/>
      <c r="F1500" s="149"/>
      <c r="G1500" s="149"/>
      <c r="H1500" s="34" t="s">
        <v>332</v>
      </c>
      <c r="I1500" s="35">
        <v>7000</v>
      </c>
      <c r="J1500" s="35">
        <v>7000</v>
      </c>
      <c r="K1500" s="354">
        <f t="shared" si="213"/>
        <v>100</v>
      </c>
      <c r="L1500" s="35"/>
      <c r="M1500" s="35"/>
      <c r="N1500" s="354"/>
      <c r="O1500" s="263">
        <f t="shared" si="214"/>
        <v>7000</v>
      </c>
      <c r="P1500" s="263">
        <f t="shared" si="215"/>
        <v>7000</v>
      </c>
      <c r="Q1500" s="354">
        <f t="shared" si="216"/>
        <v>100</v>
      </c>
    </row>
    <row r="1501" spans="2:17" x14ac:dyDescent="0.2">
      <c r="B1501" s="6">
        <f t="shared" si="217"/>
        <v>7</v>
      </c>
      <c r="C1501" s="32"/>
      <c r="D1501" s="32"/>
      <c r="E1501" s="32"/>
      <c r="F1501" s="149"/>
      <c r="G1501" s="149"/>
      <c r="H1501" s="34" t="s">
        <v>472</v>
      </c>
      <c r="I1501" s="35">
        <v>25000</v>
      </c>
      <c r="J1501" s="35">
        <v>25000</v>
      </c>
      <c r="K1501" s="354">
        <f t="shared" si="213"/>
        <v>100</v>
      </c>
      <c r="L1501" s="35"/>
      <c r="M1501" s="35"/>
      <c r="N1501" s="354"/>
      <c r="O1501" s="263">
        <f t="shared" si="214"/>
        <v>25000</v>
      </c>
      <c r="P1501" s="263">
        <f t="shared" si="215"/>
        <v>25000</v>
      </c>
      <c r="Q1501" s="354">
        <f t="shared" si="216"/>
        <v>100</v>
      </c>
    </row>
    <row r="1502" spans="2:17" x14ac:dyDescent="0.2">
      <c r="B1502" s="6">
        <f t="shared" si="217"/>
        <v>8</v>
      </c>
      <c r="C1502" s="32"/>
      <c r="D1502" s="32"/>
      <c r="E1502" s="32"/>
      <c r="F1502" s="149"/>
      <c r="G1502" s="149"/>
      <c r="H1502" s="34" t="s">
        <v>546</v>
      </c>
      <c r="I1502" s="35">
        <v>2000</v>
      </c>
      <c r="J1502" s="35">
        <v>2000</v>
      </c>
      <c r="K1502" s="354">
        <f t="shared" si="213"/>
        <v>100</v>
      </c>
      <c r="L1502" s="35"/>
      <c r="M1502" s="35"/>
      <c r="N1502" s="354"/>
      <c r="O1502" s="263">
        <f t="shared" si="214"/>
        <v>2000</v>
      </c>
      <c r="P1502" s="263">
        <f t="shared" si="215"/>
        <v>2000</v>
      </c>
      <c r="Q1502" s="354">
        <f t="shared" si="216"/>
        <v>100</v>
      </c>
    </row>
    <row r="1503" spans="2:17" x14ac:dyDescent="0.2">
      <c r="B1503" s="6">
        <f t="shared" si="217"/>
        <v>9</v>
      </c>
      <c r="C1503" s="32"/>
      <c r="D1503" s="32"/>
      <c r="E1503" s="32"/>
      <c r="F1503" s="149"/>
      <c r="G1503" s="149"/>
      <c r="H1503" s="34" t="s">
        <v>519</v>
      </c>
      <c r="I1503" s="35">
        <v>5000</v>
      </c>
      <c r="J1503" s="35">
        <v>0</v>
      </c>
      <c r="K1503" s="354">
        <f t="shared" si="213"/>
        <v>0</v>
      </c>
      <c r="L1503" s="35"/>
      <c r="M1503" s="35"/>
      <c r="N1503" s="354"/>
      <c r="O1503" s="263">
        <f t="shared" si="214"/>
        <v>5000</v>
      </c>
      <c r="P1503" s="263">
        <f t="shared" si="215"/>
        <v>0</v>
      </c>
      <c r="Q1503" s="354">
        <f t="shared" si="216"/>
        <v>0</v>
      </c>
    </row>
    <row r="1504" spans="2:17" ht="24" x14ac:dyDescent="0.2">
      <c r="B1504" s="6">
        <f t="shared" si="217"/>
        <v>10</v>
      </c>
      <c r="C1504" s="32"/>
      <c r="D1504" s="32"/>
      <c r="E1504" s="32"/>
      <c r="F1504" s="149"/>
      <c r="G1504" s="149"/>
      <c r="H1504" s="34" t="s">
        <v>473</v>
      </c>
      <c r="I1504" s="35">
        <v>6000</v>
      </c>
      <c r="J1504" s="35">
        <v>6000</v>
      </c>
      <c r="K1504" s="354">
        <f t="shared" si="213"/>
        <v>100</v>
      </c>
      <c r="L1504" s="35"/>
      <c r="M1504" s="35"/>
      <c r="N1504" s="354"/>
      <c r="O1504" s="263">
        <f t="shared" si="214"/>
        <v>6000</v>
      </c>
      <c r="P1504" s="263">
        <f t="shared" si="215"/>
        <v>6000</v>
      </c>
      <c r="Q1504" s="354">
        <f t="shared" si="216"/>
        <v>100</v>
      </c>
    </row>
    <row r="1505" spans="2:17" x14ac:dyDescent="0.2">
      <c r="B1505" s="6">
        <f t="shared" si="217"/>
        <v>11</v>
      </c>
      <c r="C1505" s="32"/>
      <c r="D1505" s="32"/>
      <c r="E1505" s="32"/>
      <c r="F1505" s="149"/>
      <c r="G1505" s="149"/>
      <c r="H1505" s="34" t="s">
        <v>542</v>
      </c>
      <c r="I1505" s="35">
        <f>10000+10000</f>
        <v>20000</v>
      </c>
      <c r="J1505" s="35">
        <v>0</v>
      </c>
      <c r="K1505" s="354">
        <f t="shared" si="213"/>
        <v>0</v>
      </c>
      <c r="L1505" s="35"/>
      <c r="M1505" s="35"/>
      <c r="N1505" s="354"/>
      <c r="O1505" s="263">
        <f t="shared" si="214"/>
        <v>20000</v>
      </c>
      <c r="P1505" s="263">
        <f t="shared" si="215"/>
        <v>0</v>
      </c>
      <c r="Q1505" s="354">
        <f t="shared" si="216"/>
        <v>0</v>
      </c>
    </row>
    <row r="1506" spans="2:17" x14ac:dyDescent="0.2">
      <c r="B1506" s="6">
        <f t="shared" si="217"/>
        <v>12</v>
      </c>
      <c r="C1506" s="32"/>
      <c r="D1506" s="32"/>
      <c r="E1506" s="32"/>
      <c r="F1506" s="149"/>
      <c r="G1506" s="149"/>
      <c r="H1506" s="34" t="s">
        <v>354</v>
      </c>
      <c r="I1506" s="35">
        <v>7000</v>
      </c>
      <c r="J1506" s="35">
        <v>0</v>
      </c>
      <c r="K1506" s="354">
        <f t="shared" si="213"/>
        <v>0</v>
      </c>
      <c r="L1506" s="35"/>
      <c r="M1506" s="35"/>
      <c r="N1506" s="354"/>
      <c r="O1506" s="263">
        <f t="shared" si="214"/>
        <v>7000</v>
      </c>
      <c r="P1506" s="263">
        <f t="shared" si="215"/>
        <v>0</v>
      </c>
      <c r="Q1506" s="354">
        <f t="shared" si="216"/>
        <v>0</v>
      </c>
    </row>
    <row r="1507" spans="2:17" x14ac:dyDescent="0.2">
      <c r="B1507" s="6">
        <f t="shared" si="217"/>
        <v>13</v>
      </c>
      <c r="C1507" s="32"/>
      <c r="D1507" s="32"/>
      <c r="E1507" s="32"/>
      <c r="F1507" s="149"/>
      <c r="G1507" s="149"/>
      <c r="H1507" s="34" t="s">
        <v>263</v>
      </c>
      <c r="I1507" s="35">
        <v>35000</v>
      </c>
      <c r="J1507" s="35">
        <v>35000</v>
      </c>
      <c r="K1507" s="354">
        <f t="shared" si="213"/>
        <v>100</v>
      </c>
      <c r="L1507" s="35"/>
      <c r="M1507" s="35"/>
      <c r="N1507" s="354"/>
      <c r="O1507" s="263">
        <f t="shared" si="214"/>
        <v>35000</v>
      </c>
      <c r="P1507" s="263">
        <f t="shared" si="215"/>
        <v>35000</v>
      </c>
      <c r="Q1507" s="354">
        <f t="shared" si="216"/>
        <v>100</v>
      </c>
    </row>
    <row r="1508" spans="2:17" ht="24" x14ac:dyDescent="0.2">
      <c r="B1508" s="6">
        <f t="shared" si="217"/>
        <v>14</v>
      </c>
      <c r="C1508" s="32"/>
      <c r="D1508" s="32"/>
      <c r="E1508" s="32"/>
      <c r="F1508" s="149"/>
      <c r="G1508" s="149"/>
      <c r="H1508" s="34" t="s">
        <v>690</v>
      </c>
      <c r="I1508" s="35">
        <v>10000</v>
      </c>
      <c r="J1508" s="35">
        <v>0</v>
      </c>
      <c r="K1508" s="354">
        <f t="shared" si="213"/>
        <v>0</v>
      </c>
      <c r="L1508" s="35"/>
      <c r="M1508" s="35"/>
      <c r="N1508" s="354"/>
      <c r="O1508" s="263">
        <f t="shared" si="214"/>
        <v>10000</v>
      </c>
      <c r="P1508" s="263">
        <f t="shared" si="215"/>
        <v>0</v>
      </c>
      <c r="Q1508" s="354">
        <f t="shared" si="216"/>
        <v>0</v>
      </c>
    </row>
    <row r="1509" spans="2:17" x14ac:dyDescent="0.2">
      <c r="B1509" s="6">
        <f t="shared" si="217"/>
        <v>15</v>
      </c>
      <c r="C1509" s="32"/>
      <c r="D1509" s="32"/>
      <c r="E1509" s="32"/>
      <c r="F1509" s="149"/>
      <c r="G1509" s="149"/>
      <c r="H1509" s="34" t="s">
        <v>578</v>
      </c>
      <c r="I1509" s="35">
        <v>3000</v>
      </c>
      <c r="J1509" s="35">
        <v>3000</v>
      </c>
      <c r="K1509" s="354">
        <f t="shared" si="213"/>
        <v>100</v>
      </c>
      <c r="L1509" s="35"/>
      <c r="M1509" s="35"/>
      <c r="N1509" s="354"/>
      <c r="O1509" s="263">
        <f t="shared" si="214"/>
        <v>3000</v>
      </c>
      <c r="P1509" s="263">
        <f t="shared" si="215"/>
        <v>3000</v>
      </c>
      <c r="Q1509" s="354">
        <f t="shared" si="216"/>
        <v>100</v>
      </c>
    </row>
    <row r="1510" spans="2:17" x14ac:dyDescent="0.2">
      <c r="B1510" s="6">
        <f t="shared" si="217"/>
        <v>16</v>
      </c>
      <c r="C1510" s="32"/>
      <c r="D1510" s="32"/>
      <c r="E1510" s="32"/>
      <c r="F1510" s="149"/>
      <c r="G1510" s="149"/>
      <c r="H1510" s="34" t="s">
        <v>333</v>
      </c>
      <c r="I1510" s="35">
        <f>20000+30000</f>
        <v>50000</v>
      </c>
      <c r="J1510" s="35">
        <v>0</v>
      </c>
      <c r="K1510" s="354">
        <f t="shared" si="213"/>
        <v>0</v>
      </c>
      <c r="L1510" s="35"/>
      <c r="M1510" s="35"/>
      <c r="N1510" s="354"/>
      <c r="O1510" s="263">
        <f t="shared" si="214"/>
        <v>50000</v>
      </c>
      <c r="P1510" s="263">
        <f t="shared" si="215"/>
        <v>0</v>
      </c>
      <c r="Q1510" s="354">
        <f t="shared" si="216"/>
        <v>0</v>
      </c>
    </row>
    <row r="1511" spans="2:17" ht="24" x14ac:dyDescent="0.2">
      <c r="B1511" s="6">
        <f t="shared" si="217"/>
        <v>17</v>
      </c>
      <c r="C1511" s="32"/>
      <c r="D1511" s="32"/>
      <c r="E1511" s="32"/>
      <c r="F1511" s="149"/>
      <c r="G1511" s="149"/>
      <c r="H1511" s="34" t="s">
        <v>576</v>
      </c>
      <c r="I1511" s="35">
        <f>10000+5000</f>
        <v>15000</v>
      </c>
      <c r="J1511" s="35">
        <v>0</v>
      </c>
      <c r="K1511" s="354">
        <f t="shared" si="213"/>
        <v>0</v>
      </c>
      <c r="L1511" s="35"/>
      <c r="M1511" s="35"/>
      <c r="N1511" s="354"/>
      <c r="O1511" s="263">
        <f t="shared" si="214"/>
        <v>15000</v>
      </c>
      <c r="P1511" s="263">
        <f t="shared" si="215"/>
        <v>0</v>
      </c>
      <c r="Q1511" s="354">
        <f t="shared" si="216"/>
        <v>0</v>
      </c>
    </row>
    <row r="1512" spans="2:17" ht="15" x14ac:dyDescent="0.2">
      <c r="B1512" s="6">
        <f t="shared" si="217"/>
        <v>18</v>
      </c>
      <c r="C1512" s="9">
        <v>2</v>
      </c>
      <c r="D1512" s="459" t="s">
        <v>168</v>
      </c>
      <c r="E1512" s="460"/>
      <c r="F1512" s="460"/>
      <c r="G1512" s="460"/>
      <c r="H1512" s="460"/>
      <c r="I1512" s="10">
        <f>I1513</f>
        <v>334646</v>
      </c>
      <c r="J1512" s="10">
        <f>J1513</f>
        <v>194093</v>
      </c>
      <c r="K1512" s="354">
        <f t="shared" si="213"/>
        <v>57.999497976966708</v>
      </c>
      <c r="L1512" s="10"/>
      <c r="M1512" s="10"/>
      <c r="N1512" s="354"/>
      <c r="O1512" s="31">
        <f t="shared" si="214"/>
        <v>334646</v>
      </c>
      <c r="P1512" s="31">
        <f t="shared" si="215"/>
        <v>194093</v>
      </c>
      <c r="Q1512" s="354">
        <f t="shared" si="216"/>
        <v>57.999497976966708</v>
      </c>
    </row>
    <row r="1513" spans="2:17" x14ac:dyDescent="0.2">
      <c r="B1513" s="6">
        <f t="shared" si="217"/>
        <v>19</v>
      </c>
      <c r="C1513" s="12"/>
      <c r="D1513" s="12"/>
      <c r="E1513" s="12"/>
      <c r="F1513" s="13" t="s">
        <v>74</v>
      </c>
      <c r="G1513" s="14">
        <v>630</v>
      </c>
      <c r="H1513" s="12" t="s">
        <v>118</v>
      </c>
      <c r="I1513" s="15">
        <f>SUM(I1514:I1516)</f>
        <v>334646</v>
      </c>
      <c r="J1513" s="15">
        <f>SUM(J1514:J1516)</f>
        <v>194093</v>
      </c>
      <c r="K1513" s="354">
        <f t="shared" si="213"/>
        <v>57.999497976966708</v>
      </c>
      <c r="L1513" s="15"/>
      <c r="M1513" s="15"/>
      <c r="N1513" s="354"/>
      <c r="O1513" s="16">
        <f t="shared" si="214"/>
        <v>334646</v>
      </c>
      <c r="P1513" s="16">
        <f t="shared" si="215"/>
        <v>194093</v>
      </c>
      <c r="Q1513" s="354">
        <f t="shared" si="216"/>
        <v>57.999497976966708</v>
      </c>
    </row>
    <row r="1514" spans="2:17" x14ac:dyDescent="0.2">
      <c r="B1514" s="6">
        <f t="shared" si="217"/>
        <v>20</v>
      </c>
      <c r="C1514" s="17"/>
      <c r="D1514" s="17"/>
      <c r="E1514" s="17"/>
      <c r="F1514" s="18"/>
      <c r="G1514" s="19">
        <v>633</v>
      </c>
      <c r="H1514" s="17" t="s">
        <v>122</v>
      </c>
      <c r="I1514" s="20">
        <v>6000</v>
      </c>
      <c r="J1514" s="20">
        <v>1775</v>
      </c>
      <c r="K1514" s="354">
        <f t="shared" si="213"/>
        <v>29.583333333333332</v>
      </c>
      <c r="L1514" s="20"/>
      <c r="M1514" s="20"/>
      <c r="N1514" s="354"/>
      <c r="O1514" s="21">
        <f t="shared" si="214"/>
        <v>6000</v>
      </c>
      <c r="P1514" s="21">
        <f t="shared" si="215"/>
        <v>1775</v>
      </c>
      <c r="Q1514" s="354">
        <f t="shared" si="216"/>
        <v>29.583333333333332</v>
      </c>
    </row>
    <row r="1515" spans="2:17" x14ac:dyDescent="0.2">
      <c r="B1515" s="6">
        <f t="shared" si="217"/>
        <v>21</v>
      </c>
      <c r="C1515" s="17"/>
      <c r="D1515" s="17"/>
      <c r="E1515" s="17"/>
      <c r="F1515" s="18"/>
      <c r="G1515" s="19">
        <v>637</v>
      </c>
      <c r="H1515" s="17" t="s">
        <v>119</v>
      </c>
      <c r="I1515" s="20">
        <v>150000</v>
      </c>
      <c r="J1515" s="20">
        <f>194093-J1516-J1514</f>
        <v>18666</v>
      </c>
      <c r="K1515" s="354">
        <f t="shared" si="213"/>
        <v>12.443999999999999</v>
      </c>
      <c r="L1515" s="20"/>
      <c r="M1515" s="20"/>
      <c r="N1515" s="354"/>
      <c r="O1515" s="21">
        <f t="shared" si="214"/>
        <v>150000</v>
      </c>
      <c r="P1515" s="21">
        <f t="shared" si="215"/>
        <v>18666</v>
      </c>
      <c r="Q1515" s="354">
        <f t="shared" si="216"/>
        <v>12.443999999999999</v>
      </c>
    </row>
    <row r="1516" spans="2:17" ht="36" x14ac:dyDescent="0.2">
      <c r="B1516" s="6">
        <f t="shared" si="217"/>
        <v>22</v>
      </c>
      <c r="C1516" s="17"/>
      <c r="D1516" s="17"/>
      <c r="E1516" s="17"/>
      <c r="F1516" s="18"/>
      <c r="G1516" s="19">
        <v>600</v>
      </c>
      <c r="H1516" s="322" t="s">
        <v>492</v>
      </c>
      <c r="I1516" s="20">
        <f>31030+112616+35000</f>
        <v>178646</v>
      </c>
      <c r="J1516" s="20">
        <v>173652</v>
      </c>
      <c r="K1516" s="354">
        <f t="shared" si="213"/>
        <v>97.204527389362198</v>
      </c>
      <c r="L1516" s="20"/>
      <c r="M1516" s="20"/>
      <c r="N1516" s="354"/>
      <c r="O1516" s="21">
        <f t="shared" si="214"/>
        <v>178646</v>
      </c>
      <c r="P1516" s="21">
        <f t="shared" si="215"/>
        <v>173652</v>
      </c>
      <c r="Q1516" s="354">
        <f t="shared" si="216"/>
        <v>97.204527389362198</v>
      </c>
    </row>
    <row r="1517" spans="2:17" ht="15" x14ac:dyDescent="0.2">
      <c r="B1517" s="6">
        <f t="shared" si="217"/>
        <v>23</v>
      </c>
      <c r="C1517" s="9">
        <v>3</v>
      </c>
      <c r="D1517" s="459" t="s">
        <v>134</v>
      </c>
      <c r="E1517" s="460"/>
      <c r="F1517" s="460"/>
      <c r="G1517" s="460"/>
      <c r="H1517" s="460"/>
      <c r="I1517" s="10">
        <f>I1518+I1519+I1520</f>
        <v>242120</v>
      </c>
      <c r="J1517" s="10">
        <f>J1518+J1519+J1520</f>
        <v>64734</v>
      </c>
      <c r="K1517" s="354">
        <f t="shared" si="213"/>
        <v>26.736329093011729</v>
      </c>
      <c r="L1517" s="10">
        <f>L1525</f>
        <v>7324626</v>
      </c>
      <c r="M1517" s="10">
        <f>M1525</f>
        <v>948</v>
      </c>
      <c r="N1517" s="354">
        <f>M1517/L1517*100</f>
        <v>1.2942640347780214E-2</v>
      </c>
      <c r="O1517" s="31">
        <f t="shared" si="214"/>
        <v>7566746</v>
      </c>
      <c r="P1517" s="31">
        <f t="shared" si="215"/>
        <v>65682</v>
      </c>
      <c r="Q1517" s="354">
        <f t="shared" si="216"/>
        <v>0.86803495188024027</v>
      </c>
    </row>
    <row r="1518" spans="2:17" x14ac:dyDescent="0.2">
      <c r="B1518" s="6">
        <f t="shared" si="217"/>
        <v>24</v>
      </c>
      <c r="C1518" s="12"/>
      <c r="D1518" s="12"/>
      <c r="E1518" s="12"/>
      <c r="F1518" s="13" t="s">
        <v>74</v>
      </c>
      <c r="G1518" s="14">
        <v>610</v>
      </c>
      <c r="H1518" s="12" t="s">
        <v>128</v>
      </c>
      <c r="I1518" s="15">
        <v>1000</v>
      </c>
      <c r="J1518" s="15">
        <v>0</v>
      </c>
      <c r="K1518" s="354">
        <f t="shared" si="213"/>
        <v>0</v>
      </c>
      <c r="L1518" s="15"/>
      <c r="M1518" s="15"/>
      <c r="N1518" s="354"/>
      <c r="O1518" s="16">
        <f t="shared" si="214"/>
        <v>1000</v>
      </c>
      <c r="P1518" s="16">
        <f t="shared" si="215"/>
        <v>0</v>
      </c>
      <c r="Q1518" s="354">
        <f t="shared" si="216"/>
        <v>0</v>
      </c>
    </row>
    <row r="1519" spans="2:17" x14ac:dyDescent="0.2">
      <c r="B1519" s="6">
        <f t="shared" si="217"/>
        <v>25</v>
      </c>
      <c r="C1519" s="12"/>
      <c r="D1519" s="12"/>
      <c r="E1519" s="12"/>
      <c r="F1519" s="13" t="s">
        <v>74</v>
      </c>
      <c r="G1519" s="14">
        <v>620</v>
      </c>
      <c r="H1519" s="12" t="s">
        <v>121</v>
      </c>
      <c r="I1519" s="15">
        <v>7200</v>
      </c>
      <c r="J1519" s="15">
        <v>1308</v>
      </c>
      <c r="K1519" s="354">
        <f t="shared" si="213"/>
        <v>18.166666666666668</v>
      </c>
      <c r="L1519" s="15"/>
      <c r="M1519" s="15"/>
      <c r="N1519" s="354"/>
      <c r="O1519" s="16">
        <f t="shared" si="214"/>
        <v>7200</v>
      </c>
      <c r="P1519" s="16">
        <f t="shared" si="215"/>
        <v>1308</v>
      </c>
      <c r="Q1519" s="354">
        <f t="shared" si="216"/>
        <v>18.166666666666668</v>
      </c>
    </row>
    <row r="1520" spans="2:17" x14ac:dyDescent="0.2">
      <c r="B1520" s="6">
        <f t="shared" si="217"/>
        <v>26</v>
      </c>
      <c r="C1520" s="12"/>
      <c r="D1520" s="12"/>
      <c r="E1520" s="12"/>
      <c r="F1520" s="13" t="s">
        <v>74</v>
      </c>
      <c r="G1520" s="14">
        <v>630</v>
      </c>
      <c r="H1520" s="12" t="s">
        <v>118</v>
      </c>
      <c r="I1520" s="15">
        <f>SUM(I1521:I1524)</f>
        <v>233920</v>
      </c>
      <c r="J1520" s="15">
        <f>SUM(J1521:J1524)</f>
        <v>63426</v>
      </c>
      <c r="K1520" s="354">
        <f t="shared" si="213"/>
        <v>27.114398084815321</v>
      </c>
      <c r="L1520" s="15"/>
      <c r="M1520" s="15"/>
      <c r="N1520" s="354"/>
      <c r="O1520" s="16">
        <f t="shared" si="214"/>
        <v>233920</v>
      </c>
      <c r="P1520" s="16">
        <f t="shared" si="215"/>
        <v>63426</v>
      </c>
      <c r="Q1520" s="354">
        <f t="shared" si="216"/>
        <v>27.114398084815321</v>
      </c>
    </row>
    <row r="1521" spans="2:17" x14ac:dyDescent="0.2">
      <c r="B1521" s="6">
        <f t="shared" si="217"/>
        <v>27</v>
      </c>
      <c r="C1521" s="17"/>
      <c r="D1521" s="17"/>
      <c r="E1521" s="17"/>
      <c r="F1521" s="18"/>
      <c r="G1521" s="19">
        <v>632</v>
      </c>
      <c r="H1521" s="17" t="s">
        <v>131</v>
      </c>
      <c r="I1521" s="20">
        <f>153200-3000-7000</f>
        <v>143200</v>
      </c>
      <c r="J1521" s="20">
        <v>48979</v>
      </c>
      <c r="K1521" s="354">
        <f t="shared" si="213"/>
        <v>34.20321229050279</v>
      </c>
      <c r="L1521" s="20"/>
      <c r="M1521" s="20"/>
      <c r="N1521" s="354"/>
      <c r="O1521" s="21">
        <f t="shared" si="214"/>
        <v>143200</v>
      </c>
      <c r="P1521" s="21">
        <f t="shared" si="215"/>
        <v>48979</v>
      </c>
      <c r="Q1521" s="354">
        <f t="shared" si="216"/>
        <v>34.20321229050279</v>
      </c>
    </row>
    <row r="1522" spans="2:17" x14ac:dyDescent="0.2">
      <c r="B1522" s="6">
        <f t="shared" si="217"/>
        <v>28</v>
      </c>
      <c r="C1522" s="17"/>
      <c r="D1522" s="17"/>
      <c r="E1522" s="17"/>
      <c r="F1522" s="18"/>
      <c r="G1522" s="19">
        <v>633</v>
      </c>
      <c r="H1522" s="17" t="s">
        <v>122</v>
      </c>
      <c r="I1522" s="20">
        <v>20000</v>
      </c>
      <c r="J1522" s="20">
        <v>2028</v>
      </c>
      <c r="K1522" s="354">
        <f t="shared" si="213"/>
        <v>10.14</v>
      </c>
      <c r="L1522" s="20"/>
      <c r="M1522" s="20"/>
      <c r="N1522" s="354"/>
      <c r="O1522" s="21">
        <f t="shared" si="214"/>
        <v>20000</v>
      </c>
      <c r="P1522" s="21">
        <f t="shared" si="215"/>
        <v>2028</v>
      </c>
      <c r="Q1522" s="354">
        <f t="shared" si="216"/>
        <v>10.14</v>
      </c>
    </row>
    <row r="1523" spans="2:17" x14ac:dyDescent="0.2">
      <c r="B1523" s="6">
        <f t="shared" si="217"/>
        <v>29</v>
      </c>
      <c r="C1523" s="17"/>
      <c r="D1523" s="17"/>
      <c r="E1523" s="17"/>
      <c r="F1523" s="18"/>
      <c r="G1523" s="19">
        <v>635</v>
      </c>
      <c r="H1523" s="17" t="s">
        <v>130</v>
      </c>
      <c r="I1523" s="20">
        <v>34500</v>
      </c>
      <c r="J1523" s="20">
        <v>4755</v>
      </c>
      <c r="K1523" s="354">
        <f t="shared" si="213"/>
        <v>13.782608695652174</v>
      </c>
      <c r="L1523" s="20"/>
      <c r="M1523" s="20"/>
      <c r="N1523" s="354"/>
      <c r="O1523" s="21">
        <f t="shared" si="214"/>
        <v>34500</v>
      </c>
      <c r="P1523" s="21">
        <f t="shared" si="215"/>
        <v>4755</v>
      </c>
      <c r="Q1523" s="354">
        <f t="shared" si="216"/>
        <v>13.782608695652174</v>
      </c>
    </row>
    <row r="1524" spans="2:17" x14ac:dyDescent="0.2">
      <c r="B1524" s="6">
        <f t="shared" si="217"/>
        <v>30</v>
      </c>
      <c r="C1524" s="17"/>
      <c r="D1524" s="17"/>
      <c r="E1524" s="17"/>
      <c r="F1524" s="18"/>
      <c r="G1524" s="19">
        <v>637</v>
      </c>
      <c r="H1524" s="17" t="s">
        <v>119</v>
      </c>
      <c r="I1524" s="20">
        <v>36220</v>
      </c>
      <c r="J1524" s="20">
        <v>7664</v>
      </c>
      <c r="K1524" s="354">
        <f t="shared" si="213"/>
        <v>21.159580342352292</v>
      </c>
      <c r="L1524" s="20"/>
      <c r="M1524" s="20"/>
      <c r="N1524" s="354"/>
      <c r="O1524" s="21">
        <f t="shared" si="214"/>
        <v>36220</v>
      </c>
      <c r="P1524" s="21">
        <f t="shared" si="215"/>
        <v>7664</v>
      </c>
      <c r="Q1524" s="354">
        <f t="shared" si="216"/>
        <v>21.159580342352292</v>
      </c>
    </row>
    <row r="1525" spans="2:17" x14ac:dyDescent="0.2">
      <c r="B1525" s="6">
        <f t="shared" si="217"/>
        <v>31</v>
      </c>
      <c r="C1525" s="12"/>
      <c r="D1525" s="12"/>
      <c r="E1525" s="12"/>
      <c r="F1525" s="13" t="s">
        <v>74</v>
      </c>
      <c r="G1525" s="14">
        <v>710</v>
      </c>
      <c r="H1525" s="12" t="s">
        <v>172</v>
      </c>
      <c r="I1525" s="15"/>
      <c r="J1525" s="15"/>
      <c r="K1525" s="354"/>
      <c r="L1525" s="15">
        <f>L1526+L1530</f>
        <v>7324626</v>
      </c>
      <c r="M1525" s="15">
        <f>M1526+M1530</f>
        <v>948</v>
      </c>
      <c r="N1525" s="354">
        <f t="shared" ref="N1525:N1534" si="218">M1525/L1525*100</f>
        <v>1.2942640347780214E-2</v>
      </c>
      <c r="O1525" s="16">
        <f t="shared" si="214"/>
        <v>7324626</v>
      </c>
      <c r="P1525" s="16">
        <f t="shared" si="215"/>
        <v>948</v>
      </c>
      <c r="Q1525" s="354">
        <f t="shared" si="216"/>
        <v>1.2942640347780214E-2</v>
      </c>
    </row>
    <row r="1526" spans="2:17" x14ac:dyDescent="0.2">
      <c r="B1526" s="6">
        <f t="shared" si="217"/>
        <v>32</v>
      </c>
      <c r="C1526" s="17"/>
      <c r="D1526" s="17"/>
      <c r="E1526" s="17"/>
      <c r="F1526" s="18"/>
      <c r="G1526" s="19">
        <v>716</v>
      </c>
      <c r="H1526" s="17" t="s">
        <v>212</v>
      </c>
      <c r="I1526" s="20"/>
      <c r="J1526" s="20"/>
      <c r="K1526" s="354"/>
      <c r="L1526" s="20">
        <f>SUM(L1527:L1529)</f>
        <v>113200</v>
      </c>
      <c r="M1526" s="20">
        <f>SUM(M1527:M1529)</f>
        <v>948</v>
      </c>
      <c r="N1526" s="354">
        <f t="shared" si="218"/>
        <v>0.83745583038869253</v>
      </c>
      <c r="O1526" s="21">
        <f t="shared" si="214"/>
        <v>113200</v>
      </c>
      <c r="P1526" s="21">
        <f t="shared" si="215"/>
        <v>948</v>
      </c>
      <c r="Q1526" s="354">
        <f t="shared" si="216"/>
        <v>0.83745583038869253</v>
      </c>
    </row>
    <row r="1527" spans="2:17" x14ac:dyDescent="0.2">
      <c r="B1527" s="6">
        <f t="shared" si="217"/>
        <v>33</v>
      </c>
      <c r="C1527" s="22"/>
      <c r="D1527" s="22"/>
      <c r="E1527" s="22"/>
      <c r="F1527" s="123"/>
      <c r="G1527" s="123"/>
      <c r="H1527" s="1" t="s">
        <v>392</v>
      </c>
      <c r="I1527" s="24"/>
      <c r="J1527" s="24"/>
      <c r="K1527" s="354"/>
      <c r="L1527" s="24">
        <v>90000</v>
      </c>
      <c r="M1527" s="24">
        <v>948</v>
      </c>
      <c r="N1527" s="354">
        <f t="shared" si="218"/>
        <v>1.0533333333333335</v>
      </c>
      <c r="O1527" s="26">
        <f t="shared" ref="O1527:O1556" si="219">I1527+L1527</f>
        <v>90000</v>
      </c>
      <c r="P1527" s="26">
        <f t="shared" ref="P1527:P1556" si="220">J1527+M1527</f>
        <v>948</v>
      </c>
      <c r="Q1527" s="354">
        <f t="shared" ref="Q1527:Q1556" si="221">P1527/O1527*100</f>
        <v>1.0533333333333335</v>
      </c>
    </row>
    <row r="1528" spans="2:17" x14ac:dyDescent="0.2">
      <c r="B1528" s="6">
        <f t="shared" ref="B1528:B1556" si="222">B1527+1</f>
        <v>34</v>
      </c>
      <c r="C1528" s="22"/>
      <c r="D1528" s="22"/>
      <c r="E1528" s="22"/>
      <c r="F1528" s="123"/>
      <c r="G1528" s="123"/>
      <c r="H1528" s="1" t="s">
        <v>611</v>
      </c>
      <c r="I1528" s="24"/>
      <c r="J1528" s="24"/>
      <c r="K1528" s="354"/>
      <c r="L1528" s="24">
        <v>3200</v>
      </c>
      <c r="M1528" s="24">
        <v>0</v>
      </c>
      <c r="N1528" s="354">
        <f t="shared" si="218"/>
        <v>0</v>
      </c>
      <c r="O1528" s="26">
        <f t="shared" si="219"/>
        <v>3200</v>
      </c>
      <c r="P1528" s="26">
        <f t="shared" si="220"/>
        <v>0</v>
      </c>
      <c r="Q1528" s="354">
        <f t="shared" si="221"/>
        <v>0</v>
      </c>
    </row>
    <row r="1529" spans="2:17" x14ac:dyDescent="0.2">
      <c r="B1529" s="6">
        <f t="shared" si="222"/>
        <v>35</v>
      </c>
      <c r="C1529" s="22"/>
      <c r="D1529" s="22"/>
      <c r="E1529" s="22"/>
      <c r="F1529" s="123"/>
      <c r="G1529" s="123"/>
      <c r="H1529" s="1" t="s">
        <v>475</v>
      </c>
      <c r="I1529" s="24"/>
      <c r="J1529" s="24"/>
      <c r="K1529" s="354"/>
      <c r="L1529" s="24">
        <v>20000</v>
      </c>
      <c r="M1529" s="24">
        <v>0</v>
      </c>
      <c r="N1529" s="354">
        <f t="shared" si="218"/>
        <v>0</v>
      </c>
      <c r="O1529" s="26">
        <f t="shared" si="219"/>
        <v>20000</v>
      </c>
      <c r="P1529" s="26">
        <f t="shared" si="220"/>
        <v>0</v>
      </c>
      <c r="Q1529" s="354">
        <f t="shared" si="221"/>
        <v>0</v>
      </c>
    </row>
    <row r="1530" spans="2:17" x14ac:dyDescent="0.2">
      <c r="B1530" s="6">
        <f t="shared" si="222"/>
        <v>36</v>
      </c>
      <c r="C1530" s="17"/>
      <c r="D1530" s="17"/>
      <c r="E1530" s="17"/>
      <c r="F1530" s="18"/>
      <c r="G1530" s="19">
        <v>717</v>
      </c>
      <c r="H1530" s="17" t="s">
        <v>179</v>
      </c>
      <c r="I1530" s="20"/>
      <c r="J1530" s="20"/>
      <c r="K1530" s="354"/>
      <c r="L1530" s="20">
        <f>SUM(L1531:L1533)</f>
        <v>7211426</v>
      </c>
      <c r="M1530" s="20">
        <f>SUM(M1531:M1533)</f>
        <v>0</v>
      </c>
      <c r="N1530" s="354">
        <f t="shared" si="218"/>
        <v>0</v>
      </c>
      <c r="O1530" s="21">
        <f t="shared" si="219"/>
        <v>7211426</v>
      </c>
      <c r="P1530" s="21">
        <f t="shared" si="220"/>
        <v>0</v>
      </c>
      <c r="Q1530" s="354">
        <f t="shared" si="221"/>
        <v>0</v>
      </c>
    </row>
    <row r="1531" spans="2:17" x14ac:dyDescent="0.2">
      <c r="B1531" s="6">
        <f t="shared" si="222"/>
        <v>37</v>
      </c>
      <c r="C1531" s="22"/>
      <c r="D1531" s="22"/>
      <c r="E1531" s="22"/>
      <c r="F1531" s="123"/>
      <c r="G1531" s="123"/>
      <c r="H1531" s="1" t="s">
        <v>474</v>
      </c>
      <c r="I1531" s="24"/>
      <c r="J1531" s="24"/>
      <c r="K1531" s="354"/>
      <c r="L1531" s="24">
        <v>6764959</v>
      </c>
      <c r="M1531" s="24">
        <v>0</v>
      </c>
      <c r="N1531" s="354">
        <f t="shared" si="218"/>
        <v>0</v>
      </c>
      <c r="O1531" s="26">
        <f t="shared" si="219"/>
        <v>6764959</v>
      </c>
      <c r="P1531" s="26">
        <f t="shared" si="220"/>
        <v>0</v>
      </c>
      <c r="Q1531" s="354">
        <f t="shared" si="221"/>
        <v>0</v>
      </c>
    </row>
    <row r="1532" spans="2:17" x14ac:dyDescent="0.2">
      <c r="B1532" s="6">
        <f t="shared" si="222"/>
        <v>38</v>
      </c>
      <c r="C1532" s="22"/>
      <c r="D1532" s="22"/>
      <c r="E1532" s="22"/>
      <c r="F1532" s="123"/>
      <c r="G1532" s="123"/>
      <c r="H1532" s="1" t="s">
        <v>445</v>
      </c>
      <c r="I1532" s="24"/>
      <c r="J1532" s="24"/>
      <c r="K1532" s="354"/>
      <c r="L1532" s="24">
        <v>419667</v>
      </c>
      <c r="M1532" s="24">
        <v>0</v>
      </c>
      <c r="N1532" s="354">
        <f t="shared" si="218"/>
        <v>0</v>
      </c>
      <c r="O1532" s="26">
        <f t="shared" si="219"/>
        <v>419667</v>
      </c>
      <c r="P1532" s="26">
        <f t="shared" si="220"/>
        <v>0</v>
      </c>
      <c r="Q1532" s="354">
        <f t="shared" si="221"/>
        <v>0</v>
      </c>
    </row>
    <row r="1533" spans="2:17" x14ac:dyDescent="0.2">
      <c r="B1533" s="6">
        <f t="shared" si="222"/>
        <v>39</v>
      </c>
      <c r="C1533" s="22"/>
      <c r="D1533" s="22"/>
      <c r="E1533" s="22"/>
      <c r="F1533" s="123"/>
      <c r="G1533" s="123"/>
      <c r="H1533" s="1" t="s">
        <v>611</v>
      </c>
      <c r="I1533" s="24"/>
      <c r="J1533" s="24"/>
      <c r="K1533" s="354"/>
      <c r="L1533" s="24">
        <f>30000-3200</f>
        <v>26800</v>
      </c>
      <c r="M1533" s="24">
        <v>0</v>
      </c>
      <c r="N1533" s="354">
        <f t="shared" si="218"/>
        <v>0</v>
      </c>
      <c r="O1533" s="26">
        <f t="shared" si="219"/>
        <v>26800</v>
      </c>
      <c r="P1533" s="26">
        <f t="shared" si="220"/>
        <v>0</v>
      </c>
      <c r="Q1533" s="354">
        <f t="shared" si="221"/>
        <v>0</v>
      </c>
    </row>
    <row r="1534" spans="2:17" ht="15" x14ac:dyDescent="0.2">
      <c r="B1534" s="6">
        <f t="shared" si="222"/>
        <v>40</v>
      </c>
      <c r="C1534" s="253">
        <v>4</v>
      </c>
      <c r="D1534" s="512" t="s">
        <v>506</v>
      </c>
      <c r="E1534" s="513"/>
      <c r="F1534" s="513"/>
      <c r="G1534" s="513"/>
      <c r="H1534" s="513"/>
      <c r="I1534" s="10">
        <f>I1535+I1536+I1537+I1543</f>
        <v>935362</v>
      </c>
      <c r="J1534" s="10">
        <f>J1535+J1536+J1537+J1543</f>
        <v>306546</v>
      </c>
      <c r="K1534" s="354">
        <f t="shared" ref="K1534:K1543" si="223">J1534/I1534*100</f>
        <v>32.772979873033115</v>
      </c>
      <c r="L1534" s="10">
        <f>L1544</f>
        <v>17500</v>
      </c>
      <c r="M1534" s="10">
        <f>M1544</f>
        <v>0</v>
      </c>
      <c r="N1534" s="354">
        <f t="shared" si="218"/>
        <v>0</v>
      </c>
      <c r="O1534" s="31">
        <f t="shared" si="219"/>
        <v>952862</v>
      </c>
      <c r="P1534" s="31">
        <f t="shared" si="220"/>
        <v>306546</v>
      </c>
      <c r="Q1534" s="354">
        <f t="shared" si="221"/>
        <v>32.171080387296378</v>
      </c>
    </row>
    <row r="1535" spans="2:17" x14ac:dyDescent="0.2">
      <c r="B1535" s="6">
        <f t="shared" si="222"/>
        <v>41</v>
      </c>
      <c r="C1535" s="12"/>
      <c r="D1535" s="12"/>
      <c r="E1535" s="12"/>
      <c r="F1535" s="13" t="s">
        <v>74</v>
      </c>
      <c r="G1535" s="14">
        <v>610</v>
      </c>
      <c r="H1535" s="12" t="s">
        <v>128</v>
      </c>
      <c r="I1535" s="15">
        <v>290000</v>
      </c>
      <c r="J1535" s="15">
        <v>143341</v>
      </c>
      <c r="K1535" s="354">
        <f t="shared" si="223"/>
        <v>49.427931034482761</v>
      </c>
      <c r="L1535" s="15"/>
      <c r="M1535" s="15"/>
      <c r="N1535" s="354"/>
      <c r="O1535" s="16">
        <f t="shared" si="219"/>
        <v>290000</v>
      </c>
      <c r="P1535" s="16">
        <f t="shared" si="220"/>
        <v>143341</v>
      </c>
      <c r="Q1535" s="354">
        <f t="shared" si="221"/>
        <v>49.427931034482761</v>
      </c>
    </row>
    <row r="1536" spans="2:17" x14ac:dyDescent="0.2">
      <c r="B1536" s="6">
        <f t="shared" si="222"/>
        <v>42</v>
      </c>
      <c r="C1536" s="17"/>
      <c r="D1536" s="17"/>
      <c r="E1536" s="17"/>
      <c r="F1536" s="13" t="s">
        <v>74</v>
      </c>
      <c r="G1536" s="14">
        <v>620</v>
      </c>
      <c r="H1536" s="12" t="s">
        <v>121</v>
      </c>
      <c r="I1536" s="15">
        <v>134200</v>
      </c>
      <c r="J1536" s="15">
        <v>56532</v>
      </c>
      <c r="K1536" s="354">
        <f t="shared" si="223"/>
        <v>42.125186289120713</v>
      </c>
      <c r="L1536" s="20"/>
      <c r="M1536" s="20"/>
      <c r="N1536" s="354"/>
      <c r="O1536" s="21">
        <f t="shared" si="219"/>
        <v>134200</v>
      </c>
      <c r="P1536" s="21">
        <f t="shared" si="220"/>
        <v>56532</v>
      </c>
      <c r="Q1536" s="354">
        <f t="shared" si="221"/>
        <v>42.125186289120713</v>
      </c>
    </row>
    <row r="1537" spans="2:17" x14ac:dyDescent="0.2">
      <c r="B1537" s="6">
        <f t="shared" si="222"/>
        <v>43</v>
      </c>
      <c r="C1537" s="12"/>
      <c r="D1537" s="12"/>
      <c r="E1537" s="12"/>
      <c r="F1537" s="13" t="s">
        <v>74</v>
      </c>
      <c r="G1537" s="14">
        <v>630</v>
      </c>
      <c r="H1537" s="12" t="s">
        <v>118</v>
      </c>
      <c r="I1537" s="15">
        <f>SUM(I1538:I1542)</f>
        <v>495162</v>
      </c>
      <c r="J1537" s="15">
        <f>SUM(J1538:J1542)</f>
        <v>101155</v>
      </c>
      <c r="K1537" s="354">
        <f t="shared" si="223"/>
        <v>20.428667789531506</v>
      </c>
      <c r="L1537" s="15"/>
      <c r="M1537" s="15"/>
      <c r="N1537" s="354"/>
      <c r="O1537" s="16">
        <f t="shared" si="219"/>
        <v>495162</v>
      </c>
      <c r="P1537" s="16">
        <f t="shared" si="220"/>
        <v>101155</v>
      </c>
      <c r="Q1537" s="354">
        <f t="shared" si="221"/>
        <v>20.428667789531506</v>
      </c>
    </row>
    <row r="1538" spans="2:17" x14ac:dyDescent="0.2">
      <c r="B1538" s="6">
        <f t="shared" si="222"/>
        <v>44</v>
      </c>
      <c r="C1538" s="17"/>
      <c r="D1538" s="17"/>
      <c r="E1538" s="17"/>
      <c r="F1538" s="18"/>
      <c r="G1538" s="124">
        <v>632</v>
      </c>
      <c r="H1538" s="125" t="s">
        <v>131</v>
      </c>
      <c r="I1538" s="30">
        <v>77900</v>
      </c>
      <c r="J1538" s="30">
        <v>23809</v>
      </c>
      <c r="K1538" s="354">
        <f t="shared" si="223"/>
        <v>30.563543003851091</v>
      </c>
      <c r="L1538" s="30"/>
      <c r="M1538" s="30"/>
      <c r="N1538" s="354"/>
      <c r="O1538" s="126">
        <f t="shared" si="219"/>
        <v>77900</v>
      </c>
      <c r="P1538" s="126">
        <f t="shared" si="220"/>
        <v>23809</v>
      </c>
      <c r="Q1538" s="354">
        <f t="shared" si="221"/>
        <v>30.563543003851091</v>
      </c>
    </row>
    <row r="1539" spans="2:17" x14ac:dyDescent="0.2">
      <c r="B1539" s="6">
        <f t="shared" si="222"/>
        <v>45</v>
      </c>
      <c r="C1539" s="17"/>
      <c r="D1539" s="17"/>
      <c r="E1539" s="17"/>
      <c r="F1539" s="18"/>
      <c r="G1539" s="19">
        <v>633</v>
      </c>
      <c r="H1539" s="17" t="s">
        <v>122</v>
      </c>
      <c r="I1539" s="20">
        <v>51342</v>
      </c>
      <c r="J1539" s="20">
        <v>11407</v>
      </c>
      <c r="K1539" s="354">
        <f t="shared" si="223"/>
        <v>22.217677534961631</v>
      </c>
      <c r="L1539" s="20"/>
      <c r="M1539" s="20"/>
      <c r="N1539" s="354"/>
      <c r="O1539" s="21">
        <f t="shared" si="219"/>
        <v>51342</v>
      </c>
      <c r="P1539" s="21">
        <f t="shared" si="220"/>
        <v>11407</v>
      </c>
      <c r="Q1539" s="354">
        <f t="shared" si="221"/>
        <v>22.217677534961631</v>
      </c>
    </row>
    <row r="1540" spans="2:17" x14ac:dyDescent="0.2">
      <c r="B1540" s="6">
        <f t="shared" si="222"/>
        <v>46</v>
      </c>
      <c r="C1540" s="17"/>
      <c r="D1540" s="17"/>
      <c r="E1540" s="17"/>
      <c r="F1540" s="18"/>
      <c r="G1540" s="19">
        <v>635</v>
      </c>
      <c r="H1540" s="17" t="s">
        <v>130</v>
      </c>
      <c r="I1540" s="20">
        <v>48800</v>
      </c>
      <c r="J1540" s="20">
        <v>698</v>
      </c>
      <c r="K1540" s="354">
        <f t="shared" si="223"/>
        <v>1.430327868852459</v>
      </c>
      <c r="L1540" s="20"/>
      <c r="M1540" s="20"/>
      <c r="N1540" s="354"/>
      <c r="O1540" s="21">
        <f t="shared" si="219"/>
        <v>48800</v>
      </c>
      <c r="P1540" s="21">
        <f t="shared" si="220"/>
        <v>698</v>
      </c>
      <c r="Q1540" s="354">
        <f t="shared" si="221"/>
        <v>1.430327868852459</v>
      </c>
    </row>
    <row r="1541" spans="2:17" x14ac:dyDescent="0.2">
      <c r="B1541" s="6">
        <f t="shared" si="222"/>
        <v>47</v>
      </c>
      <c r="C1541" s="116"/>
      <c r="D1541" s="116"/>
      <c r="E1541" s="116"/>
      <c r="F1541" s="117"/>
      <c r="G1541" s="118">
        <v>636</v>
      </c>
      <c r="H1541" s="116" t="s">
        <v>123</v>
      </c>
      <c r="I1541" s="119">
        <v>4800</v>
      </c>
      <c r="J1541" s="119">
        <v>1493</v>
      </c>
      <c r="K1541" s="388">
        <f t="shared" si="223"/>
        <v>31.104166666666664</v>
      </c>
      <c r="L1541" s="119"/>
      <c r="M1541" s="119"/>
      <c r="N1541" s="388"/>
      <c r="O1541" s="389">
        <f t="shared" si="219"/>
        <v>4800</v>
      </c>
      <c r="P1541" s="389">
        <f t="shared" si="220"/>
        <v>1493</v>
      </c>
      <c r="Q1541" s="388">
        <f t="shared" si="221"/>
        <v>31.104166666666664</v>
      </c>
    </row>
    <row r="1542" spans="2:17" x14ac:dyDescent="0.2">
      <c r="B1542" s="6">
        <f t="shared" si="222"/>
        <v>48</v>
      </c>
      <c r="C1542" s="394"/>
      <c r="D1542" s="394"/>
      <c r="E1542" s="394"/>
      <c r="F1542" s="395"/>
      <c r="G1542" s="396">
        <v>637</v>
      </c>
      <c r="H1542" s="394" t="s">
        <v>119</v>
      </c>
      <c r="I1542" s="397">
        <v>312320</v>
      </c>
      <c r="J1542" s="397">
        <v>63748</v>
      </c>
      <c r="K1542" s="398">
        <f t="shared" si="223"/>
        <v>20.411116803278688</v>
      </c>
      <c r="L1542" s="397"/>
      <c r="M1542" s="397"/>
      <c r="N1542" s="398"/>
      <c r="O1542" s="399">
        <f t="shared" si="219"/>
        <v>312320</v>
      </c>
      <c r="P1542" s="399">
        <f t="shared" si="220"/>
        <v>63748</v>
      </c>
      <c r="Q1542" s="398">
        <f t="shared" si="221"/>
        <v>20.411116803278688</v>
      </c>
    </row>
    <row r="1543" spans="2:17" x14ac:dyDescent="0.2">
      <c r="B1543" s="6">
        <f t="shared" si="222"/>
        <v>49</v>
      </c>
      <c r="C1543" s="400"/>
      <c r="D1543" s="400"/>
      <c r="E1543" s="400"/>
      <c r="F1543" s="401" t="s">
        <v>74</v>
      </c>
      <c r="G1543" s="402">
        <v>640</v>
      </c>
      <c r="H1543" s="400" t="s">
        <v>126</v>
      </c>
      <c r="I1543" s="403">
        <v>16000</v>
      </c>
      <c r="J1543" s="403">
        <v>5518</v>
      </c>
      <c r="K1543" s="398">
        <f t="shared" si="223"/>
        <v>34.487499999999997</v>
      </c>
      <c r="L1543" s="403"/>
      <c r="M1543" s="403"/>
      <c r="N1543" s="398"/>
      <c r="O1543" s="404">
        <f t="shared" si="219"/>
        <v>16000</v>
      </c>
      <c r="P1543" s="404">
        <f t="shared" si="220"/>
        <v>5518</v>
      </c>
      <c r="Q1543" s="398">
        <f t="shared" si="221"/>
        <v>34.487499999999997</v>
      </c>
    </row>
    <row r="1544" spans="2:17" x14ac:dyDescent="0.2">
      <c r="B1544" s="6">
        <f t="shared" si="222"/>
        <v>50</v>
      </c>
      <c r="C1544" s="400"/>
      <c r="D1544" s="400"/>
      <c r="E1544" s="400"/>
      <c r="F1544" s="401" t="s">
        <v>74</v>
      </c>
      <c r="G1544" s="402">
        <v>710</v>
      </c>
      <c r="H1544" s="400" t="s">
        <v>172</v>
      </c>
      <c r="I1544" s="403"/>
      <c r="J1544" s="403"/>
      <c r="K1544" s="398"/>
      <c r="L1544" s="403">
        <f>L1545</f>
        <v>17500</v>
      </c>
      <c r="M1544" s="403">
        <f>M1545</f>
        <v>0</v>
      </c>
      <c r="N1544" s="398">
        <f>M1544/L1544*100</f>
        <v>0</v>
      </c>
      <c r="O1544" s="404">
        <f t="shared" si="219"/>
        <v>17500</v>
      </c>
      <c r="P1544" s="404">
        <f t="shared" si="220"/>
        <v>0</v>
      </c>
      <c r="Q1544" s="398">
        <f t="shared" si="221"/>
        <v>0</v>
      </c>
    </row>
    <row r="1545" spans="2:17" x14ac:dyDescent="0.2">
      <c r="B1545" s="6">
        <f t="shared" si="222"/>
        <v>51</v>
      </c>
      <c r="C1545" s="400"/>
      <c r="D1545" s="400"/>
      <c r="E1545" s="400"/>
      <c r="F1545" s="395"/>
      <c r="G1545" s="396">
        <v>717</v>
      </c>
      <c r="H1545" s="394" t="s">
        <v>179</v>
      </c>
      <c r="I1545" s="403"/>
      <c r="J1545" s="403"/>
      <c r="K1545" s="398"/>
      <c r="L1545" s="397">
        <f>L1546</f>
        <v>17500</v>
      </c>
      <c r="M1545" s="397">
        <f>M1546</f>
        <v>0</v>
      </c>
      <c r="N1545" s="398">
        <f>M1545/L1545*100</f>
        <v>0</v>
      </c>
      <c r="O1545" s="399">
        <f t="shared" si="219"/>
        <v>17500</v>
      </c>
      <c r="P1545" s="399">
        <f t="shared" si="220"/>
        <v>0</v>
      </c>
      <c r="Q1545" s="398">
        <f t="shared" si="221"/>
        <v>0</v>
      </c>
    </row>
    <row r="1546" spans="2:17" x14ac:dyDescent="0.2">
      <c r="B1546" s="6">
        <f t="shared" si="222"/>
        <v>52</v>
      </c>
      <c r="C1546" s="400"/>
      <c r="D1546" s="400"/>
      <c r="E1546" s="400"/>
      <c r="F1546" s="405"/>
      <c r="G1546" s="405"/>
      <c r="H1546" s="406" t="s">
        <v>668</v>
      </c>
      <c r="I1546" s="403"/>
      <c r="J1546" s="403"/>
      <c r="K1546" s="398"/>
      <c r="L1546" s="407">
        <v>17500</v>
      </c>
      <c r="M1546" s="407">
        <v>0</v>
      </c>
      <c r="N1546" s="398">
        <f>M1546/L1546*100</f>
        <v>0</v>
      </c>
      <c r="O1546" s="408">
        <f t="shared" si="219"/>
        <v>17500</v>
      </c>
      <c r="P1546" s="408">
        <f t="shared" si="220"/>
        <v>0</v>
      </c>
      <c r="Q1546" s="398">
        <f t="shared" si="221"/>
        <v>0</v>
      </c>
    </row>
    <row r="1547" spans="2:17" ht="15" x14ac:dyDescent="0.2">
      <c r="B1547" s="6">
        <f t="shared" si="222"/>
        <v>53</v>
      </c>
      <c r="C1547" s="390">
        <v>5</v>
      </c>
      <c r="D1547" s="514" t="s">
        <v>385</v>
      </c>
      <c r="E1547" s="515"/>
      <c r="F1547" s="515"/>
      <c r="G1547" s="515"/>
      <c r="H1547" s="515"/>
      <c r="I1547" s="391">
        <f>I1548+I1550</f>
        <v>768400</v>
      </c>
      <c r="J1547" s="391">
        <f>J1548+J1550</f>
        <v>478170</v>
      </c>
      <c r="K1547" s="392">
        <f t="shared" ref="K1547:K1554" si="224">J1547/I1547*100</f>
        <v>62.229307652264445</v>
      </c>
      <c r="L1547" s="391">
        <f>L1555</f>
        <v>202000</v>
      </c>
      <c r="M1547" s="391">
        <f>M1555</f>
        <v>202000</v>
      </c>
      <c r="N1547" s="392">
        <f>M1547/L1547*100</f>
        <v>100</v>
      </c>
      <c r="O1547" s="393">
        <f t="shared" si="219"/>
        <v>970400</v>
      </c>
      <c r="P1547" s="393">
        <f t="shared" si="220"/>
        <v>680170</v>
      </c>
      <c r="Q1547" s="392">
        <f t="shared" si="221"/>
        <v>70.091714756801309</v>
      </c>
    </row>
    <row r="1548" spans="2:17" x14ac:dyDescent="0.2">
      <c r="B1548" s="6">
        <f t="shared" si="222"/>
        <v>54</v>
      </c>
      <c r="C1548" s="129"/>
      <c r="D1548" s="130"/>
      <c r="E1548" s="130"/>
      <c r="F1548" s="131" t="s">
        <v>74</v>
      </c>
      <c r="G1548" s="132">
        <v>640</v>
      </c>
      <c r="H1548" s="130" t="s">
        <v>126</v>
      </c>
      <c r="I1548" s="139">
        <f>I1549</f>
        <v>658000</v>
      </c>
      <c r="J1548" s="139">
        <f>J1549</f>
        <v>443000</v>
      </c>
      <c r="K1548" s="354">
        <f t="shared" si="224"/>
        <v>67.325227963525833</v>
      </c>
      <c r="L1548" s="133"/>
      <c r="M1548" s="133"/>
      <c r="N1548" s="354"/>
      <c r="O1548" s="288">
        <f t="shared" si="219"/>
        <v>658000</v>
      </c>
      <c r="P1548" s="288">
        <f t="shared" si="220"/>
        <v>443000</v>
      </c>
      <c r="Q1548" s="354">
        <f t="shared" si="221"/>
        <v>67.325227963525833</v>
      </c>
    </row>
    <row r="1549" spans="2:17" ht="24" x14ac:dyDescent="0.2">
      <c r="B1549" s="6">
        <f t="shared" si="222"/>
        <v>55</v>
      </c>
      <c r="C1549" s="265"/>
      <c r="D1549" s="266"/>
      <c r="E1549" s="266"/>
      <c r="F1549" s="267"/>
      <c r="G1549" s="268"/>
      <c r="H1549" s="269" t="s">
        <v>476</v>
      </c>
      <c r="I1549" s="264">
        <f>860000-202000</f>
        <v>658000</v>
      </c>
      <c r="J1549" s="264">
        <v>443000</v>
      </c>
      <c r="K1549" s="354">
        <f t="shared" si="224"/>
        <v>67.325227963525833</v>
      </c>
      <c r="L1549" s="270"/>
      <c r="M1549" s="270"/>
      <c r="N1549" s="354"/>
      <c r="O1549" s="287">
        <f t="shared" si="219"/>
        <v>658000</v>
      </c>
      <c r="P1549" s="287">
        <f t="shared" si="220"/>
        <v>443000</v>
      </c>
      <c r="Q1549" s="354">
        <f t="shared" si="221"/>
        <v>67.325227963525833</v>
      </c>
    </row>
    <row r="1550" spans="2:17" x14ac:dyDescent="0.2">
      <c r="B1550" s="6">
        <f t="shared" si="222"/>
        <v>56</v>
      </c>
      <c r="C1550" s="141"/>
      <c r="D1550" s="142"/>
      <c r="E1550" s="142"/>
      <c r="F1550" s="131" t="s">
        <v>74</v>
      </c>
      <c r="G1550" s="132">
        <v>600</v>
      </c>
      <c r="H1550" s="130" t="s">
        <v>436</v>
      </c>
      <c r="I1550" s="280">
        <f>SUM(I1551:I1554)</f>
        <v>110400</v>
      </c>
      <c r="J1550" s="280">
        <f>SUM(J1551:J1554)</f>
        <v>35170</v>
      </c>
      <c r="K1550" s="354">
        <f t="shared" si="224"/>
        <v>31.856884057971012</v>
      </c>
      <c r="L1550" s="133"/>
      <c r="M1550" s="133"/>
      <c r="N1550" s="354"/>
      <c r="O1550" s="288">
        <f t="shared" si="219"/>
        <v>110400</v>
      </c>
      <c r="P1550" s="288">
        <f t="shared" si="220"/>
        <v>35170</v>
      </c>
      <c r="Q1550" s="354">
        <f t="shared" si="221"/>
        <v>31.856884057971012</v>
      </c>
    </row>
    <row r="1551" spans="2:17" x14ac:dyDescent="0.2">
      <c r="B1551" s="6">
        <f t="shared" si="222"/>
        <v>57</v>
      </c>
      <c r="C1551" s="141"/>
      <c r="D1551" s="142"/>
      <c r="E1551" s="142"/>
      <c r="F1551" s="131"/>
      <c r="G1551" s="137">
        <v>610</v>
      </c>
      <c r="H1551" s="17" t="s">
        <v>128</v>
      </c>
      <c r="I1551" s="138">
        <v>49140</v>
      </c>
      <c r="J1551" s="138">
        <v>20621</v>
      </c>
      <c r="K1551" s="354">
        <f t="shared" si="224"/>
        <v>41.963776963776965</v>
      </c>
      <c r="L1551" s="133"/>
      <c r="M1551" s="133"/>
      <c r="N1551" s="354"/>
      <c r="O1551" s="286">
        <f t="shared" si="219"/>
        <v>49140</v>
      </c>
      <c r="P1551" s="286">
        <f t="shared" si="220"/>
        <v>20621</v>
      </c>
      <c r="Q1551" s="354">
        <f t="shared" si="221"/>
        <v>41.963776963776965</v>
      </c>
    </row>
    <row r="1552" spans="2:17" x14ac:dyDescent="0.2">
      <c r="B1552" s="6">
        <f t="shared" si="222"/>
        <v>58</v>
      </c>
      <c r="C1552" s="141"/>
      <c r="D1552" s="142"/>
      <c r="E1552" s="142"/>
      <c r="F1552" s="131"/>
      <c r="G1552" s="137">
        <v>620</v>
      </c>
      <c r="H1552" s="135" t="s">
        <v>121</v>
      </c>
      <c r="I1552" s="138">
        <v>26460</v>
      </c>
      <c r="J1552" s="138">
        <v>8137</v>
      </c>
      <c r="K1552" s="354">
        <f t="shared" si="224"/>
        <v>30.752078609221467</v>
      </c>
      <c r="L1552" s="133"/>
      <c r="M1552" s="133"/>
      <c r="N1552" s="354"/>
      <c r="O1552" s="286">
        <f t="shared" si="219"/>
        <v>26460</v>
      </c>
      <c r="P1552" s="286">
        <f t="shared" si="220"/>
        <v>8137</v>
      </c>
      <c r="Q1552" s="354">
        <f t="shared" si="221"/>
        <v>30.752078609221467</v>
      </c>
    </row>
    <row r="1553" spans="2:17" x14ac:dyDescent="0.2">
      <c r="B1553" s="6">
        <f t="shared" si="222"/>
        <v>59</v>
      </c>
      <c r="C1553" s="141"/>
      <c r="D1553" s="142"/>
      <c r="E1553" s="142"/>
      <c r="F1553" s="131"/>
      <c r="G1553" s="137">
        <v>630</v>
      </c>
      <c r="H1553" s="135" t="s">
        <v>118</v>
      </c>
      <c r="I1553" s="138">
        <v>33800</v>
      </c>
      <c r="J1553" s="138">
        <v>5613</v>
      </c>
      <c r="K1553" s="354">
        <f t="shared" si="224"/>
        <v>16.606508875739646</v>
      </c>
      <c r="L1553" s="133"/>
      <c r="M1553" s="133"/>
      <c r="N1553" s="354"/>
      <c r="O1553" s="286">
        <f t="shared" si="219"/>
        <v>33800</v>
      </c>
      <c r="P1553" s="286">
        <f t="shared" si="220"/>
        <v>5613</v>
      </c>
      <c r="Q1553" s="354">
        <f t="shared" si="221"/>
        <v>16.606508875739646</v>
      </c>
    </row>
    <row r="1554" spans="2:17" x14ac:dyDescent="0.2">
      <c r="B1554" s="6">
        <f t="shared" si="222"/>
        <v>60</v>
      </c>
      <c r="C1554" s="141"/>
      <c r="D1554" s="142"/>
      <c r="E1554" s="142"/>
      <c r="F1554" s="131"/>
      <c r="G1554" s="137">
        <v>640</v>
      </c>
      <c r="H1554" s="135" t="s">
        <v>126</v>
      </c>
      <c r="I1554" s="138">
        <v>1000</v>
      </c>
      <c r="J1554" s="138">
        <v>799</v>
      </c>
      <c r="K1554" s="354">
        <f t="shared" si="224"/>
        <v>79.900000000000006</v>
      </c>
      <c r="L1554" s="133"/>
      <c r="M1554" s="133"/>
      <c r="N1554" s="354"/>
      <c r="O1554" s="286">
        <f t="shared" si="219"/>
        <v>1000</v>
      </c>
      <c r="P1554" s="286">
        <f t="shared" si="220"/>
        <v>799</v>
      </c>
      <c r="Q1554" s="354">
        <f t="shared" si="221"/>
        <v>79.900000000000006</v>
      </c>
    </row>
    <row r="1555" spans="2:17" x14ac:dyDescent="0.2">
      <c r="B1555" s="6">
        <f t="shared" si="222"/>
        <v>61</v>
      </c>
      <c r="C1555" s="129"/>
      <c r="D1555" s="130"/>
      <c r="E1555" s="130"/>
      <c r="F1555" s="131" t="s">
        <v>74</v>
      </c>
      <c r="G1555" s="132">
        <v>720</v>
      </c>
      <c r="H1555" s="130" t="s">
        <v>3</v>
      </c>
      <c r="I1555" s="139"/>
      <c r="J1555" s="139"/>
      <c r="K1555" s="354"/>
      <c r="L1555" s="139">
        <f>L1556</f>
        <v>202000</v>
      </c>
      <c r="M1555" s="139">
        <f>M1556</f>
        <v>202000</v>
      </c>
      <c r="N1555" s="354">
        <f>M1555/L1555*100</f>
        <v>100</v>
      </c>
      <c r="O1555" s="288">
        <f t="shared" si="219"/>
        <v>202000</v>
      </c>
      <c r="P1555" s="288">
        <f t="shared" si="220"/>
        <v>202000</v>
      </c>
      <c r="Q1555" s="354">
        <f t="shared" si="221"/>
        <v>100</v>
      </c>
    </row>
    <row r="1556" spans="2:17" x14ac:dyDescent="0.2">
      <c r="B1556" s="6">
        <f t="shared" si="222"/>
        <v>62</v>
      </c>
      <c r="C1556" s="143"/>
      <c r="D1556" s="144"/>
      <c r="E1556" s="144"/>
      <c r="F1556" s="145"/>
      <c r="G1556" s="146"/>
      <c r="H1556" s="147" t="s">
        <v>419</v>
      </c>
      <c r="I1556" s="148"/>
      <c r="J1556" s="148"/>
      <c r="K1556" s="354"/>
      <c r="L1556" s="148">
        <v>202000</v>
      </c>
      <c r="M1556" s="148">
        <v>202000</v>
      </c>
      <c r="N1556" s="354">
        <f>M1556/L1556*100</f>
        <v>100</v>
      </c>
      <c r="O1556" s="289">
        <f t="shared" si="219"/>
        <v>202000</v>
      </c>
      <c r="P1556" s="289">
        <f t="shared" si="220"/>
        <v>202000</v>
      </c>
      <c r="Q1556" s="354">
        <f t="shared" si="221"/>
        <v>100</v>
      </c>
    </row>
    <row r="1559" spans="2:17" ht="27.75" x14ac:dyDescent="0.4">
      <c r="B1559" s="496" t="s">
        <v>22</v>
      </c>
      <c r="C1559" s="497"/>
      <c r="D1559" s="497"/>
      <c r="E1559" s="497"/>
      <c r="F1559" s="497"/>
      <c r="G1559" s="497"/>
      <c r="H1559" s="497"/>
      <c r="I1559" s="497"/>
      <c r="J1559" s="497"/>
      <c r="K1559" s="497"/>
      <c r="L1559" s="497"/>
      <c r="M1559" s="497"/>
      <c r="N1559" s="497"/>
      <c r="O1559" s="497"/>
    </row>
    <row r="1560" spans="2:17" ht="15" x14ac:dyDescent="0.35">
      <c r="B1560" s="461" t="s">
        <v>437</v>
      </c>
      <c r="C1560" s="462"/>
      <c r="D1560" s="462"/>
      <c r="E1560" s="462"/>
      <c r="F1560" s="462"/>
      <c r="G1560" s="462"/>
      <c r="H1560" s="462"/>
      <c r="I1560" s="462"/>
      <c r="J1560" s="462"/>
      <c r="K1560" s="462"/>
      <c r="L1560" s="462"/>
      <c r="M1560" s="462"/>
      <c r="N1560" s="463"/>
      <c r="O1560" s="466" t="s">
        <v>717</v>
      </c>
      <c r="P1560" s="466" t="s">
        <v>712</v>
      </c>
      <c r="Q1560" s="468" t="s">
        <v>711</v>
      </c>
    </row>
    <row r="1561" spans="2:17" x14ac:dyDescent="0.2">
      <c r="B1561" s="478"/>
      <c r="C1561" s="475" t="s">
        <v>111</v>
      </c>
      <c r="D1561" s="475" t="s">
        <v>112</v>
      </c>
      <c r="E1561" s="475"/>
      <c r="F1561" s="475" t="s">
        <v>113</v>
      </c>
      <c r="G1561" s="477" t="s">
        <v>114</v>
      </c>
      <c r="H1561" s="476" t="s">
        <v>115</v>
      </c>
      <c r="I1561" s="471" t="s">
        <v>713</v>
      </c>
      <c r="J1561" s="471" t="s">
        <v>714</v>
      </c>
      <c r="K1561" s="472" t="s">
        <v>711</v>
      </c>
      <c r="L1561" s="471" t="s">
        <v>715</v>
      </c>
      <c r="M1561" s="471" t="s">
        <v>716</v>
      </c>
      <c r="N1561" s="451" t="s">
        <v>711</v>
      </c>
      <c r="O1561" s="467"/>
      <c r="P1561" s="467"/>
      <c r="Q1561" s="469"/>
    </row>
    <row r="1562" spans="2:17" x14ac:dyDescent="0.2">
      <c r="B1562" s="478"/>
      <c r="C1562" s="475"/>
      <c r="D1562" s="475"/>
      <c r="E1562" s="475"/>
      <c r="F1562" s="475"/>
      <c r="G1562" s="477"/>
      <c r="H1562" s="476"/>
      <c r="I1562" s="471"/>
      <c r="J1562" s="471"/>
      <c r="K1562" s="473"/>
      <c r="L1562" s="471"/>
      <c r="M1562" s="471"/>
      <c r="N1562" s="452"/>
      <c r="O1562" s="467"/>
      <c r="P1562" s="467"/>
      <c r="Q1562" s="469"/>
    </row>
    <row r="1563" spans="2:17" x14ac:dyDescent="0.2">
      <c r="B1563" s="478"/>
      <c r="C1563" s="475"/>
      <c r="D1563" s="475"/>
      <c r="E1563" s="475"/>
      <c r="F1563" s="475"/>
      <c r="G1563" s="477"/>
      <c r="H1563" s="476"/>
      <c r="I1563" s="471"/>
      <c r="J1563" s="471"/>
      <c r="K1563" s="473"/>
      <c r="L1563" s="471"/>
      <c r="M1563" s="471"/>
      <c r="N1563" s="452"/>
      <c r="O1563" s="467"/>
      <c r="P1563" s="467"/>
      <c r="Q1563" s="469"/>
    </row>
    <row r="1564" spans="2:17" x14ac:dyDescent="0.2">
      <c r="B1564" s="478"/>
      <c r="C1564" s="475"/>
      <c r="D1564" s="475"/>
      <c r="E1564" s="475"/>
      <c r="F1564" s="475"/>
      <c r="G1564" s="477"/>
      <c r="H1564" s="476"/>
      <c r="I1564" s="471"/>
      <c r="J1564" s="471"/>
      <c r="K1564" s="474"/>
      <c r="L1564" s="471"/>
      <c r="M1564" s="471"/>
      <c r="N1564" s="452"/>
      <c r="O1564" s="467"/>
      <c r="P1564" s="467"/>
      <c r="Q1564" s="470"/>
    </row>
    <row r="1565" spans="2:17" ht="15.75" x14ac:dyDescent="0.2">
      <c r="B1565" s="6">
        <v>1</v>
      </c>
      <c r="C1565" s="464" t="s">
        <v>22</v>
      </c>
      <c r="D1565" s="465"/>
      <c r="E1565" s="465"/>
      <c r="F1565" s="465"/>
      <c r="G1565" s="465"/>
      <c r="H1565" s="465"/>
      <c r="I1565" s="7">
        <f>I1566+I1601+I1617+I1634+I1637+I1644</f>
        <v>6308506</v>
      </c>
      <c r="J1565" s="7">
        <f>J1566+J1601+J1617+J1634+J1637+J1644</f>
        <v>2208666</v>
      </c>
      <c r="K1565" s="354">
        <f>J1565/I1565*100</f>
        <v>35.010920176663063</v>
      </c>
      <c r="L1565" s="7">
        <f>L1566+L1601+L1617+L1634+L1637+L1644</f>
        <v>1346115</v>
      </c>
      <c r="M1565" s="7">
        <f>M1566+M1601+M1617+M1634+M1637+M1644</f>
        <v>168120</v>
      </c>
      <c r="N1565" s="354">
        <f>M1565/L1565*100</f>
        <v>12.489274690498211</v>
      </c>
      <c r="O1565" s="8">
        <f t="shared" ref="O1565:O1596" si="225">I1565+L1565</f>
        <v>7654621</v>
      </c>
      <c r="P1565" s="8">
        <f t="shared" ref="P1565:P1596" si="226">J1565+M1565</f>
        <v>2376786</v>
      </c>
      <c r="Q1565" s="354">
        <f t="shared" ref="Q1565:Q1596" si="227">P1565/O1565*100</f>
        <v>31.050342009094901</v>
      </c>
    </row>
    <row r="1566" spans="2:17" ht="15" x14ac:dyDescent="0.2">
      <c r="B1566" s="6">
        <f t="shared" ref="B1566:B1608" si="228">B1565+1</f>
        <v>2</v>
      </c>
      <c r="C1566" s="9">
        <v>1</v>
      </c>
      <c r="D1566" s="459" t="s">
        <v>190</v>
      </c>
      <c r="E1566" s="460"/>
      <c r="F1566" s="460"/>
      <c r="G1566" s="460"/>
      <c r="H1566" s="460"/>
      <c r="I1566" s="10">
        <f>I1567+I1576</f>
        <v>1662000</v>
      </c>
      <c r="J1566" s="10">
        <f>J1567+J1576</f>
        <v>657349</v>
      </c>
      <c r="K1566" s="354">
        <f>J1566/I1566*100</f>
        <v>39.551684717208182</v>
      </c>
      <c r="L1566" s="10">
        <f>L1576+L1569</f>
        <v>496500</v>
      </c>
      <c r="M1566" s="10">
        <f>M1576+M1569</f>
        <v>161130</v>
      </c>
      <c r="N1566" s="354">
        <f>M1566/L1566*100</f>
        <v>32.453172205438072</v>
      </c>
      <c r="O1566" s="31">
        <f t="shared" si="225"/>
        <v>2158500</v>
      </c>
      <c r="P1566" s="31">
        <f t="shared" si="226"/>
        <v>818479</v>
      </c>
      <c r="Q1566" s="354">
        <f t="shared" si="227"/>
        <v>37.918878851053975</v>
      </c>
    </row>
    <row r="1567" spans="2:17" x14ac:dyDescent="0.2">
      <c r="B1567" s="6">
        <f t="shared" si="228"/>
        <v>3</v>
      </c>
      <c r="C1567" s="12"/>
      <c r="D1567" s="12"/>
      <c r="E1567" s="12"/>
      <c r="F1567" s="13" t="s">
        <v>189</v>
      </c>
      <c r="G1567" s="14">
        <v>630</v>
      </c>
      <c r="H1567" s="12" t="s">
        <v>118</v>
      </c>
      <c r="I1567" s="15">
        <f>I1568</f>
        <v>500</v>
      </c>
      <c r="J1567" s="15">
        <f>J1568</f>
        <v>0</v>
      </c>
      <c r="K1567" s="354">
        <f>J1567/I1567*100</f>
        <v>0</v>
      </c>
      <c r="L1567" s="15"/>
      <c r="M1567" s="15"/>
      <c r="N1567" s="354"/>
      <c r="O1567" s="16">
        <f t="shared" si="225"/>
        <v>500</v>
      </c>
      <c r="P1567" s="16">
        <f t="shared" si="226"/>
        <v>0</v>
      </c>
      <c r="Q1567" s="354">
        <f t="shared" si="227"/>
        <v>0</v>
      </c>
    </row>
    <row r="1568" spans="2:17" x14ac:dyDescent="0.2">
      <c r="B1568" s="6">
        <f t="shared" si="228"/>
        <v>4</v>
      </c>
      <c r="C1568" s="17"/>
      <c r="D1568" s="17"/>
      <c r="E1568" s="17"/>
      <c r="F1568" s="18"/>
      <c r="G1568" s="19">
        <v>637</v>
      </c>
      <c r="H1568" s="17" t="s">
        <v>119</v>
      </c>
      <c r="I1568" s="20">
        <v>500</v>
      </c>
      <c r="J1568" s="20"/>
      <c r="K1568" s="354">
        <f>J1568/I1568*100</f>
        <v>0</v>
      </c>
      <c r="L1568" s="20"/>
      <c r="M1568" s="20"/>
      <c r="N1568" s="354"/>
      <c r="O1568" s="21">
        <f t="shared" si="225"/>
        <v>500</v>
      </c>
      <c r="P1568" s="21">
        <f t="shared" si="226"/>
        <v>0</v>
      </c>
      <c r="Q1568" s="354">
        <f t="shared" si="227"/>
        <v>0</v>
      </c>
    </row>
    <row r="1569" spans="2:17" x14ac:dyDescent="0.2">
      <c r="B1569" s="6">
        <f t="shared" si="228"/>
        <v>5</v>
      </c>
      <c r="C1569" s="12"/>
      <c r="D1569" s="12"/>
      <c r="E1569" s="12"/>
      <c r="F1569" s="13" t="s">
        <v>189</v>
      </c>
      <c r="G1569" s="14">
        <v>710</v>
      </c>
      <c r="H1569" s="12" t="s">
        <v>172</v>
      </c>
      <c r="I1569" s="15"/>
      <c r="J1569" s="15"/>
      <c r="K1569" s="354"/>
      <c r="L1569" s="15">
        <f>L1570+L1572</f>
        <v>271500</v>
      </c>
      <c r="M1569" s="15">
        <f>M1570+M1572</f>
        <v>0</v>
      </c>
      <c r="N1569" s="354">
        <f t="shared" ref="N1569:N1577" si="229">M1569/L1569*100</f>
        <v>0</v>
      </c>
      <c r="O1569" s="16">
        <f t="shared" si="225"/>
        <v>271500</v>
      </c>
      <c r="P1569" s="16">
        <f t="shared" si="226"/>
        <v>0</v>
      </c>
      <c r="Q1569" s="354">
        <f t="shared" si="227"/>
        <v>0</v>
      </c>
    </row>
    <row r="1570" spans="2:17" x14ac:dyDescent="0.2">
      <c r="B1570" s="6">
        <f t="shared" si="228"/>
        <v>6</v>
      </c>
      <c r="C1570" s="17"/>
      <c r="D1570" s="17"/>
      <c r="E1570" s="17"/>
      <c r="F1570" s="18"/>
      <c r="G1570" s="19">
        <v>716</v>
      </c>
      <c r="H1570" s="17" t="s">
        <v>212</v>
      </c>
      <c r="I1570" s="20"/>
      <c r="J1570" s="20"/>
      <c r="K1570" s="354"/>
      <c r="L1570" s="20">
        <f>SUM(L1571:L1571)</f>
        <v>46200</v>
      </c>
      <c r="M1570" s="20">
        <f>SUM(M1571:M1571)</f>
        <v>0</v>
      </c>
      <c r="N1570" s="354">
        <f t="shared" si="229"/>
        <v>0</v>
      </c>
      <c r="O1570" s="21">
        <f t="shared" si="225"/>
        <v>46200</v>
      </c>
      <c r="P1570" s="21">
        <f t="shared" si="226"/>
        <v>0</v>
      </c>
      <c r="Q1570" s="354">
        <f t="shared" si="227"/>
        <v>0</v>
      </c>
    </row>
    <row r="1571" spans="2:17" x14ac:dyDescent="0.2">
      <c r="B1571" s="6">
        <f t="shared" si="228"/>
        <v>7</v>
      </c>
      <c r="C1571" s="22"/>
      <c r="D1571" s="22"/>
      <c r="E1571" s="22"/>
      <c r="F1571" s="123"/>
      <c r="G1571" s="123"/>
      <c r="H1571" s="1" t="s">
        <v>430</v>
      </c>
      <c r="I1571" s="24"/>
      <c r="J1571" s="24"/>
      <c r="K1571" s="354"/>
      <c r="L1571" s="24">
        <v>46200</v>
      </c>
      <c r="M1571" s="24">
        <v>0</v>
      </c>
      <c r="N1571" s="354">
        <f t="shared" si="229"/>
        <v>0</v>
      </c>
      <c r="O1571" s="26">
        <f t="shared" si="225"/>
        <v>46200</v>
      </c>
      <c r="P1571" s="26">
        <f t="shared" si="226"/>
        <v>0</v>
      </c>
      <c r="Q1571" s="354">
        <f t="shared" si="227"/>
        <v>0</v>
      </c>
    </row>
    <row r="1572" spans="2:17" x14ac:dyDescent="0.2">
      <c r="B1572" s="6">
        <f t="shared" si="228"/>
        <v>8</v>
      </c>
      <c r="C1572" s="17"/>
      <c r="D1572" s="17"/>
      <c r="E1572" s="17"/>
      <c r="F1572" s="18"/>
      <c r="G1572" s="19">
        <v>717</v>
      </c>
      <c r="H1572" s="17" t="s">
        <v>179</v>
      </c>
      <c r="I1572" s="20"/>
      <c r="J1572" s="20"/>
      <c r="K1572" s="354"/>
      <c r="L1572" s="20">
        <f>SUM(L1573:L1575)</f>
        <v>225300</v>
      </c>
      <c r="M1572" s="20">
        <f>SUM(M1573:M1575)</f>
        <v>0</v>
      </c>
      <c r="N1572" s="354">
        <f t="shared" si="229"/>
        <v>0</v>
      </c>
      <c r="O1572" s="21">
        <f t="shared" si="225"/>
        <v>225300</v>
      </c>
      <c r="P1572" s="21">
        <f t="shared" si="226"/>
        <v>0</v>
      </c>
      <c r="Q1572" s="354">
        <f t="shared" si="227"/>
        <v>0</v>
      </c>
    </row>
    <row r="1573" spans="2:17" x14ac:dyDescent="0.2">
      <c r="B1573" s="6">
        <f t="shared" si="228"/>
        <v>9</v>
      </c>
      <c r="C1573" s="22"/>
      <c r="D1573" s="22"/>
      <c r="E1573" s="22"/>
      <c r="F1573" s="123"/>
      <c r="G1573" s="123"/>
      <c r="H1573" s="1" t="s">
        <v>529</v>
      </c>
      <c r="I1573" s="24"/>
      <c r="J1573" s="24"/>
      <c r="K1573" s="354"/>
      <c r="L1573" s="24">
        <v>26800</v>
      </c>
      <c r="M1573" s="24">
        <v>0</v>
      </c>
      <c r="N1573" s="354">
        <f t="shared" si="229"/>
        <v>0</v>
      </c>
      <c r="O1573" s="26">
        <f t="shared" si="225"/>
        <v>26800</v>
      </c>
      <c r="P1573" s="26">
        <f t="shared" si="226"/>
        <v>0</v>
      </c>
      <c r="Q1573" s="354">
        <f t="shared" si="227"/>
        <v>0</v>
      </c>
    </row>
    <row r="1574" spans="2:17" x14ac:dyDescent="0.2">
      <c r="B1574" s="6">
        <f t="shared" si="228"/>
        <v>10</v>
      </c>
      <c r="C1574" s="22"/>
      <c r="D1574" s="22"/>
      <c r="E1574" s="22"/>
      <c r="F1574" s="123"/>
      <c r="G1574" s="123"/>
      <c r="H1574" s="1" t="s">
        <v>591</v>
      </c>
      <c r="I1574" s="24"/>
      <c r="J1574" s="24"/>
      <c r="K1574" s="354"/>
      <c r="L1574" s="24">
        <f>10000+8500</f>
        <v>18500</v>
      </c>
      <c r="M1574" s="24">
        <v>0</v>
      </c>
      <c r="N1574" s="354">
        <f t="shared" si="229"/>
        <v>0</v>
      </c>
      <c r="O1574" s="26">
        <f t="shared" si="225"/>
        <v>18500</v>
      </c>
      <c r="P1574" s="26">
        <f t="shared" si="226"/>
        <v>0</v>
      </c>
      <c r="Q1574" s="354">
        <f t="shared" si="227"/>
        <v>0</v>
      </c>
    </row>
    <row r="1575" spans="2:17" x14ac:dyDescent="0.2">
      <c r="B1575" s="6">
        <f t="shared" si="228"/>
        <v>11</v>
      </c>
      <c r="C1575" s="22"/>
      <c r="D1575" s="22"/>
      <c r="E1575" s="22"/>
      <c r="F1575" s="123"/>
      <c r="G1575" s="123"/>
      <c r="H1575" s="1" t="s">
        <v>612</v>
      </c>
      <c r="I1575" s="24"/>
      <c r="J1575" s="24"/>
      <c r="K1575" s="354"/>
      <c r="L1575" s="24">
        <v>180000</v>
      </c>
      <c r="M1575" s="24">
        <v>0</v>
      </c>
      <c r="N1575" s="354">
        <f t="shared" si="229"/>
        <v>0</v>
      </c>
      <c r="O1575" s="26">
        <f t="shared" si="225"/>
        <v>180000</v>
      </c>
      <c r="P1575" s="26">
        <f t="shared" si="226"/>
        <v>0</v>
      </c>
      <c r="Q1575" s="354">
        <f t="shared" si="227"/>
        <v>0</v>
      </c>
    </row>
    <row r="1576" spans="2:17" ht="15" x14ac:dyDescent="0.25">
      <c r="B1576" s="6">
        <f t="shared" si="228"/>
        <v>12</v>
      </c>
      <c r="C1576" s="95"/>
      <c r="D1576" s="95"/>
      <c r="E1576" s="95">
        <v>2</v>
      </c>
      <c r="F1576" s="96"/>
      <c r="G1576" s="96"/>
      <c r="H1576" s="95" t="s">
        <v>11</v>
      </c>
      <c r="I1576" s="97">
        <f>I1577+I1591</f>
        <v>1661500</v>
      </c>
      <c r="J1576" s="97">
        <f>J1577+J1591</f>
        <v>657349</v>
      </c>
      <c r="K1576" s="354">
        <f t="shared" ref="K1576:K1587" si="230">J1576/I1576*100</f>
        <v>39.563587120072228</v>
      </c>
      <c r="L1576" s="97">
        <f>L1577</f>
        <v>225000</v>
      </c>
      <c r="M1576" s="97">
        <f>M1577</f>
        <v>161130</v>
      </c>
      <c r="N1576" s="354">
        <f t="shared" si="229"/>
        <v>71.61333333333333</v>
      </c>
      <c r="O1576" s="98">
        <f t="shared" si="225"/>
        <v>1886500</v>
      </c>
      <c r="P1576" s="98">
        <f t="shared" si="226"/>
        <v>818479</v>
      </c>
      <c r="Q1576" s="354">
        <f t="shared" si="227"/>
        <v>43.386111847336338</v>
      </c>
    </row>
    <row r="1577" spans="2:17" x14ac:dyDescent="0.2">
      <c r="B1577" s="6">
        <f t="shared" si="228"/>
        <v>13</v>
      </c>
      <c r="C1577" s="105"/>
      <c r="D1577" s="105"/>
      <c r="E1577" s="105"/>
      <c r="F1577" s="106"/>
      <c r="G1577" s="106"/>
      <c r="H1577" s="105" t="s">
        <v>334</v>
      </c>
      <c r="I1577" s="107">
        <f>I1578+I1579+I1580+I1587</f>
        <v>361500</v>
      </c>
      <c r="J1577" s="107">
        <f>J1578+J1579+J1580+J1587</f>
        <v>152789</v>
      </c>
      <c r="K1577" s="354">
        <f t="shared" si="230"/>
        <v>42.265283540802216</v>
      </c>
      <c r="L1577" s="107">
        <f>L1588</f>
        <v>225000</v>
      </c>
      <c r="M1577" s="107">
        <f>M1588</f>
        <v>161130</v>
      </c>
      <c r="N1577" s="354">
        <f t="shared" si="229"/>
        <v>71.61333333333333</v>
      </c>
      <c r="O1577" s="108">
        <f t="shared" si="225"/>
        <v>586500</v>
      </c>
      <c r="P1577" s="108">
        <f t="shared" si="226"/>
        <v>313919</v>
      </c>
      <c r="Q1577" s="354">
        <f t="shared" si="227"/>
        <v>53.524126172208007</v>
      </c>
    </row>
    <row r="1578" spans="2:17" x14ac:dyDescent="0.2">
      <c r="B1578" s="6">
        <f t="shared" si="228"/>
        <v>14</v>
      </c>
      <c r="C1578" s="12"/>
      <c r="D1578" s="12"/>
      <c r="E1578" s="12"/>
      <c r="F1578" s="13" t="s">
        <v>228</v>
      </c>
      <c r="G1578" s="14">
        <v>610</v>
      </c>
      <c r="H1578" s="12" t="s">
        <v>128</v>
      </c>
      <c r="I1578" s="15">
        <v>116800</v>
      </c>
      <c r="J1578" s="15">
        <f>42574+19077</f>
        <v>61651</v>
      </c>
      <c r="K1578" s="354">
        <f t="shared" si="230"/>
        <v>52.783390410958908</v>
      </c>
      <c r="L1578" s="15"/>
      <c r="M1578" s="15"/>
      <c r="N1578" s="354"/>
      <c r="O1578" s="16">
        <f t="shared" si="225"/>
        <v>116800</v>
      </c>
      <c r="P1578" s="16">
        <f t="shared" si="226"/>
        <v>61651</v>
      </c>
      <c r="Q1578" s="354">
        <f t="shared" si="227"/>
        <v>52.783390410958908</v>
      </c>
    </row>
    <row r="1579" spans="2:17" x14ac:dyDescent="0.2">
      <c r="B1579" s="6">
        <f t="shared" si="228"/>
        <v>15</v>
      </c>
      <c r="C1579" s="12"/>
      <c r="D1579" s="12"/>
      <c r="E1579" s="12"/>
      <c r="F1579" s="13" t="s">
        <v>228</v>
      </c>
      <c r="G1579" s="14">
        <v>620</v>
      </c>
      <c r="H1579" s="12" t="s">
        <v>121</v>
      </c>
      <c r="I1579" s="15">
        <v>45055</v>
      </c>
      <c r="J1579" s="15">
        <f>15389+6755</f>
        <v>22144</v>
      </c>
      <c r="K1579" s="354">
        <f t="shared" si="230"/>
        <v>49.148818111197421</v>
      </c>
      <c r="L1579" s="15"/>
      <c r="M1579" s="15"/>
      <c r="N1579" s="354"/>
      <c r="O1579" s="16">
        <f t="shared" si="225"/>
        <v>45055</v>
      </c>
      <c r="P1579" s="16">
        <f t="shared" si="226"/>
        <v>22144</v>
      </c>
      <c r="Q1579" s="354">
        <f t="shared" si="227"/>
        <v>49.148818111197421</v>
      </c>
    </row>
    <row r="1580" spans="2:17" x14ac:dyDescent="0.2">
      <c r="B1580" s="6">
        <f t="shared" si="228"/>
        <v>16</v>
      </c>
      <c r="C1580" s="12"/>
      <c r="D1580" s="12"/>
      <c r="E1580" s="12"/>
      <c r="F1580" s="13" t="s">
        <v>228</v>
      </c>
      <c r="G1580" s="14">
        <v>630</v>
      </c>
      <c r="H1580" s="12" t="s">
        <v>118</v>
      </c>
      <c r="I1580" s="15">
        <f>SUM(I1581:I1586)</f>
        <v>192545</v>
      </c>
      <c r="J1580" s="15">
        <f>SUM(J1581:J1586)</f>
        <v>65792</v>
      </c>
      <c r="K1580" s="354">
        <f t="shared" si="230"/>
        <v>34.169674621517046</v>
      </c>
      <c r="L1580" s="15"/>
      <c r="M1580" s="15"/>
      <c r="N1580" s="354"/>
      <c r="O1580" s="16">
        <f t="shared" si="225"/>
        <v>192545</v>
      </c>
      <c r="P1580" s="16">
        <f t="shared" si="226"/>
        <v>65792</v>
      </c>
      <c r="Q1580" s="354">
        <f t="shared" si="227"/>
        <v>34.169674621517046</v>
      </c>
    </row>
    <row r="1581" spans="2:17" x14ac:dyDescent="0.2">
      <c r="B1581" s="6">
        <f t="shared" si="228"/>
        <v>17</v>
      </c>
      <c r="C1581" s="17"/>
      <c r="D1581" s="17"/>
      <c r="E1581" s="17"/>
      <c r="F1581" s="18"/>
      <c r="G1581" s="19">
        <v>632</v>
      </c>
      <c r="H1581" s="17" t="s">
        <v>131</v>
      </c>
      <c r="I1581" s="20">
        <v>3300</v>
      </c>
      <c r="J1581" s="20">
        <f>816+725</f>
        <v>1541</v>
      </c>
      <c r="K1581" s="354">
        <f t="shared" si="230"/>
        <v>46.696969696969695</v>
      </c>
      <c r="L1581" s="20"/>
      <c r="M1581" s="20"/>
      <c r="N1581" s="354"/>
      <c r="O1581" s="21">
        <f t="shared" si="225"/>
        <v>3300</v>
      </c>
      <c r="P1581" s="21">
        <f t="shared" si="226"/>
        <v>1541</v>
      </c>
      <c r="Q1581" s="354">
        <f t="shared" si="227"/>
        <v>46.696969696969695</v>
      </c>
    </row>
    <row r="1582" spans="2:17" x14ac:dyDescent="0.2">
      <c r="B1582" s="6">
        <f t="shared" si="228"/>
        <v>18</v>
      </c>
      <c r="C1582" s="17"/>
      <c r="D1582" s="17"/>
      <c r="E1582" s="17"/>
      <c r="F1582" s="18"/>
      <c r="G1582" s="19">
        <v>633</v>
      </c>
      <c r="H1582" s="17" t="s">
        <v>122</v>
      </c>
      <c r="I1582" s="20">
        <f>22150-4000</f>
        <v>18150</v>
      </c>
      <c r="J1582" s="20">
        <f>1856+4217</f>
        <v>6073</v>
      </c>
      <c r="K1582" s="354">
        <f t="shared" si="230"/>
        <v>33.460055096418735</v>
      </c>
      <c r="L1582" s="20"/>
      <c r="M1582" s="20"/>
      <c r="N1582" s="354"/>
      <c r="O1582" s="21">
        <f t="shared" si="225"/>
        <v>18150</v>
      </c>
      <c r="P1582" s="21">
        <f t="shared" si="226"/>
        <v>6073</v>
      </c>
      <c r="Q1582" s="354">
        <f t="shared" si="227"/>
        <v>33.460055096418735</v>
      </c>
    </row>
    <row r="1583" spans="2:17" x14ac:dyDescent="0.2">
      <c r="B1583" s="6">
        <f t="shared" si="228"/>
        <v>19</v>
      </c>
      <c r="C1583" s="17"/>
      <c r="D1583" s="17"/>
      <c r="E1583" s="17"/>
      <c r="F1583" s="18"/>
      <c r="G1583" s="19">
        <v>634</v>
      </c>
      <c r="H1583" s="17" t="s">
        <v>129</v>
      </c>
      <c r="I1583" s="20">
        <v>9700</v>
      </c>
      <c r="J1583" s="20">
        <f>868+1419</f>
        <v>2287</v>
      </c>
      <c r="K1583" s="354">
        <f t="shared" si="230"/>
        <v>23.577319587628867</v>
      </c>
      <c r="L1583" s="20"/>
      <c r="M1583" s="20"/>
      <c r="N1583" s="354"/>
      <c r="O1583" s="21">
        <f t="shared" si="225"/>
        <v>9700</v>
      </c>
      <c r="P1583" s="21">
        <f t="shared" si="226"/>
        <v>2287</v>
      </c>
      <c r="Q1583" s="354">
        <f t="shared" si="227"/>
        <v>23.577319587628867</v>
      </c>
    </row>
    <row r="1584" spans="2:17" x14ac:dyDescent="0.2">
      <c r="B1584" s="6">
        <f t="shared" si="228"/>
        <v>20</v>
      </c>
      <c r="C1584" s="17"/>
      <c r="D1584" s="17"/>
      <c r="E1584" s="17"/>
      <c r="F1584" s="18"/>
      <c r="G1584" s="19">
        <v>635</v>
      </c>
      <c r="H1584" s="17" t="s">
        <v>130</v>
      </c>
      <c r="I1584" s="20">
        <f>40810-5000+4000</f>
        <v>39810</v>
      </c>
      <c r="J1584" s="20">
        <f>13078+210</f>
        <v>13288</v>
      </c>
      <c r="K1584" s="354">
        <f t="shared" si="230"/>
        <v>33.378548103491582</v>
      </c>
      <c r="L1584" s="20"/>
      <c r="M1584" s="20"/>
      <c r="N1584" s="354"/>
      <c r="O1584" s="21">
        <f t="shared" si="225"/>
        <v>39810</v>
      </c>
      <c r="P1584" s="21">
        <f t="shared" si="226"/>
        <v>13288</v>
      </c>
      <c r="Q1584" s="354">
        <f t="shared" si="227"/>
        <v>33.378548103491582</v>
      </c>
    </row>
    <row r="1585" spans="2:17" x14ac:dyDescent="0.2">
      <c r="B1585" s="6">
        <f t="shared" si="228"/>
        <v>21</v>
      </c>
      <c r="C1585" s="17"/>
      <c r="D1585" s="17"/>
      <c r="E1585" s="17"/>
      <c r="F1585" s="18"/>
      <c r="G1585" s="19">
        <v>636</v>
      </c>
      <c r="H1585" s="17" t="s">
        <v>123</v>
      </c>
      <c r="I1585" s="20">
        <v>3700</v>
      </c>
      <c r="J1585" s="20">
        <f>1443</f>
        <v>1443</v>
      </c>
      <c r="K1585" s="354">
        <f t="shared" si="230"/>
        <v>39</v>
      </c>
      <c r="L1585" s="20"/>
      <c r="M1585" s="20"/>
      <c r="N1585" s="354"/>
      <c r="O1585" s="21">
        <f t="shared" si="225"/>
        <v>3700</v>
      </c>
      <c r="P1585" s="21">
        <f t="shared" si="226"/>
        <v>1443</v>
      </c>
      <c r="Q1585" s="354">
        <f t="shared" si="227"/>
        <v>39</v>
      </c>
    </row>
    <row r="1586" spans="2:17" x14ac:dyDescent="0.2">
      <c r="B1586" s="6">
        <f t="shared" si="228"/>
        <v>22</v>
      </c>
      <c r="C1586" s="17"/>
      <c r="D1586" s="17"/>
      <c r="E1586" s="17"/>
      <c r="F1586" s="18"/>
      <c r="G1586" s="19">
        <v>637</v>
      </c>
      <c r="H1586" s="17" t="s">
        <v>119</v>
      </c>
      <c r="I1586" s="20">
        <f>117885</f>
        <v>117885</v>
      </c>
      <c r="J1586" s="20">
        <f>10684+30475+1</f>
        <v>41160</v>
      </c>
      <c r="K1586" s="354">
        <f t="shared" si="230"/>
        <v>34.915383636594989</v>
      </c>
      <c r="L1586" s="20"/>
      <c r="M1586" s="20"/>
      <c r="N1586" s="354"/>
      <c r="O1586" s="21">
        <f t="shared" si="225"/>
        <v>117885</v>
      </c>
      <c r="P1586" s="21">
        <f t="shared" si="226"/>
        <v>41160</v>
      </c>
      <c r="Q1586" s="354">
        <f t="shared" si="227"/>
        <v>34.915383636594989</v>
      </c>
    </row>
    <row r="1587" spans="2:17" x14ac:dyDescent="0.2">
      <c r="B1587" s="6">
        <f t="shared" si="228"/>
        <v>23</v>
      </c>
      <c r="C1587" s="12"/>
      <c r="D1587" s="12"/>
      <c r="E1587" s="12"/>
      <c r="F1587" s="13" t="s">
        <v>228</v>
      </c>
      <c r="G1587" s="14">
        <v>640</v>
      </c>
      <c r="H1587" s="12" t="s">
        <v>126</v>
      </c>
      <c r="I1587" s="15">
        <v>7100</v>
      </c>
      <c r="J1587" s="15">
        <f>2341+861</f>
        <v>3202</v>
      </c>
      <c r="K1587" s="354">
        <f t="shared" si="230"/>
        <v>45.098591549295776</v>
      </c>
      <c r="L1587" s="15"/>
      <c r="M1587" s="15"/>
      <c r="N1587" s="354"/>
      <c r="O1587" s="16">
        <f t="shared" si="225"/>
        <v>7100</v>
      </c>
      <c r="P1587" s="16">
        <f t="shared" si="226"/>
        <v>3202</v>
      </c>
      <c r="Q1587" s="354">
        <f t="shared" si="227"/>
        <v>45.098591549295776</v>
      </c>
    </row>
    <row r="1588" spans="2:17" x14ac:dyDescent="0.2">
      <c r="B1588" s="6">
        <f t="shared" si="228"/>
        <v>24</v>
      </c>
      <c r="C1588" s="12"/>
      <c r="D1588" s="12"/>
      <c r="E1588" s="12"/>
      <c r="F1588" s="13" t="s">
        <v>228</v>
      </c>
      <c r="G1588" s="14">
        <v>710</v>
      </c>
      <c r="H1588" s="12" t="s">
        <v>172</v>
      </c>
      <c r="I1588" s="15"/>
      <c r="J1588" s="15"/>
      <c r="K1588" s="354"/>
      <c r="L1588" s="15">
        <f>L1589</f>
        <v>225000</v>
      </c>
      <c r="M1588" s="15">
        <f>M1589</f>
        <v>161130</v>
      </c>
      <c r="N1588" s="354">
        <f>M1588/L1588*100</f>
        <v>71.61333333333333</v>
      </c>
      <c r="O1588" s="16">
        <f t="shared" si="225"/>
        <v>225000</v>
      </c>
      <c r="P1588" s="16">
        <f t="shared" si="226"/>
        <v>161130</v>
      </c>
      <c r="Q1588" s="354">
        <f t="shared" si="227"/>
        <v>71.61333333333333</v>
      </c>
    </row>
    <row r="1589" spans="2:17" x14ac:dyDescent="0.2">
      <c r="B1589" s="6">
        <f t="shared" si="228"/>
        <v>25</v>
      </c>
      <c r="C1589" s="1"/>
      <c r="D1589" s="1"/>
      <c r="E1589" s="1"/>
      <c r="F1589" s="99"/>
      <c r="G1589" s="19">
        <v>717</v>
      </c>
      <c r="H1589" s="17" t="s">
        <v>179</v>
      </c>
      <c r="I1589" s="24"/>
      <c r="J1589" s="24"/>
      <c r="K1589" s="354"/>
      <c r="L1589" s="24">
        <f>L1590</f>
        <v>225000</v>
      </c>
      <c r="M1589" s="24">
        <f>M1590</f>
        <v>161130</v>
      </c>
      <c r="N1589" s="354">
        <f>M1589/L1589*100</f>
        <v>71.61333333333333</v>
      </c>
      <c r="O1589" s="26">
        <f t="shared" si="225"/>
        <v>225000</v>
      </c>
      <c r="P1589" s="26">
        <f t="shared" si="226"/>
        <v>161130</v>
      </c>
      <c r="Q1589" s="354">
        <f t="shared" si="227"/>
        <v>71.61333333333333</v>
      </c>
    </row>
    <row r="1590" spans="2:17" x14ac:dyDescent="0.2">
      <c r="B1590" s="6">
        <f t="shared" si="228"/>
        <v>26</v>
      </c>
      <c r="C1590" s="1"/>
      <c r="D1590" s="1"/>
      <c r="E1590" s="1"/>
      <c r="F1590" s="99"/>
      <c r="G1590" s="123"/>
      <c r="H1590" s="1" t="s">
        <v>478</v>
      </c>
      <c r="I1590" s="24"/>
      <c r="J1590" s="24"/>
      <c r="K1590" s="354"/>
      <c r="L1590" s="24">
        <v>225000</v>
      </c>
      <c r="M1590" s="24">
        <v>161130</v>
      </c>
      <c r="N1590" s="354">
        <f>M1590/L1590*100</f>
        <v>71.61333333333333</v>
      </c>
      <c r="O1590" s="26">
        <f t="shared" si="225"/>
        <v>225000</v>
      </c>
      <c r="P1590" s="26">
        <f t="shared" si="226"/>
        <v>161130</v>
      </c>
      <c r="Q1590" s="354">
        <f t="shared" si="227"/>
        <v>71.61333333333333</v>
      </c>
    </row>
    <row r="1591" spans="2:17" x14ac:dyDescent="0.2">
      <c r="B1591" s="6">
        <f t="shared" si="228"/>
        <v>27</v>
      </c>
      <c r="C1591" s="105"/>
      <c r="D1591" s="105"/>
      <c r="E1591" s="105"/>
      <c r="F1591" s="106"/>
      <c r="G1591" s="106"/>
      <c r="H1591" s="105" t="s">
        <v>190</v>
      </c>
      <c r="I1591" s="107">
        <f>I1592+I1593+I1594+I1600</f>
        <v>1300000</v>
      </c>
      <c r="J1591" s="107">
        <f>J1592+J1593+J1594+J1600</f>
        <v>504560</v>
      </c>
      <c r="K1591" s="354">
        <f t="shared" ref="K1591:K1607" si="231">J1591/I1591*100</f>
        <v>38.812307692307691</v>
      </c>
      <c r="L1591" s="107"/>
      <c r="M1591" s="107"/>
      <c r="N1591" s="354"/>
      <c r="O1591" s="108">
        <f t="shared" si="225"/>
        <v>1300000</v>
      </c>
      <c r="P1591" s="108">
        <f t="shared" si="226"/>
        <v>504560</v>
      </c>
      <c r="Q1591" s="354">
        <f t="shared" si="227"/>
        <v>38.812307692307691</v>
      </c>
    </row>
    <row r="1592" spans="2:17" x14ac:dyDescent="0.2">
      <c r="B1592" s="6">
        <f t="shared" si="228"/>
        <v>28</v>
      </c>
      <c r="C1592" s="12"/>
      <c r="D1592" s="12"/>
      <c r="E1592" s="12"/>
      <c r="F1592" s="13" t="s">
        <v>189</v>
      </c>
      <c r="G1592" s="14">
        <v>610</v>
      </c>
      <c r="H1592" s="12" t="s">
        <v>128</v>
      </c>
      <c r="I1592" s="15">
        <v>278000</v>
      </c>
      <c r="J1592" s="15">
        <v>122914</v>
      </c>
      <c r="K1592" s="354">
        <f t="shared" si="231"/>
        <v>44.213669064748203</v>
      </c>
      <c r="L1592" s="15"/>
      <c r="M1592" s="15"/>
      <c r="N1592" s="354"/>
      <c r="O1592" s="16">
        <f t="shared" si="225"/>
        <v>278000</v>
      </c>
      <c r="P1592" s="16">
        <f t="shared" si="226"/>
        <v>122914</v>
      </c>
      <c r="Q1592" s="354">
        <f t="shared" si="227"/>
        <v>44.213669064748203</v>
      </c>
    </row>
    <row r="1593" spans="2:17" x14ac:dyDescent="0.2">
      <c r="B1593" s="6">
        <f t="shared" si="228"/>
        <v>29</v>
      </c>
      <c r="C1593" s="12"/>
      <c r="D1593" s="12"/>
      <c r="E1593" s="12"/>
      <c r="F1593" s="13" t="s">
        <v>189</v>
      </c>
      <c r="G1593" s="14">
        <v>620</v>
      </c>
      <c r="H1593" s="12" t="s">
        <v>121</v>
      </c>
      <c r="I1593" s="15">
        <v>108540</v>
      </c>
      <c r="J1593" s="15">
        <v>45164</v>
      </c>
      <c r="K1593" s="354">
        <f t="shared" si="231"/>
        <v>41.610466187580613</v>
      </c>
      <c r="L1593" s="15"/>
      <c r="M1593" s="15"/>
      <c r="N1593" s="354"/>
      <c r="O1593" s="16">
        <f t="shared" si="225"/>
        <v>108540</v>
      </c>
      <c r="P1593" s="16">
        <f t="shared" si="226"/>
        <v>45164</v>
      </c>
      <c r="Q1593" s="354">
        <f t="shared" si="227"/>
        <v>41.610466187580613</v>
      </c>
    </row>
    <row r="1594" spans="2:17" x14ac:dyDescent="0.2">
      <c r="B1594" s="6">
        <f t="shared" si="228"/>
        <v>30</v>
      </c>
      <c r="C1594" s="12"/>
      <c r="D1594" s="12"/>
      <c r="E1594" s="12"/>
      <c r="F1594" s="13"/>
      <c r="G1594" s="14">
        <v>630</v>
      </c>
      <c r="H1594" s="12" t="s">
        <v>118</v>
      </c>
      <c r="I1594" s="15">
        <f>SUM(I1595:I1599)</f>
        <v>894960</v>
      </c>
      <c r="J1594" s="15">
        <f>SUM(J1595:J1599)</f>
        <v>326451</v>
      </c>
      <c r="K1594" s="354">
        <f t="shared" si="231"/>
        <v>36.476602306248324</v>
      </c>
      <c r="L1594" s="15"/>
      <c r="M1594" s="15"/>
      <c r="N1594" s="354"/>
      <c r="O1594" s="16">
        <f t="shared" si="225"/>
        <v>894960</v>
      </c>
      <c r="P1594" s="16">
        <f t="shared" si="226"/>
        <v>326451</v>
      </c>
      <c r="Q1594" s="354">
        <f t="shared" si="227"/>
        <v>36.476602306248324</v>
      </c>
    </row>
    <row r="1595" spans="2:17" x14ac:dyDescent="0.2">
      <c r="B1595" s="6">
        <f t="shared" si="228"/>
        <v>31</v>
      </c>
      <c r="C1595" s="17"/>
      <c r="D1595" s="17"/>
      <c r="E1595" s="17"/>
      <c r="F1595" s="18"/>
      <c r="G1595" s="19">
        <v>633</v>
      </c>
      <c r="H1595" s="17" t="s">
        <v>122</v>
      </c>
      <c r="I1595" s="20">
        <f>348620-171000</f>
        <v>177620</v>
      </c>
      <c r="J1595" s="20">
        <v>145602</v>
      </c>
      <c r="K1595" s="354">
        <f t="shared" si="231"/>
        <v>81.973876815673904</v>
      </c>
      <c r="L1595" s="20"/>
      <c r="M1595" s="20"/>
      <c r="N1595" s="354"/>
      <c r="O1595" s="21">
        <f t="shared" si="225"/>
        <v>177620</v>
      </c>
      <c r="P1595" s="21">
        <f t="shared" si="226"/>
        <v>145602</v>
      </c>
      <c r="Q1595" s="354">
        <f t="shared" si="227"/>
        <v>81.973876815673904</v>
      </c>
    </row>
    <row r="1596" spans="2:17" x14ac:dyDescent="0.2">
      <c r="B1596" s="6">
        <f t="shared" si="228"/>
        <v>32</v>
      </c>
      <c r="C1596" s="17"/>
      <c r="D1596" s="17"/>
      <c r="E1596" s="17"/>
      <c r="F1596" s="18"/>
      <c r="G1596" s="19">
        <v>634</v>
      </c>
      <c r="H1596" s="17" t="s">
        <v>129</v>
      </c>
      <c r="I1596" s="20">
        <v>38200</v>
      </c>
      <c r="J1596" s="20">
        <v>15686</v>
      </c>
      <c r="K1596" s="354">
        <f t="shared" si="231"/>
        <v>41.062827225130889</v>
      </c>
      <c r="L1596" s="20"/>
      <c r="M1596" s="20"/>
      <c r="N1596" s="354"/>
      <c r="O1596" s="21">
        <f t="shared" si="225"/>
        <v>38200</v>
      </c>
      <c r="P1596" s="21">
        <f t="shared" si="226"/>
        <v>15686</v>
      </c>
      <c r="Q1596" s="354">
        <f t="shared" si="227"/>
        <v>41.062827225130889</v>
      </c>
    </row>
    <row r="1597" spans="2:17" x14ac:dyDescent="0.2">
      <c r="B1597" s="6">
        <f t="shared" si="228"/>
        <v>33</v>
      </c>
      <c r="C1597" s="17"/>
      <c r="D1597" s="17"/>
      <c r="E1597" s="17"/>
      <c r="F1597" s="18"/>
      <c r="G1597" s="19">
        <v>635</v>
      </c>
      <c r="H1597" s="17" t="s">
        <v>130</v>
      </c>
      <c r="I1597" s="20">
        <f>470490+171000</f>
        <v>641490</v>
      </c>
      <c r="J1597" s="20">
        <v>154099</v>
      </c>
      <c r="K1597" s="354">
        <f t="shared" si="231"/>
        <v>24.022042432461923</v>
      </c>
      <c r="L1597" s="20"/>
      <c r="M1597" s="20"/>
      <c r="N1597" s="354"/>
      <c r="O1597" s="21">
        <f t="shared" ref="O1597:O1628" si="232">I1597+L1597</f>
        <v>641490</v>
      </c>
      <c r="P1597" s="21">
        <f t="shared" ref="P1597:P1628" si="233">J1597+M1597</f>
        <v>154099</v>
      </c>
      <c r="Q1597" s="354">
        <f t="shared" ref="Q1597:Q1628" si="234">P1597/O1597*100</f>
        <v>24.022042432461923</v>
      </c>
    </row>
    <row r="1598" spans="2:17" x14ac:dyDescent="0.2">
      <c r="B1598" s="6">
        <f t="shared" si="228"/>
        <v>34</v>
      </c>
      <c r="C1598" s="17"/>
      <c r="D1598" s="17"/>
      <c r="E1598" s="17"/>
      <c r="F1598" s="18"/>
      <c r="G1598" s="19">
        <v>636</v>
      </c>
      <c r="H1598" s="17" t="s">
        <v>123</v>
      </c>
      <c r="I1598" s="20">
        <v>500</v>
      </c>
      <c r="J1598" s="20"/>
      <c r="K1598" s="354">
        <f t="shared" si="231"/>
        <v>0</v>
      </c>
      <c r="L1598" s="20"/>
      <c r="M1598" s="20"/>
      <c r="N1598" s="354"/>
      <c r="O1598" s="21">
        <f t="shared" si="232"/>
        <v>500</v>
      </c>
      <c r="P1598" s="21">
        <f t="shared" si="233"/>
        <v>0</v>
      </c>
      <c r="Q1598" s="354">
        <f t="shared" si="234"/>
        <v>0</v>
      </c>
    </row>
    <row r="1599" spans="2:17" x14ac:dyDescent="0.2">
      <c r="B1599" s="6">
        <f t="shared" si="228"/>
        <v>35</v>
      </c>
      <c r="C1599" s="17"/>
      <c r="D1599" s="17"/>
      <c r="E1599" s="17"/>
      <c r="F1599" s="18"/>
      <c r="G1599" s="19">
        <v>637</v>
      </c>
      <c r="H1599" s="17" t="s">
        <v>119</v>
      </c>
      <c r="I1599" s="20">
        <v>37150</v>
      </c>
      <c r="J1599" s="20">
        <v>11064</v>
      </c>
      <c r="K1599" s="354">
        <f t="shared" si="231"/>
        <v>29.781965006729479</v>
      </c>
      <c r="L1599" s="20"/>
      <c r="M1599" s="20"/>
      <c r="N1599" s="354"/>
      <c r="O1599" s="21">
        <f t="shared" si="232"/>
        <v>37150</v>
      </c>
      <c r="P1599" s="21">
        <f t="shared" si="233"/>
        <v>11064</v>
      </c>
      <c r="Q1599" s="354">
        <f t="shared" si="234"/>
        <v>29.781965006729479</v>
      </c>
    </row>
    <row r="1600" spans="2:17" x14ac:dyDescent="0.2">
      <c r="B1600" s="6">
        <f t="shared" si="228"/>
        <v>36</v>
      </c>
      <c r="C1600" s="12"/>
      <c r="D1600" s="12"/>
      <c r="E1600" s="12"/>
      <c r="F1600" s="13" t="s">
        <v>189</v>
      </c>
      <c r="G1600" s="14">
        <v>640</v>
      </c>
      <c r="H1600" s="12" t="s">
        <v>126</v>
      </c>
      <c r="I1600" s="15">
        <v>18500</v>
      </c>
      <c r="J1600" s="15">
        <v>10031</v>
      </c>
      <c r="K1600" s="354">
        <f t="shared" si="231"/>
        <v>54.221621621621615</v>
      </c>
      <c r="L1600" s="15"/>
      <c r="M1600" s="15"/>
      <c r="N1600" s="354"/>
      <c r="O1600" s="16">
        <f t="shared" si="232"/>
        <v>18500</v>
      </c>
      <c r="P1600" s="16">
        <f t="shared" si="233"/>
        <v>10031</v>
      </c>
      <c r="Q1600" s="354">
        <f t="shared" si="234"/>
        <v>54.221621621621615</v>
      </c>
    </row>
    <row r="1601" spans="2:17" ht="15" x14ac:dyDescent="0.2">
      <c r="B1601" s="6">
        <f t="shared" si="228"/>
        <v>37</v>
      </c>
      <c r="C1601" s="9">
        <v>2</v>
      </c>
      <c r="D1601" s="459" t="s">
        <v>137</v>
      </c>
      <c r="E1601" s="460"/>
      <c r="F1601" s="460"/>
      <c r="G1601" s="460"/>
      <c r="H1601" s="460"/>
      <c r="I1601" s="10">
        <f>I1602+I1614</f>
        <v>3872300</v>
      </c>
      <c r="J1601" s="10">
        <f>J1602+J1614</f>
        <v>1131577</v>
      </c>
      <c r="K1601" s="354">
        <f t="shared" si="231"/>
        <v>29.222348475066497</v>
      </c>
      <c r="L1601" s="10">
        <f>L1602</f>
        <v>787615</v>
      </c>
      <c r="M1601" s="10">
        <f>M1602</f>
        <v>990</v>
      </c>
      <c r="N1601" s="354">
        <f>M1601/L1601*100</f>
        <v>0.12569593011814148</v>
      </c>
      <c r="O1601" s="31">
        <f t="shared" si="232"/>
        <v>4659915</v>
      </c>
      <c r="P1601" s="31">
        <f t="shared" si="233"/>
        <v>1132567</v>
      </c>
      <c r="Q1601" s="354">
        <f t="shared" si="234"/>
        <v>24.304456197162395</v>
      </c>
    </row>
    <row r="1602" spans="2:17" ht="15" x14ac:dyDescent="0.25">
      <c r="B1602" s="6">
        <f t="shared" si="228"/>
        <v>38</v>
      </c>
      <c r="C1602" s="27"/>
      <c r="D1602" s="27">
        <v>1</v>
      </c>
      <c r="E1602" s="457" t="s">
        <v>136</v>
      </c>
      <c r="F1602" s="458"/>
      <c r="G1602" s="458"/>
      <c r="H1602" s="458"/>
      <c r="I1602" s="28">
        <f>I1603</f>
        <v>3869942</v>
      </c>
      <c r="J1602" s="28">
        <f>J1603</f>
        <v>1130757</v>
      </c>
      <c r="K1602" s="354">
        <f t="shared" si="231"/>
        <v>29.218965038752522</v>
      </c>
      <c r="L1602" s="28">
        <f>L1608</f>
        <v>787615</v>
      </c>
      <c r="M1602" s="28">
        <f>M1608</f>
        <v>990</v>
      </c>
      <c r="N1602" s="354">
        <f>M1602/L1602*100</f>
        <v>0.12569593011814148</v>
      </c>
      <c r="O1602" s="29">
        <f t="shared" si="232"/>
        <v>4657557</v>
      </c>
      <c r="P1602" s="29">
        <f t="shared" si="233"/>
        <v>1131747</v>
      </c>
      <c r="Q1602" s="354">
        <f t="shared" si="234"/>
        <v>24.299155115009867</v>
      </c>
    </row>
    <row r="1603" spans="2:17" x14ac:dyDescent="0.2">
      <c r="B1603" s="6">
        <f t="shared" si="228"/>
        <v>39</v>
      </c>
      <c r="C1603" s="12"/>
      <c r="D1603" s="12"/>
      <c r="E1603" s="12"/>
      <c r="F1603" s="13" t="s">
        <v>135</v>
      </c>
      <c r="G1603" s="14">
        <v>630</v>
      </c>
      <c r="H1603" s="12" t="s">
        <v>118</v>
      </c>
      <c r="I1603" s="15">
        <f>SUM(I1604:I1607)</f>
        <v>3869942</v>
      </c>
      <c r="J1603" s="15">
        <f>SUM(J1604:J1607)</f>
        <v>1130757</v>
      </c>
      <c r="K1603" s="354">
        <f t="shared" si="231"/>
        <v>29.218965038752522</v>
      </c>
      <c r="L1603" s="15"/>
      <c r="M1603" s="15"/>
      <c r="N1603" s="354"/>
      <c r="O1603" s="16">
        <f t="shared" si="232"/>
        <v>3869942</v>
      </c>
      <c r="P1603" s="16">
        <f t="shared" si="233"/>
        <v>1130757</v>
      </c>
      <c r="Q1603" s="354">
        <f t="shared" si="234"/>
        <v>29.218965038752522</v>
      </c>
    </row>
    <row r="1604" spans="2:17" x14ac:dyDescent="0.2">
      <c r="B1604" s="6">
        <f t="shared" si="228"/>
        <v>40</v>
      </c>
      <c r="C1604" s="17"/>
      <c r="D1604" s="17"/>
      <c r="E1604" s="17"/>
      <c r="F1604" s="18"/>
      <c r="G1604" s="19">
        <v>635</v>
      </c>
      <c r="H1604" s="17" t="s">
        <v>130</v>
      </c>
      <c r="I1604" s="20">
        <v>4000</v>
      </c>
      <c r="J1604" s="20">
        <v>624</v>
      </c>
      <c r="K1604" s="354">
        <f t="shared" si="231"/>
        <v>15.6</v>
      </c>
      <c r="L1604" s="20"/>
      <c r="M1604" s="20"/>
      <c r="N1604" s="354"/>
      <c r="O1604" s="21">
        <f t="shared" si="232"/>
        <v>4000</v>
      </c>
      <c r="P1604" s="21">
        <f t="shared" si="233"/>
        <v>624</v>
      </c>
      <c r="Q1604" s="354">
        <f t="shared" si="234"/>
        <v>15.6</v>
      </c>
    </row>
    <row r="1605" spans="2:17" x14ac:dyDescent="0.2">
      <c r="B1605" s="6">
        <f t="shared" si="228"/>
        <v>41</v>
      </c>
      <c r="C1605" s="17"/>
      <c r="D1605" s="17"/>
      <c r="E1605" s="17"/>
      <c r="F1605" s="18"/>
      <c r="G1605" s="19">
        <v>637</v>
      </c>
      <c r="H1605" s="17" t="s">
        <v>119</v>
      </c>
      <c r="I1605" s="30">
        <f>3366000-58+250000</f>
        <v>3615942</v>
      </c>
      <c r="J1605" s="30">
        <f>4215+108+209063+886474</f>
        <v>1099860</v>
      </c>
      <c r="K1605" s="354">
        <f t="shared" si="231"/>
        <v>30.416970183703167</v>
      </c>
      <c r="L1605" s="20"/>
      <c r="M1605" s="20"/>
      <c r="N1605" s="354"/>
      <c r="O1605" s="21">
        <f t="shared" si="232"/>
        <v>3615942</v>
      </c>
      <c r="P1605" s="21">
        <f t="shared" si="233"/>
        <v>1099860</v>
      </c>
      <c r="Q1605" s="354">
        <f t="shared" si="234"/>
        <v>30.416970183703167</v>
      </c>
    </row>
    <row r="1606" spans="2:17" x14ac:dyDescent="0.2">
      <c r="B1606" s="6">
        <f t="shared" si="228"/>
        <v>42</v>
      </c>
      <c r="C1606" s="17"/>
      <c r="D1606" s="17"/>
      <c r="E1606" s="17"/>
      <c r="F1606" s="18"/>
      <c r="G1606" s="19">
        <v>637</v>
      </c>
      <c r="H1606" s="17" t="s">
        <v>510</v>
      </c>
      <c r="I1606" s="30">
        <v>97357</v>
      </c>
      <c r="J1606" s="30">
        <f>15827+14446</f>
        <v>30273</v>
      </c>
      <c r="K1606" s="354">
        <f t="shared" si="231"/>
        <v>31.094836529473994</v>
      </c>
      <c r="L1606" s="20"/>
      <c r="M1606" s="20"/>
      <c r="N1606" s="354"/>
      <c r="O1606" s="21">
        <f t="shared" si="232"/>
        <v>97357</v>
      </c>
      <c r="P1606" s="21">
        <f t="shared" si="233"/>
        <v>30273</v>
      </c>
      <c r="Q1606" s="354">
        <f t="shared" si="234"/>
        <v>31.094836529473994</v>
      </c>
    </row>
    <row r="1607" spans="2:17" ht="24" x14ac:dyDescent="0.2">
      <c r="B1607" s="6">
        <f t="shared" si="228"/>
        <v>43</v>
      </c>
      <c r="C1607" s="17"/>
      <c r="D1607" s="17"/>
      <c r="E1607" s="17"/>
      <c r="F1607" s="18"/>
      <c r="G1607" s="19">
        <v>637</v>
      </c>
      <c r="H1607" s="55" t="s">
        <v>514</v>
      </c>
      <c r="I1607" s="20">
        <v>152643</v>
      </c>
      <c r="J1607" s="20"/>
      <c r="K1607" s="354">
        <f t="shared" si="231"/>
        <v>0</v>
      </c>
      <c r="L1607" s="20"/>
      <c r="M1607" s="20"/>
      <c r="N1607" s="354"/>
      <c r="O1607" s="21">
        <f t="shared" si="232"/>
        <v>152643</v>
      </c>
      <c r="P1607" s="21">
        <f t="shared" si="233"/>
        <v>0</v>
      </c>
      <c r="Q1607" s="354">
        <f t="shared" si="234"/>
        <v>0</v>
      </c>
    </row>
    <row r="1608" spans="2:17" x14ac:dyDescent="0.2">
      <c r="B1608" s="6">
        <f t="shared" si="228"/>
        <v>44</v>
      </c>
      <c r="C1608" s="12"/>
      <c r="D1608" s="12"/>
      <c r="E1608" s="12"/>
      <c r="F1608" s="13" t="s">
        <v>135</v>
      </c>
      <c r="G1608" s="14">
        <v>710</v>
      </c>
      <c r="H1608" s="12" t="s">
        <v>172</v>
      </c>
      <c r="I1608" s="15"/>
      <c r="J1608" s="15"/>
      <c r="K1608" s="354"/>
      <c r="L1608" s="15">
        <f>L1611+L1609</f>
        <v>787615</v>
      </c>
      <c r="M1608" s="15">
        <f>M1611+M1609</f>
        <v>990</v>
      </c>
      <c r="N1608" s="354">
        <f t="shared" ref="N1608:N1613" si="235">M1608/L1608*100</f>
        <v>0.12569593011814148</v>
      </c>
      <c r="O1608" s="16">
        <f t="shared" si="232"/>
        <v>787615</v>
      </c>
      <c r="P1608" s="16">
        <f t="shared" si="233"/>
        <v>990</v>
      </c>
      <c r="Q1608" s="354">
        <f t="shared" si="234"/>
        <v>0.12569593011814148</v>
      </c>
    </row>
    <row r="1609" spans="2:17" x14ac:dyDescent="0.2">
      <c r="B1609" s="6"/>
      <c r="C1609" s="12"/>
      <c r="D1609" s="12"/>
      <c r="E1609" s="12"/>
      <c r="F1609" s="13"/>
      <c r="G1609" s="19">
        <v>716</v>
      </c>
      <c r="H1609" s="17" t="s">
        <v>212</v>
      </c>
      <c r="I1609" s="20"/>
      <c r="J1609" s="20"/>
      <c r="K1609" s="354"/>
      <c r="L1609" s="20">
        <f>L1610</f>
        <v>15000</v>
      </c>
      <c r="M1609" s="20">
        <f>M1610</f>
        <v>990</v>
      </c>
      <c r="N1609" s="354">
        <f t="shared" si="235"/>
        <v>6.6000000000000005</v>
      </c>
      <c r="O1609" s="21">
        <f t="shared" si="232"/>
        <v>15000</v>
      </c>
      <c r="P1609" s="21">
        <f t="shared" si="233"/>
        <v>990</v>
      </c>
      <c r="Q1609" s="354">
        <f t="shared" si="234"/>
        <v>6.6000000000000005</v>
      </c>
    </row>
    <row r="1610" spans="2:17" x14ac:dyDescent="0.2">
      <c r="B1610" s="6"/>
      <c r="C1610" s="12"/>
      <c r="D1610" s="12"/>
      <c r="E1610" s="12"/>
      <c r="F1610" s="13"/>
      <c r="G1610" s="123"/>
      <c r="H1610" s="1" t="s">
        <v>271</v>
      </c>
      <c r="I1610" s="24"/>
      <c r="J1610" s="24"/>
      <c r="K1610" s="354"/>
      <c r="L1610" s="24">
        <v>15000</v>
      </c>
      <c r="M1610" s="24">
        <v>990</v>
      </c>
      <c r="N1610" s="354">
        <f t="shared" si="235"/>
        <v>6.6000000000000005</v>
      </c>
      <c r="O1610" s="26">
        <f t="shared" si="232"/>
        <v>15000</v>
      </c>
      <c r="P1610" s="26">
        <f t="shared" si="233"/>
        <v>990</v>
      </c>
      <c r="Q1610" s="354">
        <f t="shared" si="234"/>
        <v>6.6000000000000005</v>
      </c>
    </row>
    <row r="1611" spans="2:17" x14ac:dyDescent="0.2">
      <c r="B1611" s="6">
        <f>B1608+1</f>
        <v>45</v>
      </c>
      <c r="C1611" s="17"/>
      <c r="D1611" s="17"/>
      <c r="E1611" s="17"/>
      <c r="F1611" s="18"/>
      <c r="G1611" s="19">
        <v>717</v>
      </c>
      <c r="H1611" s="17" t="s">
        <v>179</v>
      </c>
      <c r="I1611" s="20"/>
      <c r="J1611" s="20"/>
      <c r="K1611" s="354"/>
      <c r="L1611" s="20">
        <f>SUM(L1612:L1613)</f>
        <v>772615</v>
      </c>
      <c r="M1611" s="20">
        <f>SUM(M1612:M1613)</f>
        <v>0</v>
      </c>
      <c r="N1611" s="354">
        <f t="shared" si="235"/>
        <v>0</v>
      </c>
      <c r="O1611" s="21">
        <f t="shared" si="232"/>
        <v>772615</v>
      </c>
      <c r="P1611" s="21">
        <f t="shared" si="233"/>
        <v>0</v>
      </c>
      <c r="Q1611" s="354">
        <f t="shared" si="234"/>
        <v>0</v>
      </c>
    </row>
    <row r="1612" spans="2:17" x14ac:dyDescent="0.2">
      <c r="B1612" s="6">
        <f t="shared" ref="B1612:B1628" si="236">B1611+1</f>
        <v>46</v>
      </c>
      <c r="C1612" s="22"/>
      <c r="D1612" s="22"/>
      <c r="E1612" s="22"/>
      <c r="F1612" s="123"/>
      <c r="G1612" s="123"/>
      <c r="H1612" s="1" t="s">
        <v>271</v>
      </c>
      <c r="I1612" s="24"/>
      <c r="J1612" s="24"/>
      <c r="K1612" s="354"/>
      <c r="L1612" s="24">
        <f>276400-15000+311215</f>
        <v>572615</v>
      </c>
      <c r="M1612" s="24">
        <v>0</v>
      </c>
      <c r="N1612" s="354">
        <f t="shared" si="235"/>
        <v>0</v>
      </c>
      <c r="O1612" s="26">
        <f t="shared" si="232"/>
        <v>572615</v>
      </c>
      <c r="P1612" s="26">
        <f t="shared" si="233"/>
        <v>0</v>
      </c>
      <c r="Q1612" s="354">
        <f t="shared" si="234"/>
        <v>0</v>
      </c>
    </row>
    <row r="1613" spans="2:17" x14ac:dyDescent="0.2">
      <c r="B1613" s="6">
        <f t="shared" si="236"/>
        <v>47</v>
      </c>
      <c r="C1613" s="22"/>
      <c r="D1613" s="22"/>
      <c r="E1613" s="22"/>
      <c r="F1613" s="123"/>
      <c r="G1613" s="123"/>
      <c r="H1613" s="1" t="s">
        <v>493</v>
      </c>
      <c r="I1613" s="24"/>
      <c r="J1613" s="24"/>
      <c r="K1613" s="354"/>
      <c r="L1613" s="24">
        <v>200000</v>
      </c>
      <c r="M1613" s="24">
        <v>0</v>
      </c>
      <c r="N1613" s="354">
        <f t="shared" si="235"/>
        <v>0</v>
      </c>
      <c r="O1613" s="26">
        <f t="shared" si="232"/>
        <v>200000</v>
      </c>
      <c r="P1613" s="26">
        <f t="shared" si="233"/>
        <v>0</v>
      </c>
      <c r="Q1613" s="354">
        <f t="shared" si="234"/>
        <v>0</v>
      </c>
    </row>
    <row r="1614" spans="2:17" ht="15" x14ac:dyDescent="0.25">
      <c r="B1614" s="6">
        <f t="shared" si="236"/>
        <v>48</v>
      </c>
      <c r="C1614" s="27"/>
      <c r="D1614" s="27">
        <v>2</v>
      </c>
      <c r="E1614" s="457" t="s">
        <v>236</v>
      </c>
      <c r="F1614" s="458"/>
      <c r="G1614" s="458"/>
      <c r="H1614" s="458"/>
      <c r="I1614" s="28">
        <f>I1615</f>
        <v>2358</v>
      </c>
      <c r="J1614" s="28">
        <f>J1615</f>
        <v>820</v>
      </c>
      <c r="K1614" s="354">
        <f t="shared" ref="K1614:K1623" si="237">J1614/I1614*100</f>
        <v>34.77523324851569</v>
      </c>
      <c r="L1614" s="28"/>
      <c r="M1614" s="28"/>
      <c r="N1614" s="354"/>
      <c r="O1614" s="29">
        <f t="shared" si="232"/>
        <v>2358</v>
      </c>
      <c r="P1614" s="29">
        <f t="shared" si="233"/>
        <v>820</v>
      </c>
      <c r="Q1614" s="354">
        <f t="shared" si="234"/>
        <v>34.77523324851569</v>
      </c>
    </row>
    <row r="1615" spans="2:17" x14ac:dyDescent="0.2">
      <c r="B1615" s="6">
        <f t="shared" si="236"/>
        <v>49</v>
      </c>
      <c r="C1615" s="12"/>
      <c r="D1615" s="12"/>
      <c r="E1615" s="12"/>
      <c r="F1615" s="13" t="s">
        <v>135</v>
      </c>
      <c r="G1615" s="14">
        <v>630</v>
      </c>
      <c r="H1615" s="12" t="s">
        <v>118</v>
      </c>
      <c r="I1615" s="15">
        <f>I1616</f>
        <v>2358</v>
      </c>
      <c r="J1615" s="15">
        <f>J1616</f>
        <v>820</v>
      </c>
      <c r="K1615" s="354">
        <f t="shared" si="237"/>
        <v>34.77523324851569</v>
      </c>
      <c r="L1615" s="15"/>
      <c r="M1615" s="15"/>
      <c r="N1615" s="354"/>
      <c r="O1615" s="16">
        <f t="shared" si="232"/>
        <v>2358</v>
      </c>
      <c r="P1615" s="16">
        <f t="shared" si="233"/>
        <v>820</v>
      </c>
      <c r="Q1615" s="354">
        <f t="shared" si="234"/>
        <v>34.77523324851569</v>
      </c>
    </row>
    <row r="1616" spans="2:17" x14ac:dyDescent="0.2">
      <c r="B1616" s="6">
        <f t="shared" si="236"/>
        <v>50</v>
      </c>
      <c r="C1616" s="17"/>
      <c r="D1616" s="17"/>
      <c r="E1616" s="17"/>
      <c r="F1616" s="18"/>
      <c r="G1616" s="19">
        <v>637</v>
      </c>
      <c r="H1616" s="17" t="s">
        <v>119</v>
      </c>
      <c r="I1616" s="20">
        <f>2300+58</f>
        <v>2358</v>
      </c>
      <c r="J1616" s="20">
        <v>820</v>
      </c>
      <c r="K1616" s="354">
        <f t="shared" si="237"/>
        <v>34.77523324851569</v>
      </c>
      <c r="L1616" s="20"/>
      <c r="M1616" s="20"/>
      <c r="N1616" s="354"/>
      <c r="O1616" s="21">
        <f t="shared" si="232"/>
        <v>2358</v>
      </c>
      <c r="P1616" s="21">
        <f t="shared" si="233"/>
        <v>820</v>
      </c>
      <c r="Q1616" s="354">
        <f t="shared" si="234"/>
        <v>34.77523324851569</v>
      </c>
    </row>
    <row r="1617" spans="2:17" ht="15" x14ac:dyDescent="0.2">
      <c r="B1617" s="6">
        <f t="shared" si="236"/>
        <v>51</v>
      </c>
      <c r="C1617" s="9">
        <v>3</v>
      </c>
      <c r="D1617" s="459" t="s">
        <v>238</v>
      </c>
      <c r="E1617" s="460"/>
      <c r="F1617" s="460"/>
      <c r="G1617" s="460"/>
      <c r="H1617" s="460"/>
      <c r="I1617" s="10">
        <f>I1618+I1622+I1631</f>
        <v>165516</v>
      </c>
      <c r="J1617" s="10">
        <f>J1618+J1622+J1631</f>
        <v>121385</v>
      </c>
      <c r="K1617" s="354">
        <f t="shared" si="237"/>
        <v>73.33732086323981</v>
      </c>
      <c r="L1617" s="10">
        <f>L1624+L1629</f>
        <v>62000</v>
      </c>
      <c r="M1617" s="10">
        <f>M1624+M1629</f>
        <v>6000</v>
      </c>
      <c r="N1617" s="354">
        <f>M1617/L1617*100</f>
        <v>9.67741935483871</v>
      </c>
      <c r="O1617" s="31">
        <f t="shared" si="232"/>
        <v>227516</v>
      </c>
      <c r="P1617" s="31">
        <f t="shared" si="233"/>
        <v>127385</v>
      </c>
      <c r="Q1617" s="354">
        <f t="shared" si="234"/>
        <v>55.989468872518856</v>
      </c>
    </row>
    <row r="1618" spans="2:17" x14ac:dyDescent="0.2">
      <c r="B1618" s="6">
        <f t="shared" si="236"/>
        <v>52</v>
      </c>
      <c r="C1618" s="12"/>
      <c r="D1618" s="12"/>
      <c r="E1618" s="12"/>
      <c r="F1618" s="13" t="s">
        <v>237</v>
      </c>
      <c r="G1618" s="14">
        <v>630</v>
      </c>
      <c r="H1618" s="12" t="s">
        <v>118</v>
      </c>
      <c r="I1618" s="15">
        <f>SUM(I1619:I1621)</f>
        <v>146016</v>
      </c>
      <c r="J1618" s="15">
        <f>SUM(J1619:J1621)</f>
        <v>118893</v>
      </c>
      <c r="K1618" s="354">
        <f t="shared" si="237"/>
        <v>81.424638395792243</v>
      </c>
      <c r="L1618" s="15"/>
      <c r="M1618" s="15"/>
      <c r="N1618" s="354"/>
      <c r="O1618" s="16">
        <f t="shared" si="232"/>
        <v>146016</v>
      </c>
      <c r="P1618" s="16">
        <f t="shared" si="233"/>
        <v>118893</v>
      </c>
      <c r="Q1618" s="354">
        <f t="shared" si="234"/>
        <v>81.424638395792243</v>
      </c>
    </row>
    <row r="1619" spans="2:17" x14ac:dyDescent="0.2">
      <c r="B1619" s="6">
        <f t="shared" si="236"/>
        <v>53</v>
      </c>
      <c r="C1619" s="17"/>
      <c r="D1619" s="17"/>
      <c r="E1619" s="17"/>
      <c r="F1619" s="18"/>
      <c r="G1619" s="19">
        <v>633</v>
      </c>
      <c r="H1619" s="17" t="s">
        <v>122</v>
      </c>
      <c r="I1619" s="20">
        <v>100</v>
      </c>
      <c r="J1619" s="20"/>
      <c r="K1619" s="354">
        <f t="shared" si="237"/>
        <v>0</v>
      </c>
      <c r="L1619" s="20"/>
      <c r="M1619" s="20"/>
      <c r="N1619" s="354"/>
      <c r="O1619" s="21">
        <f t="shared" si="232"/>
        <v>100</v>
      </c>
      <c r="P1619" s="21">
        <f t="shared" si="233"/>
        <v>0</v>
      </c>
      <c r="Q1619" s="354">
        <f t="shared" si="234"/>
        <v>0</v>
      </c>
    </row>
    <row r="1620" spans="2:17" x14ac:dyDescent="0.2">
      <c r="B1620" s="6">
        <f t="shared" si="236"/>
        <v>54</v>
      </c>
      <c r="C1620" s="17"/>
      <c r="D1620" s="17"/>
      <c r="E1620" s="17"/>
      <c r="F1620" s="18"/>
      <c r="G1620" s="19">
        <v>637</v>
      </c>
      <c r="H1620" s="17" t="s">
        <v>119</v>
      </c>
      <c r="I1620" s="20">
        <v>29230</v>
      </c>
      <c r="J1620" s="20">
        <v>2252</v>
      </c>
      <c r="K1620" s="354">
        <f t="shared" si="237"/>
        <v>7.7044132740335263</v>
      </c>
      <c r="L1620" s="20"/>
      <c r="M1620" s="20"/>
      <c r="N1620" s="354"/>
      <c r="O1620" s="21">
        <f t="shared" si="232"/>
        <v>29230</v>
      </c>
      <c r="P1620" s="21">
        <f t="shared" si="233"/>
        <v>2252</v>
      </c>
      <c r="Q1620" s="354">
        <f t="shared" si="234"/>
        <v>7.7044132740335263</v>
      </c>
    </row>
    <row r="1621" spans="2:17" ht="24" x14ac:dyDescent="0.2">
      <c r="B1621" s="6">
        <f t="shared" si="236"/>
        <v>55</v>
      </c>
      <c r="C1621" s="52"/>
      <c r="D1621" s="52"/>
      <c r="E1621" s="52"/>
      <c r="F1621" s="53"/>
      <c r="G1621" s="54">
        <v>635</v>
      </c>
      <c r="H1621" s="55" t="s">
        <v>515</v>
      </c>
      <c r="I1621" s="56">
        <f>93348+23338</f>
        <v>116686</v>
      </c>
      <c r="J1621" s="56">
        <v>116641</v>
      </c>
      <c r="K1621" s="354">
        <f t="shared" si="237"/>
        <v>99.961434962206269</v>
      </c>
      <c r="L1621" s="56"/>
      <c r="M1621" s="56"/>
      <c r="N1621" s="354"/>
      <c r="O1621" s="57">
        <f t="shared" si="232"/>
        <v>116686</v>
      </c>
      <c r="P1621" s="57">
        <f t="shared" si="233"/>
        <v>116641</v>
      </c>
      <c r="Q1621" s="354">
        <f t="shared" si="234"/>
        <v>99.961434962206269</v>
      </c>
    </row>
    <row r="1622" spans="2:17" x14ac:dyDescent="0.2">
      <c r="B1622" s="6">
        <f t="shared" si="236"/>
        <v>56</v>
      </c>
      <c r="C1622" s="12"/>
      <c r="D1622" s="12"/>
      <c r="E1622" s="12"/>
      <c r="F1622" s="13" t="s">
        <v>237</v>
      </c>
      <c r="G1622" s="14">
        <v>640</v>
      </c>
      <c r="H1622" s="12" t="s">
        <v>126</v>
      </c>
      <c r="I1622" s="15">
        <f>I1623</f>
        <v>10000</v>
      </c>
      <c r="J1622" s="15">
        <f>J1623</f>
        <v>2492</v>
      </c>
      <c r="K1622" s="354">
        <f t="shared" si="237"/>
        <v>24.92</v>
      </c>
      <c r="L1622" s="15"/>
      <c r="M1622" s="15"/>
      <c r="N1622" s="354"/>
      <c r="O1622" s="16">
        <f t="shared" si="232"/>
        <v>10000</v>
      </c>
      <c r="P1622" s="16">
        <f t="shared" si="233"/>
        <v>2492</v>
      </c>
      <c r="Q1622" s="354">
        <f t="shared" si="234"/>
        <v>24.92</v>
      </c>
    </row>
    <row r="1623" spans="2:17" x14ac:dyDescent="0.2">
      <c r="B1623" s="6">
        <f t="shared" si="236"/>
        <v>57</v>
      </c>
      <c r="C1623" s="22"/>
      <c r="D1623" s="22"/>
      <c r="E1623" s="22"/>
      <c r="F1623" s="123"/>
      <c r="G1623" s="123"/>
      <c r="H1623" s="1" t="s">
        <v>260</v>
      </c>
      <c r="I1623" s="24">
        <v>10000</v>
      </c>
      <c r="J1623" s="24">
        <v>2492</v>
      </c>
      <c r="K1623" s="354">
        <f t="shared" si="237"/>
        <v>24.92</v>
      </c>
      <c r="L1623" s="24"/>
      <c r="M1623" s="24"/>
      <c r="N1623" s="354"/>
      <c r="O1623" s="26">
        <f t="shared" si="232"/>
        <v>10000</v>
      </c>
      <c r="P1623" s="26">
        <f t="shared" si="233"/>
        <v>2492</v>
      </c>
      <c r="Q1623" s="354">
        <f t="shared" si="234"/>
        <v>24.92</v>
      </c>
    </row>
    <row r="1624" spans="2:17" x14ac:dyDescent="0.2">
      <c r="B1624" s="6">
        <f t="shared" si="236"/>
        <v>58</v>
      </c>
      <c r="C1624" s="12"/>
      <c r="D1624" s="12"/>
      <c r="E1624" s="12"/>
      <c r="F1624" s="13" t="s">
        <v>150</v>
      </c>
      <c r="G1624" s="14">
        <v>710</v>
      </c>
      <c r="H1624" s="12" t="s">
        <v>172</v>
      </c>
      <c r="I1624" s="15"/>
      <c r="J1624" s="15"/>
      <c r="K1624" s="354"/>
      <c r="L1624" s="15">
        <f>L1625+L1627</f>
        <v>56000</v>
      </c>
      <c r="M1624" s="15">
        <f>M1625+M1627</f>
        <v>0</v>
      </c>
      <c r="N1624" s="354">
        <f t="shared" ref="N1624:N1630" si="238">M1624/L1624*100</f>
        <v>0</v>
      </c>
      <c r="O1624" s="16">
        <f t="shared" si="232"/>
        <v>56000</v>
      </c>
      <c r="P1624" s="16">
        <f t="shared" si="233"/>
        <v>0</v>
      </c>
      <c r="Q1624" s="354">
        <f t="shared" si="234"/>
        <v>0</v>
      </c>
    </row>
    <row r="1625" spans="2:17" x14ac:dyDescent="0.2">
      <c r="B1625" s="6">
        <f t="shared" si="236"/>
        <v>59</v>
      </c>
      <c r="C1625" s="17"/>
      <c r="D1625" s="17"/>
      <c r="E1625" s="17"/>
      <c r="F1625" s="18"/>
      <c r="G1625" s="19">
        <v>716</v>
      </c>
      <c r="H1625" s="17" t="s">
        <v>212</v>
      </c>
      <c r="I1625" s="20"/>
      <c r="J1625" s="20"/>
      <c r="K1625" s="354"/>
      <c r="L1625" s="20">
        <f>L1626</f>
        <v>6000</v>
      </c>
      <c r="M1625" s="20">
        <f>M1626</f>
        <v>0</v>
      </c>
      <c r="N1625" s="354">
        <f t="shared" si="238"/>
        <v>0</v>
      </c>
      <c r="O1625" s="21">
        <f t="shared" si="232"/>
        <v>6000</v>
      </c>
      <c r="P1625" s="21">
        <f t="shared" si="233"/>
        <v>0</v>
      </c>
      <c r="Q1625" s="354">
        <f t="shared" si="234"/>
        <v>0</v>
      </c>
    </row>
    <row r="1626" spans="2:17" x14ac:dyDescent="0.2">
      <c r="B1626" s="6">
        <f t="shared" si="236"/>
        <v>60</v>
      </c>
      <c r="C1626" s="22"/>
      <c r="D1626" s="22"/>
      <c r="E1626" s="22"/>
      <c r="F1626" s="123"/>
      <c r="G1626" s="123"/>
      <c r="H1626" s="1" t="s">
        <v>560</v>
      </c>
      <c r="I1626" s="24"/>
      <c r="J1626" s="24"/>
      <c r="K1626" s="354"/>
      <c r="L1626" s="24">
        <v>6000</v>
      </c>
      <c r="M1626" s="24">
        <v>0</v>
      </c>
      <c r="N1626" s="354">
        <f t="shared" si="238"/>
        <v>0</v>
      </c>
      <c r="O1626" s="26">
        <f t="shared" si="232"/>
        <v>6000</v>
      </c>
      <c r="P1626" s="26">
        <f t="shared" si="233"/>
        <v>0</v>
      </c>
      <c r="Q1626" s="354">
        <f t="shared" si="234"/>
        <v>0</v>
      </c>
    </row>
    <row r="1627" spans="2:17" x14ac:dyDescent="0.2">
      <c r="B1627" s="6">
        <f t="shared" si="236"/>
        <v>61</v>
      </c>
      <c r="C1627" s="17"/>
      <c r="D1627" s="17"/>
      <c r="E1627" s="17"/>
      <c r="F1627" s="18"/>
      <c r="G1627" s="19">
        <v>717</v>
      </c>
      <c r="H1627" s="17" t="s">
        <v>179</v>
      </c>
      <c r="I1627" s="20"/>
      <c r="J1627" s="20"/>
      <c r="K1627" s="354"/>
      <c r="L1627" s="20">
        <f>L1628</f>
        <v>50000</v>
      </c>
      <c r="M1627" s="20">
        <f>M1628</f>
        <v>0</v>
      </c>
      <c r="N1627" s="354">
        <f t="shared" si="238"/>
        <v>0</v>
      </c>
      <c r="O1627" s="21">
        <f t="shared" si="232"/>
        <v>50000</v>
      </c>
      <c r="P1627" s="21">
        <f t="shared" si="233"/>
        <v>0</v>
      </c>
      <c r="Q1627" s="354">
        <f t="shared" si="234"/>
        <v>0</v>
      </c>
    </row>
    <row r="1628" spans="2:17" x14ac:dyDescent="0.2">
      <c r="B1628" s="6">
        <f t="shared" si="236"/>
        <v>62</v>
      </c>
      <c r="C1628" s="22"/>
      <c r="D1628" s="22"/>
      <c r="E1628" s="22"/>
      <c r="F1628" s="123"/>
      <c r="G1628" s="123"/>
      <c r="H1628" s="1" t="s">
        <v>560</v>
      </c>
      <c r="I1628" s="24"/>
      <c r="J1628" s="24"/>
      <c r="K1628" s="354"/>
      <c r="L1628" s="24">
        <v>50000</v>
      </c>
      <c r="M1628" s="24">
        <v>0</v>
      </c>
      <c r="N1628" s="354">
        <f t="shared" si="238"/>
        <v>0</v>
      </c>
      <c r="O1628" s="21">
        <f t="shared" si="232"/>
        <v>50000</v>
      </c>
      <c r="P1628" s="21">
        <f t="shared" si="233"/>
        <v>0</v>
      </c>
      <c r="Q1628" s="354">
        <f t="shared" si="234"/>
        <v>0</v>
      </c>
    </row>
    <row r="1629" spans="2:17" x14ac:dyDescent="0.2">
      <c r="B1629" s="6"/>
      <c r="C1629" s="22"/>
      <c r="D1629" s="22"/>
      <c r="E1629" s="22"/>
      <c r="F1629" s="13" t="s">
        <v>141</v>
      </c>
      <c r="G1629" s="14">
        <v>720</v>
      </c>
      <c r="H1629" s="12" t="s">
        <v>3</v>
      </c>
      <c r="I1629" s="15"/>
      <c r="J1629" s="15"/>
      <c r="K1629" s="354"/>
      <c r="L1629" s="15">
        <f>L1630+L1632</f>
        <v>6000</v>
      </c>
      <c r="M1629" s="15">
        <f>M1630+M1632</f>
        <v>6000</v>
      </c>
      <c r="N1629" s="354">
        <f t="shared" si="238"/>
        <v>100</v>
      </c>
      <c r="O1629" s="16">
        <f t="shared" ref="O1629:O1655" si="239">I1629+L1629</f>
        <v>6000</v>
      </c>
      <c r="P1629" s="16">
        <f t="shared" ref="P1629:P1655" si="240">J1629+M1629</f>
        <v>6000</v>
      </c>
      <c r="Q1629" s="354">
        <f t="shared" ref="Q1629:Q1655" si="241">P1629/O1629*100</f>
        <v>100</v>
      </c>
    </row>
    <row r="1630" spans="2:17" ht="60" x14ac:dyDescent="0.2">
      <c r="B1630" s="6"/>
      <c r="C1630" s="22"/>
      <c r="D1630" s="22"/>
      <c r="E1630" s="22"/>
      <c r="F1630" s="123"/>
      <c r="G1630" s="149">
        <v>720</v>
      </c>
      <c r="H1630" s="318" t="s">
        <v>646</v>
      </c>
      <c r="I1630" s="24"/>
      <c r="J1630" s="24"/>
      <c r="K1630" s="354"/>
      <c r="L1630" s="24">
        <v>6000</v>
      </c>
      <c r="M1630" s="24">
        <v>6000</v>
      </c>
      <c r="N1630" s="354">
        <f t="shared" si="238"/>
        <v>100</v>
      </c>
      <c r="O1630" s="21">
        <f t="shared" si="239"/>
        <v>6000</v>
      </c>
      <c r="P1630" s="21">
        <f t="shared" si="240"/>
        <v>6000</v>
      </c>
      <c r="Q1630" s="354">
        <f t="shared" si="241"/>
        <v>100</v>
      </c>
    </row>
    <row r="1631" spans="2:17" ht="15" x14ac:dyDescent="0.25">
      <c r="B1631" s="6">
        <f>B1628+1</f>
        <v>63</v>
      </c>
      <c r="C1631" s="95"/>
      <c r="D1631" s="95"/>
      <c r="E1631" s="95">
        <v>2</v>
      </c>
      <c r="F1631" s="96"/>
      <c r="G1631" s="96"/>
      <c r="H1631" s="95" t="s">
        <v>11</v>
      </c>
      <c r="I1631" s="97">
        <f>I1632</f>
        <v>9500</v>
      </c>
      <c r="J1631" s="97">
        <f>J1632</f>
        <v>0</v>
      </c>
      <c r="K1631" s="354">
        <f t="shared" ref="K1631:K1655" si="242">J1631/I1631*100</f>
        <v>0</v>
      </c>
      <c r="L1631" s="97"/>
      <c r="M1631" s="97"/>
      <c r="N1631" s="354"/>
      <c r="O1631" s="98">
        <f t="shared" si="239"/>
        <v>9500</v>
      </c>
      <c r="P1631" s="98">
        <f t="shared" si="240"/>
        <v>0</v>
      </c>
      <c r="Q1631" s="354">
        <f t="shared" si="241"/>
        <v>0</v>
      </c>
    </row>
    <row r="1632" spans="2:17" x14ac:dyDescent="0.2">
      <c r="B1632" s="6">
        <f t="shared" ref="B1632:B1655" si="243">B1631+1</f>
        <v>64</v>
      </c>
      <c r="C1632" s="12"/>
      <c r="D1632" s="12"/>
      <c r="E1632" s="12"/>
      <c r="F1632" s="13" t="s">
        <v>189</v>
      </c>
      <c r="G1632" s="14">
        <v>630</v>
      </c>
      <c r="H1632" s="12" t="s">
        <v>118</v>
      </c>
      <c r="I1632" s="15">
        <f>I1633</f>
        <v>9500</v>
      </c>
      <c r="J1632" s="15">
        <f>J1633</f>
        <v>0</v>
      </c>
      <c r="K1632" s="354">
        <f t="shared" si="242"/>
        <v>0</v>
      </c>
      <c r="L1632" s="15"/>
      <c r="M1632" s="15"/>
      <c r="N1632" s="354"/>
      <c r="O1632" s="16">
        <f t="shared" si="239"/>
        <v>9500</v>
      </c>
      <c r="P1632" s="16">
        <f t="shared" si="240"/>
        <v>0</v>
      </c>
      <c r="Q1632" s="354">
        <f t="shared" si="241"/>
        <v>0</v>
      </c>
    </row>
    <row r="1633" spans="2:17" x14ac:dyDescent="0.2">
      <c r="B1633" s="6">
        <f t="shared" si="243"/>
        <v>65</v>
      </c>
      <c r="C1633" s="17"/>
      <c r="D1633" s="17"/>
      <c r="E1633" s="17"/>
      <c r="F1633" s="18"/>
      <c r="G1633" s="19">
        <v>635</v>
      </c>
      <c r="H1633" s="17" t="s">
        <v>130</v>
      </c>
      <c r="I1633" s="20">
        <v>9500</v>
      </c>
      <c r="J1633" s="20">
        <v>0</v>
      </c>
      <c r="K1633" s="354">
        <f t="shared" si="242"/>
        <v>0</v>
      </c>
      <c r="L1633" s="20"/>
      <c r="M1633" s="20"/>
      <c r="N1633" s="354"/>
      <c r="O1633" s="21">
        <f t="shared" si="239"/>
        <v>9500</v>
      </c>
      <c r="P1633" s="21">
        <f t="shared" si="240"/>
        <v>0</v>
      </c>
      <c r="Q1633" s="354">
        <f t="shared" si="241"/>
        <v>0</v>
      </c>
    </row>
    <row r="1634" spans="2:17" ht="15" x14ac:dyDescent="0.2">
      <c r="B1634" s="6">
        <f t="shared" si="243"/>
        <v>66</v>
      </c>
      <c r="C1634" s="9">
        <v>4</v>
      </c>
      <c r="D1634" s="459" t="s">
        <v>63</v>
      </c>
      <c r="E1634" s="460"/>
      <c r="F1634" s="460"/>
      <c r="G1634" s="460"/>
      <c r="H1634" s="460"/>
      <c r="I1634" s="10">
        <f>I1635</f>
        <v>25000</v>
      </c>
      <c r="J1634" s="10">
        <f>J1635</f>
        <v>20000</v>
      </c>
      <c r="K1634" s="354">
        <f t="shared" si="242"/>
        <v>80</v>
      </c>
      <c r="L1634" s="10"/>
      <c r="M1634" s="10"/>
      <c r="N1634" s="354"/>
      <c r="O1634" s="31">
        <f t="shared" si="239"/>
        <v>25000</v>
      </c>
      <c r="P1634" s="31">
        <f t="shared" si="240"/>
        <v>20000</v>
      </c>
      <c r="Q1634" s="354">
        <f t="shared" si="241"/>
        <v>80</v>
      </c>
    </row>
    <row r="1635" spans="2:17" x14ac:dyDescent="0.2">
      <c r="B1635" s="6">
        <f t="shared" si="243"/>
        <v>67</v>
      </c>
      <c r="C1635" s="12"/>
      <c r="D1635" s="12"/>
      <c r="E1635" s="12"/>
      <c r="F1635" s="13" t="s">
        <v>189</v>
      </c>
      <c r="G1635" s="14">
        <v>640</v>
      </c>
      <c r="H1635" s="12" t="s">
        <v>126</v>
      </c>
      <c r="I1635" s="15">
        <f>I1636</f>
        <v>25000</v>
      </c>
      <c r="J1635" s="15">
        <f>J1636</f>
        <v>20000</v>
      </c>
      <c r="K1635" s="354">
        <f t="shared" si="242"/>
        <v>80</v>
      </c>
      <c r="L1635" s="15"/>
      <c r="M1635" s="15"/>
      <c r="N1635" s="354"/>
      <c r="O1635" s="16">
        <f t="shared" si="239"/>
        <v>25000</v>
      </c>
      <c r="P1635" s="16">
        <f t="shared" si="240"/>
        <v>20000</v>
      </c>
      <c r="Q1635" s="354">
        <f t="shared" si="241"/>
        <v>80</v>
      </c>
    </row>
    <row r="1636" spans="2:17" x14ac:dyDescent="0.2">
      <c r="B1636" s="6">
        <f t="shared" si="243"/>
        <v>68</v>
      </c>
      <c r="C1636" s="22"/>
      <c r="D1636" s="22"/>
      <c r="E1636" s="22"/>
      <c r="F1636" s="123"/>
      <c r="G1636" s="123"/>
      <c r="H1636" s="1" t="s">
        <v>355</v>
      </c>
      <c r="I1636" s="24">
        <v>25000</v>
      </c>
      <c r="J1636" s="24">
        <v>20000</v>
      </c>
      <c r="K1636" s="354">
        <f t="shared" si="242"/>
        <v>80</v>
      </c>
      <c r="L1636" s="24"/>
      <c r="M1636" s="24"/>
      <c r="N1636" s="354"/>
      <c r="O1636" s="26">
        <f t="shared" si="239"/>
        <v>25000</v>
      </c>
      <c r="P1636" s="26">
        <f t="shared" si="240"/>
        <v>20000</v>
      </c>
      <c r="Q1636" s="354">
        <f t="shared" si="241"/>
        <v>80</v>
      </c>
    </row>
    <row r="1637" spans="2:17" ht="15" x14ac:dyDescent="0.2">
      <c r="B1637" s="6">
        <f t="shared" si="243"/>
        <v>69</v>
      </c>
      <c r="C1637" s="9">
        <v>5</v>
      </c>
      <c r="D1637" s="459" t="s">
        <v>43</v>
      </c>
      <c r="E1637" s="460"/>
      <c r="F1637" s="460"/>
      <c r="G1637" s="460"/>
      <c r="H1637" s="460"/>
      <c r="I1637" s="10">
        <f>I1638</f>
        <v>39940</v>
      </c>
      <c r="J1637" s="10">
        <f>J1638</f>
        <v>8498</v>
      </c>
      <c r="K1637" s="354">
        <f t="shared" si="242"/>
        <v>21.276915373059591</v>
      </c>
      <c r="L1637" s="10"/>
      <c r="M1637" s="10"/>
      <c r="N1637" s="354"/>
      <c r="O1637" s="31">
        <f t="shared" si="239"/>
        <v>39940</v>
      </c>
      <c r="P1637" s="31">
        <f t="shared" si="240"/>
        <v>8498</v>
      </c>
      <c r="Q1637" s="354">
        <f t="shared" si="241"/>
        <v>21.276915373059591</v>
      </c>
    </row>
    <row r="1638" spans="2:17" ht="15" x14ac:dyDescent="0.25">
      <c r="B1638" s="6">
        <f t="shared" si="243"/>
        <v>70</v>
      </c>
      <c r="C1638" s="95"/>
      <c r="D1638" s="95"/>
      <c r="E1638" s="95">
        <v>2</v>
      </c>
      <c r="F1638" s="96"/>
      <c r="G1638" s="96"/>
      <c r="H1638" s="95" t="s">
        <v>11</v>
      </c>
      <c r="I1638" s="97">
        <f>I1639</f>
        <v>39940</v>
      </c>
      <c r="J1638" s="97">
        <f>J1639</f>
        <v>8498</v>
      </c>
      <c r="K1638" s="354">
        <f t="shared" si="242"/>
        <v>21.276915373059591</v>
      </c>
      <c r="L1638" s="97"/>
      <c r="M1638" s="97"/>
      <c r="N1638" s="354"/>
      <c r="O1638" s="98">
        <f t="shared" si="239"/>
        <v>39940</v>
      </c>
      <c r="P1638" s="98">
        <f t="shared" si="240"/>
        <v>8498</v>
      </c>
      <c r="Q1638" s="354">
        <f t="shared" si="241"/>
        <v>21.276915373059591</v>
      </c>
    </row>
    <row r="1639" spans="2:17" x14ac:dyDescent="0.2">
      <c r="B1639" s="6">
        <f t="shared" si="243"/>
        <v>71</v>
      </c>
      <c r="C1639" s="12"/>
      <c r="D1639" s="12"/>
      <c r="E1639" s="12"/>
      <c r="F1639" s="13" t="s">
        <v>189</v>
      </c>
      <c r="G1639" s="14">
        <v>630</v>
      </c>
      <c r="H1639" s="12" t="s">
        <v>118</v>
      </c>
      <c r="I1639" s="15">
        <f>SUM(I1640:I1643)</f>
        <v>39940</v>
      </c>
      <c r="J1639" s="15">
        <f>SUM(J1640:J1643)</f>
        <v>8498</v>
      </c>
      <c r="K1639" s="354">
        <f t="shared" si="242"/>
        <v>21.276915373059591</v>
      </c>
      <c r="L1639" s="15"/>
      <c r="M1639" s="15"/>
      <c r="N1639" s="354"/>
      <c r="O1639" s="16">
        <f t="shared" si="239"/>
        <v>39940</v>
      </c>
      <c r="P1639" s="16">
        <f t="shared" si="240"/>
        <v>8498</v>
      </c>
      <c r="Q1639" s="354">
        <f t="shared" si="241"/>
        <v>21.276915373059591</v>
      </c>
    </row>
    <row r="1640" spans="2:17" x14ac:dyDescent="0.2">
      <c r="B1640" s="6">
        <f t="shared" si="243"/>
        <v>72</v>
      </c>
      <c r="C1640" s="17"/>
      <c r="D1640" s="17"/>
      <c r="E1640" s="17"/>
      <c r="F1640" s="18"/>
      <c r="G1640" s="19">
        <v>632</v>
      </c>
      <c r="H1640" s="17" t="s">
        <v>131</v>
      </c>
      <c r="I1640" s="20">
        <v>16650</v>
      </c>
      <c r="J1640" s="20">
        <v>5973</v>
      </c>
      <c r="K1640" s="354">
        <f t="shared" si="242"/>
        <v>35.873873873873876</v>
      </c>
      <c r="L1640" s="20"/>
      <c r="M1640" s="20"/>
      <c r="N1640" s="354"/>
      <c r="O1640" s="21">
        <f t="shared" si="239"/>
        <v>16650</v>
      </c>
      <c r="P1640" s="21">
        <f t="shared" si="240"/>
        <v>5973</v>
      </c>
      <c r="Q1640" s="354">
        <f t="shared" si="241"/>
        <v>35.873873873873876</v>
      </c>
    </row>
    <row r="1641" spans="2:17" x14ac:dyDescent="0.2">
      <c r="B1641" s="6">
        <f t="shared" si="243"/>
        <v>73</v>
      </c>
      <c r="C1641" s="17"/>
      <c r="D1641" s="17"/>
      <c r="E1641" s="17"/>
      <c r="F1641" s="18"/>
      <c r="G1641" s="19">
        <v>633</v>
      </c>
      <c r="H1641" s="17" t="s">
        <v>122</v>
      </c>
      <c r="I1641" s="20">
        <v>9000</v>
      </c>
      <c r="J1641" s="20">
        <v>533</v>
      </c>
      <c r="K1641" s="354">
        <f t="shared" si="242"/>
        <v>5.9222222222222225</v>
      </c>
      <c r="L1641" s="20"/>
      <c r="M1641" s="20"/>
      <c r="N1641" s="354"/>
      <c r="O1641" s="21">
        <f t="shared" si="239"/>
        <v>9000</v>
      </c>
      <c r="P1641" s="21">
        <f t="shared" si="240"/>
        <v>533</v>
      </c>
      <c r="Q1641" s="354">
        <f t="shared" si="241"/>
        <v>5.9222222222222225</v>
      </c>
    </row>
    <row r="1642" spans="2:17" x14ac:dyDescent="0.2">
      <c r="B1642" s="6">
        <f t="shared" si="243"/>
        <v>74</v>
      </c>
      <c r="C1642" s="17"/>
      <c r="D1642" s="17"/>
      <c r="E1642" s="17"/>
      <c r="F1642" s="18"/>
      <c r="G1642" s="19">
        <v>635</v>
      </c>
      <c r="H1642" s="17" t="s">
        <v>130</v>
      </c>
      <c r="I1642" s="20">
        <v>10000</v>
      </c>
      <c r="J1642" s="20">
        <v>1905</v>
      </c>
      <c r="K1642" s="354">
        <f t="shared" si="242"/>
        <v>19.05</v>
      </c>
      <c r="L1642" s="20"/>
      <c r="M1642" s="20"/>
      <c r="N1642" s="354"/>
      <c r="O1642" s="21">
        <f t="shared" si="239"/>
        <v>10000</v>
      </c>
      <c r="P1642" s="21">
        <f t="shared" si="240"/>
        <v>1905</v>
      </c>
      <c r="Q1642" s="354">
        <f t="shared" si="241"/>
        <v>19.05</v>
      </c>
    </row>
    <row r="1643" spans="2:17" x14ac:dyDescent="0.2">
      <c r="B1643" s="6">
        <f t="shared" si="243"/>
        <v>75</v>
      </c>
      <c r="C1643" s="17"/>
      <c r="D1643" s="17"/>
      <c r="E1643" s="17"/>
      <c r="F1643" s="18"/>
      <c r="G1643" s="19">
        <v>637</v>
      </c>
      <c r="H1643" s="17" t="s">
        <v>119</v>
      </c>
      <c r="I1643" s="20">
        <v>4290</v>
      </c>
      <c r="J1643" s="20">
        <v>87</v>
      </c>
      <c r="K1643" s="354">
        <f t="shared" si="242"/>
        <v>2.0279720279720279</v>
      </c>
      <c r="L1643" s="20"/>
      <c r="M1643" s="20"/>
      <c r="N1643" s="354"/>
      <c r="O1643" s="21">
        <f t="shared" si="239"/>
        <v>4290</v>
      </c>
      <c r="P1643" s="21">
        <f t="shared" si="240"/>
        <v>87</v>
      </c>
      <c r="Q1643" s="354">
        <f t="shared" si="241"/>
        <v>2.0279720279720279</v>
      </c>
    </row>
    <row r="1644" spans="2:17" ht="15" x14ac:dyDescent="0.2">
      <c r="B1644" s="6">
        <f t="shared" si="243"/>
        <v>76</v>
      </c>
      <c r="C1644" s="9">
        <v>6</v>
      </c>
      <c r="D1644" s="459" t="s">
        <v>56</v>
      </c>
      <c r="E1644" s="460"/>
      <c r="F1644" s="460"/>
      <c r="G1644" s="460"/>
      <c r="H1644" s="460"/>
      <c r="I1644" s="10">
        <f>I1645</f>
        <v>543750</v>
      </c>
      <c r="J1644" s="10">
        <f>J1645</f>
        <v>269857</v>
      </c>
      <c r="K1644" s="354">
        <f t="shared" si="242"/>
        <v>49.628873563218391</v>
      </c>
      <c r="L1644" s="10"/>
      <c r="M1644" s="10"/>
      <c r="N1644" s="354"/>
      <c r="O1644" s="31">
        <f t="shared" si="239"/>
        <v>543750</v>
      </c>
      <c r="P1644" s="31">
        <f t="shared" si="240"/>
        <v>269857</v>
      </c>
      <c r="Q1644" s="354">
        <f t="shared" si="241"/>
        <v>49.628873563218391</v>
      </c>
    </row>
    <row r="1645" spans="2:17" ht="15" x14ac:dyDescent="0.25">
      <c r="B1645" s="6">
        <f t="shared" si="243"/>
        <v>77</v>
      </c>
      <c r="C1645" s="95"/>
      <c r="D1645" s="95"/>
      <c r="E1645" s="95">
        <v>2</v>
      </c>
      <c r="F1645" s="96"/>
      <c r="G1645" s="96"/>
      <c r="H1645" s="95" t="s">
        <v>11</v>
      </c>
      <c r="I1645" s="97">
        <f>I1646+I1647+I1648+I1655</f>
        <v>543750</v>
      </c>
      <c r="J1645" s="97">
        <f>J1646+J1647+J1648+J1655</f>
        <v>269857</v>
      </c>
      <c r="K1645" s="354">
        <f t="shared" si="242"/>
        <v>49.628873563218391</v>
      </c>
      <c r="L1645" s="97"/>
      <c r="M1645" s="97"/>
      <c r="N1645" s="354"/>
      <c r="O1645" s="98">
        <f t="shared" si="239"/>
        <v>543750</v>
      </c>
      <c r="P1645" s="98">
        <f t="shared" si="240"/>
        <v>269857</v>
      </c>
      <c r="Q1645" s="354">
        <f t="shared" si="241"/>
        <v>49.628873563218391</v>
      </c>
    </row>
    <row r="1646" spans="2:17" x14ac:dyDescent="0.2">
      <c r="B1646" s="6">
        <f t="shared" si="243"/>
        <v>78</v>
      </c>
      <c r="C1646" s="12"/>
      <c r="D1646" s="12"/>
      <c r="E1646" s="12"/>
      <c r="F1646" s="13" t="s">
        <v>189</v>
      </c>
      <c r="G1646" s="14">
        <v>610</v>
      </c>
      <c r="H1646" s="12" t="s">
        <v>128</v>
      </c>
      <c r="I1646" s="15">
        <v>296560</v>
      </c>
      <c r="J1646" s="15">
        <v>157344</v>
      </c>
      <c r="K1646" s="354">
        <f t="shared" si="242"/>
        <v>53.056379821958458</v>
      </c>
      <c r="L1646" s="15"/>
      <c r="M1646" s="15"/>
      <c r="N1646" s="354"/>
      <c r="O1646" s="16">
        <f t="shared" si="239"/>
        <v>296560</v>
      </c>
      <c r="P1646" s="16">
        <f t="shared" si="240"/>
        <v>157344</v>
      </c>
      <c r="Q1646" s="354">
        <f t="shared" si="241"/>
        <v>53.056379821958458</v>
      </c>
    </row>
    <row r="1647" spans="2:17" x14ac:dyDescent="0.2">
      <c r="B1647" s="6">
        <f t="shared" si="243"/>
        <v>79</v>
      </c>
      <c r="C1647" s="12"/>
      <c r="D1647" s="12"/>
      <c r="E1647" s="12"/>
      <c r="F1647" s="13" t="s">
        <v>189</v>
      </c>
      <c r="G1647" s="14">
        <v>620</v>
      </c>
      <c r="H1647" s="12" t="s">
        <v>121</v>
      </c>
      <c r="I1647" s="15">
        <v>114820</v>
      </c>
      <c r="J1647" s="15">
        <v>58801</v>
      </c>
      <c r="K1647" s="354">
        <f t="shared" si="242"/>
        <v>51.211461417871448</v>
      </c>
      <c r="L1647" s="15"/>
      <c r="M1647" s="15"/>
      <c r="N1647" s="354"/>
      <c r="O1647" s="16">
        <f t="shared" si="239"/>
        <v>114820</v>
      </c>
      <c r="P1647" s="16">
        <f t="shared" si="240"/>
        <v>58801</v>
      </c>
      <c r="Q1647" s="354">
        <f t="shared" si="241"/>
        <v>51.211461417871448</v>
      </c>
    </row>
    <row r="1648" spans="2:17" x14ac:dyDescent="0.2">
      <c r="B1648" s="6">
        <f t="shared" si="243"/>
        <v>80</v>
      </c>
      <c r="C1648" s="12"/>
      <c r="D1648" s="12"/>
      <c r="E1648" s="12"/>
      <c r="F1648" s="13" t="s">
        <v>189</v>
      </c>
      <c r="G1648" s="14">
        <v>630</v>
      </c>
      <c r="H1648" s="12" t="s">
        <v>118</v>
      </c>
      <c r="I1648" s="15">
        <f>SUM(I1649:I1654)</f>
        <v>116250</v>
      </c>
      <c r="J1648" s="15">
        <f>SUM(J1649:J1654)</f>
        <v>47260</v>
      </c>
      <c r="K1648" s="354">
        <f t="shared" si="242"/>
        <v>40.65376344086021</v>
      </c>
      <c r="L1648" s="15"/>
      <c r="M1648" s="15"/>
      <c r="N1648" s="354"/>
      <c r="O1648" s="16">
        <f t="shared" si="239"/>
        <v>116250</v>
      </c>
      <c r="P1648" s="16">
        <f t="shared" si="240"/>
        <v>47260</v>
      </c>
      <c r="Q1648" s="354">
        <f t="shared" si="241"/>
        <v>40.65376344086021</v>
      </c>
    </row>
    <row r="1649" spans="2:17" x14ac:dyDescent="0.2">
      <c r="B1649" s="6">
        <f t="shared" si="243"/>
        <v>81</v>
      </c>
      <c r="C1649" s="17"/>
      <c r="D1649" s="17"/>
      <c r="E1649" s="17"/>
      <c r="F1649" s="18"/>
      <c r="G1649" s="19">
        <v>631</v>
      </c>
      <c r="H1649" s="17" t="s">
        <v>124</v>
      </c>
      <c r="I1649" s="20">
        <v>1000</v>
      </c>
      <c r="J1649" s="20">
        <v>118</v>
      </c>
      <c r="K1649" s="354">
        <f t="shared" si="242"/>
        <v>11.799999999999999</v>
      </c>
      <c r="L1649" s="20"/>
      <c r="M1649" s="20"/>
      <c r="N1649" s="354"/>
      <c r="O1649" s="21">
        <f t="shared" si="239"/>
        <v>1000</v>
      </c>
      <c r="P1649" s="21">
        <f t="shared" si="240"/>
        <v>118</v>
      </c>
      <c r="Q1649" s="354">
        <f t="shared" si="241"/>
        <v>11.799999999999999</v>
      </c>
    </row>
    <row r="1650" spans="2:17" x14ac:dyDescent="0.2">
      <c r="B1650" s="6">
        <f t="shared" si="243"/>
        <v>82</v>
      </c>
      <c r="C1650" s="17"/>
      <c r="D1650" s="17"/>
      <c r="E1650" s="17"/>
      <c r="F1650" s="18"/>
      <c r="G1650" s="19">
        <v>632</v>
      </c>
      <c r="H1650" s="17" t="s">
        <v>131</v>
      </c>
      <c r="I1650" s="20">
        <v>9350</v>
      </c>
      <c r="J1650" s="20">
        <v>3842</v>
      </c>
      <c r="K1650" s="354">
        <f t="shared" si="242"/>
        <v>41.090909090909086</v>
      </c>
      <c r="L1650" s="20"/>
      <c r="M1650" s="20"/>
      <c r="N1650" s="354"/>
      <c r="O1650" s="21">
        <f t="shared" si="239"/>
        <v>9350</v>
      </c>
      <c r="P1650" s="21">
        <f t="shared" si="240"/>
        <v>3842</v>
      </c>
      <c r="Q1650" s="354">
        <f t="shared" si="241"/>
        <v>41.090909090909086</v>
      </c>
    </row>
    <row r="1651" spans="2:17" x14ac:dyDescent="0.2">
      <c r="B1651" s="6">
        <f t="shared" si="243"/>
        <v>83</v>
      </c>
      <c r="C1651" s="17"/>
      <c r="D1651" s="17"/>
      <c r="E1651" s="17"/>
      <c r="F1651" s="18"/>
      <c r="G1651" s="19">
        <v>633</v>
      </c>
      <c r="H1651" s="17" t="s">
        <v>122</v>
      </c>
      <c r="I1651" s="20">
        <v>16100</v>
      </c>
      <c r="J1651" s="20">
        <v>9765</v>
      </c>
      <c r="K1651" s="354">
        <f t="shared" si="242"/>
        <v>60.652173913043484</v>
      </c>
      <c r="L1651" s="20"/>
      <c r="M1651" s="20"/>
      <c r="N1651" s="354"/>
      <c r="O1651" s="21">
        <f t="shared" si="239"/>
        <v>16100</v>
      </c>
      <c r="P1651" s="21">
        <f t="shared" si="240"/>
        <v>9765</v>
      </c>
      <c r="Q1651" s="354">
        <f t="shared" si="241"/>
        <v>60.652173913043484</v>
      </c>
    </row>
    <row r="1652" spans="2:17" x14ac:dyDescent="0.2">
      <c r="B1652" s="6">
        <f t="shared" si="243"/>
        <v>84</v>
      </c>
      <c r="C1652" s="17"/>
      <c r="D1652" s="17"/>
      <c r="E1652" s="17"/>
      <c r="F1652" s="18"/>
      <c r="G1652" s="19">
        <v>634</v>
      </c>
      <c r="H1652" s="17" t="s">
        <v>129</v>
      </c>
      <c r="I1652" s="20">
        <v>19250</v>
      </c>
      <c r="J1652" s="20">
        <v>5253</v>
      </c>
      <c r="K1652" s="354">
        <f t="shared" si="242"/>
        <v>27.288311688311691</v>
      </c>
      <c r="L1652" s="20"/>
      <c r="M1652" s="20"/>
      <c r="N1652" s="354"/>
      <c r="O1652" s="21">
        <f t="shared" si="239"/>
        <v>19250</v>
      </c>
      <c r="P1652" s="21">
        <f t="shared" si="240"/>
        <v>5253</v>
      </c>
      <c r="Q1652" s="354">
        <f t="shared" si="241"/>
        <v>27.288311688311691</v>
      </c>
    </row>
    <row r="1653" spans="2:17" x14ac:dyDescent="0.2">
      <c r="B1653" s="6">
        <f t="shared" si="243"/>
        <v>85</v>
      </c>
      <c r="C1653" s="17"/>
      <c r="D1653" s="17"/>
      <c r="E1653" s="17"/>
      <c r="F1653" s="18"/>
      <c r="G1653" s="19">
        <v>635</v>
      </c>
      <c r="H1653" s="17" t="s">
        <v>130</v>
      </c>
      <c r="I1653" s="20">
        <f>4050+2000</f>
        <v>6050</v>
      </c>
      <c r="J1653" s="20">
        <v>3924</v>
      </c>
      <c r="K1653" s="354">
        <f t="shared" si="242"/>
        <v>64.859504132231407</v>
      </c>
      <c r="L1653" s="20"/>
      <c r="M1653" s="20"/>
      <c r="N1653" s="354"/>
      <c r="O1653" s="21">
        <f t="shared" si="239"/>
        <v>6050</v>
      </c>
      <c r="P1653" s="21">
        <f t="shared" si="240"/>
        <v>3924</v>
      </c>
      <c r="Q1653" s="354">
        <f t="shared" si="241"/>
        <v>64.859504132231407</v>
      </c>
    </row>
    <row r="1654" spans="2:17" x14ac:dyDescent="0.2">
      <c r="B1654" s="6">
        <f t="shared" si="243"/>
        <v>86</v>
      </c>
      <c r="C1654" s="17"/>
      <c r="D1654" s="17"/>
      <c r="E1654" s="17"/>
      <c r="F1654" s="18"/>
      <c r="G1654" s="19">
        <v>637</v>
      </c>
      <c r="H1654" s="17" t="s">
        <v>119</v>
      </c>
      <c r="I1654" s="20">
        <f>66500-2000</f>
        <v>64500</v>
      </c>
      <c r="J1654" s="20">
        <v>24358</v>
      </c>
      <c r="K1654" s="354">
        <f t="shared" si="242"/>
        <v>37.764341085271319</v>
      </c>
      <c r="L1654" s="20"/>
      <c r="M1654" s="20"/>
      <c r="N1654" s="354"/>
      <c r="O1654" s="21">
        <f t="shared" si="239"/>
        <v>64500</v>
      </c>
      <c r="P1654" s="21">
        <f t="shared" si="240"/>
        <v>24358</v>
      </c>
      <c r="Q1654" s="354">
        <f t="shared" si="241"/>
        <v>37.764341085271319</v>
      </c>
    </row>
    <row r="1655" spans="2:17" x14ac:dyDescent="0.2">
      <c r="B1655" s="155">
        <f t="shared" si="243"/>
        <v>87</v>
      </c>
      <c r="C1655" s="156"/>
      <c r="D1655" s="156"/>
      <c r="E1655" s="156"/>
      <c r="F1655" s="157" t="s">
        <v>189</v>
      </c>
      <c r="G1655" s="158">
        <v>640</v>
      </c>
      <c r="H1655" s="156" t="s">
        <v>126</v>
      </c>
      <c r="I1655" s="159">
        <v>16120</v>
      </c>
      <c r="J1655" s="159">
        <v>6452</v>
      </c>
      <c r="K1655" s="354">
        <f t="shared" si="242"/>
        <v>40.024813895781634</v>
      </c>
      <c r="L1655" s="159"/>
      <c r="M1655" s="159"/>
      <c r="N1655" s="354"/>
      <c r="O1655" s="160">
        <f t="shared" si="239"/>
        <v>16120</v>
      </c>
      <c r="P1655" s="160">
        <f t="shared" si="240"/>
        <v>6452</v>
      </c>
      <c r="Q1655" s="354">
        <f t="shared" si="241"/>
        <v>40.024813895781634</v>
      </c>
    </row>
    <row r="1659" spans="2:17" ht="27.75" x14ac:dyDescent="0.4">
      <c r="B1659" s="496" t="s">
        <v>23</v>
      </c>
      <c r="C1659" s="497"/>
      <c r="D1659" s="497"/>
      <c r="E1659" s="497"/>
      <c r="F1659" s="497"/>
      <c r="G1659" s="497"/>
      <c r="H1659" s="497"/>
      <c r="I1659" s="497"/>
      <c r="J1659" s="497"/>
      <c r="K1659" s="497"/>
      <c r="L1659" s="497"/>
      <c r="M1659" s="497"/>
      <c r="N1659" s="497"/>
      <c r="O1659" s="497"/>
    </row>
    <row r="1660" spans="2:17" ht="15" x14ac:dyDescent="0.35">
      <c r="B1660" s="461" t="s">
        <v>437</v>
      </c>
      <c r="C1660" s="462"/>
      <c r="D1660" s="462"/>
      <c r="E1660" s="462"/>
      <c r="F1660" s="462"/>
      <c r="G1660" s="462"/>
      <c r="H1660" s="462"/>
      <c r="I1660" s="462"/>
      <c r="J1660" s="462"/>
      <c r="K1660" s="462"/>
      <c r="L1660" s="462"/>
      <c r="M1660" s="462"/>
      <c r="N1660" s="463"/>
      <c r="O1660" s="466" t="s">
        <v>717</v>
      </c>
      <c r="P1660" s="466" t="s">
        <v>712</v>
      </c>
      <c r="Q1660" s="468" t="s">
        <v>711</v>
      </c>
    </row>
    <row r="1661" spans="2:17" x14ac:dyDescent="0.2">
      <c r="B1661" s="478"/>
      <c r="C1661" s="475" t="s">
        <v>111</v>
      </c>
      <c r="D1661" s="475" t="s">
        <v>112</v>
      </c>
      <c r="E1661" s="475"/>
      <c r="F1661" s="475" t="s">
        <v>113</v>
      </c>
      <c r="G1661" s="477" t="s">
        <v>114</v>
      </c>
      <c r="H1661" s="476" t="s">
        <v>115</v>
      </c>
      <c r="I1661" s="471" t="s">
        <v>713</v>
      </c>
      <c r="J1661" s="471" t="s">
        <v>714</v>
      </c>
      <c r="K1661" s="472" t="s">
        <v>711</v>
      </c>
      <c r="L1661" s="471" t="s">
        <v>715</v>
      </c>
      <c r="M1661" s="471" t="s">
        <v>716</v>
      </c>
      <c r="N1661" s="451" t="s">
        <v>711</v>
      </c>
      <c r="O1661" s="467"/>
      <c r="P1661" s="467"/>
      <c r="Q1661" s="469"/>
    </row>
    <row r="1662" spans="2:17" x14ac:dyDescent="0.2">
      <c r="B1662" s="478"/>
      <c r="C1662" s="475"/>
      <c r="D1662" s="475"/>
      <c r="E1662" s="475"/>
      <c r="F1662" s="475"/>
      <c r="G1662" s="477"/>
      <c r="H1662" s="476"/>
      <c r="I1662" s="471"/>
      <c r="J1662" s="471"/>
      <c r="K1662" s="473"/>
      <c r="L1662" s="471"/>
      <c r="M1662" s="471"/>
      <c r="N1662" s="452"/>
      <c r="O1662" s="467"/>
      <c r="P1662" s="467"/>
      <c r="Q1662" s="469"/>
    </row>
    <row r="1663" spans="2:17" x14ac:dyDescent="0.2">
      <c r="B1663" s="478"/>
      <c r="C1663" s="475"/>
      <c r="D1663" s="475"/>
      <c r="E1663" s="475"/>
      <c r="F1663" s="475"/>
      <c r="G1663" s="477"/>
      <c r="H1663" s="476"/>
      <c r="I1663" s="471"/>
      <c r="J1663" s="471"/>
      <c r="K1663" s="473"/>
      <c r="L1663" s="471"/>
      <c r="M1663" s="471"/>
      <c r="N1663" s="452"/>
      <c r="O1663" s="467"/>
      <c r="P1663" s="467"/>
      <c r="Q1663" s="469"/>
    </row>
    <row r="1664" spans="2:17" x14ac:dyDescent="0.2">
      <c r="B1664" s="478"/>
      <c r="C1664" s="475"/>
      <c r="D1664" s="475"/>
      <c r="E1664" s="475"/>
      <c r="F1664" s="475"/>
      <c r="G1664" s="477"/>
      <c r="H1664" s="476"/>
      <c r="I1664" s="471"/>
      <c r="J1664" s="471"/>
      <c r="K1664" s="474"/>
      <c r="L1664" s="471"/>
      <c r="M1664" s="471"/>
      <c r="N1664" s="452"/>
      <c r="O1664" s="467"/>
      <c r="P1664" s="467"/>
      <c r="Q1664" s="470"/>
    </row>
    <row r="1665" spans="2:17" ht="15.75" x14ac:dyDescent="0.2">
      <c r="B1665" s="6">
        <v>1</v>
      </c>
      <c r="C1665" s="464" t="s">
        <v>23</v>
      </c>
      <c r="D1665" s="465"/>
      <c r="E1665" s="465"/>
      <c r="F1665" s="465"/>
      <c r="G1665" s="465"/>
      <c r="H1665" s="465"/>
      <c r="I1665" s="7">
        <f>I1666+I1685+I1689+I1710+I1744+I1775+I1800+I1814+I1817+I1822+I1832+I1844</f>
        <v>6182077</v>
      </c>
      <c r="J1665" s="7">
        <f>J1666+J1685+J1689+J1710+J1744+J1775+J1800+J1814+J1817+J1822+J1832+J1844</f>
        <v>3067611</v>
      </c>
      <c r="K1665" s="354">
        <f t="shared" ref="K1665:K1676" si="244">J1665/I1665*100</f>
        <v>49.621041601390601</v>
      </c>
      <c r="L1665" s="7">
        <f>L1666+L1685+L1689+L1710+L1744+L1775+L1800+L1814+L1817+L1822+L1832</f>
        <v>1351225</v>
      </c>
      <c r="M1665" s="7">
        <f>M1666+M1685+M1689+M1710+M1744+M1775+M1800+M1814+M1817+M1822+M1832</f>
        <v>827136</v>
      </c>
      <c r="N1665" s="354">
        <f>M1665/L1665*100</f>
        <v>61.213787489130233</v>
      </c>
      <c r="O1665" s="8">
        <f t="shared" ref="O1665:O1699" si="245">L1665+I1665</f>
        <v>7533302</v>
      </c>
      <c r="P1665" s="8">
        <f t="shared" ref="P1665:P1699" si="246">M1665+J1665</f>
        <v>3894747</v>
      </c>
      <c r="Q1665" s="354">
        <f t="shared" ref="Q1665:Q1683" si="247">P1665/O1665*100</f>
        <v>51.700396452976392</v>
      </c>
    </row>
    <row r="1666" spans="2:17" ht="15" x14ac:dyDescent="0.2">
      <c r="B1666" s="6">
        <f t="shared" ref="B1666:B1699" si="248">B1665+1</f>
        <v>2</v>
      </c>
      <c r="C1666" s="9">
        <v>1</v>
      </c>
      <c r="D1666" s="459" t="s">
        <v>356</v>
      </c>
      <c r="E1666" s="460"/>
      <c r="F1666" s="460"/>
      <c r="G1666" s="460"/>
      <c r="H1666" s="460"/>
      <c r="I1666" s="10">
        <f>I1667+I1684</f>
        <v>283387</v>
      </c>
      <c r="J1666" s="10">
        <f>J1667+J1684</f>
        <v>142327</v>
      </c>
      <c r="K1666" s="354">
        <f t="shared" si="244"/>
        <v>50.223545893072021</v>
      </c>
      <c r="L1666" s="10">
        <f>L1667+L1684</f>
        <v>728625</v>
      </c>
      <c r="M1666" s="10">
        <f>M1667+M1684</f>
        <v>437976</v>
      </c>
      <c r="N1666" s="354">
        <f>M1666/L1666*100</f>
        <v>60.109933093154908</v>
      </c>
      <c r="O1666" s="31">
        <f t="shared" si="245"/>
        <v>1012012</v>
      </c>
      <c r="P1666" s="31">
        <f t="shared" si="246"/>
        <v>580303</v>
      </c>
      <c r="Q1666" s="354">
        <f t="shared" si="247"/>
        <v>57.34151373699126</v>
      </c>
    </row>
    <row r="1667" spans="2:17" ht="15" x14ac:dyDescent="0.25">
      <c r="B1667" s="6">
        <f t="shared" si="248"/>
        <v>3</v>
      </c>
      <c r="C1667" s="27"/>
      <c r="D1667" s="27">
        <v>1</v>
      </c>
      <c r="E1667" s="457" t="s">
        <v>71</v>
      </c>
      <c r="F1667" s="458"/>
      <c r="G1667" s="458"/>
      <c r="H1667" s="458"/>
      <c r="I1667" s="28">
        <f>I1668</f>
        <v>283387</v>
      </c>
      <c r="J1667" s="28">
        <f>J1668</f>
        <v>142327</v>
      </c>
      <c r="K1667" s="354">
        <f t="shared" si="244"/>
        <v>50.223545893072021</v>
      </c>
      <c r="L1667" s="28">
        <f>L1668</f>
        <v>728625</v>
      </c>
      <c r="M1667" s="28">
        <f>M1668</f>
        <v>437976</v>
      </c>
      <c r="N1667" s="354">
        <f>M1667/L1667*100</f>
        <v>60.109933093154908</v>
      </c>
      <c r="O1667" s="29">
        <f t="shared" si="245"/>
        <v>1012012</v>
      </c>
      <c r="P1667" s="29">
        <f t="shared" si="246"/>
        <v>580303</v>
      </c>
      <c r="Q1667" s="354">
        <f t="shared" si="247"/>
        <v>57.34151373699126</v>
      </c>
    </row>
    <row r="1668" spans="2:17" ht="15" x14ac:dyDescent="0.25">
      <c r="B1668" s="6">
        <f t="shared" si="248"/>
        <v>4</v>
      </c>
      <c r="C1668" s="95"/>
      <c r="D1668" s="95"/>
      <c r="E1668" s="95">
        <v>5</v>
      </c>
      <c r="F1668" s="96"/>
      <c r="G1668" s="96"/>
      <c r="H1668" s="95" t="s">
        <v>103</v>
      </c>
      <c r="I1668" s="97">
        <f>I1669+I1670+I1671+I1676</f>
        <v>283387</v>
      </c>
      <c r="J1668" s="97">
        <f>J1669+J1670+J1671+J1676</f>
        <v>142327</v>
      </c>
      <c r="K1668" s="354">
        <f t="shared" si="244"/>
        <v>50.223545893072021</v>
      </c>
      <c r="L1668" s="97">
        <f>L1677</f>
        <v>728625</v>
      </c>
      <c r="M1668" s="97">
        <f>M1677</f>
        <v>437976</v>
      </c>
      <c r="N1668" s="354">
        <f>M1668/L1668*100</f>
        <v>60.109933093154908</v>
      </c>
      <c r="O1668" s="98">
        <f t="shared" si="245"/>
        <v>1012012</v>
      </c>
      <c r="P1668" s="98">
        <f t="shared" si="246"/>
        <v>580303</v>
      </c>
      <c r="Q1668" s="354">
        <f t="shared" si="247"/>
        <v>57.34151373699126</v>
      </c>
    </row>
    <row r="1669" spans="2:17" x14ac:dyDescent="0.2">
      <c r="B1669" s="6">
        <f t="shared" si="248"/>
        <v>5</v>
      </c>
      <c r="C1669" s="12"/>
      <c r="D1669" s="12"/>
      <c r="E1669" s="12"/>
      <c r="F1669" s="13" t="s">
        <v>75</v>
      </c>
      <c r="G1669" s="14">
        <v>610</v>
      </c>
      <c r="H1669" s="12" t="s">
        <v>128</v>
      </c>
      <c r="I1669" s="15">
        <v>109270</v>
      </c>
      <c r="J1669" s="15">
        <v>65377</v>
      </c>
      <c r="K1669" s="354">
        <f t="shared" si="244"/>
        <v>59.830694609682432</v>
      </c>
      <c r="L1669" s="15"/>
      <c r="M1669" s="15"/>
      <c r="N1669" s="354"/>
      <c r="O1669" s="16">
        <f t="shared" si="245"/>
        <v>109270</v>
      </c>
      <c r="P1669" s="16">
        <f t="shared" si="246"/>
        <v>65377</v>
      </c>
      <c r="Q1669" s="354">
        <f t="shared" si="247"/>
        <v>59.830694609682432</v>
      </c>
    </row>
    <row r="1670" spans="2:17" x14ac:dyDescent="0.2">
      <c r="B1670" s="6">
        <f t="shared" si="248"/>
        <v>6</v>
      </c>
      <c r="C1670" s="12"/>
      <c r="D1670" s="12"/>
      <c r="E1670" s="12"/>
      <c r="F1670" s="13" t="s">
        <v>75</v>
      </c>
      <c r="G1670" s="14">
        <v>620</v>
      </c>
      <c r="H1670" s="12" t="s">
        <v>121</v>
      </c>
      <c r="I1670" s="15">
        <v>40227</v>
      </c>
      <c r="J1670" s="15">
        <v>25138</v>
      </c>
      <c r="K1670" s="354">
        <f t="shared" si="244"/>
        <v>62.490367166331076</v>
      </c>
      <c r="L1670" s="15"/>
      <c r="M1670" s="15"/>
      <c r="N1670" s="354"/>
      <c r="O1670" s="16">
        <f t="shared" si="245"/>
        <v>40227</v>
      </c>
      <c r="P1670" s="16">
        <f t="shared" si="246"/>
        <v>25138</v>
      </c>
      <c r="Q1670" s="354">
        <f t="shared" si="247"/>
        <v>62.490367166331076</v>
      </c>
    </row>
    <row r="1671" spans="2:17" x14ac:dyDescent="0.2">
      <c r="B1671" s="6">
        <f t="shared" si="248"/>
        <v>7</v>
      </c>
      <c r="C1671" s="12"/>
      <c r="D1671" s="12"/>
      <c r="E1671" s="12"/>
      <c r="F1671" s="13" t="s">
        <v>75</v>
      </c>
      <c r="G1671" s="14">
        <v>630</v>
      </c>
      <c r="H1671" s="12" t="s">
        <v>118</v>
      </c>
      <c r="I1671" s="15">
        <f>SUM(I1672:I1675)</f>
        <v>126775</v>
      </c>
      <c r="J1671" s="15">
        <f>SUM(J1672:J1675)</f>
        <v>47368</v>
      </c>
      <c r="K1671" s="354">
        <f t="shared" si="244"/>
        <v>37.363833563399723</v>
      </c>
      <c r="L1671" s="15"/>
      <c r="M1671" s="15"/>
      <c r="N1671" s="354"/>
      <c r="O1671" s="16">
        <f t="shared" si="245"/>
        <v>126775</v>
      </c>
      <c r="P1671" s="16">
        <f t="shared" si="246"/>
        <v>47368</v>
      </c>
      <c r="Q1671" s="354">
        <f t="shared" si="247"/>
        <v>37.363833563399723</v>
      </c>
    </row>
    <row r="1672" spans="2:17" x14ac:dyDescent="0.2">
      <c r="B1672" s="6">
        <f t="shared" si="248"/>
        <v>8</v>
      </c>
      <c r="C1672" s="17"/>
      <c r="D1672" s="17"/>
      <c r="E1672" s="17"/>
      <c r="F1672" s="18"/>
      <c r="G1672" s="19">
        <v>632</v>
      </c>
      <c r="H1672" s="17" t="s">
        <v>131</v>
      </c>
      <c r="I1672" s="20">
        <v>40240</v>
      </c>
      <c r="J1672" s="20">
        <v>15821</v>
      </c>
      <c r="K1672" s="354">
        <f t="shared" si="244"/>
        <v>39.316600397614316</v>
      </c>
      <c r="L1672" s="20"/>
      <c r="M1672" s="20"/>
      <c r="N1672" s="354"/>
      <c r="O1672" s="21">
        <f t="shared" si="245"/>
        <v>40240</v>
      </c>
      <c r="P1672" s="21">
        <f t="shared" si="246"/>
        <v>15821</v>
      </c>
      <c r="Q1672" s="354">
        <f t="shared" si="247"/>
        <v>39.316600397614316</v>
      </c>
    </row>
    <row r="1673" spans="2:17" x14ac:dyDescent="0.2">
      <c r="B1673" s="6">
        <f t="shared" si="248"/>
        <v>9</v>
      </c>
      <c r="C1673" s="17"/>
      <c r="D1673" s="17"/>
      <c r="E1673" s="17"/>
      <c r="F1673" s="18"/>
      <c r="G1673" s="19">
        <v>633</v>
      </c>
      <c r="H1673" s="17" t="s">
        <v>122</v>
      </c>
      <c r="I1673" s="20">
        <f>28600-4000</f>
        <v>24600</v>
      </c>
      <c r="J1673" s="20">
        <v>8771</v>
      </c>
      <c r="K1673" s="354">
        <f t="shared" si="244"/>
        <v>35.654471544715449</v>
      </c>
      <c r="L1673" s="20"/>
      <c r="M1673" s="20"/>
      <c r="N1673" s="354"/>
      <c r="O1673" s="21">
        <f t="shared" si="245"/>
        <v>24600</v>
      </c>
      <c r="P1673" s="21">
        <f t="shared" si="246"/>
        <v>8771</v>
      </c>
      <c r="Q1673" s="354">
        <f t="shared" si="247"/>
        <v>35.654471544715449</v>
      </c>
    </row>
    <row r="1674" spans="2:17" x14ac:dyDescent="0.2">
      <c r="B1674" s="6">
        <f t="shared" si="248"/>
        <v>10</v>
      </c>
      <c r="C1674" s="17"/>
      <c r="D1674" s="17"/>
      <c r="E1674" s="17"/>
      <c r="F1674" s="18"/>
      <c r="G1674" s="19">
        <v>635</v>
      </c>
      <c r="H1674" s="17" t="s">
        <v>130</v>
      </c>
      <c r="I1674" s="20">
        <f>900+3000+46600</f>
        <v>50500</v>
      </c>
      <c r="J1674" s="20">
        <v>14280</v>
      </c>
      <c r="K1674" s="354">
        <f t="shared" si="244"/>
        <v>28.277227722772274</v>
      </c>
      <c r="L1674" s="20"/>
      <c r="M1674" s="20"/>
      <c r="N1674" s="354"/>
      <c r="O1674" s="21">
        <f t="shared" si="245"/>
        <v>50500</v>
      </c>
      <c r="P1674" s="21">
        <f t="shared" si="246"/>
        <v>14280</v>
      </c>
      <c r="Q1674" s="354">
        <f t="shared" si="247"/>
        <v>28.277227722772274</v>
      </c>
    </row>
    <row r="1675" spans="2:17" x14ac:dyDescent="0.2">
      <c r="B1675" s="6">
        <f t="shared" si="248"/>
        <v>11</v>
      </c>
      <c r="C1675" s="17"/>
      <c r="D1675" s="17"/>
      <c r="E1675" s="17"/>
      <c r="F1675" s="18"/>
      <c r="G1675" s="19">
        <v>637</v>
      </c>
      <c r="H1675" s="17" t="s">
        <v>119</v>
      </c>
      <c r="I1675" s="20">
        <f>7435+4000</f>
        <v>11435</v>
      </c>
      <c r="J1675" s="20">
        <v>8496</v>
      </c>
      <c r="K1675" s="354">
        <f t="shared" si="244"/>
        <v>74.298207258417136</v>
      </c>
      <c r="L1675" s="20"/>
      <c r="M1675" s="20"/>
      <c r="N1675" s="354"/>
      <c r="O1675" s="21">
        <f t="shared" si="245"/>
        <v>11435</v>
      </c>
      <c r="P1675" s="21">
        <f t="shared" si="246"/>
        <v>8496</v>
      </c>
      <c r="Q1675" s="354">
        <f t="shared" si="247"/>
        <v>74.298207258417136</v>
      </c>
    </row>
    <row r="1676" spans="2:17" x14ac:dyDescent="0.2">
      <c r="B1676" s="6">
        <f t="shared" si="248"/>
        <v>12</v>
      </c>
      <c r="C1676" s="12"/>
      <c r="D1676" s="12"/>
      <c r="E1676" s="12"/>
      <c r="F1676" s="13" t="s">
        <v>75</v>
      </c>
      <c r="G1676" s="14">
        <v>640</v>
      </c>
      <c r="H1676" s="12" t="s">
        <v>126</v>
      </c>
      <c r="I1676" s="15">
        <v>7115</v>
      </c>
      <c r="J1676" s="15">
        <v>4444</v>
      </c>
      <c r="K1676" s="354">
        <f t="shared" si="244"/>
        <v>62.459592410400568</v>
      </c>
      <c r="L1676" s="15"/>
      <c r="M1676" s="15"/>
      <c r="N1676" s="354"/>
      <c r="O1676" s="16">
        <f t="shared" si="245"/>
        <v>7115</v>
      </c>
      <c r="P1676" s="16">
        <f t="shared" si="246"/>
        <v>4444</v>
      </c>
      <c r="Q1676" s="354">
        <f t="shared" si="247"/>
        <v>62.459592410400568</v>
      </c>
    </row>
    <row r="1677" spans="2:17" x14ac:dyDescent="0.2">
      <c r="B1677" s="6">
        <f t="shared" si="248"/>
        <v>13</v>
      </c>
      <c r="C1677" s="12"/>
      <c r="D1677" s="12"/>
      <c r="E1677" s="12"/>
      <c r="F1677" s="13" t="s">
        <v>75</v>
      </c>
      <c r="G1677" s="14">
        <v>710</v>
      </c>
      <c r="H1677" s="12" t="s">
        <v>172</v>
      </c>
      <c r="I1677" s="15"/>
      <c r="J1677" s="15"/>
      <c r="K1677" s="354"/>
      <c r="L1677" s="15">
        <f>L1678+L1682+L1680</f>
        <v>728625</v>
      </c>
      <c r="M1677" s="15">
        <f>M1678+M1682+M1680</f>
        <v>437976</v>
      </c>
      <c r="N1677" s="354">
        <f t="shared" ref="N1677:N1683" si="249">M1677/L1677*100</f>
        <v>60.109933093154908</v>
      </c>
      <c r="O1677" s="16">
        <f t="shared" si="245"/>
        <v>728625</v>
      </c>
      <c r="P1677" s="16">
        <f t="shared" si="246"/>
        <v>437976</v>
      </c>
      <c r="Q1677" s="354">
        <f t="shared" si="247"/>
        <v>60.109933093154908</v>
      </c>
    </row>
    <row r="1678" spans="2:17" x14ac:dyDescent="0.2">
      <c r="B1678" s="6">
        <f t="shared" si="248"/>
        <v>14</v>
      </c>
      <c r="C1678" s="12"/>
      <c r="D1678" s="12"/>
      <c r="E1678" s="12"/>
      <c r="F1678" s="13"/>
      <c r="G1678" s="19">
        <v>713</v>
      </c>
      <c r="H1678" s="17" t="s">
        <v>215</v>
      </c>
      <c r="I1678" s="20"/>
      <c r="J1678" s="20"/>
      <c r="K1678" s="354"/>
      <c r="L1678" s="20">
        <f>L1679</f>
        <v>4000</v>
      </c>
      <c r="M1678" s="20">
        <f>M1679</f>
        <v>0</v>
      </c>
      <c r="N1678" s="354">
        <f t="shared" si="249"/>
        <v>0</v>
      </c>
      <c r="O1678" s="16">
        <f t="shared" si="245"/>
        <v>4000</v>
      </c>
      <c r="P1678" s="16">
        <f t="shared" si="246"/>
        <v>0</v>
      </c>
      <c r="Q1678" s="354">
        <f t="shared" si="247"/>
        <v>0</v>
      </c>
    </row>
    <row r="1679" spans="2:17" x14ac:dyDescent="0.2">
      <c r="B1679" s="6">
        <f t="shared" si="248"/>
        <v>15</v>
      </c>
      <c r="C1679" s="17"/>
      <c r="D1679" s="17"/>
      <c r="E1679" s="17"/>
      <c r="F1679" s="18"/>
      <c r="G1679" s="19"/>
      <c r="H1679" s="1" t="s">
        <v>398</v>
      </c>
      <c r="I1679" s="24"/>
      <c r="J1679" s="24"/>
      <c r="K1679" s="354"/>
      <c r="L1679" s="24">
        <v>4000</v>
      </c>
      <c r="M1679" s="24">
        <v>0</v>
      </c>
      <c r="N1679" s="354">
        <f t="shared" si="249"/>
        <v>0</v>
      </c>
      <c r="O1679" s="26">
        <f t="shared" si="245"/>
        <v>4000</v>
      </c>
      <c r="P1679" s="26">
        <f t="shared" si="246"/>
        <v>0</v>
      </c>
      <c r="Q1679" s="354">
        <f t="shared" si="247"/>
        <v>0</v>
      </c>
    </row>
    <row r="1680" spans="2:17" x14ac:dyDescent="0.2">
      <c r="B1680" s="6">
        <f t="shared" si="248"/>
        <v>16</v>
      </c>
      <c r="C1680" s="17"/>
      <c r="D1680" s="17"/>
      <c r="E1680" s="317"/>
      <c r="F1680" s="18"/>
      <c r="G1680" s="19">
        <v>716</v>
      </c>
      <c r="H1680" s="17" t="s">
        <v>212</v>
      </c>
      <c r="I1680" s="24"/>
      <c r="J1680" s="24"/>
      <c r="K1680" s="354"/>
      <c r="L1680" s="24">
        <f>L1681</f>
        <v>23125</v>
      </c>
      <c r="M1680" s="24">
        <f>M1681</f>
        <v>0</v>
      </c>
      <c r="N1680" s="354">
        <f t="shared" si="249"/>
        <v>0</v>
      </c>
      <c r="O1680" s="26">
        <f t="shared" si="245"/>
        <v>23125</v>
      </c>
      <c r="P1680" s="26">
        <f t="shared" si="246"/>
        <v>0</v>
      </c>
      <c r="Q1680" s="354">
        <f t="shared" si="247"/>
        <v>0</v>
      </c>
    </row>
    <row r="1681" spans="2:17" x14ac:dyDescent="0.2">
      <c r="B1681" s="6">
        <f t="shared" si="248"/>
        <v>17</v>
      </c>
      <c r="C1681" s="17"/>
      <c r="D1681" s="17"/>
      <c r="E1681" s="317"/>
      <c r="F1681" s="18"/>
      <c r="G1681" s="23"/>
      <c r="H1681" s="1" t="s">
        <v>341</v>
      </c>
      <c r="I1681" s="24"/>
      <c r="J1681" s="24"/>
      <c r="K1681" s="354"/>
      <c r="L1681" s="24">
        <v>23125</v>
      </c>
      <c r="M1681" s="24">
        <v>0</v>
      </c>
      <c r="N1681" s="354">
        <f t="shared" si="249"/>
        <v>0</v>
      </c>
      <c r="O1681" s="26">
        <f t="shared" si="245"/>
        <v>23125</v>
      </c>
      <c r="P1681" s="26">
        <f t="shared" si="246"/>
        <v>0</v>
      </c>
      <c r="Q1681" s="354">
        <f t="shared" si="247"/>
        <v>0</v>
      </c>
    </row>
    <row r="1682" spans="2:17" x14ac:dyDescent="0.2">
      <c r="B1682" s="6">
        <f t="shared" si="248"/>
        <v>18</v>
      </c>
      <c r="C1682" s="17"/>
      <c r="D1682" s="17"/>
      <c r="E1682" s="317"/>
      <c r="F1682" s="18"/>
      <c r="G1682" s="19">
        <v>717</v>
      </c>
      <c r="H1682" s="17" t="s">
        <v>179</v>
      </c>
      <c r="I1682" s="20"/>
      <c r="J1682" s="20"/>
      <c r="K1682" s="354"/>
      <c r="L1682" s="20">
        <f>L1683</f>
        <v>701500</v>
      </c>
      <c r="M1682" s="20">
        <f>M1683</f>
        <v>437976</v>
      </c>
      <c r="N1682" s="354">
        <f t="shared" si="249"/>
        <v>62.434212401995723</v>
      </c>
      <c r="O1682" s="21">
        <f t="shared" si="245"/>
        <v>701500</v>
      </c>
      <c r="P1682" s="21">
        <f t="shared" si="246"/>
        <v>437976</v>
      </c>
      <c r="Q1682" s="354">
        <f t="shared" si="247"/>
        <v>62.434212401995723</v>
      </c>
    </row>
    <row r="1683" spans="2:17" x14ac:dyDescent="0.2">
      <c r="B1683" s="6">
        <f t="shared" si="248"/>
        <v>19</v>
      </c>
      <c r="C1683" s="17"/>
      <c r="D1683" s="17"/>
      <c r="E1683" s="317"/>
      <c r="F1683" s="18"/>
      <c r="G1683" s="19"/>
      <c r="H1683" s="1" t="s">
        <v>341</v>
      </c>
      <c r="I1683" s="20"/>
      <c r="J1683" s="20"/>
      <c r="K1683" s="354"/>
      <c r="L1683" s="20">
        <f>950800-23125+32500+75000-333675</f>
        <v>701500</v>
      </c>
      <c r="M1683" s="20">
        <v>437976</v>
      </c>
      <c r="N1683" s="354">
        <f t="shared" si="249"/>
        <v>62.434212401995723</v>
      </c>
      <c r="O1683" s="21">
        <f t="shared" si="245"/>
        <v>701500</v>
      </c>
      <c r="P1683" s="21">
        <f t="shared" si="246"/>
        <v>437976</v>
      </c>
      <c r="Q1683" s="354">
        <f t="shared" si="247"/>
        <v>62.434212401995723</v>
      </c>
    </row>
    <row r="1684" spans="2:17" ht="15" x14ac:dyDescent="0.25">
      <c r="B1684" s="6">
        <f t="shared" si="248"/>
        <v>20</v>
      </c>
      <c r="C1684" s="27"/>
      <c r="D1684" s="27">
        <v>2</v>
      </c>
      <c r="E1684" s="518" t="s">
        <v>283</v>
      </c>
      <c r="F1684" s="519"/>
      <c r="G1684" s="519"/>
      <c r="H1684" s="520"/>
      <c r="I1684" s="28"/>
      <c r="J1684" s="28"/>
      <c r="K1684" s="354"/>
      <c r="L1684" s="28"/>
      <c r="M1684" s="28"/>
      <c r="N1684" s="354"/>
      <c r="O1684" s="29">
        <f t="shared" si="245"/>
        <v>0</v>
      </c>
      <c r="P1684" s="29">
        <f t="shared" si="246"/>
        <v>0</v>
      </c>
      <c r="Q1684" s="354"/>
    </row>
    <row r="1685" spans="2:17" ht="15" x14ac:dyDescent="0.2">
      <c r="B1685" s="6">
        <f t="shared" si="248"/>
        <v>21</v>
      </c>
      <c r="C1685" s="9">
        <v>2</v>
      </c>
      <c r="D1685" s="459" t="s">
        <v>53</v>
      </c>
      <c r="E1685" s="460"/>
      <c r="F1685" s="460"/>
      <c r="G1685" s="460"/>
      <c r="H1685" s="460"/>
      <c r="I1685" s="10">
        <f>I1686</f>
        <v>152000</v>
      </c>
      <c r="J1685" s="10">
        <f>J1686</f>
        <v>103405</v>
      </c>
      <c r="K1685" s="354">
        <f t="shared" ref="K1685:K1697" si="250">J1685/I1685*100</f>
        <v>68.029605263157904</v>
      </c>
      <c r="L1685" s="10"/>
      <c r="M1685" s="10"/>
      <c r="N1685" s="354"/>
      <c r="O1685" s="31">
        <f t="shared" si="245"/>
        <v>152000</v>
      </c>
      <c r="P1685" s="31">
        <f t="shared" si="246"/>
        <v>103405</v>
      </c>
      <c r="Q1685" s="354">
        <f t="shared" ref="Q1685:Q1699" si="251">P1685/O1685*100</f>
        <v>68.029605263157904</v>
      </c>
    </row>
    <row r="1686" spans="2:17" x14ac:dyDescent="0.2">
      <c r="B1686" s="6">
        <f t="shared" si="248"/>
        <v>22</v>
      </c>
      <c r="C1686" s="12"/>
      <c r="D1686" s="12"/>
      <c r="E1686" s="12"/>
      <c r="F1686" s="13" t="s">
        <v>52</v>
      </c>
      <c r="G1686" s="14">
        <v>640</v>
      </c>
      <c r="H1686" s="12" t="s">
        <v>126</v>
      </c>
      <c r="I1686" s="15">
        <f>I1688+I1687</f>
        <v>152000</v>
      </c>
      <c r="J1686" s="15">
        <f>J1688+J1687</f>
        <v>103405</v>
      </c>
      <c r="K1686" s="354">
        <f t="shared" si="250"/>
        <v>68.029605263157904</v>
      </c>
      <c r="L1686" s="15"/>
      <c r="M1686" s="15"/>
      <c r="N1686" s="354"/>
      <c r="O1686" s="16">
        <f t="shared" si="245"/>
        <v>152000</v>
      </c>
      <c r="P1686" s="16">
        <f t="shared" si="246"/>
        <v>103405</v>
      </c>
      <c r="Q1686" s="354">
        <f t="shared" si="251"/>
        <v>68.029605263157904</v>
      </c>
    </row>
    <row r="1687" spans="2:17" x14ac:dyDescent="0.2">
      <c r="B1687" s="6">
        <f t="shared" si="248"/>
        <v>23</v>
      </c>
      <c r="C1687" s="12"/>
      <c r="D1687" s="12"/>
      <c r="E1687" s="12"/>
      <c r="F1687" s="13"/>
      <c r="G1687" s="19">
        <v>642</v>
      </c>
      <c r="H1687" s="17" t="s">
        <v>629</v>
      </c>
      <c r="I1687" s="24">
        <v>150000</v>
      </c>
      <c r="J1687" s="24">
        <v>102985</v>
      </c>
      <c r="K1687" s="354">
        <f t="shared" si="250"/>
        <v>68.656666666666666</v>
      </c>
      <c r="L1687" s="24"/>
      <c r="M1687" s="24"/>
      <c r="N1687" s="354"/>
      <c r="O1687" s="26">
        <f t="shared" si="245"/>
        <v>150000</v>
      </c>
      <c r="P1687" s="26">
        <f t="shared" si="246"/>
        <v>102985</v>
      </c>
      <c r="Q1687" s="354">
        <f t="shared" si="251"/>
        <v>68.656666666666666</v>
      </c>
    </row>
    <row r="1688" spans="2:17" x14ac:dyDescent="0.2">
      <c r="B1688" s="6">
        <f t="shared" si="248"/>
        <v>24</v>
      </c>
      <c r="C1688" s="22"/>
      <c r="D1688" s="22"/>
      <c r="E1688" s="22"/>
      <c r="F1688" s="18"/>
      <c r="G1688" s="19">
        <v>642</v>
      </c>
      <c r="H1688" s="17" t="s">
        <v>127</v>
      </c>
      <c r="I1688" s="24">
        <v>2000</v>
      </c>
      <c r="J1688" s="24">
        <v>420</v>
      </c>
      <c r="K1688" s="354">
        <f t="shared" si="250"/>
        <v>21</v>
      </c>
      <c r="L1688" s="24"/>
      <c r="M1688" s="24"/>
      <c r="N1688" s="354"/>
      <c r="O1688" s="26">
        <f t="shared" si="245"/>
        <v>2000</v>
      </c>
      <c r="P1688" s="26">
        <f t="shared" si="246"/>
        <v>420</v>
      </c>
      <c r="Q1688" s="354">
        <f t="shared" si="251"/>
        <v>21</v>
      </c>
    </row>
    <row r="1689" spans="2:17" ht="15" x14ac:dyDescent="0.2">
      <c r="B1689" s="6">
        <f t="shared" si="248"/>
        <v>25</v>
      </c>
      <c r="C1689" s="9">
        <v>3</v>
      </c>
      <c r="D1689" s="459" t="s">
        <v>62</v>
      </c>
      <c r="E1689" s="460"/>
      <c r="F1689" s="460"/>
      <c r="G1689" s="460"/>
      <c r="H1689" s="460"/>
      <c r="I1689" s="10">
        <f>I1690+I1701+I1702+I1706+I1704</f>
        <v>187670</v>
      </c>
      <c r="J1689" s="10">
        <f>J1690+J1701+J1702+J1706+J1704</f>
        <v>136749</v>
      </c>
      <c r="K1689" s="354">
        <f t="shared" si="250"/>
        <v>72.866734161027338</v>
      </c>
      <c r="L1689" s="10">
        <f>L1698</f>
        <v>50000</v>
      </c>
      <c r="M1689" s="10">
        <f>M1698</f>
        <v>0</v>
      </c>
      <c r="N1689" s="354">
        <f>M1689/L1689*100</f>
        <v>0</v>
      </c>
      <c r="O1689" s="31">
        <f t="shared" si="245"/>
        <v>237670</v>
      </c>
      <c r="P1689" s="31">
        <f t="shared" si="246"/>
        <v>136749</v>
      </c>
      <c r="Q1689" s="354">
        <f t="shared" si="251"/>
        <v>57.53734169226238</v>
      </c>
    </row>
    <row r="1690" spans="2:17" x14ac:dyDescent="0.2">
      <c r="B1690" s="6">
        <f t="shared" si="248"/>
        <v>26</v>
      </c>
      <c r="C1690" s="12"/>
      <c r="D1690" s="12"/>
      <c r="E1690" s="12"/>
      <c r="F1690" s="13" t="s">
        <v>61</v>
      </c>
      <c r="G1690" s="14">
        <v>640</v>
      </c>
      <c r="H1690" s="12" t="s">
        <v>126</v>
      </c>
      <c r="I1690" s="15">
        <f>SUM(I1691:I1697)</f>
        <v>110500</v>
      </c>
      <c r="J1690" s="15">
        <f>SUM(J1691:J1697)</f>
        <v>110500</v>
      </c>
      <c r="K1690" s="354">
        <f t="shared" si="250"/>
        <v>100</v>
      </c>
      <c r="L1690" s="15"/>
      <c r="M1690" s="15"/>
      <c r="N1690" s="354"/>
      <c r="O1690" s="16">
        <f t="shared" si="245"/>
        <v>110500</v>
      </c>
      <c r="P1690" s="16">
        <f t="shared" si="246"/>
        <v>110500</v>
      </c>
      <c r="Q1690" s="354">
        <f t="shared" si="251"/>
        <v>100</v>
      </c>
    </row>
    <row r="1691" spans="2:17" x14ac:dyDescent="0.2">
      <c r="B1691" s="6">
        <f t="shared" si="248"/>
        <v>27</v>
      </c>
      <c r="C1691" s="32"/>
      <c r="D1691" s="32"/>
      <c r="E1691" s="32"/>
      <c r="F1691" s="149"/>
      <c r="G1691" s="149"/>
      <c r="H1691" s="34" t="s">
        <v>260</v>
      </c>
      <c r="I1691" s="35">
        <v>34000</v>
      </c>
      <c r="J1691" s="35">
        <v>34000</v>
      </c>
      <c r="K1691" s="354">
        <f t="shared" si="250"/>
        <v>100</v>
      </c>
      <c r="L1691" s="36"/>
      <c r="M1691" s="36"/>
      <c r="N1691" s="354"/>
      <c r="O1691" s="37">
        <f t="shared" si="245"/>
        <v>34000</v>
      </c>
      <c r="P1691" s="37">
        <f t="shared" si="246"/>
        <v>34000</v>
      </c>
      <c r="Q1691" s="354">
        <f t="shared" si="251"/>
        <v>100</v>
      </c>
    </row>
    <row r="1692" spans="2:17" ht="24" x14ac:dyDescent="0.2">
      <c r="B1692" s="6">
        <f t="shared" si="248"/>
        <v>28</v>
      </c>
      <c r="C1692" s="32"/>
      <c r="D1692" s="32"/>
      <c r="E1692" s="32"/>
      <c r="F1692" s="149"/>
      <c r="G1692" s="149"/>
      <c r="H1692" s="34" t="s">
        <v>372</v>
      </c>
      <c r="I1692" s="35">
        <v>25000</v>
      </c>
      <c r="J1692" s="35">
        <v>25000</v>
      </c>
      <c r="K1692" s="354">
        <f t="shared" si="250"/>
        <v>100</v>
      </c>
      <c r="L1692" s="36"/>
      <c r="M1692" s="36"/>
      <c r="N1692" s="354"/>
      <c r="O1692" s="37">
        <f t="shared" si="245"/>
        <v>25000</v>
      </c>
      <c r="P1692" s="37">
        <f t="shared" si="246"/>
        <v>25000</v>
      </c>
      <c r="Q1692" s="354">
        <f t="shared" si="251"/>
        <v>100</v>
      </c>
    </row>
    <row r="1693" spans="2:17" ht="23.25" customHeight="1" x14ac:dyDescent="0.2">
      <c r="B1693" s="6">
        <f t="shared" si="248"/>
        <v>29</v>
      </c>
      <c r="C1693" s="32"/>
      <c r="D1693" s="32"/>
      <c r="E1693" s="32"/>
      <c r="F1693" s="149"/>
      <c r="G1693" s="149"/>
      <c r="H1693" s="34" t="s">
        <v>373</v>
      </c>
      <c r="I1693" s="35">
        <f>20000+10000</f>
        <v>30000</v>
      </c>
      <c r="J1693" s="35">
        <v>30000</v>
      </c>
      <c r="K1693" s="354">
        <f t="shared" si="250"/>
        <v>100</v>
      </c>
      <c r="L1693" s="36"/>
      <c r="M1693" s="36"/>
      <c r="N1693" s="354"/>
      <c r="O1693" s="37">
        <f t="shared" si="245"/>
        <v>30000</v>
      </c>
      <c r="P1693" s="37">
        <f t="shared" si="246"/>
        <v>30000</v>
      </c>
      <c r="Q1693" s="354">
        <f t="shared" si="251"/>
        <v>100</v>
      </c>
    </row>
    <row r="1694" spans="2:17" ht="24" x14ac:dyDescent="0.2">
      <c r="B1694" s="6">
        <f t="shared" si="248"/>
        <v>30</v>
      </c>
      <c r="C1694" s="32"/>
      <c r="D1694" s="32"/>
      <c r="E1694" s="32"/>
      <c r="F1694" s="149"/>
      <c r="G1694" s="149"/>
      <c r="H1694" s="34" t="s">
        <v>634</v>
      </c>
      <c r="I1694" s="35">
        <v>2500</v>
      </c>
      <c r="J1694" s="35">
        <v>2500</v>
      </c>
      <c r="K1694" s="354">
        <f t="shared" si="250"/>
        <v>100</v>
      </c>
      <c r="L1694" s="36"/>
      <c r="M1694" s="36"/>
      <c r="N1694" s="354"/>
      <c r="O1694" s="37">
        <f t="shared" si="245"/>
        <v>2500</v>
      </c>
      <c r="P1694" s="37">
        <f t="shared" si="246"/>
        <v>2500</v>
      </c>
      <c r="Q1694" s="354">
        <f t="shared" si="251"/>
        <v>100</v>
      </c>
    </row>
    <row r="1695" spans="2:17" ht="24" x14ac:dyDescent="0.2">
      <c r="B1695" s="6">
        <f t="shared" si="248"/>
        <v>31</v>
      </c>
      <c r="C1695" s="32"/>
      <c r="D1695" s="32"/>
      <c r="E1695" s="32"/>
      <c r="F1695" s="149"/>
      <c r="G1695" s="149"/>
      <c r="H1695" s="34" t="s">
        <v>285</v>
      </c>
      <c r="I1695" s="35">
        <v>4000</v>
      </c>
      <c r="J1695" s="35">
        <v>4000</v>
      </c>
      <c r="K1695" s="354">
        <f t="shared" si="250"/>
        <v>100</v>
      </c>
      <c r="L1695" s="36"/>
      <c r="M1695" s="36"/>
      <c r="N1695" s="354"/>
      <c r="O1695" s="37">
        <f t="shared" si="245"/>
        <v>4000</v>
      </c>
      <c r="P1695" s="37">
        <f t="shared" si="246"/>
        <v>4000</v>
      </c>
      <c r="Q1695" s="354">
        <f t="shared" si="251"/>
        <v>100</v>
      </c>
    </row>
    <row r="1696" spans="2:17" ht="24" x14ac:dyDescent="0.2">
      <c r="B1696" s="6">
        <f t="shared" si="248"/>
        <v>32</v>
      </c>
      <c r="C1696" s="32"/>
      <c r="D1696" s="32"/>
      <c r="E1696" s="32"/>
      <c r="F1696" s="149"/>
      <c r="G1696" s="149"/>
      <c r="H1696" s="34" t="s">
        <v>477</v>
      </c>
      <c r="I1696" s="35">
        <v>5000</v>
      </c>
      <c r="J1696" s="35">
        <v>5000</v>
      </c>
      <c r="K1696" s="354">
        <f t="shared" si="250"/>
        <v>100</v>
      </c>
      <c r="L1696" s="36"/>
      <c r="M1696" s="36"/>
      <c r="N1696" s="354"/>
      <c r="O1696" s="37">
        <f t="shared" si="245"/>
        <v>5000</v>
      </c>
      <c r="P1696" s="37">
        <f t="shared" si="246"/>
        <v>5000</v>
      </c>
      <c r="Q1696" s="354">
        <f t="shared" si="251"/>
        <v>100</v>
      </c>
    </row>
    <row r="1697" spans="2:17" ht="24" x14ac:dyDescent="0.2">
      <c r="B1697" s="6">
        <f t="shared" si="248"/>
        <v>33</v>
      </c>
      <c r="C1697" s="32"/>
      <c r="D1697" s="32"/>
      <c r="E1697" s="32"/>
      <c r="F1697" s="149"/>
      <c r="G1697" s="149"/>
      <c r="H1697" s="34" t="s">
        <v>547</v>
      </c>
      <c r="I1697" s="35">
        <v>10000</v>
      </c>
      <c r="J1697" s="35">
        <v>10000</v>
      </c>
      <c r="K1697" s="354">
        <f t="shared" si="250"/>
        <v>100</v>
      </c>
      <c r="L1697" s="36"/>
      <c r="M1697" s="36"/>
      <c r="N1697" s="354"/>
      <c r="O1697" s="37">
        <f t="shared" si="245"/>
        <v>10000</v>
      </c>
      <c r="P1697" s="37">
        <f t="shared" si="246"/>
        <v>10000</v>
      </c>
      <c r="Q1697" s="354">
        <f t="shared" si="251"/>
        <v>100</v>
      </c>
    </row>
    <row r="1698" spans="2:17" x14ac:dyDescent="0.2">
      <c r="B1698" s="6">
        <f t="shared" si="248"/>
        <v>34</v>
      </c>
      <c r="C1698" s="32"/>
      <c r="D1698" s="32"/>
      <c r="E1698" s="32"/>
      <c r="F1698" s="13" t="s">
        <v>61</v>
      </c>
      <c r="G1698" s="14">
        <v>720</v>
      </c>
      <c r="H1698" s="12" t="s">
        <v>3</v>
      </c>
      <c r="I1698" s="15">
        <f>I1699</f>
        <v>0</v>
      </c>
      <c r="J1698" s="15">
        <f>J1699</f>
        <v>0</v>
      </c>
      <c r="K1698" s="354"/>
      <c r="L1698" s="15">
        <f>L1699</f>
        <v>50000</v>
      </c>
      <c r="M1698" s="15">
        <f>M1699</f>
        <v>0</v>
      </c>
      <c r="N1698" s="354">
        <f>M1698/L1698*100</f>
        <v>0</v>
      </c>
      <c r="O1698" s="16">
        <f t="shared" si="245"/>
        <v>50000</v>
      </c>
      <c r="P1698" s="16">
        <f t="shared" si="246"/>
        <v>0</v>
      </c>
      <c r="Q1698" s="354">
        <f t="shared" si="251"/>
        <v>0</v>
      </c>
    </row>
    <row r="1699" spans="2:17" ht="36" x14ac:dyDescent="0.2">
      <c r="B1699" s="6">
        <f t="shared" si="248"/>
        <v>35</v>
      </c>
      <c r="C1699" s="32"/>
      <c r="D1699" s="32"/>
      <c r="E1699" s="32"/>
      <c r="F1699" s="149"/>
      <c r="G1699" s="149"/>
      <c r="H1699" s="34" t="s">
        <v>709</v>
      </c>
      <c r="I1699" s="35"/>
      <c r="J1699" s="35"/>
      <c r="K1699" s="354"/>
      <c r="L1699" s="35">
        <v>50000</v>
      </c>
      <c r="M1699" s="35">
        <v>0</v>
      </c>
      <c r="N1699" s="354">
        <f>M1699/L1699*100</f>
        <v>0</v>
      </c>
      <c r="O1699" s="37">
        <f t="shared" si="245"/>
        <v>50000</v>
      </c>
      <c r="P1699" s="37">
        <f t="shared" si="246"/>
        <v>0</v>
      </c>
      <c r="Q1699" s="354">
        <f t="shared" si="251"/>
        <v>0</v>
      </c>
    </row>
    <row r="1700" spans="2:17" x14ac:dyDescent="0.2">
      <c r="B1700" s="6">
        <f>B1697+1</f>
        <v>34</v>
      </c>
      <c r="C1700" s="32"/>
      <c r="D1700" s="32"/>
      <c r="E1700" s="32"/>
      <c r="F1700" s="149"/>
      <c r="G1700" s="149"/>
      <c r="H1700" s="34"/>
      <c r="I1700" s="35"/>
      <c r="J1700" s="35"/>
      <c r="K1700" s="354"/>
      <c r="L1700" s="36"/>
      <c r="M1700" s="36"/>
      <c r="N1700" s="354"/>
      <c r="O1700" s="37"/>
      <c r="P1700" s="37"/>
      <c r="Q1700" s="354"/>
    </row>
    <row r="1701" spans="2:17" x14ac:dyDescent="0.2">
      <c r="B1701" s="6">
        <f t="shared" ref="B1701:B1732" si="252">B1700+1</f>
        <v>35</v>
      </c>
      <c r="C1701" s="22"/>
      <c r="D1701" s="22"/>
      <c r="E1701" s="22"/>
      <c r="F1701" s="13" t="s">
        <v>77</v>
      </c>
      <c r="G1701" s="14">
        <v>620</v>
      </c>
      <c r="H1701" s="12" t="s">
        <v>121</v>
      </c>
      <c r="I1701" s="15">
        <v>2000</v>
      </c>
      <c r="J1701" s="15">
        <v>643</v>
      </c>
      <c r="K1701" s="354">
        <f>J1701/I1701*100</f>
        <v>32.15</v>
      </c>
      <c r="L1701" s="25"/>
      <c r="M1701" s="25"/>
      <c r="N1701" s="354"/>
      <c r="O1701" s="16">
        <f t="shared" ref="O1701:P1704" si="253">L1701+I1701</f>
        <v>2000</v>
      </c>
      <c r="P1701" s="16">
        <f t="shared" si="253"/>
        <v>643</v>
      </c>
      <c r="Q1701" s="354">
        <f>P1701/O1701*100</f>
        <v>32.15</v>
      </c>
    </row>
    <row r="1702" spans="2:17" x14ac:dyDescent="0.2">
      <c r="B1702" s="6">
        <f t="shared" si="252"/>
        <v>36</v>
      </c>
      <c r="C1702" s="22"/>
      <c r="D1702" s="22"/>
      <c r="E1702" s="22"/>
      <c r="F1702" s="13" t="s">
        <v>77</v>
      </c>
      <c r="G1702" s="14">
        <v>630</v>
      </c>
      <c r="H1702" s="12" t="s">
        <v>118</v>
      </c>
      <c r="I1702" s="15">
        <f>I1703</f>
        <v>5000</v>
      </c>
      <c r="J1702" s="15">
        <f>J1703</f>
        <v>1788</v>
      </c>
      <c r="K1702" s="354">
        <f>J1702/I1702*100</f>
        <v>35.76</v>
      </c>
      <c r="L1702" s="25"/>
      <c r="M1702" s="25"/>
      <c r="N1702" s="354"/>
      <c r="O1702" s="16">
        <f t="shared" si="253"/>
        <v>5000</v>
      </c>
      <c r="P1702" s="16">
        <f t="shared" si="253"/>
        <v>1788</v>
      </c>
      <c r="Q1702" s="354">
        <f>P1702/O1702*100</f>
        <v>35.76</v>
      </c>
    </row>
    <row r="1703" spans="2:17" x14ac:dyDescent="0.2">
      <c r="B1703" s="6">
        <f t="shared" si="252"/>
        <v>37</v>
      </c>
      <c r="C1703" s="22"/>
      <c r="D1703" s="22"/>
      <c r="E1703" s="22"/>
      <c r="F1703" s="123"/>
      <c r="G1703" s="19">
        <v>637</v>
      </c>
      <c r="H1703" s="17" t="s">
        <v>119</v>
      </c>
      <c r="I1703" s="20">
        <v>5000</v>
      </c>
      <c r="J1703" s="20">
        <v>1788</v>
      </c>
      <c r="K1703" s="354">
        <f>J1703/I1703*100</f>
        <v>35.76</v>
      </c>
      <c r="L1703" s="25"/>
      <c r="M1703" s="25"/>
      <c r="N1703" s="354"/>
      <c r="O1703" s="21">
        <f t="shared" si="253"/>
        <v>5000</v>
      </c>
      <c r="P1703" s="21">
        <f t="shared" si="253"/>
        <v>1788</v>
      </c>
      <c r="Q1703" s="354">
        <f>P1703/O1703*100</f>
        <v>35.76</v>
      </c>
    </row>
    <row r="1704" spans="2:17" x14ac:dyDescent="0.2">
      <c r="B1704" s="6">
        <f t="shared" si="252"/>
        <v>38</v>
      </c>
      <c r="C1704" s="22"/>
      <c r="D1704" s="22"/>
      <c r="E1704" s="22"/>
      <c r="F1704" s="123"/>
      <c r="G1704" s="14">
        <v>640</v>
      </c>
      <c r="H1704" s="12" t="s">
        <v>126</v>
      </c>
      <c r="I1704" s="15">
        <f>50+50</f>
        <v>100</v>
      </c>
      <c r="J1704" s="15">
        <v>33</v>
      </c>
      <c r="K1704" s="354">
        <f>J1704/I1704*100</f>
        <v>33</v>
      </c>
      <c r="L1704" s="15"/>
      <c r="M1704" s="15"/>
      <c r="N1704" s="354"/>
      <c r="O1704" s="16">
        <f t="shared" si="253"/>
        <v>100</v>
      </c>
      <c r="P1704" s="16">
        <f t="shared" si="253"/>
        <v>33</v>
      </c>
      <c r="Q1704" s="354">
        <f>P1704/O1704*100</f>
        <v>33</v>
      </c>
    </row>
    <row r="1705" spans="2:17" x14ac:dyDescent="0.2">
      <c r="B1705" s="6">
        <f t="shared" si="252"/>
        <v>39</v>
      </c>
      <c r="C1705" s="22"/>
      <c r="D1705" s="22"/>
      <c r="E1705" s="22"/>
      <c r="F1705" s="123"/>
      <c r="G1705" s="19"/>
      <c r="H1705" s="17"/>
      <c r="I1705" s="20"/>
      <c r="J1705" s="20"/>
      <c r="K1705" s="354"/>
      <c r="L1705" s="25"/>
      <c r="M1705" s="25"/>
      <c r="N1705" s="354"/>
      <c r="O1705" s="21"/>
      <c r="P1705" s="21"/>
      <c r="Q1705" s="354"/>
    </row>
    <row r="1706" spans="2:17" x14ac:dyDescent="0.2">
      <c r="B1706" s="6">
        <f t="shared" si="252"/>
        <v>40</v>
      </c>
      <c r="C1706" s="22"/>
      <c r="D1706" s="22"/>
      <c r="E1706" s="22"/>
      <c r="F1706" s="13" t="s">
        <v>77</v>
      </c>
      <c r="G1706" s="14">
        <v>640</v>
      </c>
      <c r="H1706" s="12" t="s">
        <v>126</v>
      </c>
      <c r="I1706" s="15">
        <f>I1707</f>
        <v>70070</v>
      </c>
      <c r="J1706" s="15">
        <f>J1707</f>
        <v>23785</v>
      </c>
      <c r="K1706" s="354">
        <f t="shared" ref="K1706:K1721" si="254">J1706/I1706*100</f>
        <v>33.944626801769658</v>
      </c>
      <c r="L1706" s="25"/>
      <c r="M1706" s="25"/>
      <c r="N1706" s="354"/>
      <c r="O1706" s="45">
        <f t="shared" ref="O1706:O1737" si="255">L1706+I1706</f>
        <v>70070</v>
      </c>
      <c r="P1706" s="45">
        <f t="shared" ref="P1706:P1737" si="256">M1706+J1706</f>
        <v>23785</v>
      </c>
      <c r="Q1706" s="354">
        <f t="shared" ref="Q1706:Q1737" si="257">P1706/O1706*100</f>
        <v>33.944626801769658</v>
      </c>
    </row>
    <row r="1707" spans="2:17" x14ac:dyDescent="0.2">
      <c r="B1707" s="6">
        <f t="shared" si="252"/>
        <v>41</v>
      </c>
      <c r="C1707" s="22"/>
      <c r="D1707" s="22"/>
      <c r="E1707" s="22"/>
      <c r="F1707" s="123"/>
      <c r="G1707" s="19">
        <v>642</v>
      </c>
      <c r="H1707" s="17" t="s">
        <v>127</v>
      </c>
      <c r="I1707" s="20">
        <f>I1708+I1709</f>
        <v>70070</v>
      </c>
      <c r="J1707" s="20">
        <f>J1708+J1709</f>
        <v>23785</v>
      </c>
      <c r="K1707" s="354">
        <f t="shared" si="254"/>
        <v>33.944626801769658</v>
      </c>
      <c r="L1707" s="25"/>
      <c r="M1707" s="25"/>
      <c r="N1707" s="354"/>
      <c r="O1707" s="45">
        <f t="shared" si="255"/>
        <v>70070</v>
      </c>
      <c r="P1707" s="45">
        <f t="shared" si="256"/>
        <v>23785</v>
      </c>
      <c r="Q1707" s="354">
        <f t="shared" si="257"/>
        <v>33.944626801769658</v>
      </c>
    </row>
    <row r="1708" spans="2:17" ht="24" x14ac:dyDescent="0.2">
      <c r="B1708" s="6">
        <f t="shared" si="252"/>
        <v>42</v>
      </c>
      <c r="C1708" s="22"/>
      <c r="D1708" s="22"/>
      <c r="E1708" s="22"/>
      <c r="F1708" s="123"/>
      <c r="G1708" s="123"/>
      <c r="H1708" s="39" t="s">
        <v>14</v>
      </c>
      <c r="I1708" s="24">
        <f>26000-2500-50-380-3000</f>
        <v>20070</v>
      </c>
      <c r="J1708" s="24">
        <v>3452</v>
      </c>
      <c r="K1708" s="354">
        <f t="shared" si="254"/>
        <v>17.199800697558544</v>
      </c>
      <c r="L1708" s="25"/>
      <c r="M1708" s="25"/>
      <c r="N1708" s="354"/>
      <c r="O1708" s="26">
        <f t="shared" si="255"/>
        <v>20070</v>
      </c>
      <c r="P1708" s="26">
        <f t="shared" si="256"/>
        <v>3452</v>
      </c>
      <c r="Q1708" s="354">
        <f t="shared" si="257"/>
        <v>17.199800697558544</v>
      </c>
    </row>
    <row r="1709" spans="2:17" x14ac:dyDescent="0.2">
      <c r="B1709" s="6">
        <f t="shared" si="252"/>
        <v>43</v>
      </c>
      <c r="C1709" s="22"/>
      <c r="D1709" s="22"/>
      <c r="E1709" s="22"/>
      <c r="F1709" s="123"/>
      <c r="G1709" s="123"/>
      <c r="H1709" s="39" t="s">
        <v>280</v>
      </c>
      <c r="I1709" s="24">
        <v>50000</v>
      </c>
      <c r="J1709" s="24">
        <v>20333</v>
      </c>
      <c r="K1709" s="354">
        <f t="shared" si="254"/>
        <v>40.666000000000004</v>
      </c>
      <c r="L1709" s="25"/>
      <c r="M1709" s="25"/>
      <c r="N1709" s="354"/>
      <c r="O1709" s="26">
        <f t="shared" si="255"/>
        <v>50000</v>
      </c>
      <c r="P1709" s="26">
        <f t="shared" si="256"/>
        <v>20333</v>
      </c>
      <c r="Q1709" s="354">
        <f t="shared" si="257"/>
        <v>40.666000000000004</v>
      </c>
    </row>
    <row r="1710" spans="2:17" ht="15" x14ac:dyDescent="0.2">
      <c r="B1710" s="6">
        <f t="shared" si="252"/>
        <v>44</v>
      </c>
      <c r="C1710" s="9">
        <v>4</v>
      </c>
      <c r="D1710" s="459" t="s">
        <v>265</v>
      </c>
      <c r="E1710" s="460"/>
      <c r="F1710" s="460"/>
      <c r="G1710" s="460"/>
      <c r="H1710" s="460"/>
      <c r="I1710" s="10">
        <f>I1711+I1725+I1739</f>
        <v>248072</v>
      </c>
      <c r="J1710" s="10">
        <f>J1711+J1725+J1739</f>
        <v>109819</v>
      </c>
      <c r="K1710" s="354">
        <f t="shared" si="254"/>
        <v>44.26900254764746</v>
      </c>
      <c r="L1710" s="10">
        <f>L1711+L1725+L1739</f>
        <v>7900</v>
      </c>
      <c r="M1710" s="10">
        <f>M1711+M1725+M1739</f>
        <v>0</v>
      </c>
      <c r="N1710" s="354">
        <f>M1710/L1710*100</f>
        <v>0</v>
      </c>
      <c r="O1710" s="31">
        <f t="shared" si="255"/>
        <v>255972</v>
      </c>
      <c r="P1710" s="31">
        <f t="shared" si="256"/>
        <v>109819</v>
      </c>
      <c r="Q1710" s="354">
        <f t="shared" si="257"/>
        <v>42.902739362117728</v>
      </c>
    </row>
    <row r="1711" spans="2:17" ht="15" x14ac:dyDescent="0.25">
      <c r="B1711" s="6">
        <f t="shared" si="252"/>
        <v>45</v>
      </c>
      <c r="C1711" s="27"/>
      <c r="D1711" s="27">
        <v>1</v>
      </c>
      <c r="E1711" s="457" t="s">
        <v>55</v>
      </c>
      <c r="F1711" s="458"/>
      <c r="G1711" s="458"/>
      <c r="H1711" s="458"/>
      <c r="I1711" s="28">
        <f>I1712</f>
        <v>131700</v>
      </c>
      <c r="J1711" s="28">
        <f>J1712</f>
        <v>60617</v>
      </c>
      <c r="K1711" s="354">
        <f t="shared" si="254"/>
        <v>46.026575550493547</v>
      </c>
      <c r="L1711" s="28">
        <f>L1712</f>
        <v>2500</v>
      </c>
      <c r="M1711" s="28">
        <f>M1712</f>
        <v>0</v>
      </c>
      <c r="N1711" s="354">
        <f>M1711/L1711*100</f>
        <v>0</v>
      </c>
      <c r="O1711" s="29">
        <f t="shared" si="255"/>
        <v>134200</v>
      </c>
      <c r="P1711" s="29">
        <f t="shared" si="256"/>
        <v>60617</v>
      </c>
      <c r="Q1711" s="354">
        <f t="shared" si="257"/>
        <v>45.169150521609538</v>
      </c>
    </row>
    <row r="1712" spans="2:17" ht="15" x14ac:dyDescent="0.25">
      <c r="B1712" s="6">
        <f t="shared" si="252"/>
        <v>46</v>
      </c>
      <c r="C1712" s="95"/>
      <c r="D1712" s="95"/>
      <c r="E1712" s="95">
        <v>5</v>
      </c>
      <c r="F1712" s="96"/>
      <c r="G1712" s="96"/>
      <c r="H1712" s="95" t="s">
        <v>103</v>
      </c>
      <c r="I1712" s="97">
        <f>I1713+I1714+I1715+I1721</f>
        <v>131700</v>
      </c>
      <c r="J1712" s="97">
        <f>J1713+J1714+J1715+J1721</f>
        <v>60617</v>
      </c>
      <c r="K1712" s="354">
        <f t="shared" si="254"/>
        <v>46.026575550493547</v>
      </c>
      <c r="L1712" s="97">
        <f>L1722</f>
        <v>2500</v>
      </c>
      <c r="M1712" s="97">
        <f>M1722</f>
        <v>0</v>
      </c>
      <c r="N1712" s="354">
        <f>M1712/L1712*100</f>
        <v>0</v>
      </c>
      <c r="O1712" s="98">
        <f t="shared" si="255"/>
        <v>134200</v>
      </c>
      <c r="P1712" s="98">
        <f t="shared" si="256"/>
        <v>60617</v>
      </c>
      <c r="Q1712" s="354">
        <f t="shared" si="257"/>
        <v>45.169150521609538</v>
      </c>
    </row>
    <row r="1713" spans="2:17" x14ac:dyDescent="0.2">
      <c r="B1713" s="6">
        <f t="shared" si="252"/>
        <v>47</v>
      </c>
      <c r="C1713" s="12"/>
      <c r="D1713" s="12"/>
      <c r="E1713" s="12"/>
      <c r="F1713" s="13" t="s">
        <v>52</v>
      </c>
      <c r="G1713" s="14">
        <v>610</v>
      </c>
      <c r="H1713" s="12" t="s">
        <v>128</v>
      </c>
      <c r="I1713" s="15">
        <v>54100</v>
      </c>
      <c r="J1713" s="15">
        <v>28088</v>
      </c>
      <c r="K1713" s="354">
        <f t="shared" si="254"/>
        <v>51.918669131238445</v>
      </c>
      <c r="L1713" s="15"/>
      <c r="M1713" s="15"/>
      <c r="N1713" s="354"/>
      <c r="O1713" s="16">
        <f t="shared" si="255"/>
        <v>54100</v>
      </c>
      <c r="P1713" s="16">
        <f t="shared" si="256"/>
        <v>28088</v>
      </c>
      <c r="Q1713" s="354">
        <f t="shared" si="257"/>
        <v>51.918669131238445</v>
      </c>
    </row>
    <row r="1714" spans="2:17" x14ac:dyDescent="0.2">
      <c r="B1714" s="6">
        <f t="shared" si="252"/>
        <v>48</v>
      </c>
      <c r="C1714" s="12"/>
      <c r="D1714" s="12"/>
      <c r="E1714" s="12"/>
      <c r="F1714" s="13" t="s">
        <v>52</v>
      </c>
      <c r="G1714" s="14">
        <v>620</v>
      </c>
      <c r="H1714" s="12" t="s">
        <v>121</v>
      </c>
      <c r="I1714" s="15">
        <v>20480</v>
      </c>
      <c r="J1714" s="15">
        <v>10127</v>
      </c>
      <c r="K1714" s="354">
        <f t="shared" si="254"/>
        <v>49.4482421875</v>
      </c>
      <c r="L1714" s="15"/>
      <c r="M1714" s="15"/>
      <c r="N1714" s="354"/>
      <c r="O1714" s="16">
        <f t="shared" si="255"/>
        <v>20480</v>
      </c>
      <c r="P1714" s="16">
        <f t="shared" si="256"/>
        <v>10127</v>
      </c>
      <c r="Q1714" s="354">
        <f t="shared" si="257"/>
        <v>49.4482421875</v>
      </c>
    </row>
    <row r="1715" spans="2:17" x14ac:dyDescent="0.2">
      <c r="B1715" s="6">
        <f t="shared" si="252"/>
        <v>49</v>
      </c>
      <c r="C1715" s="12"/>
      <c r="D1715" s="12"/>
      <c r="E1715" s="12"/>
      <c r="F1715" s="13" t="s">
        <v>52</v>
      </c>
      <c r="G1715" s="14">
        <v>630</v>
      </c>
      <c r="H1715" s="12" t="s">
        <v>118</v>
      </c>
      <c r="I1715" s="15">
        <f>SUM(I1716:I1720)</f>
        <v>50020</v>
      </c>
      <c r="J1715" s="15">
        <f>SUM(J1716:J1720)</f>
        <v>19185</v>
      </c>
      <c r="K1715" s="354">
        <f t="shared" si="254"/>
        <v>38.3546581367453</v>
      </c>
      <c r="L1715" s="15"/>
      <c r="M1715" s="15"/>
      <c r="N1715" s="354"/>
      <c r="O1715" s="16">
        <f t="shared" si="255"/>
        <v>50020</v>
      </c>
      <c r="P1715" s="16">
        <f t="shared" si="256"/>
        <v>19185</v>
      </c>
      <c r="Q1715" s="354">
        <f t="shared" si="257"/>
        <v>38.3546581367453</v>
      </c>
    </row>
    <row r="1716" spans="2:17" x14ac:dyDescent="0.2">
      <c r="B1716" s="6">
        <f t="shared" si="252"/>
        <v>50</v>
      </c>
      <c r="C1716" s="17"/>
      <c r="D1716" s="17"/>
      <c r="E1716" s="17"/>
      <c r="F1716" s="18"/>
      <c r="G1716" s="19">
        <v>632</v>
      </c>
      <c r="H1716" s="17" t="s">
        <v>131</v>
      </c>
      <c r="I1716" s="20">
        <v>24100</v>
      </c>
      <c r="J1716" s="20">
        <v>7701</v>
      </c>
      <c r="K1716" s="354">
        <f t="shared" si="254"/>
        <v>31.954356846473033</v>
      </c>
      <c r="L1716" s="20"/>
      <c r="M1716" s="20"/>
      <c r="N1716" s="354"/>
      <c r="O1716" s="21">
        <f t="shared" si="255"/>
        <v>24100</v>
      </c>
      <c r="P1716" s="21">
        <f t="shared" si="256"/>
        <v>7701</v>
      </c>
      <c r="Q1716" s="354">
        <f t="shared" si="257"/>
        <v>31.954356846473033</v>
      </c>
    </row>
    <row r="1717" spans="2:17" x14ac:dyDescent="0.2">
      <c r="B1717" s="6">
        <f t="shared" si="252"/>
        <v>51</v>
      </c>
      <c r="C1717" s="17"/>
      <c r="D1717" s="17"/>
      <c r="E1717" s="17"/>
      <c r="F1717" s="18"/>
      <c r="G1717" s="19">
        <v>633</v>
      </c>
      <c r="H1717" s="17" t="s">
        <v>122</v>
      </c>
      <c r="I1717" s="20">
        <f>4320+6560</f>
        <v>10880</v>
      </c>
      <c r="J1717" s="20">
        <v>4947</v>
      </c>
      <c r="K1717" s="354">
        <f t="shared" si="254"/>
        <v>45.46875</v>
      </c>
      <c r="L1717" s="20"/>
      <c r="M1717" s="20"/>
      <c r="N1717" s="354"/>
      <c r="O1717" s="21">
        <f t="shared" si="255"/>
        <v>10880</v>
      </c>
      <c r="P1717" s="21">
        <f t="shared" si="256"/>
        <v>4947</v>
      </c>
      <c r="Q1717" s="354">
        <f t="shared" si="257"/>
        <v>45.46875</v>
      </c>
    </row>
    <row r="1718" spans="2:17" x14ac:dyDescent="0.2">
      <c r="B1718" s="6">
        <f t="shared" si="252"/>
        <v>52</v>
      </c>
      <c r="C1718" s="17"/>
      <c r="D1718" s="17"/>
      <c r="E1718" s="17"/>
      <c r="F1718" s="18"/>
      <c r="G1718" s="19">
        <v>634</v>
      </c>
      <c r="H1718" s="17" t="s">
        <v>129</v>
      </c>
      <c r="I1718" s="20">
        <v>1760</v>
      </c>
      <c r="J1718" s="20">
        <v>244</v>
      </c>
      <c r="K1718" s="354">
        <f t="shared" si="254"/>
        <v>13.863636363636363</v>
      </c>
      <c r="L1718" s="20"/>
      <c r="M1718" s="20"/>
      <c r="N1718" s="354"/>
      <c r="O1718" s="21">
        <f t="shared" si="255"/>
        <v>1760</v>
      </c>
      <c r="P1718" s="21">
        <f t="shared" si="256"/>
        <v>244</v>
      </c>
      <c r="Q1718" s="354">
        <f t="shared" si="257"/>
        <v>13.863636363636363</v>
      </c>
    </row>
    <row r="1719" spans="2:17" x14ac:dyDescent="0.2">
      <c r="B1719" s="6">
        <f t="shared" si="252"/>
        <v>53</v>
      </c>
      <c r="C1719" s="17"/>
      <c r="D1719" s="17"/>
      <c r="E1719" s="17"/>
      <c r="F1719" s="18"/>
      <c r="G1719" s="19">
        <v>635</v>
      </c>
      <c r="H1719" s="17" t="s">
        <v>130</v>
      </c>
      <c r="I1719" s="20">
        <v>2750</v>
      </c>
      <c r="J1719" s="20"/>
      <c r="K1719" s="354">
        <f t="shared" si="254"/>
        <v>0</v>
      </c>
      <c r="L1719" s="20"/>
      <c r="M1719" s="20"/>
      <c r="N1719" s="354"/>
      <c r="O1719" s="21">
        <f t="shared" si="255"/>
        <v>2750</v>
      </c>
      <c r="P1719" s="21">
        <f t="shared" si="256"/>
        <v>0</v>
      </c>
      <c r="Q1719" s="354">
        <f t="shared" si="257"/>
        <v>0</v>
      </c>
    </row>
    <row r="1720" spans="2:17" x14ac:dyDescent="0.2">
      <c r="B1720" s="6">
        <f t="shared" si="252"/>
        <v>54</v>
      </c>
      <c r="C1720" s="17"/>
      <c r="D1720" s="17"/>
      <c r="E1720" s="17"/>
      <c r="F1720" s="18"/>
      <c r="G1720" s="19">
        <v>637</v>
      </c>
      <c r="H1720" s="17" t="s">
        <v>119</v>
      </c>
      <c r="I1720" s="20">
        <f>8530+2000</f>
        <v>10530</v>
      </c>
      <c r="J1720" s="20">
        <v>6293</v>
      </c>
      <c r="K1720" s="354">
        <f t="shared" si="254"/>
        <v>59.762583095916433</v>
      </c>
      <c r="L1720" s="20"/>
      <c r="M1720" s="20"/>
      <c r="N1720" s="354"/>
      <c r="O1720" s="21">
        <f t="shared" si="255"/>
        <v>10530</v>
      </c>
      <c r="P1720" s="21">
        <f t="shared" si="256"/>
        <v>6293</v>
      </c>
      <c r="Q1720" s="354">
        <f t="shared" si="257"/>
        <v>59.762583095916433</v>
      </c>
    </row>
    <row r="1721" spans="2:17" x14ac:dyDescent="0.2">
      <c r="B1721" s="6">
        <f t="shared" si="252"/>
        <v>55</v>
      </c>
      <c r="C1721" s="12"/>
      <c r="D1721" s="12"/>
      <c r="E1721" s="12"/>
      <c r="F1721" s="13" t="s">
        <v>52</v>
      </c>
      <c r="G1721" s="14">
        <v>640</v>
      </c>
      <c r="H1721" s="12" t="s">
        <v>126</v>
      </c>
      <c r="I1721" s="15">
        <v>7100</v>
      </c>
      <c r="J1721" s="15">
        <v>3217</v>
      </c>
      <c r="K1721" s="354">
        <f t="shared" si="254"/>
        <v>45.309859154929576</v>
      </c>
      <c r="L1721" s="15"/>
      <c r="M1721" s="15"/>
      <c r="N1721" s="354"/>
      <c r="O1721" s="16">
        <f t="shared" si="255"/>
        <v>7100</v>
      </c>
      <c r="P1721" s="16">
        <f t="shared" si="256"/>
        <v>3217</v>
      </c>
      <c r="Q1721" s="354">
        <f t="shared" si="257"/>
        <v>45.309859154929576</v>
      </c>
    </row>
    <row r="1722" spans="2:17" x14ac:dyDescent="0.2">
      <c r="B1722" s="6">
        <f t="shared" si="252"/>
        <v>56</v>
      </c>
      <c r="C1722" s="12"/>
      <c r="D1722" s="12"/>
      <c r="E1722" s="12"/>
      <c r="F1722" s="13" t="s">
        <v>52</v>
      </c>
      <c r="G1722" s="14">
        <v>710</v>
      </c>
      <c r="H1722" s="12" t="s">
        <v>172</v>
      </c>
      <c r="I1722" s="15"/>
      <c r="J1722" s="15"/>
      <c r="K1722" s="354"/>
      <c r="L1722" s="15">
        <f>L1723</f>
        <v>2500</v>
      </c>
      <c r="M1722" s="15">
        <f>M1723</f>
        <v>0</v>
      </c>
      <c r="N1722" s="354">
        <f>M1722/L1722*100</f>
        <v>0</v>
      </c>
      <c r="O1722" s="16">
        <f t="shared" si="255"/>
        <v>2500</v>
      </c>
      <c r="P1722" s="16">
        <f t="shared" si="256"/>
        <v>0</v>
      </c>
      <c r="Q1722" s="354">
        <f t="shared" si="257"/>
        <v>0</v>
      </c>
    </row>
    <row r="1723" spans="2:17" x14ac:dyDescent="0.2">
      <c r="B1723" s="6">
        <f t="shared" si="252"/>
        <v>57</v>
      </c>
      <c r="C1723" s="12"/>
      <c r="D1723" s="12"/>
      <c r="E1723" s="12"/>
      <c r="F1723" s="150"/>
      <c r="G1723" s="19">
        <v>717</v>
      </c>
      <c r="H1723" s="17" t="s">
        <v>179</v>
      </c>
      <c r="I1723" s="15"/>
      <c r="J1723" s="15"/>
      <c r="K1723" s="354"/>
      <c r="L1723" s="20">
        <f>L1724</f>
        <v>2500</v>
      </c>
      <c r="M1723" s="20">
        <f>M1724</f>
        <v>0</v>
      </c>
      <c r="N1723" s="354">
        <f>M1723/L1723*100</f>
        <v>0</v>
      </c>
      <c r="O1723" s="21">
        <f t="shared" si="255"/>
        <v>2500</v>
      </c>
      <c r="P1723" s="21">
        <f t="shared" si="256"/>
        <v>0</v>
      </c>
      <c r="Q1723" s="354">
        <f t="shared" si="257"/>
        <v>0</v>
      </c>
    </row>
    <row r="1724" spans="2:17" x14ac:dyDescent="0.2">
      <c r="B1724" s="6">
        <f t="shared" si="252"/>
        <v>58</v>
      </c>
      <c r="C1724" s="12"/>
      <c r="D1724" s="12"/>
      <c r="E1724" s="12"/>
      <c r="F1724" s="150"/>
      <c r="G1724" s="23"/>
      <c r="H1724" s="39" t="s">
        <v>669</v>
      </c>
      <c r="I1724" s="15"/>
      <c r="J1724" s="15"/>
      <c r="K1724" s="354"/>
      <c r="L1724" s="24">
        <v>2500</v>
      </c>
      <c r="M1724" s="24">
        <v>0</v>
      </c>
      <c r="N1724" s="354">
        <f>M1724/L1724*100</f>
        <v>0</v>
      </c>
      <c r="O1724" s="26">
        <f t="shared" si="255"/>
        <v>2500</v>
      </c>
      <c r="P1724" s="26">
        <f t="shared" si="256"/>
        <v>0</v>
      </c>
      <c r="Q1724" s="354">
        <f t="shared" si="257"/>
        <v>0</v>
      </c>
    </row>
    <row r="1725" spans="2:17" ht="15" x14ac:dyDescent="0.25">
      <c r="B1725" s="6">
        <f t="shared" si="252"/>
        <v>59</v>
      </c>
      <c r="C1725" s="27"/>
      <c r="D1725" s="27">
        <v>2</v>
      </c>
      <c r="E1725" s="457" t="s">
        <v>264</v>
      </c>
      <c r="F1725" s="458"/>
      <c r="G1725" s="458"/>
      <c r="H1725" s="458"/>
      <c r="I1725" s="28">
        <f>I1726</f>
        <v>113092</v>
      </c>
      <c r="J1725" s="28">
        <f>J1726</f>
        <v>48182</v>
      </c>
      <c r="K1725" s="354">
        <f t="shared" ref="K1725:K1735" si="258">J1725/I1725*100</f>
        <v>42.604251405934988</v>
      </c>
      <c r="L1725" s="28">
        <f>L1726</f>
        <v>5400</v>
      </c>
      <c r="M1725" s="28">
        <f>M1726</f>
        <v>0</v>
      </c>
      <c r="N1725" s="354">
        <f>M1725/L1725*100</f>
        <v>0</v>
      </c>
      <c r="O1725" s="29">
        <f t="shared" si="255"/>
        <v>118492</v>
      </c>
      <c r="P1725" s="29">
        <f t="shared" si="256"/>
        <v>48182</v>
      </c>
      <c r="Q1725" s="354">
        <f t="shared" si="257"/>
        <v>40.662660770347365</v>
      </c>
    </row>
    <row r="1726" spans="2:17" ht="15" x14ac:dyDescent="0.25">
      <c r="B1726" s="6">
        <f t="shared" si="252"/>
        <v>60</v>
      </c>
      <c r="C1726" s="95"/>
      <c r="D1726" s="95"/>
      <c r="E1726" s="95">
        <v>5</v>
      </c>
      <c r="F1726" s="96"/>
      <c r="G1726" s="96"/>
      <c r="H1726" s="95" t="s">
        <v>103</v>
      </c>
      <c r="I1726" s="97">
        <f>I1727+I1728+I1729+I1735</f>
        <v>113092</v>
      </c>
      <c r="J1726" s="97">
        <f>J1727+J1728+J1729+J1735</f>
        <v>48182</v>
      </c>
      <c r="K1726" s="354">
        <f t="shared" si="258"/>
        <v>42.604251405934988</v>
      </c>
      <c r="L1726" s="97">
        <f>L1736</f>
        <v>5400</v>
      </c>
      <c r="M1726" s="97">
        <f>M1736</f>
        <v>0</v>
      </c>
      <c r="N1726" s="354">
        <f>M1726/L1726*100</f>
        <v>0</v>
      </c>
      <c r="O1726" s="98">
        <f t="shared" si="255"/>
        <v>118492</v>
      </c>
      <c r="P1726" s="98">
        <f t="shared" si="256"/>
        <v>48182</v>
      </c>
      <c r="Q1726" s="354">
        <f t="shared" si="257"/>
        <v>40.662660770347365</v>
      </c>
    </row>
    <row r="1727" spans="2:17" x14ac:dyDescent="0.2">
      <c r="B1727" s="6">
        <f t="shared" si="252"/>
        <v>61</v>
      </c>
      <c r="C1727" s="12"/>
      <c r="D1727" s="12"/>
      <c r="E1727" s="12"/>
      <c r="F1727" s="13" t="s">
        <v>52</v>
      </c>
      <c r="G1727" s="14">
        <v>610</v>
      </c>
      <c r="H1727" s="12" t="s">
        <v>128</v>
      </c>
      <c r="I1727" s="15">
        <v>63776</v>
      </c>
      <c r="J1727" s="15">
        <v>31788</v>
      </c>
      <c r="K1727" s="354">
        <f t="shared" si="258"/>
        <v>49.843201204214758</v>
      </c>
      <c r="L1727" s="15"/>
      <c r="M1727" s="15"/>
      <c r="N1727" s="354"/>
      <c r="O1727" s="16">
        <f t="shared" si="255"/>
        <v>63776</v>
      </c>
      <c r="P1727" s="16">
        <f t="shared" si="256"/>
        <v>31788</v>
      </c>
      <c r="Q1727" s="354">
        <f t="shared" si="257"/>
        <v>49.843201204214758</v>
      </c>
    </row>
    <row r="1728" spans="2:17" x14ac:dyDescent="0.2">
      <c r="B1728" s="6">
        <f t="shared" si="252"/>
        <v>62</v>
      </c>
      <c r="C1728" s="12"/>
      <c r="D1728" s="12"/>
      <c r="E1728" s="12"/>
      <c r="F1728" s="13" t="s">
        <v>52</v>
      </c>
      <c r="G1728" s="14">
        <v>620</v>
      </c>
      <c r="H1728" s="12" t="s">
        <v>121</v>
      </c>
      <c r="I1728" s="15">
        <v>23476</v>
      </c>
      <c r="J1728" s="15">
        <v>12311</v>
      </c>
      <c r="K1728" s="354">
        <f t="shared" si="258"/>
        <v>52.440790594649854</v>
      </c>
      <c r="L1728" s="15"/>
      <c r="M1728" s="15"/>
      <c r="N1728" s="354"/>
      <c r="O1728" s="16">
        <f t="shared" si="255"/>
        <v>23476</v>
      </c>
      <c r="P1728" s="16">
        <f t="shared" si="256"/>
        <v>12311</v>
      </c>
      <c r="Q1728" s="354">
        <f t="shared" si="257"/>
        <v>52.440790594649854</v>
      </c>
    </row>
    <row r="1729" spans="2:17" x14ac:dyDescent="0.2">
      <c r="B1729" s="6">
        <f t="shared" si="252"/>
        <v>63</v>
      </c>
      <c r="C1729" s="12"/>
      <c r="D1729" s="12"/>
      <c r="E1729" s="12"/>
      <c r="F1729" s="13" t="s">
        <v>52</v>
      </c>
      <c r="G1729" s="14">
        <v>630</v>
      </c>
      <c r="H1729" s="12" t="s">
        <v>118</v>
      </c>
      <c r="I1729" s="15">
        <f>SUM(I1730:I1734)</f>
        <v>22520</v>
      </c>
      <c r="J1729" s="15">
        <f>SUM(J1730:J1734)</f>
        <v>2858</v>
      </c>
      <c r="K1729" s="354">
        <f t="shared" si="258"/>
        <v>12.69094138543517</v>
      </c>
      <c r="L1729" s="15"/>
      <c r="M1729" s="15"/>
      <c r="N1729" s="354"/>
      <c r="O1729" s="16">
        <f t="shared" si="255"/>
        <v>22520</v>
      </c>
      <c r="P1729" s="16">
        <f t="shared" si="256"/>
        <v>2858</v>
      </c>
      <c r="Q1729" s="354">
        <f t="shared" si="257"/>
        <v>12.69094138543517</v>
      </c>
    </row>
    <row r="1730" spans="2:17" x14ac:dyDescent="0.2">
      <c r="B1730" s="6">
        <f t="shared" si="252"/>
        <v>64</v>
      </c>
      <c r="C1730" s="17"/>
      <c r="D1730" s="17"/>
      <c r="E1730" s="17"/>
      <c r="F1730" s="18"/>
      <c r="G1730" s="19">
        <v>631</v>
      </c>
      <c r="H1730" s="17" t="s">
        <v>124</v>
      </c>
      <c r="I1730" s="20">
        <f>100+200</f>
        <v>300</v>
      </c>
      <c r="J1730" s="20">
        <v>173</v>
      </c>
      <c r="K1730" s="354">
        <f t="shared" si="258"/>
        <v>57.666666666666664</v>
      </c>
      <c r="L1730" s="20"/>
      <c r="M1730" s="20"/>
      <c r="N1730" s="354"/>
      <c r="O1730" s="21">
        <f t="shared" si="255"/>
        <v>300</v>
      </c>
      <c r="P1730" s="21">
        <f t="shared" si="256"/>
        <v>173</v>
      </c>
      <c r="Q1730" s="354">
        <f t="shared" si="257"/>
        <v>57.666666666666664</v>
      </c>
    </row>
    <row r="1731" spans="2:17" x14ac:dyDescent="0.2">
      <c r="B1731" s="6">
        <f t="shared" si="252"/>
        <v>65</v>
      </c>
      <c r="C1731" s="17"/>
      <c r="D1731" s="17"/>
      <c r="E1731" s="17"/>
      <c r="F1731" s="18"/>
      <c r="G1731" s="19">
        <v>632</v>
      </c>
      <c r="H1731" s="17" t="s">
        <v>131</v>
      </c>
      <c r="I1731" s="20">
        <f>12830-200</f>
        <v>12630</v>
      </c>
      <c r="J1731" s="20">
        <v>350</v>
      </c>
      <c r="K1731" s="354">
        <f t="shared" si="258"/>
        <v>2.771179730799683</v>
      </c>
      <c r="L1731" s="20"/>
      <c r="M1731" s="20"/>
      <c r="N1731" s="354"/>
      <c r="O1731" s="21">
        <f t="shared" si="255"/>
        <v>12630</v>
      </c>
      <c r="P1731" s="21">
        <f t="shared" si="256"/>
        <v>350</v>
      </c>
      <c r="Q1731" s="354">
        <f t="shared" si="257"/>
        <v>2.771179730799683</v>
      </c>
    </row>
    <row r="1732" spans="2:17" x14ac:dyDescent="0.2">
      <c r="B1732" s="6">
        <f t="shared" si="252"/>
        <v>66</v>
      </c>
      <c r="C1732" s="17"/>
      <c r="D1732" s="17"/>
      <c r="E1732" s="17"/>
      <c r="F1732" s="18"/>
      <c r="G1732" s="19">
        <v>633</v>
      </c>
      <c r="H1732" s="17" t="s">
        <v>122</v>
      </c>
      <c r="I1732" s="20">
        <v>4650</v>
      </c>
      <c r="J1732" s="20">
        <v>1378</v>
      </c>
      <c r="K1732" s="354">
        <f t="shared" si="258"/>
        <v>29.634408602150536</v>
      </c>
      <c r="L1732" s="20"/>
      <c r="M1732" s="20"/>
      <c r="N1732" s="354"/>
      <c r="O1732" s="21">
        <f t="shared" si="255"/>
        <v>4650</v>
      </c>
      <c r="P1732" s="21">
        <f t="shared" si="256"/>
        <v>1378</v>
      </c>
      <c r="Q1732" s="354">
        <f t="shared" si="257"/>
        <v>29.634408602150536</v>
      </c>
    </row>
    <row r="1733" spans="2:17" x14ac:dyDescent="0.2">
      <c r="B1733" s="6">
        <f t="shared" ref="B1733:B1764" si="259">B1732+1</f>
        <v>67</v>
      </c>
      <c r="C1733" s="17"/>
      <c r="D1733" s="17"/>
      <c r="E1733" s="17"/>
      <c r="F1733" s="18"/>
      <c r="G1733" s="19">
        <v>635</v>
      </c>
      <c r="H1733" s="17" t="s">
        <v>130</v>
      </c>
      <c r="I1733" s="20">
        <v>950</v>
      </c>
      <c r="J1733" s="20">
        <v>0</v>
      </c>
      <c r="K1733" s="354">
        <f t="shared" si="258"/>
        <v>0</v>
      </c>
      <c r="L1733" s="20"/>
      <c r="M1733" s="20"/>
      <c r="N1733" s="354"/>
      <c r="O1733" s="21">
        <f t="shared" si="255"/>
        <v>950</v>
      </c>
      <c r="P1733" s="21">
        <f t="shared" si="256"/>
        <v>0</v>
      </c>
      <c r="Q1733" s="354">
        <f t="shared" si="257"/>
        <v>0</v>
      </c>
    </row>
    <row r="1734" spans="2:17" x14ac:dyDescent="0.2">
      <c r="B1734" s="6">
        <f t="shared" si="259"/>
        <v>68</v>
      </c>
      <c r="C1734" s="17"/>
      <c r="D1734" s="17"/>
      <c r="E1734" s="17"/>
      <c r="F1734" s="18"/>
      <c r="G1734" s="19">
        <v>637</v>
      </c>
      <c r="H1734" s="17" t="s">
        <v>119</v>
      </c>
      <c r="I1734" s="20">
        <v>3990</v>
      </c>
      <c r="J1734" s="20">
        <v>957</v>
      </c>
      <c r="K1734" s="354">
        <f t="shared" si="258"/>
        <v>23.984962406015036</v>
      </c>
      <c r="L1734" s="20"/>
      <c r="M1734" s="20"/>
      <c r="N1734" s="354"/>
      <c r="O1734" s="21">
        <f t="shared" si="255"/>
        <v>3990</v>
      </c>
      <c r="P1734" s="21">
        <f t="shared" si="256"/>
        <v>957</v>
      </c>
      <c r="Q1734" s="354">
        <f t="shared" si="257"/>
        <v>23.984962406015036</v>
      </c>
    </row>
    <row r="1735" spans="2:17" x14ac:dyDescent="0.2">
      <c r="B1735" s="6">
        <f t="shared" si="259"/>
        <v>69</v>
      </c>
      <c r="C1735" s="12"/>
      <c r="D1735" s="12"/>
      <c r="E1735" s="12"/>
      <c r="F1735" s="13" t="s">
        <v>52</v>
      </c>
      <c r="G1735" s="14">
        <v>640</v>
      </c>
      <c r="H1735" s="12" t="s">
        <v>126</v>
      </c>
      <c r="I1735" s="15">
        <v>3320</v>
      </c>
      <c r="J1735" s="15">
        <v>1225</v>
      </c>
      <c r="K1735" s="354">
        <f t="shared" si="258"/>
        <v>36.897590361445779</v>
      </c>
      <c r="L1735" s="15"/>
      <c r="M1735" s="15"/>
      <c r="N1735" s="354"/>
      <c r="O1735" s="16">
        <f t="shared" si="255"/>
        <v>3320</v>
      </c>
      <c r="P1735" s="16">
        <f t="shared" si="256"/>
        <v>1225</v>
      </c>
      <c r="Q1735" s="354">
        <f t="shared" si="257"/>
        <v>36.897590361445779</v>
      </c>
    </row>
    <row r="1736" spans="2:17" x14ac:dyDescent="0.2">
      <c r="B1736" s="6">
        <f t="shared" si="259"/>
        <v>70</v>
      </c>
      <c r="C1736" s="12"/>
      <c r="D1736" s="12"/>
      <c r="E1736" s="12"/>
      <c r="F1736" s="13" t="s">
        <v>52</v>
      </c>
      <c r="G1736" s="14">
        <v>710</v>
      </c>
      <c r="H1736" s="12" t="s">
        <v>172</v>
      </c>
      <c r="I1736" s="15"/>
      <c r="J1736" s="15"/>
      <c r="K1736" s="354"/>
      <c r="L1736" s="15">
        <f>L1737</f>
        <v>5400</v>
      </c>
      <c r="M1736" s="15">
        <f>M1737</f>
        <v>0</v>
      </c>
      <c r="N1736" s="354">
        <f>M1736/L1736*100</f>
        <v>0</v>
      </c>
      <c r="O1736" s="16">
        <f t="shared" si="255"/>
        <v>5400</v>
      </c>
      <c r="P1736" s="16">
        <f t="shared" si="256"/>
        <v>0</v>
      </c>
      <c r="Q1736" s="354">
        <f t="shared" si="257"/>
        <v>0</v>
      </c>
    </row>
    <row r="1737" spans="2:17" x14ac:dyDescent="0.2">
      <c r="B1737" s="6">
        <f t="shared" si="259"/>
        <v>71</v>
      </c>
      <c r="C1737" s="12"/>
      <c r="D1737" s="12"/>
      <c r="E1737" s="12"/>
      <c r="F1737" s="150"/>
      <c r="G1737" s="19">
        <v>713</v>
      </c>
      <c r="H1737" s="17" t="s">
        <v>215</v>
      </c>
      <c r="I1737" s="15"/>
      <c r="J1737" s="15"/>
      <c r="K1737" s="354"/>
      <c r="L1737" s="20">
        <f>L1738</f>
        <v>5400</v>
      </c>
      <c r="M1737" s="20">
        <f>M1738</f>
        <v>0</v>
      </c>
      <c r="N1737" s="354">
        <f>M1737/L1737*100</f>
        <v>0</v>
      </c>
      <c r="O1737" s="21">
        <f t="shared" si="255"/>
        <v>5400</v>
      </c>
      <c r="P1737" s="21">
        <f t="shared" si="256"/>
        <v>0</v>
      </c>
      <c r="Q1737" s="354">
        <f t="shared" si="257"/>
        <v>0</v>
      </c>
    </row>
    <row r="1738" spans="2:17" x14ac:dyDescent="0.2">
      <c r="B1738" s="6">
        <f t="shared" si="259"/>
        <v>72</v>
      </c>
      <c r="C1738" s="12"/>
      <c r="D1738" s="12"/>
      <c r="E1738" s="12"/>
      <c r="F1738" s="150"/>
      <c r="G1738" s="23"/>
      <c r="H1738" s="39" t="s">
        <v>670</v>
      </c>
      <c r="I1738" s="15"/>
      <c r="J1738" s="15"/>
      <c r="K1738" s="354"/>
      <c r="L1738" s="24">
        <v>5400</v>
      </c>
      <c r="M1738" s="24">
        <v>0</v>
      </c>
      <c r="N1738" s="354">
        <f>M1738/L1738*100</f>
        <v>0</v>
      </c>
      <c r="O1738" s="26">
        <f t="shared" ref="O1738:O1769" si="260">L1738+I1738</f>
        <v>5400</v>
      </c>
      <c r="P1738" s="26">
        <f t="shared" ref="P1738:P1769" si="261">M1738+J1738</f>
        <v>0</v>
      </c>
      <c r="Q1738" s="354">
        <f t="shared" ref="Q1738:Q1769" si="262">P1738/O1738*100</f>
        <v>0</v>
      </c>
    </row>
    <row r="1739" spans="2:17" ht="15" x14ac:dyDescent="0.25">
      <c r="B1739" s="6">
        <f t="shared" si="259"/>
        <v>73</v>
      </c>
      <c r="C1739" s="27"/>
      <c r="D1739" s="27">
        <v>3</v>
      </c>
      <c r="E1739" s="457" t="s">
        <v>400</v>
      </c>
      <c r="F1739" s="458"/>
      <c r="G1739" s="458"/>
      <c r="H1739" s="458"/>
      <c r="I1739" s="28">
        <f>I1740</f>
        <v>3280</v>
      </c>
      <c r="J1739" s="28">
        <f>J1740</f>
        <v>1020</v>
      </c>
      <c r="K1739" s="354">
        <f t="shared" ref="K1739:K1765" si="263">J1739/I1739*100</f>
        <v>31.097560975609756</v>
      </c>
      <c r="L1739" s="28"/>
      <c r="M1739" s="28"/>
      <c r="N1739" s="354"/>
      <c r="O1739" s="29">
        <f t="shared" si="260"/>
        <v>3280</v>
      </c>
      <c r="P1739" s="29">
        <f t="shared" si="261"/>
        <v>1020</v>
      </c>
      <c r="Q1739" s="354">
        <f t="shared" si="262"/>
        <v>31.097560975609756</v>
      </c>
    </row>
    <row r="1740" spans="2:17" ht="15" x14ac:dyDescent="0.25">
      <c r="B1740" s="6">
        <f t="shared" si="259"/>
        <v>74</v>
      </c>
      <c r="C1740" s="95"/>
      <c r="D1740" s="95"/>
      <c r="E1740" s="95">
        <v>5</v>
      </c>
      <c r="F1740" s="96"/>
      <c r="G1740" s="96"/>
      <c r="H1740" s="95" t="s">
        <v>103</v>
      </c>
      <c r="I1740" s="97">
        <f>I1741+I1742</f>
        <v>3280</v>
      </c>
      <c r="J1740" s="97">
        <f>J1741+J1742</f>
        <v>1020</v>
      </c>
      <c r="K1740" s="354">
        <f t="shared" si="263"/>
        <v>31.097560975609756</v>
      </c>
      <c r="L1740" s="97"/>
      <c r="M1740" s="97"/>
      <c r="N1740" s="354"/>
      <c r="O1740" s="98">
        <f t="shared" si="260"/>
        <v>3280</v>
      </c>
      <c r="P1740" s="98">
        <f t="shared" si="261"/>
        <v>1020</v>
      </c>
      <c r="Q1740" s="354">
        <f t="shared" si="262"/>
        <v>31.097560975609756</v>
      </c>
    </row>
    <row r="1741" spans="2:17" x14ac:dyDescent="0.2">
      <c r="B1741" s="6">
        <f t="shared" si="259"/>
        <v>75</v>
      </c>
      <c r="C1741" s="12"/>
      <c r="D1741" s="12"/>
      <c r="E1741" s="12"/>
      <c r="F1741" s="13" t="s">
        <v>52</v>
      </c>
      <c r="G1741" s="14">
        <v>620</v>
      </c>
      <c r="H1741" s="12" t="s">
        <v>121</v>
      </c>
      <c r="I1741" s="15">
        <v>780</v>
      </c>
      <c r="J1741" s="15">
        <v>270</v>
      </c>
      <c r="K1741" s="354">
        <f t="shared" si="263"/>
        <v>34.615384615384613</v>
      </c>
      <c r="L1741" s="15"/>
      <c r="M1741" s="15"/>
      <c r="N1741" s="354"/>
      <c r="O1741" s="16">
        <f t="shared" si="260"/>
        <v>780</v>
      </c>
      <c r="P1741" s="16">
        <f t="shared" si="261"/>
        <v>270</v>
      </c>
      <c r="Q1741" s="354">
        <f t="shared" si="262"/>
        <v>34.615384615384613</v>
      </c>
    </row>
    <row r="1742" spans="2:17" x14ac:dyDescent="0.2">
      <c r="B1742" s="6">
        <f t="shared" si="259"/>
        <v>76</v>
      </c>
      <c r="C1742" s="12"/>
      <c r="D1742" s="12"/>
      <c r="E1742" s="12"/>
      <c r="F1742" s="13" t="s">
        <v>52</v>
      </c>
      <c r="G1742" s="14">
        <v>630</v>
      </c>
      <c r="H1742" s="12" t="s">
        <v>118</v>
      </c>
      <c r="I1742" s="15">
        <f>I1743</f>
        <v>2500</v>
      </c>
      <c r="J1742" s="15">
        <f>J1743</f>
        <v>750</v>
      </c>
      <c r="K1742" s="354">
        <f t="shared" si="263"/>
        <v>30</v>
      </c>
      <c r="L1742" s="15"/>
      <c r="M1742" s="15"/>
      <c r="N1742" s="354"/>
      <c r="O1742" s="16">
        <f t="shared" si="260"/>
        <v>2500</v>
      </c>
      <c r="P1742" s="16">
        <f t="shared" si="261"/>
        <v>750</v>
      </c>
      <c r="Q1742" s="354">
        <f t="shared" si="262"/>
        <v>30</v>
      </c>
    </row>
    <row r="1743" spans="2:17" x14ac:dyDescent="0.2">
      <c r="B1743" s="6">
        <f t="shared" si="259"/>
        <v>77</v>
      </c>
      <c r="C1743" s="17"/>
      <c r="D1743" s="17"/>
      <c r="E1743" s="17"/>
      <c r="F1743" s="18"/>
      <c r="G1743" s="19">
        <v>637</v>
      </c>
      <c r="H1743" s="17" t="s">
        <v>119</v>
      </c>
      <c r="I1743" s="20">
        <v>2500</v>
      </c>
      <c r="J1743" s="20">
        <v>750</v>
      </c>
      <c r="K1743" s="354">
        <f t="shared" si="263"/>
        <v>30</v>
      </c>
      <c r="L1743" s="20"/>
      <c r="M1743" s="20"/>
      <c r="N1743" s="354"/>
      <c r="O1743" s="21">
        <f t="shared" si="260"/>
        <v>2500</v>
      </c>
      <c r="P1743" s="21">
        <f t="shared" si="261"/>
        <v>750</v>
      </c>
      <c r="Q1743" s="354">
        <f t="shared" si="262"/>
        <v>30</v>
      </c>
    </row>
    <row r="1744" spans="2:17" ht="15" x14ac:dyDescent="0.2">
      <c r="B1744" s="6">
        <f t="shared" si="259"/>
        <v>78</v>
      </c>
      <c r="C1744" s="9">
        <v>5</v>
      </c>
      <c r="D1744" s="459" t="s">
        <v>174</v>
      </c>
      <c r="E1744" s="460"/>
      <c r="F1744" s="460"/>
      <c r="G1744" s="460"/>
      <c r="H1744" s="460"/>
      <c r="I1744" s="10">
        <f>I1745+I1753+I1769</f>
        <v>1396240</v>
      </c>
      <c r="J1744" s="10">
        <f>J1745+J1753+J1769</f>
        <v>663344</v>
      </c>
      <c r="K1744" s="354">
        <f t="shared" si="263"/>
        <v>47.509310720220022</v>
      </c>
      <c r="L1744" s="10">
        <f>L1753</f>
        <v>118000</v>
      </c>
      <c r="M1744" s="10">
        <f>M1753</f>
        <v>117342</v>
      </c>
      <c r="N1744" s="354">
        <f>M1744/L1744*100</f>
        <v>99.442372881355936</v>
      </c>
      <c r="O1744" s="31">
        <f t="shared" si="260"/>
        <v>1514240</v>
      </c>
      <c r="P1744" s="31">
        <f t="shared" si="261"/>
        <v>780686</v>
      </c>
      <c r="Q1744" s="354">
        <f t="shared" si="262"/>
        <v>51.556292265426883</v>
      </c>
    </row>
    <row r="1745" spans="2:17" ht="15" x14ac:dyDescent="0.25">
      <c r="B1745" s="6">
        <f t="shared" si="259"/>
        <v>79</v>
      </c>
      <c r="C1745" s="27"/>
      <c r="D1745" s="27">
        <v>1</v>
      </c>
      <c r="E1745" s="457" t="s">
        <v>420</v>
      </c>
      <c r="F1745" s="458"/>
      <c r="G1745" s="458"/>
      <c r="H1745" s="458"/>
      <c r="I1745" s="28">
        <f>I1746+I1750</f>
        <v>9880</v>
      </c>
      <c r="J1745" s="28">
        <f>J1746+J1750</f>
        <v>5686</v>
      </c>
      <c r="K1745" s="354">
        <f t="shared" si="263"/>
        <v>57.550607287449395</v>
      </c>
      <c r="L1745" s="28"/>
      <c r="M1745" s="28"/>
      <c r="N1745" s="354"/>
      <c r="O1745" s="29">
        <f t="shared" si="260"/>
        <v>9880</v>
      </c>
      <c r="P1745" s="29">
        <f t="shared" si="261"/>
        <v>5686</v>
      </c>
      <c r="Q1745" s="354">
        <f t="shared" si="262"/>
        <v>57.550607287449395</v>
      </c>
    </row>
    <row r="1746" spans="2:17" x14ac:dyDescent="0.2">
      <c r="B1746" s="6">
        <f t="shared" si="259"/>
        <v>80</v>
      </c>
      <c r="C1746" s="12"/>
      <c r="D1746" s="12"/>
      <c r="E1746" s="12"/>
      <c r="F1746" s="13" t="s">
        <v>77</v>
      </c>
      <c r="G1746" s="14">
        <v>630</v>
      </c>
      <c r="H1746" s="12" t="s">
        <v>118</v>
      </c>
      <c r="I1746" s="15">
        <f>I1747+I1748+I1749</f>
        <v>5880</v>
      </c>
      <c r="J1746" s="15">
        <f>J1747+J1748+J1749</f>
        <v>1686</v>
      </c>
      <c r="K1746" s="354">
        <f t="shared" si="263"/>
        <v>28.673469387755102</v>
      </c>
      <c r="L1746" s="15"/>
      <c r="M1746" s="15"/>
      <c r="N1746" s="354"/>
      <c r="O1746" s="16">
        <f t="shared" si="260"/>
        <v>5880</v>
      </c>
      <c r="P1746" s="16">
        <f t="shared" si="261"/>
        <v>1686</v>
      </c>
      <c r="Q1746" s="354">
        <f t="shared" si="262"/>
        <v>28.673469387755102</v>
      </c>
    </row>
    <row r="1747" spans="2:17" x14ac:dyDescent="0.2">
      <c r="B1747" s="6">
        <f t="shared" si="259"/>
        <v>81</v>
      </c>
      <c r="C1747" s="17"/>
      <c r="D1747" s="17"/>
      <c r="E1747" s="17"/>
      <c r="F1747" s="18" t="s">
        <v>77</v>
      </c>
      <c r="G1747" s="19">
        <v>633</v>
      </c>
      <c r="H1747" s="17" t="s">
        <v>122</v>
      </c>
      <c r="I1747" s="20">
        <v>2500</v>
      </c>
      <c r="J1747" s="20">
        <v>467</v>
      </c>
      <c r="K1747" s="354">
        <f t="shared" si="263"/>
        <v>18.68</v>
      </c>
      <c r="L1747" s="20"/>
      <c r="M1747" s="20"/>
      <c r="N1747" s="354"/>
      <c r="O1747" s="21">
        <f t="shared" si="260"/>
        <v>2500</v>
      </c>
      <c r="P1747" s="21">
        <f t="shared" si="261"/>
        <v>467</v>
      </c>
      <c r="Q1747" s="354">
        <f t="shared" si="262"/>
        <v>18.68</v>
      </c>
    </row>
    <row r="1748" spans="2:17" x14ac:dyDescent="0.2">
      <c r="B1748" s="6">
        <f t="shared" si="259"/>
        <v>82</v>
      </c>
      <c r="C1748" s="17"/>
      <c r="D1748" s="17"/>
      <c r="E1748" s="17"/>
      <c r="F1748" s="18" t="s">
        <v>77</v>
      </c>
      <c r="G1748" s="19">
        <v>634</v>
      </c>
      <c r="H1748" s="17" t="s">
        <v>129</v>
      </c>
      <c r="I1748" s="20">
        <f>3000-200</f>
        <v>2800</v>
      </c>
      <c r="J1748" s="20">
        <v>827</v>
      </c>
      <c r="K1748" s="354">
        <f t="shared" si="263"/>
        <v>29.535714285714288</v>
      </c>
      <c r="L1748" s="20"/>
      <c r="M1748" s="20"/>
      <c r="N1748" s="354"/>
      <c r="O1748" s="21">
        <f t="shared" si="260"/>
        <v>2800</v>
      </c>
      <c r="P1748" s="21">
        <f t="shared" si="261"/>
        <v>827</v>
      </c>
      <c r="Q1748" s="354">
        <f t="shared" si="262"/>
        <v>29.535714285714288</v>
      </c>
    </row>
    <row r="1749" spans="2:17" x14ac:dyDescent="0.2">
      <c r="B1749" s="6">
        <f t="shared" si="259"/>
        <v>83</v>
      </c>
      <c r="C1749" s="17"/>
      <c r="D1749" s="17"/>
      <c r="E1749" s="17"/>
      <c r="F1749" s="18" t="s">
        <v>77</v>
      </c>
      <c r="G1749" s="19">
        <v>637</v>
      </c>
      <c r="H1749" s="17" t="s">
        <v>119</v>
      </c>
      <c r="I1749" s="20">
        <f>380+200</f>
        <v>580</v>
      </c>
      <c r="J1749" s="20">
        <v>392</v>
      </c>
      <c r="K1749" s="354">
        <f t="shared" si="263"/>
        <v>67.58620689655173</v>
      </c>
      <c r="L1749" s="20"/>
      <c r="M1749" s="20"/>
      <c r="N1749" s="354"/>
      <c r="O1749" s="21">
        <f t="shared" si="260"/>
        <v>580</v>
      </c>
      <c r="P1749" s="21">
        <f t="shared" si="261"/>
        <v>392</v>
      </c>
      <c r="Q1749" s="354">
        <f t="shared" si="262"/>
        <v>67.58620689655173</v>
      </c>
    </row>
    <row r="1750" spans="2:17" x14ac:dyDescent="0.2">
      <c r="B1750" s="6">
        <f t="shared" si="259"/>
        <v>84</v>
      </c>
      <c r="C1750" s="12"/>
      <c r="D1750" s="12"/>
      <c r="E1750" s="12"/>
      <c r="F1750" s="13" t="s">
        <v>74</v>
      </c>
      <c r="G1750" s="14">
        <v>640</v>
      </c>
      <c r="H1750" s="12" t="s">
        <v>126</v>
      </c>
      <c r="I1750" s="15">
        <f>I1751+I1752</f>
        <v>4000</v>
      </c>
      <c r="J1750" s="15">
        <f>J1751+J1752</f>
        <v>4000</v>
      </c>
      <c r="K1750" s="354">
        <f t="shared" si="263"/>
        <v>100</v>
      </c>
      <c r="L1750" s="15"/>
      <c r="M1750" s="15"/>
      <c r="N1750" s="354"/>
      <c r="O1750" s="16">
        <f t="shared" si="260"/>
        <v>4000</v>
      </c>
      <c r="P1750" s="16">
        <f t="shared" si="261"/>
        <v>4000</v>
      </c>
      <c r="Q1750" s="354">
        <f t="shared" si="262"/>
        <v>100</v>
      </c>
    </row>
    <row r="1751" spans="2:17" x14ac:dyDescent="0.2">
      <c r="B1751" s="6">
        <f t="shared" si="259"/>
        <v>85</v>
      </c>
      <c r="C1751" s="22"/>
      <c r="D1751" s="22"/>
      <c r="E1751" s="22"/>
      <c r="F1751" s="123"/>
      <c r="G1751" s="123"/>
      <c r="H1751" s="1" t="s">
        <v>231</v>
      </c>
      <c r="I1751" s="20">
        <v>2000</v>
      </c>
      <c r="J1751" s="20">
        <v>2000</v>
      </c>
      <c r="K1751" s="354">
        <f t="shared" si="263"/>
        <v>100</v>
      </c>
      <c r="L1751" s="24"/>
      <c r="M1751" s="24"/>
      <c r="N1751" s="354"/>
      <c r="O1751" s="26">
        <f t="shared" si="260"/>
        <v>2000</v>
      </c>
      <c r="P1751" s="26">
        <f t="shared" si="261"/>
        <v>2000</v>
      </c>
      <c r="Q1751" s="354">
        <f t="shared" si="262"/>
        <v>100</v>
      </c>
    </row>
    <row r="1752" spans="2:17" x14ac:dyDescent="0.2">
      <c r="B1752" s="6">
        <f t="shared" si="259"/>
        <v>86</v>
      </c>
      <c r="C1752" s="22"/>
      <c r="D1752" s="22"/>
      <c r="E1752" s="22"/>
      <c r="F1752" s="123"/>
      <c r="G1752" s="123"/>
      <c r="H1752" s="1" t="s">
        <v>2</v>
      </c>
      <c r="I1752" s="20">
        <v>2000</v>
      </c>
      <c r="J1752" s="20">
        <v>2000</v>
      </c>
      <c r="K1752" s="354">
        <f t="shared" si="263"/>
        <v>100</v>
      </c>
      <c r="L1752" s="24"/>
      <c r="M1752" s="24"/>
      <c r="N1752" s="354"/>
      <c r="O1752" s="26">
        <f t="shared" si="260"/>
        <v>2000</v>
      </c>
      <c r="P1752" s="26">
        <f t="shared" si="261"/>
        <v>2000</v>
      </c>
      <c r="Q1752" s="354">
        <f t="shared" si="262"/>
        <v>100</v>
      </c>
    </row>
    <row r="1753" spans="2:17" ht="15" x14ac:dyDescent="0.25">
      <c r="B1753" s="6">
        <f t="shared" si="259"/>
        <v>87</v>
      </c>
      <c r="C1753" s="27"/>
      <c r="D1753" s="27">
        <v>2</v>
      </c>
      <c r="E1753" s="457" t="s">
        <v>58</v>
      </c>
      <c r="F1753" s="458"/>
      <c r="G1753" s="458"/>
      <c r="H1753" s="458"/>
      <c r="I1753" s="28">
        <f>I1754</f>
        <v>1315890</v>
      </c>
      <c r="J1753" s="28">
        <f>J1754</f>
        <v>645555</v>
      </c>
      <c r="K1753" s="354">
        <f t="shared" si="263"/>
        <v>49.058431935800108</v>
      </c>
      <c r="L1753" s="28">
        <f>L1754</f>
        <v>118000</v>
      </c>
      <c r="M1753" s="28">
        <f>M1754</f>
        <v>117342</v>
      </c>
      <c r="N1753" s="354">
        <f>M1753/L1753*100</f>
        <v>99.442372881355936</v>
      </c>
      <c r="O1753" s="29">
        <f t="shared" si="260"/>
        <v>1433890</v>
      </c>
      <c r="P1753" s="29">
        <f t="shared" si="261"/>
        <v>762897</v>
      </c>
      <c r="Q1753" s="354">
        <f t="shared" si="262"/>
        <v>53.204708868881156</v>
      </c>
    </row>
    <row r="1754" spans="2:17" ht="15" x14ac:dyDescent="0.25">
      <c r="B1754" s="6">
        <f t="shared" si="259"/>
        <v>88</v>
      </c>
      <c r="C1754" s="95"/>
      <c r="D1754" s="95"/>
      <c r="E1754" s="95">
        <v>5</v>
      </c>
      <c r="F1754" s="96"/>
      <c r="G1754" s="96"/>
      <c r="H1754" s="95" t="s">
        <v>103</v>
      </c>
      <c r="I1754" s="97">
        <f>I1755+I1756+I1757+I1765</f>
        <v>1315890</v>
      </c>
      <c r="J1754" s="97">
        <f>J1755+J1756+J1757+J1765</f>
        <v>645555</v>
      </c>
      <c r="K1754" s="354">
        <f t="shared" si="263"/>
        <v>49.058431935800108</v>
      </c>
      <c r="L1754" s="97">
        <f>L1766</f>
        <v>118000</v>
      </c>
      <c r="M1754" s="97">
        <f>M1766</f>
        <v>117342</v>
      </c>
      <c r="N1754" s="354">
        <f>M1754/L1754*100</f>
        <v>99.442372881355936</v>
      </c>
      <c r="O1754" s="98">
        <f t="shared" si="260"/>
        <v>1433890</v>
      </c>
      <c r="P1754" s="98">
        <f t="shared" si="261"/>
        <v>762897</v>
      </c>
      <c r="Q1754" s="354">
        <f t="shared" si="262"/>
        <v>53.204708868881156</v>
      </c>
    </row>
    <row r="1755" spans="2:17" x14ac:dyDescent="0.2">
      <c r="B1755" s="6">
        <f t="shared" si="259"/>
        <v>89</v>
      </c>
      <c r="C1755" s="12"/>
      <c r="D1755" s="12"/>
      <c r="E1755" s="12"/>
      <c r="F1755" s="13" t="s">
        <v>77</v>
      </c>
      <c r="G1755" s="14">
        <v>610</v>
      </c>
      <c r="H1755" s="12" t="s">
        <v>128</v>
      </c>
      <c r="I1755" s="15">
        <v>588500</v>
      </c>
      <c r="J1755" s="15">
        <v>317669</v>
      </c>
      <c r="K1755" s="354">
        <f t="shared" si="263"/>
        <v>53.979439252336448</v>
      </c>
      <c r="L1755" s="15"/>
      <c r="M1755" s="15"/>
      <c r="N1755" s="354"/>
      <c r="O1755" s="16">
        <f t="shared" si="260"/>
        <v>588500</v>
      </c>
      <c r="P1755" s="16">
        <f t="shared" si="261"/>
        <v>317669</v>
      </c>
      <c r="Q1755" s="354">
        <f t="shared" si="262"/>
        <v>53.979439252336448</v>
      </c>
    </row>
    <row r="1756" spans="2:17" x14ac:dyDescent="0.2">
      <c r="B1756" s="6">
        <f t="shared" si="259"/>
        <v>90</v>
      </c>
      <c r="C1756" s="12"/>
      <c r="D1756" s="12"/>
      <c r="E1756" s="12"/>
      <c r="F1756" s="13" t="s">
        <v>77</v>
      </c>
      <c r="G1756" s="14">
        <v>620</v>
      </c>
      <c r="H1756" s="12" t="s">
        <v>121</v>
      </c>
      <c r="I1756" s="15">
        <v>216975</v>
      </c>
      <c r="J1756" s="15">
        <v>119334</v>
      </c>
      <c r="K1756" s="354">
        <f t="shared" si="263"/>
        <v>54.998963014172141</v>
      </c>
      <c r="L1756" s="15"/>
      <c r="M1756" s="15"/>
      <c r="N1756" s="354"/>
      <c r="O1756" s="16">
        <f t="shared" si="260"/>
        <v>216975</v>
      </c>
      <c r="P1756" s="16">
        <f t="shared" si="261"/>
        <v>119334</v>
      </c>
      <c r="Q1756" s="354">
        <f t="shared" si="262"/>
        <v>54.998963014172141</v>
      </c>
    </row>
    <row r="1757" spans="2:17" x14ac:dyDescent="0.2">
      <c r="B1757" s="6">
        <f t="shared" si="259"/>
        <v>91</v>
      </c>
      <c r="C1757" s="12"/>
      <c r="D1757" s="12"/>
      <c r="E1757" s="12"/>
      <c r="F1757" s="13" t="s">
        <v>77</v>
      </c>
      <c r="G1757" s="14">
        <v>630</v>
      </c>
      <c r="H1757" s="12" t="s">
        <v>118</v>
      </c>
      <c r="I1757" s="15">
        <f>SUM(I1758:I1764)</f>
        <v>481525</v>
      </c>
      <c r="J1757" s="15">
        <f>SUM(J1758:J1764)</f>
        <v>195169</v>
      </c>
      <c r="K1757" s="354">
        <f t="shared" si="263"/>
        <v>40.531436581693576</v>
      </c>
      <c r="L1757" s="15"/>
      <c r="M1757" s="15"/>
      <c r="N1757" s="354"/>
      <c r="O1757" s="16">
        <f t="shared" si="260"/>
        <v>481525</v>
      </c>
      <c r="P1757" s="16">
        <f t="shared" si="261"/>
        <v>195169</v>
      </c>
      <c r="Q1757" s="354">
        <f t="shared" si="262"/>
        <v>40.531436581693576</v>
      </c>
    </row>
    <row r="1758" spans="2:17" x14ac:dyDescent="0.2">
      <c r="B1758" s="6">
        <f t="shared" si="259"/>
        <v>92</v>
      </c>
      <c r="C1758" s="17"/>
      <c r="D1758" s="17"/>
      <c r="E1758" s="17"/>
      <c r="F1758" s="18"/>
      <c r="G1758" s="19">
        <v>631</v>
      </c>
      <c r="H1758" s="17" t="s">
        <v>124</v>
      </c>
      <c r="I1758" s="20">
        <v>100</v>
      </c>
      <c r="J1758" s="20"/>
      <c r="K1758" s="354">
        <f t="shared" si="263"/>
        <v>0</v>
      </c>
      <c r="L1758" s="20"/>
      <c r="M1758" s="20"/>
      <c r="N1758" s="354"/>
      <c r="O1758" s="21">
        <f t="shared" si="260"/>
        <v>100</v>
      </c>
      <c r="P1758" s="21">
        <f t="shared" si="261"/>
        <v>0</v>
      </c>
      <c r="Q1758" s="354">
        <f t="shared" si="262"/>
        <v>0</v>
      </c>
    </row>
    <row r="1759" spans="2:17" x14ac:dyDescent="0.2">
      <c r="B1759" s="6">
        <f t="shared" si="259"/>
        <v>93</v>
      </c>
      <c r="C1759" s="17"/>
      <c r="D1759" s="17"/>
      <c r="E1759" s="17"/>
      <c r="F1759" s="18"/>
      <c r="G1759" s="19">
        <v>632</v>
      </c>
      <c r="H1759" s="17" t="s">
        <v>131</v>
      </c>
      <c r="I1759" s="20">
        <v>172420</v>
      </c>
      <c r="J1759" s="20">
        <v>56110</v>
      </c>
      <c r="K1759" s="354">
        <f t="shared" si="263"/>
        <v>32.542628465375245</v>
      </c>
      <c r="L1759" s="20"/>
      <c r="M1759" s="20"/>
      <c r="N1759" s="354"/>
      <c r="O1759" s="21">
        <f t="shared" si="260"/>
        <v>172420</v>
      </c>
      <c r="P1759" s="21">
        <f t="shared" si="261"/>
        <v>56110</v>
      </c>
      <c r="Q1759" s="354">
        <f t="shared" si="262"/>
        <v>32.542628465375245</v>
      </c>
    </row>
    <row r="1760" spans="2:17" x14ac:dyDescent="0.2">
      <c r="B1760" s="6">
        <f t="shared" si="259"/>
        <v>94</v>
      </c>
      <c r="C1760" s="17"/>
      <c r="D1760" s="17"/>
      <c r="E1760" s="17"/>
      <c r="F1760" s="18"/>
      <c r="G1760" s="19">
        <v>633</v>
      </c>
      <c r="H1760" s="17" t="s">
        <v>122</v>
      </c>
      <c r="I1760" s="20">
        <v>45880</v>
      </c>
      <c r="J1760" s="20">
        <v>13364</v>
      </c>
      <c r="K1760" s="354">
        <f t="shared" si="263"/>
        <v>29.128160418483002</v>
      </c>
      <c r="L1760" s="20"/>
      <c r="M1760" s="20"/>
      <c r="N1760" s="354"/>
      <c r="O1760" s="21">
        <f t="shared" si="260"/>
        <v>45880</v>
      </c>
      <c r="P1760" s="21">
        <f t="shared" si="261"/>
        <v>13364</v>
      </c>
      <c r="Q1760" s="354">
        <f t="shared" si="262"/>
        <v>29.128160418483002</v>
      </c>
    </row>
    <row r="1761" spans="2:17" x14ac:dyDescent="0.2">
      <c r="B1761" s="6">
        <f t="shared" si="259"/>
        <v>95</v>
      </c>
      <c r="C1761" s="17"/>
      <c r="D1761" s="17"/>
      <c r="E1761" s="17"/>
      <c r="F1761" s="18"/>
      <c r="G1761" s="19">
        <v>634</v>
      </c>
      <c r="H1761" s="17" t="s">
        <v>129</v>
      </c>
      <c r="I1761" s="20">
        <v>3950</v>
      </c>
      <c r="J1761" s="20">
        <v>923</v>
      </c>
      <c r="K1761" s="354">
        <f t="shared" si="263"/>
        <v>23.367088607594937</v>
      </c>
      <c r="L1761" s="20"/>
      <c r="M1761" s="20"/>
      <c r="N1761" s="354"/>
      <c r="O1761" s="21">
        <f t="shared" si="260"/>
        <v>3950</v>
      </c>
      <c r="P1761" s="21">
        <f t="shared" si="261"/>
        <v>923</v>
      </c>
      <c r="Q1761" s="354">
        <f t="shared" si="262"/>
        <v>23.367088607594937</v>
      </c>
    </row>
    <row r="1762" spans="2:17" x14ac:dyDescent="0.2">
      <c r="B1762" s="6">
        <f t="shared" si="259"/>
        <v>96</v>
      </c>
      <c r="C1762" s="17"/>
      <c r="D1762" s="17"/>
      <c r="E1762" s="17"/>
      <c r="F1762" s="18"/>
      <c r="G1762" s="19">
        <v>635</v>
      </c>
      <c r="H1762" s="17" t="s">
        <v>130</v>
      </c>
      <c r="I1762" s="20">
        <v>27400</v>
      </c>
      <c r="J1762" s="20">
        <v>3313</v>
      </c>
      <c r="K1762" s="354">
        <f t="shared" si="263"/>
        <v>12.091240875912408</v>
      </c>
      <c r="L1762" s="20"/>
      <c r="M1762" s="20"/>
      <c r="N1762" s="354"/>
      <c r="O1762" s="21">
        <f t="shared" si="260"/>
        <v>27400</v>
      </c>
      <c r="P1762" s="21">
        <f t="shared" si="261"/>
        <v>3313</v>
      </c>
      <c r="Q1762" s="354">
        <f t="shared" si="262"/>
        <v>12.091240875912408</v>
      </c>
    </row>
    <row r="1763" spans="2:17" x14ac:dyDescent="0.2">
      <c r="B1763" s="6">
        <f t="shared" si="259"/>
        <v>97</v>
      </c>
      <c r="C1763" s="17"/>
      <c r="D1763" s="17"/>
      <c r="E1763" s="17"/>
      <c r="F1763" s="18"/>
      <c r="G1763" s="19">
        <v>636</v>
      </c>
      <c r="H1763" s="17" t="s">
        <v>123</v>
      </c>
      <c r="I1763" s="20">
        <v>1000</v>
      </c>
      <c r="J1763" s="20"/>
      <c r="K1763" s="354">
        <f t="shared" si="263"/>
        <v>0</v>
      </c>
      <c r="L1763" s="20"/>
      <c r="M1763" s="20"/>
      <c r="N1763" s="354"/>
      <c r="O1763" s="21">
        <f t="shared" si="260"/>
        <v>1000</v>
      </c>
      <c r="P1763" s="21">
        <f t="shared" si="261"/>
        <v>0</v>
      </c>
      <c r="Q1763" s="354">
        <f t="shared" si="262"/>
        <v>0</v>
      </c>
    </row>
    <row r="1764" spans="2:17" x14ac:dyDescent="0.2">
      <c r="B1764" s="6">
        <f t="shared" si="259"/>
        <v>98</v>
      </c>
      <c r="C1764" s="17"/>
      <c r="D1764" s="17"/>
      <c r="E1764" s="17"/>
      <c r="F1764" s="18"/>
      <c r="G1764" s="19">
        <v>637</v>
      </c>
      <c r="H1764" s="17" t="s">
        <v>119</v>
      </c>
      <c r="I1764" s="20">
        <v>230775</v>
      </c>
      <c r="J1764" s="20">
        <v>121459</v>
      </c>
      <c r="K1764" s="354">
        <f t="shared" si="263"/>
        <v>52.630917560394316</v>
      </c>
      <c r="L1764" s="20"/>
      <c r="M1764" s="20"/>
      <c r="N1764" s="354"/>
      <c r="O1764" s="21">
        <f t="shared" si="260"/>
        <v>230775</v>
      </c>
      <c r="P1764" s="21">
        <f t="shared" si="261"/>
        <v>121459</v>
      </c>
      <c r="Q1764" s="354">
        <f t="shared" si="262"/>
        <v>52.630917560394316</v>
      </c>
    </row>
    <row r="1765" spans="2:17" x14ac:dyDescent="0.2">
      <c r="B1765" s="6">
        <f t="shared" ref="B1765:B1796" si="264">B1764+1</f>
        <v>99</v>
      </c>
      <c r="C1765" s="12"/>
      <c r="D1765" s="12"/>
      <c r="E1765" s="12"/>
      <c r="F1765" s="13" t="s">
        <v>77</v>
      </c>
      <c r="G1765" s="14">
        <v>640</v>
      </c>
      <c r="H1765" s="12" t="s">
        <v>126</v>
      </c>
      <c r="I1765" s="15">
        <v>28890</v>
      </c>
      <c r="J1765" s="15">
        <v>13383</v>
      </c>
      <c r="K1765" s="354">
        <f t="shared" si="263"/>
        <v>46.323987538940806</v>
      </c>
      <c r="L1765" s="15"/>
      <c r="M1765" s="15"/>
      <c r="N1765" s="354"/>
      <c r="O1765" s="16">
        <f t="shared" si="260"/>
        <v>28890</v>
      </c>
      <c r="P1765" s="16">
        <f t="shared" si="261"/>
        <v>13383</v>
      </c>
      <c r="Q1765" s="354">
        <f t="shared" si="262"/>
        <v>46.323987538940806</v>
      </c>
    </row>
    <row r="1766" spans="2:17" x14ac:dyDescent="0.2">
      <c r="B1766" s="6">
        <f t="shared" si="264"/>
        <v>100</v>
      </c>
      <c r="C1766" s="12"/>
      <c r="D1766" s="12"/>
      <c r="E1766" s="12"/>
      <c r="F1766" s="13" t="s">
        <v>77</v>
      </c>
      <c r="G1766" s="14">
        <v>710</v>
      </c>
      <c r="H1766" s="12" t="s">
        <v>172</v>
      </c>
      <c r="I1766" s="15"/>
      <c r="J1766" s="15"/>
      <c r="K1766" s="354"/>
      <c r="L1766" s="15">
        <f>L1767</f>
        <v>118000</v>
      </c>
      <c r="M1766" s="15">
        <f>M1767</f>
        <v>117342</v>
      </c>
      <c r="N1766" s="354">
        <f>M1766/L1766*100</f>
        <v>99.442372881355936</v>
      </c>
      <c r="O1766" s="16">
        <f t="shared" si="260"/>
        <v>118000</v>
      </c>
      <c r="P1766" s="16">
        <f t="shared" si="261"/>
        <v>117342</v>
      </c>
      <c r="Q1766" s="354">
        <f t="shared" si="262"/>
        <v>99.442372881355936</v>
      </c>
    </row>
    <row r="1767" spans="2:17" x14ac:dyDescent="0.2">
      <c r="B1767" s="6">
        <f t="shared" si="264"/>
        <v>101</v>
      </c>
      <c r="C1767" s="22"/>
      <c r="D1767" s="22"/>
      <c r="E1767" s="22"/>
      <c r="F1767" s="150"/>
      <c r="G1767" s="19">
        <v>716</v>
      </c>
      <c r="H1767" s="17" t="s">
        <v>212</v>
      </c>
      <c r="I1767" s="24"/>
      <c r="J1767" s="24"/>
      <c r="K1767" s="354"/>
      <c r="L1767" s="24">
        <f>L1768</f>
        <v>118000</v>
      </c>
      <c r="M1767" s="24">
        <f>M1768</f>
        <v>117342</v>
      </c>
      <c r="N1767" s="354">
        <f>M1767/L1767*100</f>
        <v>99.442372881355936</v>
      </c>
      <c r="O1767" s="26">
        <f t="shared" si="260"/>
        <v>118000</v>
      </c>
      <c r="P1767" s="26">
        <f t="shared" si="261"/>
        <v>117342</v>
      </c>
      <c r="Q1767" s="354">
        <f t="shared" si="262"/>
        <v>99.442372881355936</v>
      </c>
    </row>
    <row r="1768" spans="2:17" ht="24" x14ac:dyDescent="0.2">
      <c r="B1768" s="6">
        <f t="shared" si="264"/>
        <v>102</v>
      </c>
      <c r="C1768" s="32"/>
      <c r="D1768" s="32"/>
      <c r="E1768" s="32"/>
      <c r="F1768" s="376"/>
      <c r="G1768" s="33"/>
      <c r="H1768" s="34" t="s">
        <v>548</v>
      </c>
      <c r="I1768" s="35"/>
      <c r="J1768" s="35"/>
      <c r="K1768" s="374"/>
      <c r="L1768" s="35">
        <v>118000</v>
      </c>
      <c r="M1768" s="35">
        <v>117342</v>
      </c>
      <c r="N1768" s="374">
        <f>M1768/L1768*100</f>
        <v>99.442372881355936</v>
      </c>
      <c r="O1768" s="37">
        <f t="shared" si="260"/>
        <v>118000</v>
      </c>
      <c r="P1768" s="37">
        <f t="shared" si="261"/>
        <v>117342</v>
      </c>
      <c r="Q1768" s="374">
        <f t="shared" si="262"/>
        <v>99.442372881355936</v>
      </c>
    </row>
    <row r="1769" spans="2:17" ht="15" x14ac:dyDescent="0.25">
      <c r="B1769" s="6">
        <f t="shared" si="264"/>
        <v>103</v>
      </c>
      <c r="C1769" s="27"/>
      <c r="D1769" s="27">
        <v>3</v>
      </c>
      <c r="E1769" s="457" t="s">
        <v>357</v>
      </c>
      <c r="F1769" s="458"/>
      <c r="G1769" s="458"/>
      <c r="H1769" s="458"/>
      <c r="I1769" s="28">
        <f>I1770</f>
        <v>70470</v>
      </c>
      <c r="J1769" s="28">
        <f>J1770</f>
        <v>12103</v>
      </c>
      <c r="K1769" s="354">
        <f t="shared" ref="K1769:K1789" si="265">J1769/I1769*100</f>
        <v>17.174684262806871</v>
      </c>
      <c r="L1769" s="28"/>
      <c r="M1769" s="28"/>
      <c r="N1769" s="354"/>
      <c r="O1769" s="29">
        <f t="shared" si="260"/>
        <v>70470</v>
      </c>
      <c r="P1769" s="29">
        <f t="shared" si="261"/>
        <v>12103</v>
      </c>
      <c r="Q1769" s="354">
        <f t="shared" si="262"/>
        <v>17.174684262806871</v>
      </c>
    </row>
    <row r="1770" spans="2:17" x14ac:dyDescent="0.2">
      <c r="B1770" s="6">
        <f t="shared" si="264"/>
        <v>104</v>
      </c>
      <c r="C1770" s="12"/>
      <c r="D1770" s="12"/>
      <c r="E1770" s="12"/>
      <c r="F1770" s="13" t="s">
        <v>77</v>
      </c>
      <c r="G1770" s="14">
        <v>630</v>
      </c>
      <c r="H1770" s="12" t="s">
        <v>118</v>
      </c>
      <c r="I1770" s="15">
        <f>SUM(I1771:I1774)</f>
        <v>70470</v>
      </c>
      <c r="J1770" s="15">
        <f>SUM(J1771:J1774)</f>
        <v>12103</v>
      </c>
      <c r="K1770" s="354">
        <f t="shared" si="265"/>
        <v>17.174684262806871</v>
      </c>
      <c r="L1770" s="15"/>
      <c r="M1770" s="15"/>
      <c r="N1770" s="354"/>
      <c r="O1770" s="16">
        <f t="shared" ref="O1770:O1801" si="266">L1770+I1770</f>
        <v>70470</v>
      </c>
      <c r="P1770" s="16">
        <f t="shared" ref="P1770:P1801" si="267">M1770+J1770</f>
        <v>12103</v>
      </c>
      <c r="Q1770" s="354">
        <f t="shared" ref="Q1770:Q1801" si="268">P1770/O1770*100</f>
        <v>17.174684262806871</v>
      </c>
    </row>
    <row r="1771" spans="2:17" x14ac:dyDescent="0.2">
      <c r="B1771" s="6">
        <f t="shared" si="264"/>
        <v>105</v>
      </c>
      <c r="C1771" s="17"/>
      <c r="D1771" s="17"/>
      <c r="E1771" s="17"/>
      <c r="F1771" s="18"/>
      <c r="G1771" s="19">
        <v>632</v>
      </c>
      <c r="H1771" s="17" t="s">
        <v>131</v>
      </c>
      <c r="I1771" s="20">
        <v>55000</v>
      </c>
      <c r="J1771" s="20">
        <v>11192</v>
      </c>
      <c r="K1771" s="354">
        <f t="shared" si="265"/>
        <v>20.349090909090908</v>
      </c>
      <c r="L1771" s="20"/>
      <c r="M1771" s="20"/>
      <c r="N1771" s="354"/>
      <c r="O1771" s="21">
        <f t="shared" si="266"/>
        <v>55000</v>
      </c>
      <c r="P1771" s="21">
        <f t="shared" si="267"/>
        <v>11192</v>
      </c>
      <c r="Q1771" s="354">
        <f t="shared" si="268"/>
        <v>20.349090909090908</v>
      </c>
    </row>
    <row r="1772" spans="2:17" x14ac:dyDescent="0.2">
      <c r="B1772" s="6">
        <f t="shared" si="264"/>
        <v>106</v>
      </c>
      <c r="C1772" s="17"/>
      <c r="D1772" s="17"/>
      <c r="E1772" s="17"/>
      <c r="F1772" s="18"/>
      <c r="G1772" s="19">
        <v>633</v>
      </c>
      <c r="H1772" s="17" t="s">
        <v>122</v>
      </c>
      <c r="I1772" s="20">
        <v>3500</v>
      </c>
      <c r="J1772" s="20">
        <v>439</v>
      </c>
      <c r="K1772" s="354">
        <f t="shared" si="265"/>
        <v>12.542857142857141</v>
      </c>
      <c r="L1772" s="20"/>
      <c r="M1772" s="20"/>
      <c r="N1772" s="354"/>
      <c r="O1772" s="21">
        <f t="shared" si="266"/>
        <v>3500</v>
      </c>
      <c r="P1772" s="21">
        <f t="shared" si="267"/>
        <v>439</v>
      </c>
      <c r="Q1772" s="354">
        <f t="shared" si="268"/>
        <v>12.542857142857141</v>
      </c>
    </row>
    <row r="1773" spans="2:17" x14ac:dyDescent="0.2">
      <c r="B1773" s="6">
        <f t="shared" si="264"/>
        <v>107</v>
      </c>
      <c r="C1773" s="17"/>
      <c r="D1773" s="17"/>
      <c r="E1773" s="17"/>
      <c r="F1773" s="18"/>
      <c r="G1773" s="19">
        <v>635</v>
      </c>
      <c r="H1773" s="17" t="s">
        <v>130</v>
      </c>
      <c r="I1773" s="20">
        <v>5200</v>
      </c>
      <c r="J1773" s="20">
        <v>220</v>
      </c>
      <c r="K1773" s="354">
        <f t="shared" si="265"/>
        <v>4.2307692307692308</v>
      </c>
      <c r="L1773" s="20"/>
      <c r="M1773" s="20"/>
      <c r="N1773" s="354"/>
      <c r="O1773" s="21">
        <f t="shared" si="266"/>
        <v>5200</v>
      </c>
      <c r="P1773" s="21">
        <f t="shared" si="267"/>
        <v>220</v>
      </c>
      <c r="Q1773" s="354">
        <f t="shared" si="268"/>
        <v>4.2307692307692308</v>
      </c>
    </row>
    <row r="1774" spans="2:17" x14ac:dyDescent="0.2">
      <c r="B1774" s="6">
        <f t="shared" si="264"/>
        <v>108</v>
      </c>
      <c r="C1774" s="17"/>
      <c r="D1774" s="17"/>
      <c r="E1774" s="17"/>
      <c r="F1774" s="18"/>
      <c r="G1774" s="19">
        <v>637</v>
      </c>
      <c r="H1774" s="17" t="s">
        <v>119</v>
      </c>
      <c r="I1774" s="20">
        <v>6770</v>
      </c>
      <c r="J1774" s="20">
        <v>252</v>
      </c>
      <c r="K1774" s="354">
        <f t="shared" si="265"/>
        <v>3.722304283604136</v>
      </c>
      <c r="L1774" s="20"/>
      <c r="M1774" s="20"/>
      <c r="N1774" s="354"/>
      <c r="O1774" s="21">
        <f t="shared" si="266"/>
        <v>6770</v>
      </c>
      <c r="P1774" s="21">
        <f t="shared" si="267"/>
        <v>252</v>
      </c>
      <c r="Q1774" s="354">
        <f t="shared" si="268"/>
        <v>3.722304283604136</v>
      </c>
    </row>
    <row r="1775" spans="2:17" ht="15" x14ac:dyDescent="0.2">
      <c r="B1775" s="6">
        <f t="shared" si="264"/>
        <v>109</v>
      </c>
      <c r="C1775" s="9">
        <v>6</v>
      </c>
      <c r="D1775" s="459" t="s">
        <v>226</v>
      </c>
      <c r="E1775" s="460"/>
      <c r="F1775" s="460"/>
      <c r="G1775" s="460"/>
      <c r="H1775" s="460"/>
      <c r="I1775" s="10">
        <f>I1778+I1776</f>
        <v>2457026</v>
      </c>
      <c r="J1775" s="10">
        <f>J1778+J1776</f>
        <v>1182368</v>
      </c>
      <c r="K1775" s="354">
        <f t="shared" si="265"/>
        <v>48.121916495796135</v>
      </c>
      <c r="L1775" s="10">
        <f>L1778</f>
        <v>446700</v>
      </c>
      <c r="M1775" s="10">
        <f>M1778</f>
        <v>271818</v>
      </c>
      <c r="N1775" s="354">
        <f>M1775/L1775*100</f>
        <v>60.850235057085285</v>
      </c>
      <c r="O1775" s="31">
        <f t="shared" si="266"/>
        <v>2903726</v>
      </c>
      <c r="P1775" s="31">
        <f t="shared" si="267"/>
        <v>1454186</v>
      </c>
      <c r="Q1775" s="354">
        <f t="shared" si="268"/>
        <v>50.080000661219415</v>
      </c>
    </row>
    <row r="1776" spans="2:17" ht="15" x14ac:dyDescent="0.2">
      <c r="B1776" s="6">
        <f t="shared" si="264"/>
        <v>110</v>
      </c>
      <c r="C1776" s="326"/>
      <c r="D1776" s="326"/>
      <c r="E1776" s="327"/>
      <c r="F1776" s="13" t="s">
        <v>77</v>
      </c>
      <c r="G1776" s="14">
        <v>630</v>
      </c>
      <c r="H1776" s="12" t="s">
        <v>118</v>
      </c>
      <c r="I1776" s="15">
        <f>I1777</f>
        <v>601</v>
      </c>
      <c r="J1776" s="15">
        <f>J1777</f>
        <v>601</v>
      </c>
      <c r="K1776" s="354">
        <f t="shared" si="265"/>
        <v>100</v>
      </c>
      <c r="L1776" s="324"/>
      <c r="M1776" s="324"/>
      <c r="N1776" s="354"/>
      <c r="O1776" s="325">
        <f t="shared" si="266"/>
        <v>601</v>
      </c>
      <c r="P1776" s="325">
        <f t="shared" si="267"/>
        <v>601</v>
      </c>
      <c r="Q1776" s="354">
        <f t="shared" si="268"/>
        <v>100</v>
      </c>
    </row>
    <row r="1777" spans="2:17" ht="15" x14ac:dyDescent="0.2">
      <c r="B1777" s="6">
        <f t="shared" si="264"/>
        <v>111</v>
      </c>
      <c r="C1777" s="326"/>
      <c r="D1777" s="326"/>
      <c r="E1777" s="327"/>
      <c r="F1777" s="18"/>
      <c r="G1777" s="19">
        <v>637</v>
      </c>
      <c r="H1777" s="17" t="s">
        <v>671</v>
      </c>
      <c r="I1777" s="20">
        <v>601</v>
      </c>
      <c r="J1777" s="20">
        <v>601</v>
      </c>
      <c r="K1777" s="354">
        <f t="shared" si="265"/>
        <v>100</v>
      </c>
      <c r="L1777" s="324"/>
      <c r="M1777" s="324"/>
      <c r="N1777" s="354"/>
      <c r="O1777" s="325">
        <f t="shared" si="266"/>
        <v>601</v>
      </c>
      <c r="P1777" s="325">
        <f t="shared" si="267"/>
        <v>601</v>
      </c>
      <c r="Q1777" s="354">
        <f t="shared" si="268"/>
        <v>100</v>
      </c>
    </row>
    <row r="1778" spans="2:17" ht="15" x14ac:dyDescent="0.25">
      <c r="B1778" s="6">
        <f t="shared" si="264"/>
        <v>112</v>
      </c>
      <c r="C1778" s="95"/>
      <c r="D1778" s="95"/>
      <c r="E1778" s="95">
        <v>5</v>
      </c>
      <c r="F1778" s="96"/>
      <c r="G1778" s="96"/>
      <c r="H1778" s="95" t="s">
        <v>103</v>
      </c>
      <c r="I1778" s="97">
        <f>I1779+I1780+I1781+I1789</f>
        <v>2456425</v>
      </c>
      <c r="J1778" s="97">
        <f>J1779+J1780+J1781+J1789</f>
        <v>1181767</v>
      </c>
      <c r="K1778" s="354">
        <f t="shared" si="265"/>
        <v>48.109223770316618</v>
      </c>
      <c r="L1778" s="97">
        <f>L1790</f>
        <v>446700</v>
      </c>
      <c r="M1778" s="97">
        <f>M1790</f>
        <v>271818</v>
      </c>
      <c r="N1778" s="354">
        <f>M1778/L1778*100</f>
        <v>60.850235057085285</v>
      </c>
      <c r="O1778" s="98">
        <f t="shared" si="266"/>
        <v>2903125</v>
      </c>
      <c r="P1778" s="98">
        <f t="shared" si="267"/>
        <v>1453585</v>
      </c>
      <c r="Q1778" s="354">
        <f t="shared" si="268"/>
        <v>50.069666307857908</v>
      </c>
    </row>
    <row r="1779" spans="2:17" x14ac:dyDescent="0.2">
      <c r="B1779" s="6">
        <f t="shared" si="264"/>
        <v>113</v>
      </c>
      <c r="C1779" s="12"/>
      <c r="D1779" s="12"/>
      <c r="E1779" s="12"/>
      <c r="F1779" s="13" t="s">
        <v>76</v>
      </c>
      <c r="G1779" s="14">
        <v>610</v>
      </c>
      <c r="H1779" s="12" t="s">
        <v>128</v>
      </c>
      <c r="I1779" s="15">
        <v>1178880</v>
      </c>
      <c r="J1779" s="15">
        <v>593728</v>
      </c>
      <c r="K1779" s="354">
        <f t="shared" si="265"/>
        <v>50.363735070575466</v>
      </c>
      <c r="L1779" s="15"/>
      <c r="M1779" s="15"/>
      <c r="N1779" s="354"/>
      <c r="O1779" s="16">
        <f t="shared" si="266"/>
        <v>1178880</v>
      </c>
      <c r="P1779" s="16">
        <f t="shared" si="267"/>
        <v>593728</v>
      </c>
      <c r="Q1779" s="354">
        <f t="shared" si="268"/>
        <v>50.363735070575466</v>
      </c>
    </row>
    <row r="1780" spans="2:17" x14ac:dyDescent="0.2">
      <c r="B1780" s="6">
        <f t="shared" si="264"/>
        <v>114</v>
      </c>
      <c r="C1780" s="12"/>
      <c r="D1780" s="12"/>
      <c r="E1780" s="12"/>
      <c r="F1780" s="13" t="s">
        <v>76</v>
      </c>
      <c r="G1780" s="14">
        <v>620</v>
      </c>
      <c r="H1780" s="12" t="s">
        <v>121</v>
      </c>
      <c r="I1780" s="15">
        <v>431390</v>
      </c>
      <c r="J1780" s="15">
        <v>216682</v>
      </c>
      <c r="K1780" s="354">
        <f t="shared" si="265"/>
        <v>50.228795289645099</v>
      </c>
      <c r="L1780" s="15"/>
      <c r="M1780" s="15"/>
      <c r="N1780" s="354"/>
      <c r="O1780" s="16">
        <f t="shared" si="266"/>
        <v>431390</v>
      </c>
      <c r="P1780" s="16">
        <f t="shared" si="267"/>
        <v>216682</v>
      </c>
      <c r="Q1780" s="354">
        <f t="shared" si="268"/>
        <v>50.228795289645099</v>
      </c>
    </row>
    <row r="1781" spans="2:17" x14ac:dyDescent="0.2">
      <c r="B1781" s="6">
        <f t="shared" si="264"/>
        <v>115</v>
      </c>
      <c r="C1781" s="12"/>
      <c r="D1781" s="12"/>
      <c r="E1781" s="12"/>
      <c r="F1781" s="13" t="s">
        <v>76</v>
      </c>
      <c r="G1781" s="14">
        <v>630</v>
      </c>
      <c r="H1781" s="12" t="s">
        <v>118</v>
      </c>
      <c r="I1781" s="15">
        <f>SUM(I1782:I1788)</f>
        <v>780550</v>
      </c>
      <c r="J1781" s="15">
        <f>SUM(J1782:J1788)</f>
        <v>337225</v>
      </c>
      <c r="K1781" s="354">
        <f t="shared" si="265"/>
        <v>43.203510345269365</v>
      </c>
      <c r="L1781" s="15"/>
      <c r="M1781" s="15"/>
      <c r="N1781" s="354"/>
      <c r="O1781" s="16">
        <f t="shared" si="266"/>
        <v>780550</v>
      </c>
      <c r="P1781" s="16">
        <f t="shared" si="267"/>
        <v>337225</v>
      </c>
      <c r="Q1781" s="354">
        <f t="shared" si="268"/>
        <v>43.203510345269365</v>
      </c>
    </row>
    <row r="1782" spans="2:17" x14ac:dyDescent="0.2">
      <c r="B1782" s="6">
        <f t="shared" si="264"/>
        <v>116</v>
      </c>
      <c r="C1782" s="17"/>
      <c r="D1782" s="17"/>
      <c r="E1782" s="17"/>
      <c r="F1782" s="18"/>
      <c r="G1782" s="19">
        <v>631</v>
      </c>
      <c r="H1782" s="17" t="s">
        <v>124</v>
      </c>
      <c r="I1782" s="20">
        <v>200</v>
      </c>
      <c r="J1782" s="20">
        <v>0</v>
      </c>
      <c r="K1782" s="354">
        <f t="shared" si="265"/>
        <v>0</v>
      </c>
      <c r="L1782" s="20"/>
      <c r="M1782" s="20"/>
      <c r="N1782" s="354"/>
      <c r="O1782" s="21">
        <f t="shared" si="266"/>
        <v>200</v>
      </c>
      <c r="P1782" s="21">
        <f t="shared" si="267"/>
        <v>0</v>
      </c>
      <c r="Q1782" s="354">
        <f t="shared" si="268"/>
        <v>0</v>
      </c>
    </row>
    <row r="1783" spans="2:17" x14ac:dyDescent="0.2">
      <c r="B1783" s="6">
        <f t="shared" si="264"/>
        <v>117</v>
      </c>
      <c r="C1783" s="17"/>
      <c r="D1783" s="17"/>
      <c r="E1783" s="17"/>
      <c r="F1783" s="18"/>
      <c r="G1783" s="19">
        <v>632</v>
      </c>
      <c r="H1783" s="17" t="s">
        <v>131</v>
      </c>
      <c r="I1783" s="20">
        <v>228500</v>
      </c>
      <c r="J1783" s="20">
        <v>71919</v>
      </c>
      <c r="K1783" s="354">
        <f t="shared" si="265"/>
        <v>31.474398249452957</v>
      </c>
      <c r="L1783" s="20"/>
      <c r="M1783" s="20"/>
      <c r="N1783" s="354"/>
      <c r="O1783" s="21">
        <f t="shared" si="266"/>
        <v>228500</v>
      </c>
      <c r="P1783" s="21">
        <f t="shared" si="267"/>
        <v>71919</v>
      </c>
      <c r="Q1783" s="354">
        <f t="shared" si="268"/>
        <v>31.474398249452957</v>
      </c>
    </row>
    <row r="1784" spans="2:17" x14ac:dyDescent="0.2">
      <c r="B1784" s="6">
        <f t="shared" si="264"/>
        <v>118</v>
      </c>
      <c r="C1784" s="17"/>
      <c r="D1784" s="17"/>
      <c r="E1784" s="17"/>
      <c r="F1784" s="18"/>
      <c r="G1784" s="19">
        <v>633</v>
      </c>
      <c r="H1784" s="17" t="s">
        <v>122</v>
      </c>
      <c r="I1784" s="20">
        <f>50200+10750</f>
        <v>60950</v>
      </c>
      <c r="J1784" s="20">
        <v>30045</v>
      </c>
      <c r="K1784" s="354">
        <f t="shared" si="265"/>
        <v>49.294503691550453</v>
      </c>
      <c r="L1784" s="20"/>
      <c r="M1784" s="20"/>
      <c r="N1784" s="354"/>
      <c r="O1784" s="21">
        <f t="shared" si="266"/>
        <v>60950</v>
      </c>
      <c r="P1784" s="21">
        <f t="shared" si="267"/>
        <v>30045</v>
      </c>
      <c r="Q1784" s="354">
        <f t="shared" si="268"/>
        <v>49.294503691550453</v>
      </c>
    </row>
    <row r="1785" spans="2:17" x14ac:dyDescent="0.2">
      <c r="B1785" s="6">
        <f t="shared" si="264"/>
        <v>119</v>
      </c>
      <c r="C1785" s="17"/>
      <c r="D1785" s="17"/>
      <c r="E1785" s="17"/>
      <c r="F1785" s="18"/>
      <c r="G1785" s="19">
        <v>634</v>
      </c>
      <c r="H1785" s="17" t="s">
        <v>129</v>
      </c>
      <c r="I1785" s="20">
        <v>2440</v>
      </c>
      <c r="J1785" s="20">
        <v>656</v>
      </c>
      <c r="K1785" s="354">
        <f t="shared" si="265"/>
        <v>26.885245901639344</v>
      </c>
      <c r="L1785" s="20"/>
      <c r="M1785" s="20"/>
      <c r="N1785" s="354"/>
      <c r="O1785" s="21">
        <f t="shared" si="266"/>
        <v>2440</v>
      </c>
      <c r="P1785" s="21">
        <f t="shared" si="267"/>
        <v>656</v>
      </c>
      <c r="Q1785" s="354">
        <f t="shared" si="268"/>
        <v>26.885245901639344</v>
      </c>
    </row>
    <row r="1786" spans="2:17" x14ac:dyDescent="0.2">
      <c r="B1786" s="6">
        <f t="shared" si="264"/>
        <v>120</v>
      </c>
      <c r="C1786" s="17"/>
      <c r="D1786" s="17"/>
      <c r="E1786" s="17"/>
      <c r="F1786" s="18"/>
      <c r="G1786" s="19">
        <v>635</v>
      </c>
      <c r="H1786" s="17" t="s">
        <v>130</v>
      </c>
      <c r="I1786" s="20">
        <f>76250-3000</f>
        <v>73250</v>
      </c>
      <c r="J1786" s="20">
        <v>51226</v>
      </c>
      <c r="K1786" s="354">
        <f t="shared" si="265"/>
        <v>69.933105802047777</v>
      </c>
      <c r="L1786" s="20"/>
      <c r="M1786" s="20"/>
      <c r="N1786" s="354"/>
      <c r="O1786" s="21">
        <f t="shared" si="266"/>
        <v>73250</v>
      </c>
      <c r="P1786" s="21">
        <f t="shared" si="267"/>
        <v>51226</v>
      </c>
      <c r="Q1786" s="354">
        <f t="shared" si="268"/>
        <v>69.933105802047777</v>
      </c>
    </row>
    <row r="1787" spans="2:17" x14ac:dyDescent="0.2">
      <c r="B1787" s="6">
        <f t="shared" si="264"/>
        <v>121</v>
      </c>
      <c r="C1787" s="17"/>
      <c r="D1787" s="17"/>
      <c r="E1787" s="17"/>
      <c r="F1787" s="18"/>
      <c r="G1787" s="19">
        <v>636</v>
      </c>
      <c r="H1787" s="17" t="s">
        <v>123</v>
      </c>
      <c r="I1787" s="20">
        <v>1000</v>
      </c>
      <c r="J1787" s="20">
        <v>0</v>
      </c>
      <c r="K1787" s="354">
        <f t="shared" si="265"/>
        <v>0</v>
      </c>
      <c r="L1787" s="20"/>
      <c r="M1787" s="20"/>
      <c r="N1787" s="354"/>
      <c r="O1787" s="21">
        <f t="shared" si="266"/>
        <v>1000</v>
      </c>
      <c r="P1787" s="21">
        <f t="shared" si="267"/>
        <v>0</v>
      </c>
      <c r="Q1787" s="354">
        <f t="shared" si="268"/>
        <v>0</v>
      </c>
    </row>
    <row r="1788" spans="2:17" x14ac:dyDescent="0.2">
      <c r="B1788" s="6">
        <f t="shared" si="264"/>
        <v>122</v>
      </c>
      <c r="C1788" s="17"/>
      <c r="D1788" s="17"/>
      <c r="E1788" s="17"/>
      <c r="F1788" s="18"/>
      <c r="G1788" s="19">
        <v>637</v>
      </c>
      <c r="H1788" s="17" t="s">
        <v>119</v>
      </c>
      <c r="I1788" s="20">
        <v>414210</v>
      </c>
      <c r="J1788" s="20">
        <v>183379</v>
      </c>
      <c r="K1788" s="354">
        <f t="shared" si="265"/>
        <v>44.271987639120255</v>
      </c>
      <c r="L1788" s="20"/>
      <c r="M1788" s="20"/>
      <c r="N1788" s="354"/>
      <c r="O1788" s="21">
        <f t="shared" si="266"/>
        <v>414210</v>
      </c>
      <c r="P1788" s="21">
        <f t="shared" si="267"/>
        <v>183379</v>
      </c>
      <c r="Q1788" s="354">
        <f t="shared" si="268"/>
        <v>44.271987639120255</v>
      </c>
    </row>
    <row r="1789" spans="2:17" x14ac:dyDescent="0.2">
      <c r="B1789" s="6">
        <f t="shared" si="264"/>
        <v>123</v>
      </c>
      <c r="C1789" s="12"/>
      <c r="D1789" s="12"/>
      <c r="E1789" s="12"/>
      <c r="F1789" s="13" t="s">
        <v>76</v>
      </c>
      <c r="G1789" s="14">
        <v>640</v>
      </c>
      <c r="H1789" s="12" t="s">
        <v>126</v>
      </c>
      <c r="I1789" s="15">
        <v>65605</v>
      </c>
      <c r="J1789" s="15">
        <v>34132</v>
      </c>
      <c r="K1789" s="354">
        <f t="shared" si="265"/>
        <v>52.026522368721892</v>
      </c>
      <c r="L1789" s="15"/>
      <c r="M1789" s="15"/>
      <c r="N1789" s="354"/>
      <c r="O1789" s="16">
        <f t="shared" si="266"/>
        <v>65605</v>
      </c>
      <c r="P1789" s="16">
        <f t="shared" si="267"/>
        <v>34132</v>
      </c>
      <c r="Q1789" s="354">
        <f t="shared" si="268"/>
        <v>52.026522368721892</v>
      </c>
    </row>
    <row r="1790" spans="2:17" x14ac:dyDescent="0.2">
      <c r="B1790" s="6">
        <f t="shared" si="264"/>
        <v>124</v>
      </c>
      <c r="C1790" s="12"/>
      <c r="D1790" s="12"/>
      <c r="E1790" s="12"/>
      <c r="F1790" s="13" t="s">
        <v>76</v>
      </c>
      <c r="G1790" s="14">
        <v>710</v>
      </c>
      <c r="H1790" s="12" t="s">
        <v>172</v>
      </c>
      <c r="I1790" s="15"/>
      <c r="J1790" s="15"/>
      <c r="K1790" s="354"/>
      <c r="L1790" s="15">
        <f>L1796+L1794+L1791</f>
        <v>446700</v>
      </c>
      <c r="M1790" s="15">
        <f>M1796+M1794+M1791</f>
        <v>271818</v>
      </c>
      <c r="N1790" s="354">
        <f t="shared" ref="N1790:N1799" si="269">M1790/L1790*100</f>
        <v>60.850235057085285</v>
      </c>
      <c r="O1790" s="16">
        <f t="shared" si="266"/>
        <v>446700</v>
      </c>
      <c r="P1790" s="16">
        <f t="shared" si="267"/>
        <v>271818</v>
      </c>
      <c r="Q1790" s="354">
        <f t="shared" si="268"/>
        <v>60.850235057085285</v>
      </c>
    </row>
    <row r="1791" spans="2:17" x14ac:dyDescent="0.2">
      <c r="B1791" s="6">
        <f t="shared" si="264"/>
        <v>125</v>
      </c>
      <c r="C1791" s="17"/>
      <c r="D1791" s="17"/>
      <c r="E1791" s="17"/>
      <c r="F1791" s="18"/>
      <c r="G1791" s="19">
        <v>713</v>
      </c>
      <c r="H1791" s="17" t="s">
        <v>215</v>
      </c>
      <c r="I1791" s="20"/>
      <c r="J1791" s="20"/>
      <c r="K1791" s="354"/>
      <c r="L1791" s="20">
        <f>SUM(L1792:L1793)</f>
        <v>10000</v>
      </c>
      <c r="M1791" s="20">
        <f>SUM(M1792:M1793)</f>
        <v>0</v>
      </c>
      <c r="N1791" s="354">
        <f t="shared" si="269"/>
        <v>0</v>
      </c>
      <c r="O1791" s="21">
        <f t="shared" si="266"/>
        <v>10000</v>
      </c>
      <c r="P1791" s="21">
        <f t="shared" si="267"/>
        <v>0</v>
      </c>
      <c r="Q1791" s="354">
        <f t="shared" si="268"/>
        <v>0</v>
      </c>
    </row>
    <row r="1792" spans="2:17" x14ac:dyDescent="0.2">
      <c r="B1792" s="6">
        <f t="shared" si="264"/>
        <v>126</v>
      </c>
      <c r="C1792" s="1"/>
      <c r="D1792" s="1"/>
      <c r="E1792" s="1"/>
      <c r="F1792" s="99"/>
      <c r="G1792" s="23"/>
      <c r="H1792" s="1" t="s">
        <v>398</v>
      </c>
      <c r="I1792" s="24"/>
      <c r="J1792" s="24"/>
      <c r="K1792" s="354"/>
      <c r="L1792" s="24">
        <v>7000</v>
      </c>
      <c r="M1792" s="24">
        <v>0</v>
      </c>
      <c r="N1792" s="354">
        <f t="shared" si="269"/>
        <v>0</v>
      </c>
      <c r="O1792" s="26">
        <f t="shared" si="266"/>
        <v>7000</v>
      </c>
      <c r="P1792" s="26">
        <f t="shared" si="267"/>
        <v>0</v>
      </c>
      <c r="Q1792" s="354">
        <f t="shared" si="268"/>
        <v>0</v>
      </c>
    </row>
    <row r="1793" spans="2:17" x14ac:dyDescent="0.2">
      <c r="B1793" s="6">
        <f t="shared" si="264"/>
        <v>127</v>
      </c>
      <c r="C1793" s="1"/>
      <c r="D1793" s="1"/>
      <c r="E1793" s="1"/>
      <c r="F1793" s="99"/>
      <c r="G1793" s="23"/>
      <c r="H1793" s="1" t="s">
        <v>393</v>
      </c>
      <c r="I1793" s="24"/>
      <c r="J1793" s="24"/>
      <c r="K1793" s="354"/>
      <c r="L1793" s="24">
        <v>3000</v>
      </c>
      <c r="M1793" s="24">
        <v>0</v>
      </c>
      <c r="N1793" s="354">
        <f t="shared" si="269"/>
        <v>0</v>
      </c>
      <c r="O1793" s="26">
        <f t="shared" si="266"/>
        <v>3000</v>
      </c>
      <c r="P1793" s="26">
        <f t="shared" si="267"/>
        <v>0</v>
      </c>
      <c r="Q1793" s="354">
        <f t="shared" si="268"/>
        <v>0</v>
      </c>
    </row>
    <row r="1794" spans="2:17" x14ac:dyDescent="0.2">
      <c r="B1794" s="6">
        <f t="shared" si="264"/>
        <v>128</v>
      </c>
      <c r="C1794" s="17"/>
      <c r="D1794" s="17"/>
      <c r="E1794" s="17"/>
      <c r="F1794" s="18"/>
      <c r="G1794" s="19">
        <v>714</v>
      </c>
      <c r="H1794" s="17" t="s">
        <v>173</v>
      </c>
      <c r="I1794" s="20"/>
      <c r="J1794" s="20"/>
      <c r="K1794" s="354"/>
      <c r="L1794" s="20">
        <f>L1795</f>
        <v>50000</v>
      </c>
      <c r="M1794" s="20">
        <f>M1795</f>
        <v>0</v>
      </c>
      <c r="N1794" s="354">
        <f t="shared" si="269"/>
        <v>0</v>
      </c>
      <c r="O1794" s="21">
        <f t="shared" si="266"/>
        <v>50000</v>
      </c>
      <c r="P1794" s="21">
        <f t="shared" si="267"/>
        <v>0</v>
      </c>
      <c r="Q1794" s="354">
        <f t="shared" si="268"/>
        <v>0</v>
      </c>
    </row>
    <row r="1795" spans="2:17" x14ac:dyDescent="0.2">
      <c r="B1795" s="6">
        <f t="shared" si="264"/>
        <v>129</v>
      </c>
      <c r="C1795" s="1"/>
      <c r="D1795" s="1"/>
      <c r="E1795" s="1"/>
      <c r="F1795" s="99"/>
      <c r="G1795" s="23"/>
      <c r="H1795" s="1" t="s">
        <v>530</v>
      </c>
      <c r="I1795" s="24"/>
      <c r="J1795" s="24"/>
      <c r="K1795" s="354"/>
      <c r="L1795" s="24">
        <v>50000</v>
      </c>
      <c r="M1795" s="24">
        <v>0</v>
      </c>
      <c r="N1795" s="354">
        <f t="shared" si="269"/>
        <v>0</v>
      </c>
      <c r="O1795" s="26">
        <f t="shared" si="266"/>
        <v>50000</v>
      </c>
      <c r="P1795" s="26">
        <f t="shared" si="267"/>
        <v>0</v>
      </c>
      <c r="Q1795" s="354">
        <f t="shared" si="268"/>
        <v>0</v>
      </c>
    </row>
    <row r="1796" spans="2:17" x14ac:dyDescent="0.2">
      <c r="B1796" s="6">
        <f t="shared" si="264"/>
        <v>130</v>
      </c>
      <c r="C1796" s="17"/>
      <c r="D1796" s="17"/>
      <c r="E1796" s="17"/>
      <c r="F1796" s="18"/>
      <c r="G1796" s="19">
        <v>717</v>
      </c>
      <c r="H1796" s="17" t="s">
        <v>179</v>
      </c>
      <c r="I1796" s="20"/>
      <c r="J1796" s="20"/>
      <c r="K1796" s="354"/>
      <c r="L1796" s="20">
        <f>SUM(L1797:L1799)</f>
        <v>386700</v>
      </c>
      <c r="M1796" s="20">
        <f>SUM(M1797:M1799)</f>
        <v>271818</v>
      </c>
      <c r="N1796" s="354">
        <f t="shared" si="269"/>
        <v>70.291698991466262</v>
      </c>
      <c r="O1796" s="21">
        <f t="shared" si="266"/>
        <v>386700</v>
      </c>
      <c r="P1796" s="21">
        <f t="shared" si="267"/>
        <v>271818</v>
      </c>
      <c r="Q1796" s="354">
        <f t="shared" si="268"/>
        <v>70.291698991466262</v>
      </c>
    </row>
    <row r="1797" spans="2:17" x14ac:dyDescent="0.2">
      <c r="B1797" s="6">
        <f t="shared" ref="B1797:B1828" si="270">B1796+1</f>
        <v>131</v>
      </c>
      <c r="C1797" s="1"/>
      <c r="D1797" s="1"/>
      <c r="E1797" s="1"/>
      <c r="F1797" s="99"/>
      <c r="G1797" s="23"/>
      <c r="H1797" s="1" t="s">
        <v>561</v>
      </c>
      <c r="I1797" s="24"/>
      <c r="J1797" s="24"/>
      <c r="K1797" s="354"/>
      <c r="L1797" s="24">
        <v>12000</v>
      </c>
      <c r="M1797" s="24">
        <v>0</v>
      </c>
      <c r="N1797" s="354">
        <f t="shared" si="269"/>
        <v>0</v>
      </c>
      <c r="O1797" s="26">
        <f t="shared" si="266"/>
        <v>12000</v>
      </c>
      <c r="P1797" s="26">
        <f t="shared" si="267"/>
        <v>0</v>
      </c>
      <c r="Q1797" s="354">
        <f t="shared" si="268"/>
        <v>0</v>
      </c>
    </row>
    <row r="1798" spans="2:17" x14ac:dyDescent="0.2">
      <c r="B1798" s="6">
        <f t="shared" si="270"/>
        <v>132</v>
      </c>
      <c r="C1798" s="1"/>
      <c r="D1798" s="1"/>
      <c r="E1798" s="1"/>
      <c r="F1798" s="99"/>
      <c r="G1798" s="23"/>
      <c r="H1798" s="1" t="s">
        <v>569</v>
      </c>
      <c r="I1798" s="24"/>
      <c r="J1798" s="24"/>
      <c r="K1798" s="354"/>
      <c r="L1798" s="24">
        <v>102500</v>
      </c>
      <c r="M1798" s="24">
        <v>0</v>
      </c>
      <c r="N1798" s="354">
        <f t="shared" si="269"/>
        <v>0</v>
      </c>
      <c r="O1798" s="26">
        <f t="shared" si="266"/>
        <v>102500</v>
      </c>
      <c r="P1798" s="26">
        <f t="shared" si="267"/>
        <v>0</v>
      </c>
      <c r="Q1798" s="354">
        <f t="shared" si="268"/>
        <v>0</v>
      </c>
    </row>
    <row r="1799" spans="2:17" x14ac:dyDescent="0.2">
      <c r="B1799" s="6">
        <f t="shared" si="270"/>
        <v>133</v>
      </c>
      <c r="C1799" s="1"/>
      <c r="D1799" s="1"/>
      <c r="E1799" s="1"/>
      <c r="F1799" s="99"/>
      <c r="G1799" s="23"/>
      <c r="H1799" s="1" t="s">
        <v>399</v>
      </c>
      <c r="I1799" s="24"/>
      <c r="J1799" s="24"/>
      <c r="K1799" s="354"/>
      <c r="L1799" s="24">
        <f>250000+23000-800</f>
        <v>272200</v>
      </c>
      <c r="M1799" s="24">
        <v>271818</v>
      </c>
      <c r="N1799" s="354">
        <f t="shared" si="269"/>
        <v>99.859662013225574</v>
      </c>
      <c r="O1799" s="26">
        <f t="shared" si="266"/>
        <v>272200</v>
      </c>
      <c r="P1799" s="26">
        <f t="shared" si="267"/>
        <v>271818</v>
      </c>
      <c r="Q1799" s="354">
        <f t="shared" si="268"/>
        <v>99.859662013225574</v>
      </c>
    </row>
    <row r="1800" spans="2:17" ht="15" x14ac:dyDescent="0.2">
      <c r="B1800" s="6">
        <f t="shared" si="270"/>
        <v>134</v>
      </c>
      <c r="C1800" s="9">
        <v>7</v>
      </c>
      <c r="D1800" s="459" t="s">
        <v>51</v>
      </c>
      <c r="E1800" s="460"/>
      <c r="F1800" s="460"/>
      <c r="G1800" s="460"/>
      <c r="H1800" s="460"/>
      <c r="I1800" s="10">
        <f>I1803+I1801</f>
        <v>1166802</v>
      </c>
      <c r="J1800" s="10">
        <f>J1803+J1801</f>
        <v>581407</v>
      </c>
      <c r="K1800" s="354">
        <f t="shared" ref="K1800:K1843" si="271">J1800/I1800*100</f>
        <v>49.829105538043301</v>
      </c>
      <c r="L1800" s="10"/>
      <c r="M1800" s="10"/>
      <c r="N1800" s="354"/>
      <c r="O1800" s="31">
        <f t="shared" si="266"/>
        <v>1166802</v>
      </c>
      <c r="P1800" s="31">
        <f t="shared" si="267"/>
        <v>581407</v>
      </c>
      <c r="Q1800" s="354">
        <f t="shared" si="268"/>
        <v>49.829105538043301</v>
      </c>
    </row>
    <row r="1801" spans="2:17" x14ac:dyDescent="0.2">
      <c r="B1801" s="6">
        <f t="shared" si="270"/>
        <v>135</v>
      </c>
      <c r="C1801" s="12"/>
      <c r="D1801" s="12"/>
      <c r="E1801" s="12"/>
      <c r="F1801" s="13" t="s">
        <v>76</v>
      </c>
      <c r="G1801" s="14">
        <v>630</v>
      </c>
      <c r="H1801" s="12" t="s">
        <v>118</v>
      </c>
      <c r="I1801" s="15">
        <f>I1802</f>
        <v>3352</v>
      </c>
      <c r="J1801" s="15">
        <f>J1802</f>
        <v>2974</v>
      </c>
      <c r="K1801" s="354">
        <f t="shared" si="271"/>
        <v>88.723150357995223</v>
      </c>
      <c r="L1801" s="15"/>
      <c r="M1801" s="15"/>
      <c r="N1801" s="354"/>
      <c r="O1801" s="16">
        <f t="shared" si="266"/>
        <v>3352</v>
      </c>
      <c r="P1801" s="16">
        <f t="shared" si="267"/>
        <v>2974</v>
      </c>
      <c r="Q1801" s="354">
        <f t="shared" si="268"/>
        <v>88.723150357995223</v>
      </c>
    </row>
    <row r="1802" spans="2:17" x14ac:dyDescent="0.2">
      <c r="B1802" s="6">
        <f t="shared" si="270"/>
        <v>136</v>
      </c>
      <c r="C1802" s="17"/>
      <c r="D1802" s="17"/>
      <c r="E1802" s="17"/>
      <c r="F1802" s="18"/>
      <c r="G1802" s="19">
        <v>637</v>
      </c>
      <c r="H1802" s="17" t="s">
        <v>119</v>
      </c>
      <c r="I1802" s="20">
        <f>2576+776</f>
        <v>3352</v>
      </c>
      <c r="J1802" s="20">
        <v>2974</v>
      </c>
      <c r="K1802" s="354">
        <f t="shared" si="271"/>
        <v>88.723150357995223</v>
      </c>
      <c r="L1802" s="20"/>
      <c r="M1802" s="20"/>
      <c r="N1802" s="354"/>
      <c r="O1802" s="21">
        <f t="shared" ref="O1802:O1833" si="272">L1802+I1802</f>
        <v>3352</v>
      </c>
      <c r="P1802" s="21">
        <f t="shared" ref="P1802:P1833" si="273">M1802+J1802</f>
        <v>2974</v>
      </c>
      <c r="Q1802" s="354">
        <f t="shared" ref="Q1802:Q1833" si="274">P1802/O1802*100</f>
        <v>88.723150357995223</v>
      </c>
    </row>
    <row r="1803" spans="2:17" ht="15" x14ac:dyDescent="0.25">
      <c r="B1803" s="6">
        <f t="shared" si="270"/>
        <v>137</v>
      </c>
      <c r="C1803" s="95"/>
      <c r="D1803" s="95"/>
      <c r="E1803" s="95">
        <v>5</v>
      </c>
      <c r="F1803" s="96"/>
      <c r="G1803" s="96"/>
      <c r="H1803" s="95" t="s">
        <v>103</v>
      </c>
      <c r="I1803" s="97">
        <f>I1804+I1805+I1806+I1813</f>
        <v>1163450</v>
      </c>
      <c r="J1803" s="97">
        <f>J1804+J1805+J1806+J1813</f>
        <v>578433</v>
      </c>
      <c r="K1803" s="354">
        <f t="shared" si="271"/>
        <v>49.717048433538189</v>
      </c>
      <c r="L1803" s="97"/>
      <c r="M1803" s="97"/>
      <c r="N1803" s="354"/>
      <c r="O1803" s="98">
        <f t="shared" si="272"/>
        <v>1163450</v>
      </c>
      <c r="P1803" s="98">
        <f t="shared" si="273"/>
        <v>578433</v>
      </c>
      <c r="Q1803" s="354">
        <f t="shared" si="274"/>
        <v>49.717048433538189</v>
      </c>
    </row>
    <row r="1804" spans="2:17" x14ac:dyDescent="0.2">
      <c r="B1804" s="6">
        <f t="shared" si="270"/>
        <v>138</v>
      </c>
      <c r="C1804" s="12"/>
      <c r="D1804" s="12"/>
      <c r="E1804" s="12"/>
      <c r="F1804" s="13" t="s">
        <v>76</v>
      </c>
      <c r="G1804" s="14">
        <v>610</v>
      </c>
      <c r="H1804" s="12" t="s">
        <v>128</v>
      </c>
      <c r="I1804" s="15">
        <f>773630-10000</f>
        <v>763630</v>
      </c>
      <c r="J1804" s="15">
        <v>395233</v>
      </c>
      <c r="K1804" s="354">
        <f t="shared" si="271"/>
        <v>51.757133690399804</v>
      </c>
      <c r="L1804" s="15"/>
      <c r="M1804" s="15"/>
      <c r="N1804" s="354"/>
      <c r="O1804" s="16">
        <f t="shared" si="272"/>
        <v>763630</v>
      </c>
      <c r="P1804" s="16">
        <f t="shared" si="273"/>
        <v>395233</v>
      </c>
      <c r="Q1804" s="354">
        <f t="shared" si="274"/>
        <v>51.757133690399804</v>
      </c>
    </row>
    <row r="1805" spans="2:17" x14ac:dyDescent="0.2">
      <c r="B1805" s="6">
        <f t="shared" si="270"/>
        <v>139</v>
      </c>
      <c r="C1805" s="12"/>
      <c r="D1805" s="12"/>
      <c r="E1805" s="12"/>
      <c r="F1805" s="13" t="s">
        <v>76</v>
      </c>
      <c r="G1805" s="14">
        <v>620</v>
      </c>
      <c r="H1805" s="12" t="s">
        <v>121</v>
      </c>
      <c r="I1805" s="15">
        <f>284170-3500</f>
        <v>280670</v>
      </c>
      <c r="J1805" s="15">
        <v>143054</v>
      </c>
      <c r="K1805" s="354">
        <f t="shared" si="271"/>
        <v>50.968753340221618</v>
      </c>
      <c r="L1805" s="15"/>
      <c r="M1805" s="15"/>
      <c r="N1805" s="354"/>
      <c r="O1805" s="16">
        <f t="shared" si="272"/>
        <v>280670</v>
      </c>
      <c r="P1805" s="16">
        <f t="shared" si="273"/>
        <v>143054</v>
      </c>
      <c r="Q1805" s="354">
        <f t="shared" si="274"/>
        <v>50.968753340221618</v>
      </c>
    </row>
    <row r="1806" spans="2:17" x14ac:dyDescent="0.2">
      <c r="B1806" s="6">
        <f t="shared" si="270"/>
        <v>140</v>
      </c>
      <c r="C1806" s="12"/>
      <c r="D1806" s="12"/>
      <c r="E1806" s="12"/>
      <c r="F1806" s="13" t="s">
        <v>76</v>
      </c>
      <c r="G1806" s="14">
        <v>630</v>
      </c>
      <c r="H1806" s="12" t="s">
        <v>118</v>
      </c>
      <c r="I1806" s="15">
        <f>SUM(I1807:I1812)</f>
        <v>42730</v>
      </c>
      <c r="J1806" s="15">
        <f>SUM(J1807:J1812)</f>
        <v>12218</v>
      </c>
      <c r="K1806" s="354">
        <f t="shared" si="271"/>
        <v>28.593494032295812</v>
      </c>
      <c r="L1806" s="15"/>
      <c r="M1806" s="15"/>
      <c r="N1806" s="354"/>
      <c r="O1806" s="16">
        <f t="shared" si="272"/>
        <v>42730</v>
      </c>
      <c r="P1806" s="16">
        <f t="shared" si="273"/>
        <v>12218</v>
      </c>
      <c r="Q1806" s="354">
        <f t="shared" si="274"/>
        <v>28.593494032295812</v>
      </c>
    </row>
    <row r="1807" spans="2:17" x14ac:dyDescent="0.2">
      <c r="B1807" s="6">
        <f t="shared" si="270"/>
        <v>141</v>
      </c>
      <c r="C1807" s="17"/>
      <c r="D1807" s="17"/>
      <c r="E1807" s="17"/>
      <c r="F1807" s="18"/>
      <c r="G1807" s="19">
        <v>631</v>
      </c>
      <c r="H1807" s="17" t="s">
        <v>124</v>
      </c>
      <c r="I1807" s="20">
        <v>400</v>
      </c>
      <c r="J1807" s="20">
        <v>114</v>
      </c>
      <c r="K1807" s="354">
        <f t="shared" si="271"/>
        <v>28.499999999999996</v>
      </c>
      <c r="L1807" s="20"/>
      <c r="M1807" s="20"/>
      <c r="N1807" s="354"/>
      <c r="O1807" s="21">
        <f t="shared" si="272"/>
        <v>400</v>
      </c>
      <c r="P1807" s="21">
        <f t="shared" si="273"/>
        <v>114</v>
      </c>
      <c r="Q1807" s="354">
        <f t="shared" si="274"/>
        <v>28.499999999999996</v>
      </c>
    </row>
    <row r="1808" spans="2:17" x14ac:dyDescent="0.2">
      <c r="B1808" s="6">
        <f t="shared" si="270"/>
        <v>142</v>
      </c>
      <c r="C1808" s="17"/>
      <c r="D1808" s="17"/>
      <c r="E1808" s="17"/>
      <c r="F1808" s="18"/>
      <c r="G1808" s="19">
        <v>632</v>
      </c>
      <c r="H1808" s="17" t="s">
        <v>131</v>
      </c>
      <c r="I1808" s="20">
        <v>700</v>
      </c>
      <c r="J1808" s="20">
        <v>300</v>
      </c>
      <c r="K1808" s="354">
        <f t="shared" si="271"/>
        <v>42.857142857142854</v>
      </c>
      <c r="L1808" s="20"/>
      <c r="M1808" s="20"/>
      <c r="N1808" s="354"/>
      <c r="O1808" s="21">
        <f t="shared" si="272"/>
        <v>700</v>
      </c>
      <c r="P1808" s="21">
        <f t="shared" si="273"/>
        <v>300</v>
      </c>
      <c r="Q1808" s="354">
        <f t="shared" si="274"/>
        <v>42.857142857142854</v>
      </c>
    </row>
    <row r="1809" spans="2:17" x14ac:dyDescent="0.2">
      <c r="B1809" s="6">
        <f t="shared" si="270"/>
        <v>143</v>
      </c>
      <c r="C1809" s="17"/>
      <c r="D1809" s="17"/>
      <c r="E1809" s="17"/>
      <c r="F1809" s="18"/>
      <c r="G1809" s="19">
        <v>633</v>
      </c>
      <c r="H1809" s="17" t="s">
        <v>122</v>
      </c>
      <c r="I1809" s="20">
        <v>6850</v>
      </c>
      <c r="J1809" s="20">
        <v>146</v>
      </c>
      <c r="K1809" s="354">
        <f t="shared" si="271"/>
        <v>2.1313868613138687</v>
      </c>
      <c r="L1809" s="20"/>
      <c r="M1809" s="20"/>
      <c r="N1809" s="354"/>
      <c r="O1809" s="21">
        <f t="shared" si="272"/>
        <v>6850</v>
      </c>
      <c r="P1809" s="21">
        <f t="shared" si="273"/>
        <v>146</v>
      </c>
      <c r="Q1809" s="354">
        <f t="shared" si="274"/>
        <v>2.1313868613138687</v>
      </c>
    </row>
    <row r="1810" spans="2:17" x14ac:dyDescent="0.2">
      <c r="B1810" s="6">
        <f t="shared" si="270"/>
        <v>144</v>
      </c>
      <c r="C1810" s="17"/>
      <c r="D1810" s="17"/>
      <c r="E1810" s="17"/>
      <c r="F1810" s="18"/>
      <c r="G1810" s="19">
        <v>634</v>
      </c>
      <c r="H1810" s="17" t="s">
        <v>129</v>
      </c>
      <c r="I1810" s="20">
        <v>6500</v>
      </c>
      <c r="J1810" s="20">
        <v>2564</v>
      </c>
      <c r="K1810" s="354">
        <f t="shared" si="271"/>
        <v>39.446153846153848</v>
      </c>
      <c r="L1810" s="20"/>
      <c r="M1810" s="20"/>
      <c r="N1810" s="354"/>
      <c r="O1810" s="21">
        <f t="shared" si="272"/>
        <v>6500</v>
      </c>
      <c r="P1810" s="21">
        <f t="shared" si="273"/>
        <v>2564</v>
      </c>
      <c r="Q1810" s="354">
        <f t="shared" si="274"/>
        <v>39.446153846153848</v>
      </c>
    </row>
    <row r="1811" spans="2:17" x14ac:dyDescent="0.2">
      <c r="B1811" s="6">
        <f t="shared" si="270"/>
        <v>145</v>
      </c>
      <c r="C1811" s="17"/>
      <c r="D1811" s="17"/>
      <c r="E1811" s="17"/>
      <c r="F1811" s="18"/>
      <c r="G1811" s="19">
        <v>636</v>
      </c>
      <c r="H1811" s="17" t="s">
        <v>123</v>
      </c>
      <c r="I1811" s="20">
        <v>500</v>
      </c>
      <c r="J1811" s="20">
        <v>0</v>
      </c>
      <c r="K1811" s="354">
        <f t="shared" si="271"/>
        <v>0</v>
      </c>
      <c r="L1811" s="20"/>
      <c r="M1811" s="20"/>
      <c r="N1811" s="354"/>
      <c r="O1811" s="21">
        <f t="shared" si="272"/>
        <v>500</v>
      </c>
      <c r="P1811" s="21">
        <f t="shared" si="273"/>
        <v>0</v>
      </c>
      <c r="Q1811" s="354">
        <f t="shared" si="274"/>
        <v>0</v>
      </c>
    </row>
    <row r="1812" spans="2:17" x14ac:dyDescent="0.2">
      <c r="B1812" s="6">
        <f t="shared" si="270"/>
        <v>146</v>
      </c>
      <c r="C1812" s="17"/>
      <c r="D1812" s="17"/>
      <c r="E1812" s="17"/>
      <c r="F1812" s="18"/>
      <c r="G1812" s="19">
        <v>637</v>
      </c>
      <c r="H1812" s="17" t="s">
        <v>119</v>
      </c>
      <c r="I1812" s="20">
        <f>27780</f>
        <v>27780</v>
      </c>
      <c r="J1812" s="20">
        <v>9094</v>
      </c>
      <c r="K1812" s="354">
        <f t="shared" si="271"/>
        <v>32.735781137509001</v>
      </c>
      <c r="L1812" s="20"/>
      <c r="M1812" s="20"/>
      <c r="N1812" s="354"/>
      <c r="O1812" s="21">
        <f t="shared" si="272"/>
        <v>27780</v>
      </c>
      <c r="P1812" s="21">
        <f t="shared" si="273"/>
        <v>9094</v>
      </c>
      <c r="Q1812" s="354">
        <f t="shared" si="274"/>
        <v>32.735781137509001</v>
      </c>
    </row>
    <row r="1813" spans="2:17" x14ac:dyDescent="0.2">
      <c r="B1813" s="6">
        <f t="shared" si="270"/>
        <v>147</v>
      </c>
      <c r="C1813" s="12"/>
      <c r="D1813" s="12"/>
      <c r="E1813" s="12"/>
      <c r="F1813" s="13" t="s">
        <v>76</v>
      </c>
      <c r="G1813" s="14">
        <v>640</v>
      </c>
      <c r="H1813" s="12" t="s">
        <v>126</v>
      </c>
      <c r="I1813" s="15">
        <v>76420</v>
      </c>
      <c r="J1813" s="15">
        <v>27928</v>
      </c>
      <c r="K1813" s="354">
        <f t="shared" si="271"/>
        <v>36.5454069615284</v>
      </c>
      <c r="L1813" s="15"/>
      <c r="M1813" s="15"/>
      <c r="N1813" s="354"/>
      <c r="O1813" s="16">
        <f t="shared" si="272"/>
        <v>76420</v>
      </c>
      <c r="P1813" s="16">
        <f t="shared" si="273"/>
        <v>27928</v>
      </c>
      <c r="Q1813" s="354">
        <f t="shared" si="274"/>
        <v>36.5454069615284</v>
      </c>
    </row>
    <row r="1814" spans="2:17" ht="15" x14ac:dyDescent="0.2">
      <c r="B1814" s="6">
        <f t="shared" si="270"/>
        <v>148</v>
      </c>
      <c r="C1814" s="9">
        <v>8</v>
      </c>
      <c r="D1814" s="459" t="s">
        <v>191</v>
      </c>
      <c r="E1814" s="460"/>
      <c r="F1814" s="460"/>
      <c r="G1814" s="460"/>
      <c r="H1814" s="460"/>
      <c r="I1814" s="10">
        <f>I1815</f>
        <v>8000</v>
      </c>
      <c r="J1814" s="10">
        <f>J1815</f>
        <v>4455</v>
      </c>
      <c r="K1814" s="354">
        <f t="shared" si="271"/>
        <v>55.6875</v>
      </c>
      <c r="L1814" s="10"/>
      <c r="M1814" s="10"/>
      <c r="N1814" s="354"/>
      <c r="O1814" s="31">
        <f t="shared" si="272"/>
        <v>8000</v>
      </c>
      <c r="P1814" s="31">
        <f t="shared" si="273"/>
        <v>4455</v>
      </c>
      <c r="Q1814" s="354">
        <f t="shared" si="274"/>
        <v>55.6875</v>
      </c>
    </row>
    <row r="1815" spans="2:17" x14ac:dyDescent="0.2">
      <c r="B1815" s="6">
        <f t="shared" si="270"/>
        <v>149</v>
      </c>
      <c r="C1815" s="12"/>
      <c r="D1815" s="12"/>
      <c r="E1815" s="12"/>
      <c r="F1815" s="13" t="s">
        <v>141</v>
      </c>
      <c r="G1815" s="14">
        <v>630</v>
      </c>
      <c r="H1815" s="12" t="s">
        <v>118</v>
      </c>
      <c r="I1815" s="15">
        <f>I1816</f>
        <v>8000</v>
      </c>
      <c r="J1815" s="15">
        <f>J1816</f>
        <v>4455</v>
      </c>
      <c r="K1815" s="354">
        <f t="shared" si="271"/>
        <v>55.6875</v>
      </c>
      <c r="L1815" s="15"/>
      <c r="M1815" s="15"/>
      <c r="N1815" s="354"/>
      <c r="O1815" s="16">
        <f t="shared" si="272"/>
        <v>8000</v>
      </c>
      <c r="P1815" s="16">
        <f t="shared" si="273"/>
        <v>4455</v>
      </c>
      <c r="Q1815" s="354">
        <f t="shared" si="274"/>
        <v>55.6875</v>
      </c>
    </row>
    <row r="1816" spans="2:17" x14ac:dyDescent="0.2">
      <c r="B1816" s="6">
        <f t="shared" si="270"/>
        <v>150</v>
      </c>
      <c r="C1816" s="17"/>
      <c r="D1816" s="17"/>
      <c r="E1816" s="17"/>
      <c r="F1816" s="18"/>
      <c r="G1816" s="19">
        <v>637</v>
      </c>
      <c r="H1816" s="17" t="s">
        <v>119</v>
      </c>
      <c r="I1816" s="20">
        <v>8000</v>
      </c>
      <c r="J1816" s="20">
        <v>4455</v>
      </c>
      <c r="K1816" s="354">
        <f t="shared" si="271"/>
        <v>55.6875</v>
      </c>
      <c r="L1816" s="20"/>
      <c r="M1816" s="20"/>
      <c r="N1816" s="354"/>
      <c r="O1816" s="21">
        <f t="shared" si="272"/>
        <v>8000</v>
      </c>
      <c r="P1816" s="21">
        <f t="shared" si="273"/>
        <v>4455</v>
      </c>
      <c r="Q1816" s="354">
        <f t="shared" si="274"/>
        <v>55.6875</v>
      </c>
    </row>
    <row r="1817" spans="2:17" ht="15" x14ac:dyDescent="0.2">
      <c r="B1817" s="6">
        <f t="shared" si="270"/>
        <v>151</v>
      </c>
      <c r="C1817" s="9">
        <v>9</v>
      </c>
      <c r="D1817" s="459" t="s">
        <v>170</v>
      </c>
      <c r="E1817" s="460"/>
      <c r="F1817" s="460"/>
      <c r="G1817" s="460"/>
      <c r="H1817" s="460"/>
      <c r="I1817" s="10">
        <f>I1818+I1820</f>
        <v>17500</v>
      </c>
      <c r="J1817" s="10">
        <f>J1818+J1820</f>
        <v>7455</v>
      </c>
      <c r="K1817" s="354">
        <f t="shared" si="271"/>
        <v>42.6</v>
      </c>
      <c r="L1817" s="10"/>
      <c r="M1817" s="10"/>
      <c r="N1817" s="354"/>
      <c r="O1817" s="31">
        <f t="shared" si="272"/>
        <v>17500</v>
      </c>
      <c r="P1817" s="31">
        <f t="shared" si="273"/>
        <v>7455</v>
      </c>
      <c r="Q1817" s="354">
        <f t="shared" si="274"/>
        <v>42.6</v>
      </c>
    </row>
    <row r="1818" spans="2:17" x14ac:dyDescent="0.2">
      <c r="B1818" s="6">
        <f t="shared" si="270"/>
        <v>152</v>
      </c>
      <c r="C1818" s="12"/>
      <c r="D1818" s="12"/>
      <c r="E1818" s="12"/>
      <c r="F1818" s="13" t="s">
        <v>75</v>
      </c>
      <c r="G1818" s="14">
        <v>630</v>
      </c>
      <c r="H1818" s="12" t="s">
        <v>118</v>
      </c>
      <c r="I1818" s="15">
        <f>I1819</f>
        <v>16000</v>
      </c>
      <c r="J1818" s="15">
        <f>J1819</f>
        <v>7080</v>
      </c>
      <c r="K1818" s="354">
        <f t="shared" si="271"/>
        <v>44.25</v>
      </c>
      <c r="L1818" s="15"/>
      <c r="M1818" s="15"/>
      <c r="N1818" s="354"/>
      <c r="O1818" s="16">
        <f t="shared" si="272"/>
        <v>16000</v>
      </c>
      <c r="P1818" s="16">
        <f t="shared" si="273"/>
        <v>7080</v>
      </c>
      <c r="Q1818" s="354">
        <f t="shared" si="274"/>
        <v>44.25</v>
      </c>
    </row>
    <row r="1819" spans="2:17" x14ac:dyDescent="0.2">
      <c r="B1819" s="6">
        <f t="shared" si="270"/>
        <v>153</v>
      </c>
      <c r="C1819" s="17"/>
      <c r="D1819" s="17"/>
      <c r="E1819" s="17"/>
      <c r="F1819" s="18"/>
      <c r="G1819" s="19">
        <v>637</v>
      </c>
      <c r="H1819" s="17" t="s">
        <v>119</v>
      </c>
      <c r="I1819" s="20">
        <v>16000</v>
      </c>
      <c r="J1819" s="20">
        <v>7080</v>
      </c>
      <c r="K1819" s="354">
        <f t="shared" si="271"/>
        <v>44.25</v>
      </c>
      <c r="L1819" s="20"/>
      <c r="M1819" s="20"/>
      <c r="N1819" s="354"/>
      <c r="O1819" s="21">
        <f t="shared" si="272"/>
        <v>16000</v>
      </c>
      <c r="P1819" s="21">
        <f t="shared" si="273"/>
        <v>7080</v>
      </c>
      <c r="Q1819" s="354">
        <f t="shared" si="274"/>
        <v>44.25</v>
      </c>
    </row>
    <row r="1820" spans="2:17" x14ac:dyDescent="0.2">
      <c r="B1820" s="6">
        <f t="shared" si="270"/>
        <v>154</v>
      </c>
      <c r="C1820" s="12"/>
      <c r="D1820" s="12"/>
      <c r="E1820" s="12"/>
      <c r="F1820" s="13" t="s">
        <v>75</v>
      </c>
      <c r="G1820" s="14">
        <v>640</v>
      </c>
      <c r="H1820" s="12" t="s">
        <v>126</v>
      </c>
      <c r="I1820" s="15">
        <f>I1821</f>
        <v>1500</v>
      </c>
      <c r="J1820" s="15">
        <f>J1821</f>
        <v>375</v>
      </c>
      <c r="K1820" s="354">
        <f t="shared" si="271"/>
        <v>25</v>
      </c>
      <c r="L1820" s="15"/>
      <c r="M1820" s="15"/>
      <c r="N1820" s="354"/>
      <c r="O1820" s="16">
        <f t="shared" si="272"/>
        <v>1500</v>
      </c>
      <c r="P1820" s="16">
        <f t="shared" si="273"/>
        <v>375</v>
      </c>
      <c r="Q1820" s="354">
        <f t="shared" si="274"/>
        <v>25</v>
      </c>
    </row>
    <row r="1821" spans="2:17" x14ac:dyDescent="0.2">
      <c r="B1821" s="6">
        <f t="shared" si="270"/>
        <v>155</v>
      </c>
      <c r="C1821" s="22"/>
      <c r="D1821" s="22"/>
      <c r="E1821" s="22"/>
      <c r="F1821" s="123"/>
      <c r="G1821" s="123"/>
      <c r="H1821" s="1" t="s">
        <v>359</v>
      </c>
      <c r="I1821" s="24">
        <v>1500</v>
      </c>
      <c r="J1821" s="24">
        <v>375</v>
      </c>
      <c r="K1821" s="354">
        <f t="shared" si="271"/>
        <v>25</v>
      </c>
      <c r="L1821" s="24"/>
      <c r="M1821" s="24"/>
      <c r="N1821" s="354"/>
      <c r="O1821" s="26">
        <f t="shared" si="272"/>
        <v>1500</v>
      </c>
      <c r="P1821" s="26">
        <f t="shared" si="273"/>
        <v>375</v>
      </c>
      <c r="Q1821" s="354">
        <f t="shared" si="274"/>
        <v>25</v>
      </c>
    </row>
    <row r="1822" spans="2:17" ht="15" x14ac:dyDescent="0.2">
      <c r="B1822" s="6">
        <f t="shared" si="270"/>
        <v>156</v>
      </c>
      <c r="C1822" s="9">
        <v>10</v>
      </c>
      <c r="D1822" s="459" t="s">
        <v>171</v>
      </c>
      <c r="E1822" s="460"/>
      <c r="F1822" s="460"/>
      <c r="G1822" s="460"/>
      <c r="H1822" s="460"/>
      <c r="I1822" s="10">
        <f>I1823</f>
        <v>27635</v>
      </c>
      <c r="J1822" s="10">
        <f>J1823</f>
        <v>14215</v>
      </c>
      <c r="K1822" s="354">
        <f t="shared" si="271"/>
        <v>51.438393341776731</v>
      </c>
      <c r="L1822" s="10"/>
      <c r="M1822" s="10"/>
      <c r="N1822" s="354"/>
      <c r="O1822" s="31">
        <f t="shared" si="272"/>
        <v>27635</v>
      </c>
      <c r="P1822" s="31">
        <f t="shared" si="273"/>
        <v>14215</v>
      </c>
      <c r="Q1822" s="354">
        <f t="shared" si="274"/>
        <v>51.438393341776731</v>
      </c>
    </row>
    <row r="1823" spans="2:17" ht="15" x14ac:dyDescent="0.25">
      <c r="B1823" s="6">
        <f t="shared" si="270"/>
        <v>157</v>
      </c>
      <c r="C1823" s="95"/>
      <c r="D1823" s="95"/>
      <c r="E1823" s="95">
        <v>5</v>
      </c>
      <c r="F1823" s="96"/>
      <c r="G1823" s="96"/>
      <c r="H1823" s="95" t="s">
        <v>103</v>
      </c>
      <c r="I1823" s="97">
        <f>I1824+I1825+I1826+I1831</f>
        <v>27635</v>
      </c>
      <c r="J1823" s="97">
        <f>J1824+J1825+J1826+J1831</f>
        <v>14215</v>
      </c>
      <c r="K1823" s="354">
        <f t="shared" si="271"/>
        <v>51.438393341776731</v>
      </c>
      <c r="L1823" s="97"/>
      <c r="M1823" s="97"/>
      <c r="N1823" s="354"/>
      <c r="O1823" s="98">
        <f t="shared" si="272"/>
        <v>27635</v>
      </c>
      <c r="P1823" s="98">
        <f t="shared" si="273"/>
        <v>14215</v>
      </c>
      <c r="Q1823" s="354">
        <f t="shared" si="274"/>
        <v>51.438393341776731</v>
      </c>
    </row>
    <row r="1824" spans="2:17" x14ac:dyDescent="0.2">
      <c r="B1824" s="6">
        <f t="shared" si="270"/>
        <v>158</v>
      </c>
      <c r="C1824" s="12"/>
      <c r="D1824" s="12"/>
      <c r="E1824" s="12"/>
      <c r="F1824" s="13" t="s">
        <v>76</v>
      </c>
      <c r="G1824" s="14">
        <v>610</v>
      </c>
      <c r="H1824" s="12" t="s">
        <v>128</v>
      </c>
      <c r="I1824" s="15">
        <v>16150</v>
      </c>
      <c r="J1824" s="15">
        <v>9402</v>
      </c>
      <c r="K1824" s="354">
        <f t="shared" si="271"/>
        <v>58.216718266253878</v>
      </c>
      <c r="L1824" s="15"/>
      <c r="M1824" s="15"/>
      <c r="N1824" s="354"/>
      <c r="O1824" s="16">
        <f t="shared" si="272"/>
        <v>16150</v>
      </c>
      <c r="P1824" s="16">
        <f t="shared" si="273"/>
        <v>9402</v>
      </c>
      <c r="Q1824" s="354">
        <f t="shared" si="274"/>
        <v>58.216718266253878</v>
      </c>
    </row>
    <row r="1825" spans="2:17" x14ac:dyDescent="0.2">
      <c r="B1825" s="6">
        <f t="shared" si="270"/>
        <v>159</v>
      </c>
      <c r="C1825" s="12"/>
      <c r="D1825" s="12"/>
      <c r="E1825" s="12"/>
      <c r="F1825" s="13" t="s">
        <v>76</v>
      </c>
      <c r="G1825" s="14">
        <v>620</v>
      </c>
      <c r="H1825" s="12" t="s">
        <v>121</v>
      </c>
      <c r="I1825" s="15">
        <v>5890</v>
      </c>
      <c r="J1825" s="15">
        <v>3582</v>
      </c>
      <c r="K1825" s="354">
        <f t="shared" si="271"/>
        <v>60.81494057724958</v>
      </c>
      <c r="L1825" s="15"/>
      <c r="M1825" s="15"/>
      <c r="N1825" s="354"/>
      <c r="O1825" s="16">
        <f t="shared" si="272"/>
        <v>5890</v>
      </c>
      <c r="P1825" s="16">
        <f t="shared" si="273"/>
        <v>3582</v>
      </c>
      <c r="Q1825" s="354">
        <f t="shared" si="274"/>
        <v>60.81494057724958</v>
      </c>
    </row>
    <row r="1826" spans="2:17" x14ac:dyDescent="0.2">
      <c r="B1826" s="6">
        <f t="shared" si="270"/>
        <v>160</v>
      </c>
      <c r="C1826" s="12"/>
      <c r="D1826" s="12"/>
      <c r="E1826" s="12"/>
      <c r="F1826" s="13" t="s">
        <v>76</v>
      </c>
      <c r="G1826" s="14">
        <v>630</v>
      </c>
      <c r="H1826" s="12" t="s">
        <v>118</v>
      </c>
      <c r="I1826" s="15">
        <f>SUM(I1827:I1830)</f>
        <v>5395</v>
      </c>
      <c r="J1826" s="15">
        <f>SUM(J1827:J1830)</f>
        <v>1231</v>
      </c>
      <c r="K1826" s="354">
        <f t="shared" si="271"/>
        <v>22.817423540315108</v>
      </c>
      <c r="L1826" s="15"/>
      <c r="M1826" s="15"/>
      <c r="N1826" s="354"/>
      <c r="O1826" s="16">
        <f t="shared" si="272"/>
        <v>5395</v>
      </c>
      <c r="P1826" s="16">
        <f t="shared" si="273"/>
        <v>1231</v>
      </c>
      <c r="Q1826" s="354">
        <f t="shared" si="274"/>
        <v>22.817423540315108</v>
      </c>
    </row>
    <row r="1827" spans="2:17" x14ac:dyDescent="0.2">
      <c r="B1827" s="6">
        <f t="shared" si="270"/>
        <v>161</v>
      </c>
      <c r="C1827" s="17"/>
      <c r="D1827" s="17"/>
      <c r="E1827" s="17"/>
      <c r="F1827" s="18"/>
      <c r="G1827" s="19">
        <v>632</v>
      </c>
      <c r="H1827" s="17" t="s">
        <v>131</v>
      </c>
      <c r="I1827" s="20">
        <v>50</v>
      </c>
      <c r="J1827" s="20">
        <v>7</v>
      </c>
      <c r="K1827" s="354">
        <f t="shared" si="271"/>
        <v>14.000000000000002</v>
      </c>
      <c r="L1827" s="20"/>
      <c r="M1827" s="20"/>
      <c r="N1827" s="354"/>
      <c r="O1827" s="21">
        <f t="shared" si="272"/>
        <v>50</v>
      </c>
      <c r="P1827" s="21">
        <f t="shared" si="273"/>
        <v>7</v>
      </c>
      <c r="Q1827" s="354">
        <f t="shared" si="274"/>
        <v>14.000000000000002</v>
      </c>
    </row>
    <row r="1828" spans="2:17" x14ac:dyDescent="0.2">
      <c r="B1828" s="6">
        <f t="shared" si="270"/>
        <v>162</v>
      </c>
      <c r="C1828" s="17"/>
      <c r="D1828" s="17"/>
      <c r="E1828" s="17"/>
      <c r="F1828" s="18"/>
      <c r="G1828" s="19">
        <v>633</v>
      </c>
      <c r="H1828" s="17" t="s">
        <v>122</v>
      </c>
      <c r="I1828" s="20">
        <v>120</v>
      </c>
      <c r="J1828" s="20">
        <v>0</v>
      </c>
      <c r="K1828" s="354">
        <f t="shared" si="271"/>
        <v>0</v>
      </c>
      <c r="L1828" s="20"/>
      <c r="M1828" s="20"/>
      <c r="N1828" s="354"/>
      <c r="O1828" s="21">
        <f t="shared" si="272"/>
        <v>120</v>
      </c>
      <c r="P1828" s="21">
        <f t="shared" si="273"/>
        <v>0</v>
      </c>
      <c r="Q1828" s="354">
        <f t="shared" si="274"/>
        <v>0</v>
      </c>
    </row>
    <row r="1829" spans="2:17" x14ac:dyDescent="0.2">
      <c r="B1829" s="6">
        <f t="shared" ref="B1829:B1844" si="275">B1828+1</f>
        <v>163</v>
      </c>
      <c r="C1829" s="17"/>
      <c r="D1829" s="17"/>
      <c r="E1829" s="17"/>
      <c r="F1829" s="18"/>
      <c r="G1829" s="19">
        <v>634</v>
      </c>
      <c r="H1829" s="17" t="s">
        <v>129</v>
      </c>
      <c r="I1829" s="20">
        <v>3750</v>
      </c>
      <c r="J1829" s="20">
        <v>549</v>
      </c>
      <c r="K1829" s="354">
        <f t="shared" si="271"/>
        <v>14.64</v>
      </c>
      <c r="L1829" s="20"/>
      <c r="M1829" s="20"/>
      <c r="N1829" s="354"/>
      <c r="O1829" s="21">
        <f t="shared" si="272"/>
        <v>3750</v>
      </c>
      <c r="P1829" s="21">
        <f t="shared" si="273"/>
        <v>549</v>
      </c>
      <c r="Q1829" s="354">
        <f t="shared" si="274"/>
        <v>14.64</v>
      </c>
    </row>
    <row r="1830" spans="2:17" x14ac:dyDescent="0.2">
      <c r="B1830" s="6">
        <f t="shared" si="275"/>
        <v>164</v>
      </c>
      <c r="C1830" s="17"/>
      <c r="D1830" s="17"/>
      <c r="E1830" s="17"/>
      <c r="F1830" s="18"/>
      <c r="G1830" s="19">
        <v>637</v>
      </c>
      <c r="H1830" s="17" t="s">
        <v>119</v>
      </c>
      <c r="I1830" s="20">
        <v>1475</v>
      </c>
      <c r="J1830" s="20">
        <v>675</v>
      </c>
      <c r="K1830" s="354">
        <f t="shared" si="271"/>
        <v>45.762711864406782</v>
      </c>
      <c r="L1830" s="20"/>
      <c r="M1830" s="20"/>
      <c r="N1830" s="354"/>
      <c r="O1830" s="21">
        <f t="shared" si="272"/>
        <v>1475</v>
      </c>
      <c r="P1830" s="21">
        <f t="shared" si="273"/>
        <v>675</v>
      </c>
      <c r="Q1830" s="354">
        <f t="shared" si="274"/>
        <v>45.762711864406782</v>
      </c>
    </row>
    <row r="1831" spans="2:17" x14ac:dyDescent="0.2">
      <c r="B1831" s="6">
        <f t="shared" si="275"/>
        <v>165</v>
      </c>
      <c r="C1831" s="12"/>
      <c r="D1831" s="12"/>
      <c r="E1831" s="12"/>
      <c r="F1831" s="13" t="s">
        <v>76</v>
      </c>
      <c r="G1831" s="14">
        <v>640</v>
      </c>
      <c r="H1831" s="12" t="s">
        <v>126</v>
      </c>
      <c r="I1831" s="15">
        <v>200</v>
      </c>
      <c r="J1831" s="15">
        <v>0</v>
      </c>
      <c r="K1831" s="354">
        <f t="shared" si="271"/>
        <v>0</v>
      </c>
      <c r="L1831" s="15"/>
      <c r="M1831" s="15"/>
      <c r="N1831" s="354"/>
      <c r="O1831" s="16">
        <f t="shared" si="272"/>
        <v>200</v>
      </c>
      <c r="P1831" s="16">
        <f t="shared" si="273"/>
        <v>0</v>
      </c>
      <c r="Q1831" s="354">
        <f t="shared" si="274"/>
        <v>0</v>
      </c>
    </row>
    <row r="1832" spans="2:17" ht="15" x14ac:dyDescent="0.2">
      <c r="B1832" s="6">
        <f t="shared" si="275"/>
        <v>166</v>
      </c>
      <c r="C1832" s="9">
        <v>11</v>
      </c>
      <c r="D1832" s="459" t="s">
        <v>72</v>
      </c>
      <c r="E1832" s="460"/>
      <c r="F1832" s="460"/>
      <c r="G1832" s="460"/>
      <c r="H1832" s="460"/>
      <c r="I1832" s="10">
        <f>I1833</f>
        <v>237745</v>
      </c>
      <c r="J1832" s="10">
        <f>J1833</f>
        <v>122067</v>
      </c>
      <c r="K1832" s="354">
        <f t="shared" si="271"/>
        <v>51.343666533470731</v>
      </c>
      <c r="L1832" s="10"/>
      <c r="M1832" s="10"/>
      <c r="N1832" s="354"/>
      <c r="O1832" s="31">
        <f t="shared" si="272"/>
        <v>237745</v>
      </c>
      <c r="P1832" s="31">
        <f t="shared" si="273"/>
        <v>122067</v>
      </c>
      <c r="Q1832" s="354">
        <f t="shared" si="274"/>
        <v>51.343666533470731</v>
      </c>
    </row>
    <row r="1833" spans="2:17" ht="15" x14ac:dyDescent="0.25">
      <c r="B1833" s="6">
        <f t="shared" si="275"/>
        <v>167</v>
      </c>
      <c r="C1833" s="95"/>
      <c r="D1833" s="95"/>
      <c r="E1833" s="95">
        <v>5</v>
      </c>
      <c r="F1833" s="96"/>
      <c r="G1833" s="96"/>
      <c r="H1833" s="95" t="s">
        <v>103</v>
      </c>
      <c r="I1833" s="97">
        <f>I1834+I1835+I1836+I1843</f>
        <v>237745</v>
      </c>
      <c r="J1833" s="97">
        <f>J1834+J1835+J1836+J1843</f>
        <v>122067</v>
      </c>
      <c r="K1833" s="354">
        <f t="shared" si="271"/>
        <v>51.343666533470731</v>
      </c>
      <c r="L1833" s="97"/>
      <c r="M1833" s="97"/>
      <c r="N1833" s="354"/>
      <c r="O1833" s="98">
        <f t="shared" si="272"/>
        <v>237745</v>
      </c>
      <c r="P1833" s="98">
        <f t="shared" si="273"/>
        <v>122067</v>
      </c>
      <c r="Q1833" s="354">
        <f t="shared" si="274"/>
        <v>51.343666533470731</v>
      </c>
    </row>
    <row r="1834" spans="2:17" x14ac:dyDescent="0.2">
      <c r="B1834" s="6">
        <f t="shared" si="275"/>
        <v>168</v>
      </c>
      <c r="C1834" s="12"/>
      <c r="D1834" s="12"/>
      <c r="E1834" s="12"/>
      <c r="F1834" s="13" t="s">
        <v>61</v>
      </c>
      <c r="G1834" s="14">
        <v>610</v>
      </c>
      <c r="H1834" s="12" t="s">
        <v>128</v>
      </c>
      <c r="I1834" s="15">
        <v>145158</v>
      </c>
      <c r="J1834" s="15">
        <v>74101</v>
      </c>
      <c r="K1834" s="354">
        <f t="shared" si="271"/>
        <v>51.048512655175735</v>
      </c>
      <c r="L1834" s="15"/>
      <c r="M1834" s="15"/>
      <c r="N1834" s="354"/>
      <c r="O1834" s="16">
        <f t="shared" ref="O1834:O1844" si="276">L1834+I1834</f>
        <v>145158</v>
      </c>
      <c r="P1834" s="16">
        <f t="shared" ref="P1834:P1844" si="277">M1834+J1834</f>
        <v>74101</v>
      </c>
      <c r="Q1834" s="354">
        <f t="shared" ref="Q1834:Q1843" si="278">P1834/O1834*100</f>
        <v>51.048512655175735</v>
      </c>
    </row>
    <row r="1835" spans="2:17" x14ac:dyDescent="0.2">
      <c r="B1835" s="6">
        <f t="shared" si="275"/>
        <v>169</v>
      </c>
      <c r="C1835" s="12"/>
      <c r="D1835" s="12"/>
      <c r="E1835" s="12"/>
      <c r="F1835" s="13" t="s">
        <v>61</v>
      </c>
      <c r="G1835" s="14">
        <v>620</v>
      </c>
      <c r="H1835" s="12" t="s">
        <v>121</v>
      </c>
      <c r="I1835" s="15">
        <v>55482</v>
      </c>
      <c r="J1835" s="15">
        <v>30096</v>
      </c>
      <c r="K1835" s="354">
        <f t="shared" si="271"/>
        <v>54.244619876716769</v>
      </c>
      <c r="L1835" s="15"/>
      <c r="M1835" s="15"/>
      <c r="N1835" s="354"/>
      <c r="O1835" s="16">
        <f t="shared" si="276"/>
        <v>55482</v>
      </c>
      <c r="P1835" s="16">
        <f t="shared" si="277"/>
        <v>30096</v>
      </c>
      <c r="Q1835" s="354">
        <f t="shared" si="278"/>
        <v>54.244619876716769</v>
      </c>
    </row>
    <row r="1836" spans="2:17" x14ac:dyDescent="0.2">
      <c r="B1836" s="6">
        <f t="shared" si="275"/>
        <v>170</v>
      </c>
      <c r="C1836" s="12"/>
      <c r="D1836" s="12"/>
      <c r="E1836" s="12"/>
      <c r="F1836" s="13" t="s">
        <v>61</v>
      </c>
      <c r="G1836" s="14">
        <v>630</v>
      </c>
      <c r="H1836" s="12" t="s">
        <v>118</v>
      </c>
      <c r="I1836" s="15">
        <f>SUM(I1837:I1842)</f>
        <v>32895</v>
      </c>
      <c r="J1836" s="15">
        <f>SUM(J1837:J1842)</f>
        <v>15416</v>
      </c>
      <c r="K1836" s="354">
        <f t="shared" si="271"/>
        <v>46.864265085879317</v>
      </c>
      <c r="L1836" s="15"/>
      <c r="M1836" s="15"/>
      <c r="N1836" s="354"/>
      <c r="O1836" s="16">
        <f t="shared" si="276"/>
        <v>32895</v>
      </c>
      <c r="P1836" s="16">
        <f t="shared" si="277"/>
        <v>15416</v>
      </c>
      <c r="Q1836" s="354">
        <f t="shared" si="278"/>
        <v>46.864265085879317</v>
      </c>
    </row>
    <row r="1837" spans="2:17" x14ac:dyDescent="0.2">
      <c r="B1837" s="6">
        <f t="shared" si="275"/>
        <v>171</v>
      </c>
      <c r="C1837" s="17"/>
      <c r="D1837" s="17"/>
      <c r="E1837" s="17"/>
      <c r="F1837" s="18"/>
      <c r="G1837" s="19">
        <v>631</v>
      </c>
      <c r="H1837" s="17" t="s">
        <v>124</v>
      </c>
      <c r="I1837" s="20">
        <v>200</v>
      </c>
      <c r="J1837" s="20">
        <v>0</v>
      </c>
      <c r="K1837" s="354">
        <f t="shared" si="271"/>
        <v>0</v>
      </c>
      <c r="L1837" s="20"/>
      <c r="M1837" s="20"/>
      <c r="N1837" s="354"/>
      <c r="O1837" s="21">
        <f t="shared" si="276"/>
        <v>200</v>
      </c>
      <c r="P1837" s="21">
        <f t="shared" si="277"/>
        <v>0</v>
      </c>
      <c r="Q1837" s="354">
        <f t="shared" si="278"/>
        <v>0</v>
      </c>
    </row>
    <row r="1838" spans="2:17" x14ac:dyDescent="0.2">
      <c r="B1838" s="6">
        <f t="shared" si="275"/>
        <v>172</v>
      </c>
      <c r="C1838" s="17"/>
      <c r="D1838" s="17"/>
      <c r="E1838" s="17"/>
      <c r="F1838" s="18"/>
      <c r="G1838" s="19">
        <v>632</v>
      </c>
      <c r="H1838" s="17" t="s">
        <v>131</v>
      </c>
      <c r="I1838" s="20">
        <v>1730</v>
      </c>
      <c r="J1838" s="20">
        <v>649</v>
      </c>
      <c r="K1838" s="354">
        <f t="shared" si="271"/>
        <v>37.514450867052027</v>
      </c>
      <c r="L1838" s="20"/>
      <c r="M1838" s="20"/>
      <c r="N1838" s="354"/>
      <c r="O1838" s="21">
        <f t="shared" si="276"/>
        <v>1730</v>
      </c>
      <c r="P1838" s="21">
        <f t="shared" si="277"/>
        <v>649</v>
      </c>
      <c r="Q1838" s="354">
        <f t="shared" si="278"/>
        <v>37.514450867052027</v>
      </c>
    </row>
    <row r="1839" spans="2:17" x14ac:dyDescent="0.2">
      <c r="B1839" s="6">
        <f t="shared" si="275"/>
        <v>173</v>
      </c>
      <c r="C1839" s="17"/>
      <c r="D1839" s="17"/>
      <c r="E1839" s="17"/>
      <c r="F1839" s="18"/>
      <c r="G1839" s="19">
        <v>633</v>
      </c>
      <c r="H1839" s="17" t="s">
        <v>122</v>
      </c>
      <c r="I1839" s="20">
        <v>4750</v>
      </c>
      <c r="J1839" s="20">
        <v>2110</v>
      </c>
      <c r="K1839" s="354">
        <f t="shared" si="271"/>
        <v>44.421052631578952</v>
      </c>
      <c r="L1839" s="20"/>
      <c r="M1839" s="20"/>
      <c r="N1839" s="354"/>
      <c r="O1839" s="21">
        <f t="shared" si="276"/>
        <v>4750</v>
      </c>
      <c r="P1839" s="21">
        <f t="shared" si="277"/>
        <v>2110</v>
      </c>
      <c r="Q1839" s="354">
        <f t="shared" si="278"/>
        <v>44.421052631578952</v>
      </c>
    </row>
    <row r="1840" spans="2:17" x14ac:dyDescent="0.2">
      <c r="B1840" s="6">
        <f t="shared" si="275"/>
        <v>174</v>
      </c>
      <c r="C1840" s="17"/>
      <c r="D1840" s="17"/>
      <c r="E1840" s="17"/>
      <c r="F1840" s="18"/>
      <c r="G1840" s="19">
        <v>634</v>
      </c>
      <c r="H1840" s="17" t="s">
        <v>129</v>
      </c>
      <c r="I1840" s="20">
        <v>1705</v>
      </c>
      <c r="J1840" s="20">
        <v>286</v>
      </c>
      <c r="K1840" s="354">
        <f t="shared" si="271"/>
        <v>16.7741935483871</v>
      </c>
      <c r="L1840" s="20"/>
      <c r="M1840" s="20"/>
      <c r="N1840" s="354"/>
      <c r="O1840" s="21">
        <f t="shared" si="276"/>
        <v>1705</v>
      </c>
      <c r="P1840" s="21">
        <f t="shared" si="277"/>
        <v>286</v>
      </c>
      <c r="Q1840" s="354">
        <f t="shared" si="278"/>
        <v>16.7741935483871</v>
      </c>
    </row>
    <row r="1841" spans="2:17" x14ac:dyDescent="0.2">
      <c r="B1841" s="6">
        <f t="shared" si="275"/>
        <v>175</v>
      </c>
      <c r="C1841" s="17"/>
      <c r="D1841" s="17"/>
      <c r="E1841" s="17"/>
      <c r="F1841" s="18"/>
      <c r="G1841" s="19">
        <v>635</v>
      </c>
      <c r="H1841" s="17" t="s">
        <v>130</v>
      </c>
      <c r="I1841" s="20">
        <v>550</v>
      </c>
      <c r="J1841" s="20">
        <v>0</v>
      </c>
      <c r="K1841" s="354">
        <f t="shared" si="271"/>
        <v>0</v>
      </c>
      <c r="L1841" s="20"/>
      <c r="M1841" s="20"/>
      <c r="N1841" s="354"/>
      <c r="O1841" s="21">
        <f t="shared" si="276"/>
        <v>550</v>
      </c>
      <c r="P1841" s="21">
        <f t="shared" si="277"/>
        <v>0</v>
      </c>
      <c r="Q1841" s="354">
        <f t="shared" si="278"/>
        <v>0</v>
      </c>
    </row>
    <row r="1842" spans="2:17" x14ac:dyDescent="0.2">
      <c r="B1842" s="6">
        <f t="shared" si="275"/>
        <v>176</v>
      </c>
      <c r="C1842" s="17"/>
      <c r="D1842" s="17"/>
      <c r="E1842" s="17"/>
      <c r="F1842" s="18"/>
      <c r="G1842" s="19">
        <v>637</v>
      </c>
      <c r="H1842" s="17" t="s">
        <v>119</v>
      </c>
      <c r="I1842" s="20">
        <v>23960</v>
      </c>
      <c r="J1842" s="20">
        <v>12371</v>
      </c>
      <c r="K1842" s="354">
        <f t="shared" si="271"/>
        <v>51.631886477462444</v>
      </c>
      <c r="L1842" s="20"/>
      <c r="M1842" s="20"/>
      <c r="N1842" s="354"/>
      <c r="O1842" s="21">
        <f t="shared" si="276"/>
        <v>23960</v>
      </c>
      <c r="P1842" s="21">
        <f t="shared" si="277"/>
        <v>12371</v>
      </c>
      <c r="Q1842" s="354">
        <f t="shared" si="278"/>
        <v>51.631886477462444</v>
      </c>
    </row>
    <row r="1843" spans="2:17" x14ac:dyDescent="0.2">
      <c r="B1843" s="6">
        <f t="shared" si="275"/>
        <v>177</v>
      </c>
      <c r="C1843" s="151"/>
      <c r="D1843" s="151"/>
      <c r="E1843" s="151"/>
      <c r="F1843" s="152" t="s">
        <v>61</v>
      </c>
      <c r="G1843" s="153">
        <v>640</v>
      </c>
      <c r="H1843" s="151" t="s">
        <v>126</v>
      </c>
      <c r="I1843" s="120">
        <v>4210</v>
      </c>
      <c r="J1843" s="120">
        <v>2454</v>
      </c>
      <c r="K1843" s="354">
        <f t="shared" si="271"/>
        <v>58.289786223277908</v>
      </c>
      <c r="L1843" s="120"/>
      <c r="M1843" s="120"/>
      <c r="N1843" s="354"/>
      <c r="O1843" s="121">
        <f t="shared" si="276"/>
        <v>4210</v>
      </c>
      <c r="P1843" s="121">
        <f t="shared" si="277"/>
        <v>2454</v>
      </c>
      <c r="Q1843" s="354">
        <f t="shared" si="278"/>
        <v>58.289786223277908</v>
      </c>
    </row>
    <row r="1844" spans="2:17" ht="15" x14ac:dyDescent="0.2">
      <c r="B1844" s="6">
        <f t="shared" si="275"/>
        <v>178</v>
      </c>
      <c r="C1844" s="154">
        <v>12</v>
      </c>
      <c r="D1844" s="516" t="s">
        <v>537</v>
      </c>
      <c r="E1844" s="517"/>
      <c r="F1844" s="517"/>
      <c r="G1844" s="517"/>
      <c r="H1844" s="517"/>
      <c r="I1844" s="127"/>
      <c r="J1844" s="127"/>
      <c r="K1844" s="354"/>
      <c r="L1844" s="127"/>
      <c r="M1844" s="127"/>
      <c r="N1844" s="354"/>
      <c r="O1844" s="128">
        <f t="shared" si="276"/>
        <v>0</v>
      </c>
      <c r="P1844" s="128">
        <f t="shared" si="277"/>
        <v>0</v>
      </c>
      <c r="Q1844" s="354"/>
    </row>
    <row r="1848" spans="2:17" ht="27.75" x14ac:dyDescent="0.4">
      <c r="B1848" s="521" t="s">
        <v>24</v>
      </c>
      <c r="C1848" s="522"/>
      <c r="D1848" s="522"/>
      <c r="E1848" s="522"/>
      <c r="F1848" s="522"/>
      <c r="G1848" s="522"/>
      <c r="H1848" s="522"/>
      <c r="I1848" s="522"/>
      <c r="J1848" s="522"/>
      <c r="K1848" s="522"/>
      <c r="L1848" s="522"/>
      <c r="M1848" s="522"/>
      <c r="N1848" s="522"/>
      <c r="O1848" s="522"/>
      <c r="P1848" s="275"/>
      <c r="Q1848" s="275"/>
    </row>
    <row r="1849" spans="2:17" ht="15" x14ac:dyDescent="0.35">
      <c r="B1849" s="461" t="s">
        <v>437</v>
      </c>
      <c r="C1849" s="462"/>
      <c r="D1849" s="462"/>
      <c r="E1849" s="462"/>
      <c r="F1849" s="462"/>
      <c r="G1849" s="462"/>
      <c r="H1849" s="462"/>
      <c r="I1849" s="462"/>
      <c r="J1849" s="462"/>
      <c r="K1849" s="462"/>
      <c r="L1849" s="462"/>
      <c r="M1849" s="462"/>
      <c r="N1849" s="463"/>
      <c r="O1849" s="466" t="s">
        <v>717</v>
      </c>
      <c r="P1849" s="466" t="s">
        <v>712</v>
      </c>
      <c r="Q1849" s="468" t="s">
        <v>711</v>
      </c>
    </row>
    <row r="1850" spans="2:17" x14ac:dyDescent="0.2">
      <c r="B1850" s="478"/>
      <c r="C1850" s="475" t="s">
        <v>111</v>
      </c>
      <c r="D1850" s="475" t="s">
        <v>112</v>
      </c>
      <c r="E1850" s="475"/>
      <c r="F1850" s="475" t="s">
        <v>113</v>
      </c>
      <c r="G1850" s="477" t="s">
        <v>114</v>
      </c>
      <c r="H1850" s="476" t="s">
        <v>115</v>
      </c>
      <c r="I1850" s="471" t="s">
        <v>713</v>
      </c>
      <c r="J1850" s="471" t="s">
        <v>714</v>
      </c>
      <c r="K1850" s="472" t="s">
        <v>711</v>
      </c>
      <c r="L1850" s="471" t="s">
        <v>715</v>
      </c>
      <c r="M1850" s="471" t="s">
        <v>716</v>
      </c>
      <c r="N1850" s="451" t="s">
        <v>711</v>
      </c>
      <c r="O1850" s="467"/>
      <c r="P1850" s="467"/>
      <c r="Q1850" s="469"/>
    </row>
    <row r="1851" spans="2:17" x14ac:dyDescent="0.2">
      <c r="B1851" s="478"/>
      <c r="C1851" s="475"/>
      <c r="D1851" s="475"/>
      <c r="E1851" s="475"/>
      <c r="F1851" s="475"/>
      <c r="G1851" s="477"/>
      <c r="H1851" s="476"/>
      <c r="I1851" s="471"/>
      <c r="J1851" s="471"/>
      <c r="K1851" s="473"/>
      <c r="L1851" s="471"/>
      <c r="M1851" s="471"/>
      <c r="N1851" s="452"/>
      <c r="O1851" s="467"/>
      <c r="P1851" s="467"/>
      <c r="Q1851" s="469"/>
    </row>
    <row r="1852" spans="2:17" x14ac:dyDescent="0.2">
      <c r="B1852" s="478"/>
      <c r="C1852" s="475"/>
      <c r="D1852" s="475"/>
      <c r="E1852" s="475"/>
      <c r="F1852" s="475"/>
      <c r="G1852" s="477"/>
      <c r="H1852" s="476"/>
      <c r="I1852" s="471"/>
      <c r="J1852" s="471"/>
      <c r="K1852" s="473"/>
      <c r="L1852" s="471"/>
      <c r="M1852" s="471"/>
      <c r="N1852" s="452"/>
      <c r="O1852" s="467"/>
      <c r="P1852" s="467"/>
      <c r="Q1852" s="469"/>
    </row>
    <row r="1853" spans="2:17" x14ac:dyDescent="0.2">
      <c r="B1853" s="478"/>
      <c r="C1853" s="475"/>
      <c r="D1853" s="475"/>
      <c r="E1853" s="475"/>
      <c r="F1853" s="475"/>
      <c r="G1853" s="477"/>
      <c r="H1853" s="476"/>
      <c r="I1853" s="471"/>
      <c r="J1853" s="471"/>
      <c r="K1853" s="474"/>
      <c r="L1853" s="471"/>
      <c r="M1853" s="471"/>
      <c r="N1853" s="452"/>
      <c r="O1853" s="467"/>
      <c r="P1853" s="467"/>
      <c r="Q1853" s="470"/>
    </row>
    <row r="1854" spans="2:17" ht="15.75" x14ac:dyDescent="0.2">
      <c r="B1854" s="6">
        <v>1</v>
      </c>
      <c r="C1854" s="464" t="s">
        <v>24</v>
      </c>
      <c r="D1854" s="465"/>
      <c r="E1854" s="465"/>
      <c r="F1854" s="465"/>
      <c r="G1854" s="465"/>
      <c r="H1854" s="465"/>
      <c r="I1854" s="7">
        <f>I1855</f>
        <v>435020</v>
      </c>
      <c r="J1854" s="7">
        <f>J1855</f>
        <v>206032</v>
      </c>
      <c r="K1854" s="354">
        <f t="shared" ref="K1854:K1861" si="279">J1854/I1854*100</f>
        <v>47.361500620661118</v>
      </c>
      <c r="L1854" s="7">
        <f>L1855</f>
        <v>1650</v>
      </c>
      <c r="M1854" s="7">
        <f>M1855</f>
        <v>0</v>
      </c>
      <c r="N1854" s="354">
        <f>M1854/L1854*100</f>
        <v>0</v>
      </c>
      <c r="O1854" s="8">
        <f t="shared" ref="O1854:O1874" si="280">L1854+I1854</f>
        <v>436670</v>
      </c>
      <c r="P1854" s="8">
        <f t="shared" ref="P1854:P1874" si="281">M1854+J1854</f>
        <v>206032</v>
      </c>
      <c r="Q1854" s="354">
        <f t="shared" ref="Q1854:Q1864" si="282">P1854/O1854*100</f>
        <v>47.182540591293197</v>
      </c>
    </row>
    <row r="1855" spans="2:17" ht="15" x14ac:dyDescent="0.2">
      <c r="B1855" s="6">
        <f t="shared" ref="B1855:B1874" si="283">B1854+1</f>
        <v>2</v>
      </c>
      <c r="C1855" s="9">
        <v>1</v>
      </c>
      <c r="D1855" s="459" t="s">
        <v>152</v>
      </c>
      <c r="E1855" s="460"/>
      <c r="F1855" s="460"/>
      <c r="G1855" s="460"/>
      <c r="H1855" s="460"/>
      <c r="I1855" s="10">
        <f>I1856+I1865+I1866</f>
        <v>435020</v>
      </c>
      <c r="J1855" s="10">
        <f>J1856+J1865+J1866</f>
        <v>206032</v>
      </c>
      <c r="K1855" s="354">
        <f t="shared" si="279"/>
        <v>47.361500620661118</v>
      </c>
      <c r="L1855" s="10">
        <f>L1862</f>
        <v>1650</v>
      </c>
      <c r="M1855" s="10">
        <f>M1862</f>
        <v>0</v>
      </c>
      <c r="N1855" s="354">
        <f>M1855/L1855*100</f>
        <v>0</v>
      </c>
      <c r="O1855" s="31">
        <f t="shared" si="280"/>
        <v>436670</v>
      </c>
      <c r="P1855" s="31">
        <f t="shared" si="281"/>
        <v>206032</v>
      </c>
      <c r="Q1855" s="354">
        <f t="shared" si="282"/>
        <v>47.182540591293197</v>
      </c>
    </row>
    <row r="1856" spans="2:17" ht="15" x14ac:dyDescent="0.25">
      <c r="B1856" s="6">
        <f t="shared" si="283"/>
        <v>3</v>
      </c>
      <c r="C1856" s="27"/>
      <c r="D1856" s="27">
        <v>1</v>
      </c>
      <c r="E1856" s="457" t="s">
        <v>151</v>
      </c>
      <c r="F1856" s="458"/>
      <c r="G1856" s="458"/>
      <c r="H1856" s="458"/>
      <c r="I1856" s="28">
        <f>I1857+I1860</f>
        <v>361650</v>
      </c>
      <c r="J1856" s="28">
        <f>J1857+J1860</f>
        <v>169817</v>
      </c>
      <c r="K1856" s="354">
        <f t="shared" si="279"/>
        <v>46.956173095534353</v>
      </c>
      <c r="L1856" s="28">
        <f>L1862</f>
        <v>1650</v>
      </c>
      <c r="M1856" s="28">
        <f>M1862</f>
        <v>0</v>
      </c>
      <c r="N1856" s="354">
        <f>M1856/L1856*100</f>
        <v>0</v>
      </c>
      <c r="O1856" s="29">
        <f t="shared" si="280"/>
        <v>363300</v>
      </c>
      <c r="P1856" s="29">
        <f t="shared" si="281"/>
        <v>169817</v>
      </c>
      <c r="Q1856" s="354">
        <f t="shared" si="282"/>
        <v>46.742912193779247</v>
      </c>
    </row>
    <row r="1857" spans="2:17" x14ac:dyDescent="0.2">
      <c r="B1857" s="6">
        <f t="shared" si="283"/>
        <v>4</v>
      </c>
      <c r="C1857" s="12"/>
      <c r="D1857" s="12"/>
      <c r="E1857" s="12"/>
      <c r="F1857" s="13" t="s">
        <v>150</v>
      </c>
      <c r="G1857" s="14">
        <v>630</v>
      </c>
      <c r="H1857" s="12" t="s">
        <v>118</v>
      </c>
      <c r="I1857" s="15">
        <f>I1858+I1859</f>
        <v>267450</v>
      </c>
      <c r="J1857" s="15">
        <f>J1858+J1859</f>
        <v>117801</v>
      </c>
      <c r="K1857" s="354">
        <f t="shared" si="279"/>
        <v>44.045989904655073</v>
      </c>
      <c r="L1857" s="15"/>
      <c r="M1857" s="15"/>
      <c r="N1857" s="354"/>
      <c r="O1857" s="16">
        <f t="shared" si="280"/>
        <v>267450</v>
      </c>
      <c r="P1857" s="16">
        <f t="shared" si="281"/>
        <v>117801</v>
      </c>
      <c r="Q1857" s="354">
        <f t="shared" si="282"/>
        <v>44.045989904655073</v>
      </c>
    </row>
    <row r="1858" spans="2:17" x14ac:dyDescent="0.2">
      <c r="B1858" s="6">
        <f t="shared" si="283"/>
        <v>5</v>
      </c>
      <c r="C1858" s="17"/>
      <c r="D1858" s="17"/>
      <c r="E1858" s="17"/>
      <c r="F1858" s="18"/>
      <c r="G1858" s="19">
        <v>635</v>
      </c>
      <c r="H1858" s="17" t="s">
        <v>130</v>
      </c>
      <c r="I1858" s="20">
        <v>10000</v>
      </c>
      <c r="J1858" s="20">
        <v>54</v>
      </c>
      <c r="K1858" s="354">
        <f t="shared" si="279"/>
        <v>0.54</v>
      </c>
      <c r="L1858" s="20"/>
      <c r="M1858" s="20"/>
      <c r="N1858" s="354"/>
      <c r="O1858" s="21">
        <f t="shared" si="280"/>
        <v>10000</v>
      </c>
      <c r="P1858" s="21">
        <f t="shared" si="281"/>
        <v>54</v>
      </c>
      <c r="Q1858" s="354">
        <f t="shared" si="282"/>
        <v>0.54</v>
      </c>
    </row>
    <row r="1859" spans="2:17" x14ac:dyDescent="0.2">
      <c r="B1859" s="6">
        <f t="shared" si="283"/>
        <v>6</v>
      </c>
      <c r="C1859" s="17"/>
      <c r="D1859" s="17"/>
      <c r="E1859" s="17"/>
      <c r="F1859" s="18"/>
      <c r="G1859" s="19">
        <v>637</v>
      </c>
      <c r="H1859" s="17" t="s">
        <v>119</v>
      </c>
      <c r="I1859" s="20">
        <f>247850+9600</f>
        <v>257450</v>
      </c>
      <c r="J1859" s="20">
        <v>117747</v>
      </c>
      <c r="K1859" s="354">
        <f t="shared" si="279"/>
        <v>45.735871042920955</v>
      </c>
      <c r="L1859" s="20"/>
      <c r="M1859" s="20"/>
      <c r="N1859" s="354"/>
      <c r="O1859" s="21">
        <f t="shared" si="280"/>
        <v>257450</v>
      </c>
      <c r="P1859" s="21">
        <f t="shared" si="281"/>
        <v>117747</v>
      </c>
      <c r="Q1859" s="354">
        <f t="shared" si="282"/>
        <v>45.735871042920955</v>
      </c>
    </row>
    <row r="1860" spans="2:17" x14ac:dyDescent="0.2">
      <c r="B1860" s="6">
        <f t="shared" si="283"/>
        <v>7</v>
      </c>
      <c r="C1860" s="12"/>
      <c r="D1860" s="12"/>
      <c r="E1860" s="12"/>
      <c r="F1860" s="13" t="s">
        <v>150</v>
      </c>
      <c r="G1860" s="14">
        <v>640</v>
      </c>
      <c r="H1860" s="12" t="s">
        <v>126</v>
      </c>
      <c r="I1860" s="15">
        <f>I1861</f>
        <v>94200</v>
      </c>
      <c r="J1860" s="15">
        <f>J1861</f>
        <v>52016</v>
      </c>
      <c r="K1860" s="354">
        <f t="shared" si="279"/>
        <v>55.218683651804668</v>
      </c>
      <c r="L1860" s="15"/>
      <c r="M1860" s="15"/>
      <c r="N1860" s="354"/>
      <c r="O1860" s="16">
        <f t="shared" si="280"/>
        <v>94200</v>
      </c>
      <c r="P1860" s="16">
        <f t="shared" si="281"/>
        <v>52016</v>
      </c>
      <c r="Q1860" s="354">
        <f t="shared" si="282"/>
        <v>55.218683651804668</v>
      </c>
    </row>
    <row r="1861" spans="2:17" x14ac:dyDescent="0.2">
      <c r="B1861" s="6">
        <f t="shared" si="283"/>
        <v>8</v>
      </c>
      <c r="C1861" s="17"/>
      <c r="D1861" s="17"/>
      <c r="E1861" s="17"/>
      <c r="F1861" s="18"/>
      <c r="G1861" s="19">
        <v>642</v>
      </c>
      <c r="H1861" s="17" t="s">
        <v>127</v>
      </c>
      <c r="I1861" s="20">
        <v>94200</v>
      </c>
      <c r="J1861" s="20">
        <v>52016</v>
      </c>
      <c r="K1861" s="354">
        <f t="shared" si="279"/>
        <v>55.218683651804668</v>
      </c>
      <c r="L1861" s="20"/>
      <c r="M1861" s="20"/>
      <c r="N1861" s="354"/>
      <c r="O1861" s="21">
        <f t="shared" si="280"/>
        <v>94200</v>
      </c>
      <c r="P1861" s="21">
        <f t="shared" si="281"/>
        <v>52016</v>
      </c>
      <c r="Q1861" s="354">
        <f t="shared" si="282"/>
        <v>55.218683651804668</v>
      </c>
    </row>
    <row r="1862" spans="2:17" x14ac:dyDescent="0.2">
      <c r="B1862" s="6">
        <f t="shared" si="283"/>
        <v>9</v>
      </c>
      <c r="C1862" s="12"/>
      <c r="D1862" s="12"/>
      <c r="E1862" s="12"/>
      <c r="F1862" s="13" t="s">
        <v>150</v>
      </c>
      <c r="G1862" s="14">
        <v>710</v>
      </c>
      <c r="H1862" s="12" t="s">
        <v>172</v>
      </c>
      <c r="I1862" s="15"/>
      <c r="J1862" s="15"/>
      <c r="K1862" s="354"/>
      <c r="L1862" s="15">
        <f>L1863</f>
        <v>1650</v>
      </c>
      <c r="M1862" s="15">
        <f>M1863</f>
        <v>0</v>
      </c>
      <c r="N1862" s="354">
        <f>M1862/L1862*100</f>
        <v>0</v>
      </c>
      <c r="O1862" s="16">
        <f t="shared" si="280"/>
        <v>1650</v>
      </c>
      <c r="P1862" s="16">
        <f t="shared" si="281"/>
        <v>0</v>
      </c>
      <c r="Q1862" s="354">
        <f t="shared" si="282"/>
        <v>0</v>
      </c>
    </row>
    <row r="1863" spans="2:17" x14ac:dyDescent="0.2">
      <c r="B1863" s="6">
        <f t="shared" si="283"/>
        <v>10</v>
      </c>
      <c r="C1863" s="17"/>
      <c r="D1863" s="17"/>
      <c r="E1863" s="17"/>
      <c r="F1863" s="18"/>
      <c r="G1863" s="19">
        <v>717</v>
      </c>
      <c r="H1863" s="17" t="s">
        <v>179</v>
      </c>
      <c r="I1863" s="20"/>
      <c r="J1863" s="20"/>
      <c r="K1863" s="354"/>
      <c r="L1863" s="20">
        <f>L1864</f>
        <v>1650</v>
      </c>
      <c r="M1863" s="20">
        <f>M1864</f>
        <v>0</v>
      </c>
      <c r="N1863" s="354">
        <f>M1863/L1863*100</f>
        <v>0</v>
      </c>
      <c r="O1863" s="21">
        <f t="shared" si="280"/>
        <v>1650</v>
      </c>
      <c r="P1863" s="21">
        <f t="shared" si="281"/>
        <v>0</v>
      </c>
      <c r="Q1863" s="354">
        <f t="shared" si="282"/>
        <v>0</v>
      </c>
    </row>
    <row r="1864" spans="2:17" x14ac:dyDescent="0.2">
      <c r="B1864" s="6">
        <f t="shared" si="283"/>
        <v>11</v>
      </c>
      <c r="C1864" s="22"/>
      <c r="D1864" s="22"/>
      <c r="E1864" s="22"/>
      <c r="F1864" s="123"/>
      <c r="G1864" s="123"/>
      <c r="H1864" s="1" t="s">
        <v>421</v>
      </c>
      <c r="I1864" s="24"/>
      <c r="J1864" s="24"/>
      <c r="K1864" s="354"/>
      <c r="L1864" s="24">
        <v>1650</v>
      </c>
      <c r="M1864" s="24">
        <v>0</v>
      </c>
      <c r="N1864" s="354">
        <f>M1864/L1864*100</f>
        <v>0</v>
      </c>
      <c r="O1864" s="26">
        <f t="shared" si="280"/>
        <v>1650</v>
      </c>
      <c r="P1864" s="26">
        <f t="shared" si="281"/>
        <v>0</v>
      </c>
      <c r="Q1864" s="354">
        <f t="shared" si="282"/>
        <v>0</v>
      </c>
    </row>
    <row r="1865" spans="2:17" ht="15" x14ac:dyDescent="0.25">
      <c r="B1865" s="6">
        <f t="shared" si="283"/>
        <v>12</v>
      </c>
      <c r="C1865" s="27"/>
      <c r="D1865" s="27">
        <v>2</v>
      </c>
      <c r="E1865" s="457" t="s">
        <v>335</v>
      </c>
      <c r="F1865" s="458"/>
      <c r="G1865" s="458"/>
      <c r="H1865" s="458"/>
      <c r="I1865" s="28">
        <v>0</v>
      </c>
      <c r="J1865" s="28">
        <v>0</v>
      </c>
      <c r="K1865" s="354"/>
      <c r="L1865" s="28"/>
      <c r="M1865" s="28"/>
      <c r="N1865" s="354"/>
      <c r="O1865" s="29">
        <f t="shared" si="280"/>
        <v>0</v>
      </c>
      <c r="P1865" s="29">
        <f t="shared" si="281"/>
        <v>0</v>
      </c>
      <c r="Q1865" s="354"/>
    </row>
    <row r="1866" spans="2:17" ht="15" x14ac:dyDescent="0.25">
      <c r="B1866" s="6">
        <f t="shared" si="283"/>
        <v>13</v>
      </c>
      <c r="C1866" s="27"/>
      <c r="D1866" s="27">
        <v>3</v>
      </c>
      <c r="E1866" s="457" t="s">
        <v>183</v>
      </c>
      <c r="F1866" s="458"/>
      <c r="G1866" s="458"/>
      <c r="H1866" s="458"/>
      <c r="I1866" s="28">
        <f>I1867+I1868+I1869+I1874</f>
        <v>73370</v>
      </c>
      <c r="J1866" s="28">
        <f>J1867+J1868+J1869+J1874</f>
        <v>36215</v>
      </c>
      <c r="K1866" s="354">
        <f t="shared" ref="K1866:K1874" si="284">J1866/I1866*100</f>
        <v>49.359411203489159</v>
      </c>
      <c r="L1866" s="28"/>
      <c r="M1866" s="28"/>
      <c r="N1866" s="354"/>
      <c r="O1866" s="29">
        <f t="shared" si="280"/>
        <v>73370</v>
      </c>
      <c r="P1866" s="29">
        <f t="shared" si="281"/>
        <v>36215</v>
      </c>
      <c r="Q1866" s="354">
        <f t="shared" ref="Q1866:Q1874" si="285">P1866/O1866*100</f>
        <v>49.359411203489159</v>
      </c>
    </row>
    <row r="1867" spans="2:17" x14ac:dyDescent="0.2">
      <c r="B1867" s="6">
        <f t="shared" si="283"/>
        <v>14</v>
      </c>
      <c r="C1867" s="12"/>
      <c r="D1867" s="12"/>
      <c r="E1867" s="12"/>
      <c r="F1867" s="13" t="s">
        <v>182</v>
      </c>
      <c r="G1867" s="14">
        <v>610</v>
      </c>
      <c r="H1867" s="12" t="s">
        <v>128</v>
      </c>
      <c r="I1867" s="15">
        <v>50000</v>
      </c>
      <c r="J1867" s="15">
        <v>24395</v>
      </c>
      <c r="K1867" s="354">
        <f t="shared" si="284"/>
        <v>48.79</v>
      </c>
      <c r="L1867" s="15"/>
      <c r="M1867" s="15"/>
      <c r="N1867" s="354"/>
      <c r="O1867" s="16">
        <f t="shared" si="280"/>
        <v>50000</v>
      </c>
      <c r="P1867" s="16">
        <f t="shared" si="281"/>
        <v>24395</v>
      </c>
      <c r="Q1867" s="354">
        <f t="shared" si="285"/>
        <v>48.79</v>
      </c>
    </row>
    <row r="1868" spans="2:17" x14ac:dyDescent="0.2">
      <c r="B1868" s="6">
        <f t="shared" si="283"/>
        <v>15</v>
      </c>
      <c r="C1868" s="12"/>
      <c r="D1868" s="12"/>
      <c r="E1868" s="12"/>
      <c r="F1868" s="13" t="s">
        <v>182</v>
      </c>
      <c r="G1868" s="14">
        <v>620</v>
      </c>
      <c r="H1868" s="12" t="s">
        <v>121</v>
      </c>
      <c r="I1868" s="15">
        <v>16270</v>
      </c>
      <c r="J1868" s="15">
        <v>8887</v>
      </c>
      <c r="K1868" s="354">
        <f t="shared" si="284"/>
        <v>54.622003687768903</v>
      </c>
      <c r="L1868" s="15"/>
      <c r="M1868" s="15"/>
      <c r="N1868" s="354"/>
      <c r="O1868" s="16">
        <f t="shared" si="280"/>
        <v>16270</v>
      </c>
      <c r="P1868" s="16">
        <f t="shared" si="281"/>
        <v>8887</v>
      </c>
      <c r="Q1868" s="354">
        <f t="shared" si="285"/>
        <v>54.622003687768903</v>
      </c>
    </row>
    <row r="1869" spans="2:17" x14ac:dyDescent="0.2">
      <c r="B1869" s="6">
        <f t="shared" si="283"/>
        <v>16</v>
      </c>
      <c r="C1869" s="12"/>
      <c r="D1869" s="12"/>
      <c r="E1869" s="12"/>
      <c r="F1869" s="13" t="s">
        <v>182</v>
      </c>
      <c r="G1869" s="14">
        <v>630</v>
      </c>
      <c r="H1869" s="12" t="s">
        <v>118</v>
      </c>
      <c r="I1869" s="15">
        <f>SUM(I1870:I1873)</f>
        <v>4300</v>
      </c>
      <c r="J1869" s="15">
        <f>SUM(J1870:J1873)</f>
        <v>1590</v>
      </c>
      <c r="K1869" s="354">
        <f t="shared" si="284"/>
        <v>36.97674418604651</v>
      </c>
      <c r="L1869" s="15"/>
      <c r="M1869" s="15"/>
      <c r="N1869" s="354"/>
      <c r="O1869" s="16">
        <f t="shared" si="280"/>
        <v>4300</v>
      </c>
      <c r="P1869" s="16">
        <f t="shared" si="281"/>
        <v>1590</v>
      </c>
      <c r="Q1869" s="354">
        <f t="shared" si="285"/>
        <v>36.97674418604651</v>
      </c>
    </row>
    <row r="1870" spans="2:17" x14ac:dyDescent="0.2">
      <c r="B1870" s="6">
        <f t="shared" si="283"/>
        <v>17</v>
      </c>
      <c r="C1870" s="17"/>
      <c r="D1870" s="17"/>
      <c r="E1870" s="17"/>
      <c r="F1870" s="18"/>
      <c r="G1870" s="19">
        <v>632</v>
      </c>
      <c r="H1870" s="17" t="s">
        <v>131</v>
      </c>
      <c r="I1870" s="20">
        <v>1600</v>
      </c>
      <c r="J1870" s="20">
        <v>1314</v>
      </c>
      <c r="K1870" s="354">
        <f t="shared" si="284"/>
        <v>82.125</v>
      </c>
      <c r="L1870" s="20"/>
      <c r="M1870" s="20"/>
      <c r="N1870" s="354"/>
      <c r="O1870" s="21">
        <f t="shared" si="280"/>
        <v>1600</v>
      </c>
      <c r="P1870" s="21">
        <f t="shared" si="281"/>
        <v>1314</v>
      </c>
      <c r="Q1870" s="354">
        <f t="shared" si="285"/>
        <v>82.125</v>
      </c>
    </row>
    <row r="1871" spans="2:17" x14ac:dyDescent="0.2">
      <c r="B1871" s="6">
        <f t="shared" si="283"/>
        <v>18</v>
      </c>
      <c r="C1871" s="17"/>
      <c r="D1871" s="17"/>
      <c r="E1871" s="17"/>
      <c r="F1871" s="18"/>
      <c r="G1871" s="19">
        <v>633</v>
      </c>
      <c r="H1871" s="17" t="s">
        <v>122</v>
      </c>
      <c r="I1871" s="20">
        <v>1050</v>
      </c>
      <c r="J1871" s="20"/>
      <c r="K1871" s="354">
        <f t="shared" si="284"/>
        <v>0</v>
      </c>
      <c r="L1871" s="20"/>
      <c r="M1871" s="20"/>
      <c r="N1871" s="354"/>
      <c r="O1871" s="21">
        <f t="shared" si="280"/>
        <v>1050</v>
      </c>
      <c r="P1871" s="21">
        <f t="shared" si="281"/>
        <v>0</v>
      </c>
      <c r="Q1871" s="354">
        <f t="shared" si="285"/>
        <v>0</v>
      </c>
    </row>
    <row r="1872" spans="2:17" x14ac:dyDescent="0.2">
      <c r="B1872" s="6">
        <f t="shared" si="283"/>
        <v>19</v>
      </c>
      <c r="C1872" s="17"/>
      <c r="D1872" s="17"/>
      <c r="E1872" s="17"/>
      <c r="F1872" s="18"/>
      <c r="G1872" s="19">
        <v>635</v>
      </c>
      <c r="H1872" s="17" t="s">
        <v>130</v>
      </c>
      <c r="I1872" s="20">
        <v>100</v>
      </c>
      <c r="J1872" s="20"/>
      <c r="K1872" s="354">
        <f t="shared" si="284"/>
        <v>0</v>
      </c>
      <c r="L1872" s="20"/>
      <c r="M1872" s="20"/>
      <c r="N1872" s="354"/>
      <c r="O1872" s="21">
        <f t="shared" si="280"/>
        <v>100</v>
      </c>
      <c r="P1872" s="21">
        <f t="shared" si="281"/>
        <v>0</v>
      </c>
      <c r="Q1872" s="354">
        <f t="shared" si="285"/>
        <v>0</v>
      </c>
    </row>
    <row r="1873" spans="2:17" x14ac:dyDescent="0.2">
      <c r="B1873" s="6">
        <f t="shared" si="283"/>
        <v>20</v>
      </c>
      <c r="C1873" s="17"/>
      <c r="D1873" s="17"/>
      <c r="E1873" s="17"/>
      <c r="F1873" s="18"/>
      <c r="G1873" s="19">
        <v>637</v>
      </c>
      <c r="H1873" s="17" t="s">
        <v>119</v>
      </c>
      <c r="I1873" s="20">
        <v>1550</v>
      </c>
      <c r="J1873" s="20">
        <v>276</v>
      </c>
      <c r="K1873" s="354">
        <f t="shared" si="284"/>
        <v>17.806451612903228</v>
      </c>
      <c r="L1873" s="20"/>
      <c r="M1873" s="20"/>
      <c r="N1873" s="354"/>
      <c r="O1873" s="21">
        <f t="shared" si="280"/>
        <v>1550</v>
      </c>
      <c r="P1873" s="21">
        <f t="shared" si="281"/>
        <v>276</v>
      </c>
      <c r="Q1873" s="354">
        <f t="shared" si="285"/>
        <v>17.806451612903228</v>
      </c>
    </row>
    <row r="1874" spans="2:17" x14ac:dyDescent="0.2">
      <c r="B1874" s="155">
        <f t="shared" si="283"/>
        <v>21</v>
      </c>
      <c r="C1874" s="156"/>
      <c r="D1874" s="156"/>
      <c r="E1874" s="156"/>
      <c r="F1874" s="157" t="s">
        <v>182</v>
      </c>
      <c r="G1874" s="158">
        <v>640</v>
      </c>
      <c r="H1874" s="156" t="s">
        <v>126</v>
      </c>
      <c r="I1874" s="159">
        <v>2800</v>
      </c>
      <c r="J1874" s="159">
        <v>1343</v>
      </c>
      <c r="K1874" s="354">
        <f t="shared" si="284"/>
        <v>47.964285714285715</v>
      </c>
      <c r="L1874" s="159"/>
      <c r="M1874" s="159"/>
      <c r="N1874" s="354"/>
      <c r="O1874" s="160">
        <f t="shared" si="280"/>
        <v>2800</v>
      </c>
      <c r="P1874" s="160">
        <f t="shared" si="281"/>
        <v>1343</v>
      </c>
      <c r="Q1874" s="354">
        <f t="shared" si="285"/>
        <v>47.964285714285715</v>
      </c>
    </row>
  </sheetData>
  <mergeCells count="322">
    <mergeCell ref="P1849:P1853"/>
    <mergeCell ref="Q1849:Q1853"/>
    <mergeCell ref="J1850:J1853"/>
    <mergeCell ref="K1850:K1853"/>
    <mergeCell ref="M1850:M1853"/>
    <mergeCell ref="N1850:N1853"/>
    <mergeCell ref="L1850:L1853"/>
    <mergeCell ref="G1850:G1853"/>
    <mergeCell ref="H1850:H1853"/>
    <mergeCell ref="I1850:I1853"/>
    <mergeCell ref="B1848:O1848"/>
    <mergeCell ref="B1849:N1849"/>
    <mergeCell ref="O1849:O1853"/>
    <mergeCell ref="B1850:B1853"/>
    <mergeCell ref="C1850:C1853"/>
    <mergeCell ref="D1850:D1853"/>
    <mergeCell ref="E1850:E1853"/>
    <mergeCell ref="F1850:F1853"/>
    <mergeCell ref="C1854:H1854"/>
    <mergeCell ref="D1855:H1855"/>
    <mergeCell ref="E1856:H1856"/>
    <mergeCell ref="E1865:H1865"/>
    <mergeCell ref="E1866:H1866"/>
    <mergeCell ref="P1660:P1664"/>
    <mergeCell ref="Q1660:Q1664"/>
    <mergeCell ref="J1661:J1664"/>
    <mergeCell ref="K1661:K1664"/>
    <mergeCell ref="M1661:M1664"/>
    <mergeCell ref="N1661:N1664"/>
    <mergeCell ref="L1661:L1664"/>
    <mergeCell ref="C1665:H1665"/>
    <mergeCell ref="H1661:H1664"/>
    <mergeCell ref="I1661:I1664"/>
    <mergeCell ref="E1753:H1753"/>
    <mergeCell ref="D1666:H1666"/>
    <mergeCell ref="E1667:H1667"/>
    <mergeCell ref="E1684:H1684"/>
    <mergeCell ref="D1685:H1685"/>
    <mergeCell ref="D1689:H1689"/>
    <mergeCell ref="D1710:H1710"/>
    <mergeCell ref="E1711:H1711"/>
    <mergeCell ref="E1725:H1725"/>
    <mergeCell ref="E1739:H1739"/>
    <mergeCell ref="B1659:O1659"/>
    <mergeCell ref="B1660:N1660"/>
    <mergeCell ref="O1660:O1664"/>
    <mergeCell ref="B1661:B1664"/>
    <mergeCell ref="C1661:C1664"/>
    <mergeCell ref="D1661:D1664"/>
    <mergeCell ref="E1661:E1664"/>
    <mergeCell ref="F1661:F1664"/>
    <mergeCell ref="G1661:G1664"/>
    <mergeCell ref="D1744:H1744"/>
    <mergeCell ref="E1745:H1745"/>
    <mergeCell ref="D1832:H1832"/>
    <mergeCell ref="D1844:H1844"/>
    <mergeCell ref="E1769:H1769"/>
    <mergeCell ref="D1775:H1775"/>
    <mergeCell ref="D1800:H1800"/>
    <mergeCell ref="D1814:H1814"/>
    <mergeCell ref="D1817:H1817"/>
    <mergeCell ref="D1822:H1822"/>
    <mergeCell ref="Q1560:Q1564"/>
    <mergeCell ref="J1561:J1564"/>
    <mergeCell ref="K1561:K1564"/>
    <mergeCell ref="M1561:M1564"/>
    <mergeCell ref="N1561:N1564"/>
    <mergeCell ref="C1565:H1565"/>
    <mergeCell ref="D1566:H1566"/>
    <mergeCell ref="I1561:I1564"/>
    <mergeCell ref="L1561:L1564"/>
    <mergeCell ref="O1560:O1564"/>
    <mergeCell ref="B1561:B1564"/>
    <mergeCell ref="C1561:C1564"/>
    <mergeCell ref="D1561:D1564"/>
    <mergeCell ref="E1561:E1564"/>
    <mergeCell ref="F1561:F1564"/>
    <mergeCell ref="G1561:G1564"/>
    <mergeCell ref="H1561:H1564"/>
    <mergeCell ref="P1560:P1564"/>
    <mergeCell ref="D1644:H1644"/>
    <mergeCell ref="D1601:H1601"/>
    <mergeCell ref="E1602:H1602"/>
    <mergeCell ref="E1614:H1614"/>
    <mergeCell ref="D1617:H1617"/>
    <mergeCell ref="D1634:H1634"/>
    <mergeCell ref="D1637:H1637"/>
    <mergeCell ref="P1490:P1494"/>
    <mergeCell ref="Q1490:Q1494"/>
    <mergeCell ref="J1491:J1494"/>
    <mergeCell ref="K1491:K1494"/>
    <mergeCell ref="M1491:M1494"/>
    <mergeCell ref="N1491:N1494"/>
    <mergeCell ref="L1491:L1494"/>
    <mergeCell ref="C1495:H1495"/>
    <mergeCell ref="H1491:H1494"/>
    <mergeCell ref="I1491:I1494"/>
    <mergeCell ref="D1496:H1496"/>
    <mergeCell ref="D1512:H1512"/>
    <mergeCell ref="D1517:H1517"/>
    <mergeCell ref="D1534:H1534"/>
    <mergeCell ref="D1547:H1547"/>
    <mergeCell ref="B1559:O1559"/>
    <mergeCell ref="B1560:N1560"/>
    <mergeCell ref="B1489:O1489"/>
    <mergeCell ref="B1490:N1490"/>
    <mergeCell ref="O1490:O1494"/>
    <mergeCell ref="B1491:B1494"/>
    <mergeCell ref="C1491:C1494"/>
    <mergeCell ref="D1491:D1494"/>
    <mergeCell ref="E1491:E1494"/>
    <mergeCell ref="F1491:F1494"/>
    <mergeCell ref="G1491:G1494"/>
    <mergeCell ref="D921:H921"/>
    <mergeCell ref="D1029:H1029"/>
    <mergeCell ref="D1334:H1334"/>
    <mergeCell ref="P1356:P1360"/>
    <mergeCell ref="Q1356:Q1360"/>
    <mergeCell ref="J1357:J1360"/>
    <mergeCell ref="K1357:K1360"/>
    <mergeCell ref="M1357:M1360"/>
    <mergeCell ref="N1357:N1360"/>
    <mergeCell ref="B1355:O1355"/>
    <mergeCell ref="O1356:O1360"/>
    <mergeCell ref="B1357:B1360"/>
    <mergeCell ref="C1357:C1360"/>
    <mergeCell ref="D1357:D1360"/>
    <mergeCell ref="E1357:E1360"/>
    <mergeCell ref="F1357:F1360"/>
    <mergeCell ref="G1357:G1360"/>
    <mergeCell ref="H1357:H1360"/>
    <mergeCell ref="I1357:I1360"/>
    <mergeCell ref="C1361:H1361"/>
    <mergeCell ref="D1362:H1362"/>
    <mergeCell ref="D1365:H1365"/>
    <mergeCell ref="L1357:L1360"/>
    <mergeCell ref="B1356:N1356"/>
    <mergeCell ref="D1438:H1438"/>
    <mergeCell ref="D1381:H1381"/>
    <mergeCell ref="E1382:H1382"/>
    <mergeCell ref="E1390:H1390"/>
    <mergeCell ref="E1399:H1399"/>
    <mergeCell ref="E1422:H1422"/>
    <mergeCell ref="E1437:H1437"/>
    <mergeCell ref="P486:P490"/>
    <mergeCell ref="Q486:Q490"/>
    <mergeCell ref="J487:J490"/>
    <mergeCell ref="K487:K490"/>
    <mergeCell ref="M487:M490"/>
    <mergeCell ref="N487:N490"/>
    <mergeCell ref="L487:L490"/>
    <mergeCell ref="D492:H492"/>
    <mergeCell ref="D712:H712"/>
    <mergeCell ref="C491:H491"/>
    <mergeCell ref="H487:H490"/>
    <mergeCell ref="I487:I490"/>
    <mergeCell ref="F487:F490"/>
    <mergeCell ref="G487:G490"/>
    <mergeCell ref="P361:P365"/>
    <mergeCell ref="Q361:Q365"/>
    <mergeCell ref="J362:J365"/>
    <mergeCell ref="K362:K365"/>
    <mergeCell ref="M362:M365"/>
    <mergeCell ref="N362:N365"/>
    <mergeCell ref="D412:H412"/>
    <mergeCell ref="C366:H366"/>
    <mergeCell ref="D367:H367"/>
    <mergeCell ref="D384:H384"/>
    <mergeCell ref="E385:H385"/>
    <mergeCell ref="E404:H404"/>
    <mergeCell ref="B485:O485"/>
    <mergeCell ref="B486:N486"/>
    <mergeCell ref="O486:O490"/>
    <mergeCell ref="B487:B490"/>
    <mergeCell ref="C487:C490"/>
    <mergeCell ref="D487:D490"/>
    <mergeCell ref="E487:E490"/>
    <mergeCell ref="B360:O360"/>
    <mergeCell ref="B361:N361"/>
    <mergeCell ref="O361:O365"/>
    <mergeCell ref="B362:B365"/>
    <mergeCell ref="C362:C365"/>
    <mergeCell ref="D362:D365"/>
    <mergeCell ref="E362:E365"/>
    <mergeCell ref="L362:L365"/>
    <mergeCell ref="F362:F365"/>
    <mergeCell ref="G362:G365"/>
    <mergeCell ref="H362:H365"/>
    <mergeCell ref="I362:I365"/>
    <mergeCell ref="M290:M293"/>
    <mergeCell ref="N290:N293"/>
    <mergeCell ref="B288:O288"/>
    <mergeCell ref="L290:L293"/>
    <mergeCell ref="B289:N289"/>
    <mergeCell ref="O289:O293"/>
    <mergeCell ref="B290:B293"/>
    <mergeCell ref="C290:C293"/>
    <mergeCell ref="D290:D293"/>
    <mergeCell ref="E290:E293"/>
    <mergeCell ref="F290:F293"/>
    <mergeCell ref="G290:G293"/>
    <mergeCell ref="H290:H293"/>
    <mergeCell ref="I290:I293"/>
    <mergeCell ref="D335:H335"/>
    <mergeCell ref="D342:H342"/>
    <mergeCell ref="D348:H348"/>
    <mergeCell ref="C294:H294"/>
    <mergeCell ref="D295:H295"/>
    <mergeCell ref="D314:H314"/>
    <mergeCell ref="P207:P211"/>
    <mergeCell ref="Q207:Q211"/>
    <mergeCell ref="J208:J211"/>
    <mergeCell ref="K208:K211"/>
    <mergeCell ref="M208:M211"/>
    <mergeCell ref="N208:N211"/>
    <mergeCell ref="C212:H212"/>
    <mergeCell ref="D213:H213"/>
    <mergeCell ref="D220:H220"/>
    <mergeCell ref="D230:H230"/>
    <mergeCell ref="D239:H239"/>
    <mergeCell ref="D253:H253"/>
    <mergeCell ref="D264:H264"/>
    <mergeCell ref="D278:H278"/>
    <mergeCell ref="P289:P293"/>
    <mergeCell ref="Q289:Q293"/>
    <mergeCell ref="J290:J293"/>
    <mergeCell ref="K290:K293"/>
    <mergeCell ref="B206:O206"/>
    <mergeCell ref="O207:O211"/>
    <mergeCell ref="B208:B211"/>
    <mergeCell ref="C208:C211"/>
    <mergeCell ref="D208:D211"/>
    <mergeCell ref="E208:E211"/>
    <mergeCell ref="F208:F211"/>
    <mergeCell ref="G208:G211"/>
    <mergeCell ref="H208:H211"/>
    <mergeCell ref="I208:I211"/>
    <mergeCell ref="L208:L211"/>
    <mergeCell ref="B207:N207"/>
    <mergeCell ref="P104:P108"/>
    <mergeCell ref="Q104:Q108"/>
    <mergeCell ref="J105:J108"/>
    <mergeCell ref="K105:K108"/>
    <mergeCell ref="M105:M108"/>
    <mergeCell ref="N105:N108"/>
    <mergeCell ref="B103:O103"/>
    <mergeCell ref="B104:N104"/>
    <mergeCell ref="O104:O108"/>
    <mergeCell ref="B105:B108"/>
    <mergeCell ref="C105:C108"/>
    <mergeCell ref="D105:D108"/>
    <mergeCell ref="E105:E108"/>
    <mergeCell ref="F105:F108"/>
    <mergeCell ref="G105:G108"/>
    <mergeCell ref="D136:H136"/>
    <mergeCell ref="D163:H163"/>
    <mergeCell ref="D181:H181"/>
    <mergeCell ref="D186:H186"/>
    <mergeCell ref="D198:H198"/>
    <mergeCell ref="P81:P85"/>
    <mergeCell ref="Q81:Q85"/>
    <mergeCell ref="J82:J85"/>
    <mergeCell ref="K82:K85"/>
    <mergeCell ref="M82:M85"/>
    <mergeCell ref="N82:N85"/>
    <mergeCell ref="D96:H96"/>
    <mergeCell ref="C86:H86"/>
    <mergeCell ref="D87:H87"/>
    <mergeCell ref="D132:H132"/>
    <mergeCell ref="L105:L108"/>
    <mergeCell ref="C109:H109"/>
    <mergeCell ref="H105:H108"/>
    <mergeCell ref="I105:I108"/>
    <mergeCell ref="D110:H110"/>
    <mergeCell ref="D113:H113"/>
    <mergeCell ref="E114:H114"/>
    <mergeCell ref="E117:H117"/>
    <mergeCell ref="E124:H124"/>
    <mergeCell ref="B1:O1"/>
    <mergeCell ref="B80:O80"/>
    <mergeCell ref="O81:O85"/>
    <mergeCell ref="B82:B85"/>
    <mergeCell ref="C82:C85"/>
    <mergeCell ref="D82:D85"/>
    <mergeCell ref="E82:E85"/>
    <mergeCell ref="F82:F85"/>
    <mergeCell ref="G82:G85"/>
    <mergeCell ref="H82:H85"/>
    <mergeCell ref="B81:N81"/>
    <mergeCell ref="I82:I85"/>
    <mergeCell ref="L82:L85"/>
    <mergeCell ref="D74:H74"/>
    <mergeCell ref="D77:H77"/>
    <mergeCell ref="D44:H44"/>
    <mergeCell ref="D62:H62"/>
    <mergeCell ref="D65:H65"/>
    <mergeCell ref="D64:H64"/>
    <mergeCell ref="D63:H63"/>
    <mergeCell ref="E16:H16"/>
    <mergeCell ref="D29:H29"/>
    <mergeCell ref="E19:H19"/>
    <mergeCell ref="E22:H22"/>
    <mergeCell ref="E9:H9"/>
    <mergeCell ref="D8:H8"/>
    <mergeCell ref="B2:N2"/>
    <mergeCell ref="C7:H7"/>
    <mergeCell ref="P2:P6"/>
    <mergeCell ref="Q2:Q6"/>
    <mergeCell ref="J3:J6"/>
    <mergeCell ref="K3:K6"/>
    <mergeCell ref="M3:M6"/>
    <mergeCell ref="N3:N6"/>
    <mergeCell ref="O2:O6"/>
    <mergeCell ref="L3:L6"/>
    <mergeCell ref="I3:I6"/>
    <mergeCell ref="D3:D6"/>
    <mergeCell ref="H3:H6"/>
    <mergeCell ref="G3:G6"/>
    <mergeCell ref="B3:B6"/>
    <mergeCell ref="C3:C6"/>
    <mergeCell ref="E3:E6"/>
    <mergeCell ref="F3:F6"/>
  </mergeCells>
  <phoneticPr fontId="2" type="noConversion"/>
  <pageMargins left="0.27559055118110237" right="0" top="0.19685039370078741" bottom="0.1574803149606299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C603-2897-4A55-B404-2B65079AC896}">
  <sheetPr codeName="Sheet12"/>
  <dimension ref="B1:M1662"/>
  <sheetViews>
    <sheetView zoomScale="90" zoomScaleNormal="90" zoomScaleSheetLayoutView="80" workbookViewId="0"/>
  </sheetViews>
  <sheetFormatPr defaultRowHeight="12.75" x14ac:dyDescent="0.2"/>
  <cols>
    <col min="1" max="1" width="9.5703125" style="5" customWidth="1"/>
    <col min="2" max="2" width="3.5703125" style="5" customWidth="1"/>
    <col min="3" max="3" width="40.7109375" style="5" customWidth="1"/>
    <col min="4" max="4" width="11.5703125" style="5" customWidth="1"/>
    <col min="5" max="5" width="12.85546875" style="5" customWidth="1"/>
    <col min="6" max="6" width="5.140625" style="5" customWidth="1"/>
    <col min="7" max="7" width="12" style="5" customWidth="1"/>
    <col min="8" max="8" width="12.5703125" style="5" customWidth="1"/>
    <col min="9" max="9" width="6.7109375" style="5" customWidth="1"/>
    <col min="10" max="10" width="12.140625" style="5" customWidth="1"/>
    <col min="11" max="11" width="12.5703125" style="5" customWidth="1"/>
    <col min="12" max="12" width="6.140625" style="5" customWidth="1"/>
    <col min="13" max="13" width="12.42578125" style="5" customWidth="1"/>
    <col min="14" max="16384" width="9.140625" style="5"/>
  </cols>
  <sheetData>
    <row r="1" spans="2:12" ht="7.5" customHeight="1" x14ac:dyDescent="0.2"/>
    <row r="2" spans="2:12" s="231" customFormat="1" ht="53.25" customHeight="1" x14ac:dyDescent="0.2">
      <c r="B2" s="360"/>
      <c r="C2" s="360"/>
      <c r="D2" s="421"/>
      <c r="E2" s="421"/>
      <c r="F2" s="421"/>
      <c r="G2" s="421"/>
      <c r="H2" s="421"/>
      <c r="I2" s="421"/>
      <c r="J2" s="421"/>
    </row>
    <row r="3" spans="2:12" s="167" customFormat="1" ht="48" customHeight="1" x14ac:dyDescent="0.2">
      <c r="B3" s="355"/>
      <c r="C3" s="356" t="s">
        <v>718</v>
      </c>
      <c r="D3" s="357" t="s">
        <v>719</v>
      </c>
      <c r="E3" s="357" t="s">
        <v>714</v>
      </c>
      <c r="F3" s="358" t="s">
        <v>711</v>
      </c>
      <c r="G3" s="357" t="s">
        <v>720</v>
      </c>
      <c r="H3" s="357" t="s">
        <v>716</v>
      </c>
      <c r="I3" s="358" t="s">
        <v>711</v>
      </c>
      <c r="J3" s="357" t="s">
        <v>721</v>
      </c>
      <c r="K3" s="357" t="s">
        <v>722</v>
      </c>
      <c r="L3" s="359" t="s">
        <v>711</v>
      </c>
    </row>
    <row r="4" spans="2:12" s="231" customFormat="1" ht="15" x14ac:dyDescent="0.25">
      <c r="B4" s="234">
        <v>1</v>
      </c>
      <c r="C4" s="235" t="s">
        <v>343</v>
      </c>
      <c r="D4" s="236">
        <f>'Príjmy 2025'!E312</f>
        <v>74658991</v>
      </c>
      <c r="E4" s="236">
        <f>'Príjmy 2025'!F312</f>
        <v>38590778</v>
      </c>
      <c r="F4" s="361">
        <f t="shared" ref="F4:F18" si="0">E4/D4*100</f>
        <v>51.689391301846022</v>
      </c>
      <c r="G4" s="236">
        <f>'Príjmy 2025'!E359</f>
        <v>54938277</v>
      </c>
      <c r="H4" s="236">
        <f>'Príjmy 2025'!F359</f>
        <v>1571154</v>
      </c>
      <c r="I4" s="363">
        <f>H4/G4*100</f>
        <v>2.8598530674706089</v>
      </c>
      <c r="J4" s="236">
        <f t="shared" ref="J4:K17" si="1">D4+G4</f>
        <v>129597268</v>
      </c>
      <c r="K4" s="236">
        <f t="shared" si="1"/>
        <v>40161932</v>
      </c>
      <c r="L4" s="367">
        <f>K4/J4*100</f>
        <v>30.989798334329084</v>
      </c>
    </row>
    <row r="5" spans="2:12" s="231" customFormat="1" ht="15" x14ac:dyDescent="0.25">
      <c r="B5" s="234">
        <v>2</v>
      </c>
      <c r="C5" s="235" t="s">
        <v>344</v>
      </c>
      <c r="D5" s="236">
        <f>SUM(D6:D17)</f>
        <v>73269347</v>
      </c>
      <c r="E5" s="236">
        <f>SUM(E6:E17)</f>
        <v>33080556.280000001</v>
      </c>
      <c r="F5" s="361">
        <f t="shared" si="0"/>
        <v>45.149244035162482</v>
      </c>
      <c r="G5" s="236">
        <f>SUM(G6:G17)</f>
        <v>90923052</v>
      </c>
      <c r="H5" s="236">
        <f>SUM(H6:H17)</f>
        <v>8307788</v>
      </c>
      <c r="I5" s="363">
        <f>H5/G5*100</f>
        <v>9.1371635875135393</v>
      </c>
      <c r="J5" s="236">
        <f t="shared" si="1"/>
        <v>164192399</v>
      </c>
      <c r="K5" s="236">
        <f t="shared" si="1"/>
        <v>41388344.280000001</v>
      </c>
      <c r="L5" s="367">
        <f t="shared" ref="L5:L20" si="2">K5/J5*100</f>
        <v>25.207223070052105</v>
      </c>
    </row>
    <row r="6" spans="2:12" ht="15.75" x14ac:dyDescent="0.3">
      <c r="B6" s="234">
        <v>3</v>
      </c>
      <c r="C6" s="83" t="s">
        <v>25</v>
      </c>
      <c r="D6" s="238">
        <f>'Výdavky 2025'!I7</f>
        <v>1476370</v>
      </c>
      <c r="E6" s="238">
        <f>'Výdavky 2025'!J7</f>
        <v>418853.28</v>
      </c>
      <c r="F6" s="362">
        <f t="shared" si="0"/>
        <v>28.370481654327843</v>
      </c>
      <c r="G6" s="238">
        <f>'Výdavky 2025'!L7</f>
        <v>4084170</v>
      </c>
      <c r="H6" s="238">
        <f>'Výdavky 2025'!M7</f>
        <v>35889</v>
      </c>
      <c r="I6" s="364">
        <f>H6/G6*100</f>
        <v>0.87873423486289748</v>
      </c>
      <c r="J6" s="238">
        <f t="shared" si="1"/>
        <v>5560540</v>
      </c>
      <c r="K6" s="238">
        <f t="shared" si="1"/>
        <v>454742.28</v>
      </c>
      <c r="L6" s="367">
        <f t="shared" si="2"/>
        <v>8.1780237171210004</v>
      </c>
    </row>
    <row r="7" spans="2:12" ht="15.75" x14ac:dyDescent="0.3">
      <c r="B7" s="234">
        <v>4</v>
      </c>
      <c r="C7" s="83" t="s">
        <v>26</v>
      </c>
      <c r="D7" s="238">
        <f>'Výdavky 2025'!I86</f>
        <v>176500</v>
      </c>
      <c r="E7" s="238">
        <f>'Výdavky 2025'!J86</f>
        <v>71394</v>
      </c>
      <c r="F7" s="362">
        <f t="shared" si="0"/>
        <v>40.44985835694051</v>
      </c>
      <c r="G7" s="238">
        <f>'Výdavky 2025'!L86</f>
        <v>0</v>
      </c>
      <c r="H7" s="238">
        <f>'Výdavky 2025'!M86</f>
        <v>0</v>
      </c>
      <c r="I7" s="364"/>
      <c r="J7" s="238">
        <f t="shared" si="1"/>
        <v>176500</v>
      </c>
      <c r="K7" s="238">
        <f t="shared" si="1"/>
        <v>71394</v>
      </c>
      <c r="L7" s="367">
        <f t="shared" si="2"/>
        <v>40.44985835694051</v>
      </c>
    </row>
    <row r="8" spans="2:12" ht="15.75" x14ac:dyDescent="0.3">
      <c r="B8" s="234">
        <v>5</v>
      </c>
      <c r="C8" s="83" t="s">
        <v>27</v>
      </c>
      <c r="D8" s="238">
        <f>'Výdavky 2025'!I109</f>
        <v>7548825</v>
      </c>
      <c r="E8" s="238">
        <f>'Výdavky 2025'!J109</f>
        <v>3638158</v>
      </c>
      <c r="F8" s="362">
        <f t="shared" si="0"/>
        <v>48.195023728858466</v>
      </c>
      <c r="G8" s="238">
        <f>'Výdavky 2025'!L109</f>
        <v>6666493</v>
      </c>
      <c r="H8" s="238">
        <f>'Výdavky 2025'!M109</f>
        <v>200380</v>
      </c>
      <c r="I8" s="364">
        <f t="shared" ref="I8:I17" si="3">H8/G8*100</f>
        <v>3.0057783005247285</v>
      </c>
      <c r="J8" s="238">
        <f t="shared" si="1"/>
        <v>14215318</v>
      </c>
      <c r="K8" s="238">
        <f t="shared" si="1"/>
        <v>3838538</v>
      </c>
      <c r="L8" s="367">
        <f t="shared" si="2"/>
        <v>27.002828920183141</v>
      </c>
    </row>
    <row r="9" spans="2:12" ht="15.75" x14ac:dyDescent="0.3">
      <c r="B9" s="234">
        <v>6</v>
      </c>
      <c r="C9" s="83" t="s">
        <v>28</v>
      </c>
      <c r="D9" s="238">
        <f>'Výdavky 2025'!I212</f>
        <v>1042308</v>
      </c>
      <c r="E9" s="238">
        <f>'Výdavky 2025'!J212</f>
        <v>439359</v>
      </c>
      <c r="F9" s="362">
        <f t="shared" si="0"/>
        <v>42.152511541694011</v>
      </c>
      <c r="G9" s="238">
        <f>'Výdavky 2025'!L212</f>
        <v>634160</v>
      </c>
      <c r="H9" s="238">
        <f>'Výdavky 2025'!M212</f>
        <v>0</v>
      </c>
      <c r="I9" s="364">
        <f t="shared" si="3"/>
        <v>0</v>
      </c>
      <c r="J9" s="238">
        <f t="shared" si="1"/>
        <v>1676468</v>
      </c>
      <c r="K9" s="238">
        <f t="shared" si="1"/>
        <v>439359</v>
      </c>
      <c r="L9" s="367">
        <f t="shared" si="2"/>
        <v>26.207419407945753</v>
      </c>
    </row>
    <row r="10" spans="2:12" ht="15.75" x14ac:dyDescent="0.3">
      <c r="B10" s="234">
        <v>7</v>
      </c>
      <c r="C10" s="83" t="s">
        <v>397</v>
      </c>
      <c r="D10" s="238">
        <f>'Výdavky 2025'!I294</f>
        <v>2591014</v>
      </c>
      <c r="E10" s="238">
        <f>'Výdavky 2025'!J294</f>
        <v>1284596</v>
      </c>
      <c r="F10" s="362">
        <f t="shared" si="0"/>
        <v>49.578890735441803</v>
      </c>
      <c r="G10" s="238">
        <f>'Výdavky 2025'!L294</f>
        <v>15215900</v>
      </c>
      <c r="H10" s="238">
        <f>'Výdavky 2025'!M294</f>
        <v>1333738</v>
      </c>
      <c r="I10" s="364">
        <f t="shared" si="3"/>
        <v>8.7654230114551233</v>
      </c>
      <c r="J10" s="238">
        <f t="shared" si="1"/>
        <v>17806914</v>
      </c>
      <c r="K10" s="238">
        <f t="shared" si="1"/>
        <v>2618334</v>
      </c>
      <c r="L10" s="367">
        <f t="shared" si="2"/>
        <v>14.704030131217571</v>
      </c>
    </row>
    <row r="11" spans="2:12" ht="15.75" x14ac:dyDescent="0.3">
      <c r="B11" s="234">
        <v>8</v>
      </c>
      <c r="C11" s="83" t="s">
        <v>29</v>
      </c>
      <c r="D11" s="238">
        <f>'Výdavky 2025'!I366</f>
        <v>7728353</v>
      </c>
      <c r="E11" s="238">
        <f>'Výdavky 2025'!J366</f>
        <v>3701109</v>
      </c>
      <c r="F11" s="362">
        <f t="shared" si="0"/>
        <v>47.890009682528735</v>
      </c>
      <c r="G11" s="238">
        <f>'Výdavky 2025'!L366</f>
        <v>6612773</v>
      </c>
      <c r="H11" s="238">
        <f>'Výdavky 2025'!M366</f>
        <v>61120</v>
      </c>
      <c r="I11" s="364">
        <f t="shared" si="3"/>
        <v>0.92427185992926109</v>
      </c>
      <c r="J11" s="238">
        <f t="shared" si="1"/>
        <v>14341126</v>
      </c>
      <c r="K11" s="238">
        <f t="shared" si="1"/>
        <v>3762229</v>
      </c>
      <c r="L11" s="367">
        <f t="shared" si="2"/>
        <v>26.233846631010703</v>
      </c>
    </row>
    <row r="12" spans="2:12" ht="15.75" x14ac:dyDescent="0.3">
      <c r="B12" s="234">
        <v>9</v>
      </c>
      <c r="C12" s="83" t="s">
        <v>396</v>
      </c>
      <c r="D12" s="238">
        <f>'Výdavky 2025'!I491</f>
        <v>34287661</v>
      </c>
      <c r="E12" s="238">
        <f>'Výdavky 2025'!J491</f>
        <v>15256182</v>
      </c>
      <c r="F12" s="362">
        <f t="shared" si="0"/>
        <v>44.494671129652154</v>
      </c>
      <c r="G12" s="238">
        <f>'Výdavky 2025'!L491</f>
        <v>2459804</v>
      </c>
      <c r="H12" s="238">
        <f>'Výdavky 2025'!M491</f>
        <v>113279</v>
      </c>
      <c r="I12" s="364">
        <f t="shared" si="3"/>
        <v>4.605204317091931</v>
      </c>
      <c r="J12" s="238">
        <f t="shared" si="1"/>
        <v>36747465</v>
      </c>
      <c r="K12" s="238">
        <f t="shared" si="1"/>
        <v>15369461</v>
      </c>
      <c r="L12" s="367">
        <f t="shared" si="2"/>
        <v>41.824547625257956</v>
      </c>
    </row>
    <row r="13" spans="2:12" ht="15.75" x14ac:dyDescent="0.3">
      <c r="B13" s="234">
        <v>10</v>
      </c>
      <c r="C13" s="83" t="s">
        <v>395</v>
      </c>
      <c r="D13" s="238">
        <f>'Výdavky 2025'!I1361</f>
        <v>2967185</v>
      </c>
      <c r="E13" s="238">
        <f>'Výdavky 2025'!J1361</f>
        <v>1613053</v>
      </c>
      <c r="F13" s="362">
        <f t="shared" si="0"/>
        <v>54.363074766150412</v>
      </c>
      <c r="G13" s="238">
        <f>'Výdavky 2025'!L1361</f>
        <v>45006636</v>
      </c>
      <c r="H13" s="238">
        <f>'Výdavky 2025'!M1361</f>
        <v>5365178</v>
      </c>
      <c r="I13" s="364">
        <f t="shared" si="3"/>
        <v>11.920859848312148</v>
      </c>
      <c r="J13" s="238">
        <f t="shared" si="1"/>
        <v>47973821</v>
      </c>
      <c r="K13" s="238">
        <f t="shared" si="1"/>
        <v>6978231</v>
      </c>
      <c r="L13" s="367">
        <f t="shared" si="2"/>
        <v>14.545914531177326</v>
      </c>
    </row>
    <row r="14" spans="2:12" ht="15.75" x14ac:dyDescent="0.3">
      <c r="B14" s="234">
        <v>11</v>
      </c>
      <c r="C14" s="83" t="s">
        <v>30</v>
      </c>
      <c r="D14" s="238">
        <f>'Výdavky 2025'!I1495</f>
        <v>2525528</v>
      </c>
      <c r="E14" s="238">
        <f>'Výdavky 2025'!J1495</f>
        <v>1175543</v>
      </c>
      <c r="F14" s="362">
        <f t="shared" si="0"/>
        <v>46.546425143573941</v>
      </c>
      <c r="G14" s="238">
        <f>'Výdavky 2025'!L1495</f>
        <v>7544126</v>
      </c>
      <c r="H14" s="238">
        <f>'Výdavky 2025'!M1495</f>
        <v>202948</v>
      </c>
      <c r="I14" s="364">
        <f t="shared" si="3"/>
        <v>2.6901459493120874</v>
      </c>
      <c r="J14" s="238">
        <f t="shared" si="1"/>
        <v>10069654</v>
      </c>
      <c r="K14" s="238">
        <f t="shared" si="1"/>
        <v>1378491</v>
      </c>
      <c r="L14" s="367">
        <f t="shared" si="2"/>
        <v>13.6895567613346</v>
      </c>
    </row>
    <row r="15" spans="2:12" ht="15.75" x14ac:dyDescent="0.3">
      <c r="B15" s="234">
        <v>12</v>
      </c>
      <c r="C15" s="83" t="s">
        <v>31</v>
      </c>
      <c r="D15" s="238">
        <f>'Výdavky 2025'!I1565</f>
        <v>6308506</v>
      </c>
      <c r="E15" s="238">
        <f>'Výdavky 2025'!J1565</f>
        <v>2208666</v>
      </c>
      <c r="F15" s="362">
        <f t="shared" si="0"/>
        <v>35.010920176663063</v>
      </c>
      <c r="G15" s="238">
        <f>'Výdavky 2025'!L1565</f>
        <v>1346115</v>
      </c>
      <c r="H15" s="238">
        <f>'Výdavky 2025'!M1565</f>
        <v>168120</v>
      </c>
      <c r="I15" s="364">
        <f t="shared" si="3"/>
        <v>12.489274690498211</v>
      </c>
      <c r="J15" s="238">
        <f t="shared" si="1"/>
        <v>7654621</v>
      </c>
      <c r="K15" s="238">
        <f t="shared" si="1"/>
        <v>2376786</v>
      </c>
      <c r="L15" s="367">
        <f t="shared" si="2"/>
        <v>31.050342009094901</v>
      </c>
    </row>
    <row r="16" spans="2:12" ht="15.75" x14ac:dyDescent="0.3">
      <c r="B16" s="234">
        <v>13</v>
      </c>
      <c r="C16" s="83" t="s">
        <v>32</v>
      </c>
      <c r="D16" s="238">
        <f>'Výdavky 2025'!I1665</f>
        <v>6182077</v>
      </c>
      <c r="E16" s="238">
        <f>'Výdavky 2025'!J1665</f>
        <v>3067611</v>
      </c>
      <c r="F16" s="362">
        <f t="shared" si="0"/>
        <v>49.621041601390601</v>
      </c>
      <c r="G16" s="238">
        <f>'Výdavky 2025'!L1665</f>
        <v>1351225</v>
      </c>
      <c r="H16" s="238">
        <f>'Výdavky 2025'!M1665</f>
        <v>827136</v>
      </c>
      <c r="I16" s="364">
        <f t="shared" si="3"/>
        <v>61.213787489130233</v>
      </c>
      <c r="J16" s="238">
        <f t="shared" si="1"/>
        <v>7533302</v>
      </c>
      <c r="K16" s="238">
        <f t="shared" si="1"/>
        <v>3894747</v>
      </c>
      <c r="L16" s="367">
        <f t="shared" si="2"/>
        <v>51.700396452976392</v>
      </c>
    </row>
    <row r="17" spans="2:12" ht="15.75" x14ac:dyDescent="0.3">
      <c r="B17" s="234">
        <v>14</v>
      </c>
      <c r="C17" s="83" t="s">
        <v>33</v>
      </c>
      <c r="D17" s="238">
        <f>'Výdavky 2025'!I1854</f>
        <v>435020</v>
      </c>
      <c r="E17" s="238">
        <f>'Výdavky 2025'!J1854</f>
        <v>206032</v>
      </c>
      <c r="F17" s="362">
        <f t="shared" si="0"/>
        <v>47.361500620661118</v>
      </c>
      <c r="G17" s="238">
        <f>'Výdavky 2025'!L1854</f>
        <v>1650</v>
      </c>
      <c r="H17" s="238">
        <f>'Výdavky 2025'!M1854</f>
        <v>0</v>
      </c>
      <c r="I17" s="364">
        <f t="shared" si="3"/>
        <v>0</v>
      </c>
      <c r="J17" s="238">
        <f t="shared" si="1"/>
        <v>436670</v>
      </c>
      <c r="K17" s="238">
        <f t="shared" si="1"/>
        <v>206032</v>
      </c>
      <c r="L17" s="367">
        <f t="shared" si="2"/>
        <v>47.182540591293197</v>
      </c>
    </row>
    <row r="18" spans="2:12" s="232" customFormat="1" ht="15" x14ac:dyDescent="0.3">
      <c r="B18" s="239">
        <v>15</v>
      </c>
      <c r="C18" s="240" t="s">
        <v>34</v>
      </c>
      <c r="D18" s="241">
        <f>D4-D5</f>
        <v>1389644</v>
      </c>
      <c r="E18" s="241">
        <f>E4-E5</f>
        <v>5510221.7199999988</v>
      </c>
      <c r="F18" s="362">
        <f t="shared" si="0"/>
        <v>396.52038363782373</v>
      </c>
      <c r="G18" s="240"/>
      <c r="H18" s="240"/>
      <c r="I18" s="365"/>
      <c r="J18" s="240"/>
      <c r="K18" s="240"/>
      <c r="L18" s="367"/>
    </row>
    <row r="19" spans="2:12" s="232" customFormat="1" ht="15" x14ac:dyDescent="0.2">
      <c r="B19" s="239">
        <v>16</v>
      </c>
      <c r="C19" s="240" t="s">
        <v>431</v>
      </c>
      <c r="D19" s="240"/>
      <c r="E19" s="425"/>
      <c r="F19" s="426"/>
      <c r="G19" s="241">
        <f>G4-G5</f>
        <v>-35984775</v>
      </c>
      <c r="H19" s="241">
        <f>H4-H5</f>
        <v>-6736634</v>
      </c>
      <c r="I19" s="366">
        <f>H19/G19*100</f>
        <v>18.720789556138673</v>
      </c>
      <c r="J19" s="240"/>
      <c r="K19" s="240"/>
      <c r="L19" s="367"/>
    </row>
    <row r="20" spans="2:12" s="232" customFormat="1" ht="15" x14ac:dyDescent="0.2">
      <c r="B20" s="242">
        <v>17</v>
      </c>
      <c r="C20" s="243" t="s">
        <v>432</v>
      </c>
      <c r="D20" s="422"/>
      <c r="E20" s="423"/>
      <c r="F20" s="423"/>
      <c r="G20" s="423"/>
      <c r="H20" s="423"/>
      <c r="I20" s="424"/>
      <c r="J20" s="244">
        <f>J4-J5</f>
        <v>-34595131</v>
      </c>
      <c r="K20" s="244">
        <f>K4-K5</f>
        <v>-1226412.2800000012</v>
      </c>
      <c r="L20" s="367">
        <f t="shared" si="2"/>
        <v>3.5450430293210946</v>
      </c>
    </row>
    <row r="21" spans="2:12" ht="4.5" customHeight="1" x14ac:dyDescent="0.2"/>
    <row r="22" spans="2:12" ht="15" x14ac:dyDescent="0.2">
      <c r="B22" s="368" t="s">
        <v>106</v>
      </c>
      <c r="C22" s="369"/>
      <c r="D22" s="369"/>
      <c r="E22" s="369"/>
      <c r="F22" s="369"/>
      <c r="G22" s="369"/>
      <c r="H22" s="369"/>
      <c r="I22" s="369"/>
      <c r="J22" s="427"/>
      <c r="K22" s="427"/>
      <c r="L22" s="367"/>
    </row>
    <row r="23" spans="2:12" s="231" customFormat="1" ht="15" x14ac:dyDescent="0.25">
      <c r="B23" s="234">
        <v>1</v>
      </c>
      <c r="C23" s="419" t="s">
        <v>35</v>
      </c>
      <c r="D23" s="420"/>
      <c r="E23" s="420"/>
      <c r="F23" s="420"/>
      <c r="G23" s="420"/>
      <c r="H23" s="352"/>
      <c r="I23" s="245"/>
      <c r="J23" s="255">
        <f>SUM(J24:J37)</f>
        <v>37470337</v>
      </c>
      <c r="K23" s="255">
        <f>SUM(K24:K37)</f>
        <v>6397247</v>
      </c>
      <c r="L23" s="367">
        <f t="shared" ref="L23:L43" si="4">K23/J23*100</f>
        <v>17.07283016963525</v>
      </c>
    </row>
    <row r="24" spans="2:12" ht="15" x14ac:dyDescent="0.25">
      <c r="B24" s="234">
        <f>B23+1</f>
        <v>2</v>
      </c>
      <c r="C24" s="417" t="s">
        <v>345</v>
      </c>
      <c r="D24" s="418"/>
      <c r="E24" s="418"/>
      <c r="F24" s="418"/>
      <c r="G24" s="418"/>
      <c r="H24" s="247"/>
      <c r="I24" s="233"/>
      <c r="J24" s="237">
        <f>93348+200000+276400+150000+12800+957731</f>
        <v>1690279</v>
      </c>
      <c r="K24" s="237">
        <v>1692226</v>
      </c>
      <c r="L24" s="367">
        <f t="shared" si="4"/>
        <v>100.11518808433402</v>
      </c>
    </row>
    <row r="25" spans="2:12" ht="15" x14ac:dyDescent="0.25">
      <c r="B25" s="234">
        <f t="shared" ref="B25:B43" si="5">B24+1</f>
        <v>3</v>
      </c>
      <c r="C25" s="246" t="s">
        <v>672</v>
      </c>
      <c r="D25" s="247"/>
      <c r="E25" s="247"/>
      <c r="F25" s="247"/>
      <c r="G25" s="247"/>
      <c r="H25" s="247"/>
      <c r="I25" s="233"/>
      <c r="J25" s="237">
        <v>1037615</v>
      </c>
      <c r="K25" s="237">
        <v>561215</v>
      </c>
      <c r="L25" s="367">
        <f t="shared" si="4"/>
        <v>54.087016860781702</v>
      </c>
    </row>
    <row r="26" spans="2:12" ht="15" x14ac:dyDescent="0.25">
      <c r="B26" s="234">
        <f t="shared" si="5"/>
        <v>4</v>
      </c>
      <c r="C26" s="246" t="s">
        <v>673</v>
      </c>
      <c r="D26" s="247"/>
      <c r="E26" s="247"/>
      <c r="F26" s="247"/>
      <c r="G26" s="247"/>
      <c r="H26" s="247"/>
      <c r="I26" s="233"/>
      <c r="J26" s="237">
        <v>24486</v>
      </c>
      <c r="K26" s="237">
        <v>24486</v>
      </c>
      <c r="L26" s="367">
        <f t="shared" si="4"/>
        <v>100</v>
      </c>
    </row>
    <row r="27" spans="2:12" ht="15" x14ac:dyDescent="0.25">
      <c r="B27" s="234">
        <f t="shared" si="5"/>
        <v>5</v>
      </c>
      <c r="C27" s="246" t="s">
        <v>674</v>
      </c>
      <c r="D27" s="247"/>
      <c r="E27" s="247"/>
      <c r="F27" s="247"/>
      <c r="G27" s="247"/>
      <c r="H27" s="247"/>
      <c r="I27" s="233"/>
      <c r="J27" s="237">
        <v>99550</v>
      </c>
      <c r="K27" s="237">
        <v>99550</v>
      </c>
      <c r="L27" s="367">
        <f t="shared" si="4"/>
        <v>100</v>
      </c>
    </row>
    <row r="28" spans="2:12" ht="15" x14ac:dyDescent="0.25">
      <c r="B28" s="234">
        <f t="shared" si="5"/>
        <v>6</v>
      </c>
      <c r="C28" s="246" t="s">
        <v>675</v>
      </c>
      <c r="D28" s="247"/>
      <c r="E28" s="247"/>
      <c r="F28" s="247"/>
      <c r="G28" s="247"/>
      <c r="H28" s="247"/>
      <c r="I28" s="233"/>
      <c r="J28" s="237">
        <v>10750</v>
      </c>
      <c r="K28" s="237">
        <v>0</v>
      </c>
      <c r="L28" s="367">
        <f t="shared" si="4"/>
        <v>0</v>
      </c>
    </row>
    <row r="29" spans="2:12" ht="15" x14ac:dyDescent="0.25">
      <c r="B29" s="234">
        <f t="shared" si="5"/>
        <v>7</v>
      </c>
      <c r="C29" s="246" t="s">
        <v>676</v>
      </c>
      <c r="D29" s="247"/>
      <c r="E29" s="247"/>
      <c r="F29" s="247"/>
      <c r="G29" s="247"/>
      <c r="H29" s="247"/>
      <c r="I29" s="233"/>
      <c r="J29" s="237">
        <v>8847</v>
      </c>
      <c r="K29" s="237">
        <v>8847</v>
      </c>
      <c r="L29" s="367">
        <f t="shared" si="4"/>
        <v>100</v>
      </c>
    </row>
    <row r="30" spans="2:12" ht="15" x14ac:dyDescent="0.25">
      <c r="B30" s="234">
        <f t="shared" si="5"/>
        <v>8</v>
      </c>
      <c r="C30" s="246" t="s">
        <v>570</v>
      </c>
      <c r="D30" s="247"/>
      <c r="E30" s="247"/>
      <c r="F30" s="247"/>
      <c r="G30" s="247"/>
      <c r="H30" s="247"/>
      <c r="I30" s="233"/>
      <c r="J30" s="237">
        <f>4405215+1200000+527890+734411+134188+48500+645750</f>
        <v>7695954</v>
      </c>
      <c r="K30" s="237">
        <v>0</v>
      </c>
      <c r="L30" s="367">
        <f t="shared" si="4"/>
        <v>0</v>
      </c>
    </row>
    <row r="31" spans="2:12" ht="15" x14ac:dyDescent="0.25">
      <c r="B31" s="234">
        <f t="shared" si="5"/>
        <v>9</v>
      </c>
      <c r="C31" s="246" t="s">
        <v>439</v>
      </c>
      <c r="D31" s="247"/>
      <c r="E31" s="247"/>
      <c r="F31" s="247"/>
      <c r="G31" s="247"/>
      <c r="H31" s="247"/>
      <c r="I31" s="233"/>
      <c r="J31" s="237">
        <v>205200</v>
      </c>
      <c r="K31" s="237">
        <v>0</v>
      </c>
      <c r="L31" s="367">
        <f t="shared" si="4"/>
        <v>0</v>
      </c>
    </row>
    <row r="32" spans="2:12" ht="15" x14ac:dyDescent="0.25">
      <c r="B32" s="234">
        <f t="shared" si="5"/>
        <v>10</v>
      </c>
      <c r="C32" s="246" t="s">
        <v>494</v>
      </c>
      <c r="D32" s="247"/>
      <c r="E32" s="247"/>
      <c r="F32" s="247"/>
      <c r="G32" s="247"/>
      <c r="H32" s="247"/>
      <c r="I32" s="233"/>
      <c r="J32" s="237">
        <v>127189</v>
      </c>
      <c r="K32" s="237">
        <v>71153</v>
      </c>
      <c r="L32" s="367">
        <f t="shared" si="4"/>
        <v>55.942730896539793</v>
      </c>
    </row>
    <row r="33" spans="2:13" ht="15" x14ac:dyDescent="0.25">
      <c r="B33" s="234">
        <f t="shared" si="5"/>
        <v>11</v>
      </c>
      <c r="C33" s="284" t="s">
        <v>538</v>
      </c>
      <c r="D33" s="282"/>
      <c r="E33" s="282"/>
      <c r="F33" s="282"/>
      <c r="G33" s="282"/>
      <c r="H33" s="282"/>
      <c r="I33" s="283"/>
      <c r="J33" s="254">
        <v>6000000</v>
      </c>
      <c r="K33" s="254">
        <v>0</v>
      </c>
      <c r="L33" s="367">
        <f t="shared" si="4"/>
        <v>0</v>
      </c>
    </row>
    <row r="34" spans="2:13" ht="15" x14ac:dyDescent="0.25">
      <c r="B34" s="234">
        <f t="shared" si="5"/>
        <v>12</v>
      </c>
      <c r="C34" s="415" t="s">
        <v>536</v>
      </c>
      <c r="D34" s="416"/>
      <c r="E34" s="416"/>
      <c r="F34" s="416"/>
      <c r="G34" s="416"/>
      <c r="H34" s="377"/>
      <c r="I34" s="378"/>
      <c r="J34" s="237">
        <f>18800+326000+14000+24000+60000+250000+284000+114496+148000+57600+80000+136000+696000+94608+160000+144000+192000+1200000+24000+3200-1037868</f>
        <v>2988836</v>
      </c>
      <c r="K34" s="237">
        <v>0</v>
      </c>
      <c r="L34" s="367">
        <f t="shared" si="4"/>
        <v>0</v>
      </c>
    </row>
    <row r="35" spans="2:13" ht="15" x14ac:dyDescent="0.25">
      <c r="B35" s="234">
        <f t="shared" si="5"/>
        <v>13</v>
      </c>
      <c r="C35" s="379" t="s">
        <v>440</v>
      </c>
      <c r="D35" s="380"/>
      <c r="E35" s="380"/>
      <c r="F35" s="380"/>
      <c r="G35" s="380"/>
      <c r="H35" s="380"/>
      <c r="I35" s="381"/>
      <c r="J35" s="237">
        <f>2194529+1489061-1051959</f>
        <v>2631631</v>
      </c>
      <c r="K35" s="237">
        <v>2631631</v>
      </c>
      <c r="L35" s="367">
        <f t="shared" si="4"/>
        <v>100</v>
      </c>
    </row>
    <row r="36" spans="2:13" ht="15" x14ac:dyDescent="0.25">
      <c r="B36" s="234">
        <f t="shared" si="5"/>
        <v>14</v>
      </c>
      <c r="C36" s="379" t="s">
        <v>567</v>
      </c>
      <c r="D36" s="382"/>
      <c r="E36" s="382"/>
      <c r="F36" s="382"/>
      <c r="G36" s="383"/>
      <c r="H36" s="383"/>
      <c r="I36" s="381"/>
      <c r="J36" s="237">
        <v>6490000</v>
      </c>
      <c r="K36" s="237">
        <v>1308139</v>
      </c>
      <c r="L36" s="367">
        <f t="shared" si="4"/>
        <v>20.1562249614792</v>
      </c>
    </row>
    <row r="37" spans="2:13" ht="15" x14ac:dyDescent="0.25">
      <c r="B37" s="234">
        <f t="shared" si="5"/>
        <v>15</v>
      </c>
      <c r="C37" s="379" t="s">
        <v>568</v>
      </c>
      <c r="D37" s="382"/>
      <c r="E37" s="382"/>
      <c r="F37" s="382"/>
      <c r="G37" s="383"/>
      <c r="H37" s="383"/>
      <c r="I37" s="381"/>
      <c r="J37" s="237">
        <v>8460000</v>
      </c>
      <c r="K37" s="237">
        <v>0</v>
      </c>
      <c r="L37" s="367">
        <f t="shared" si="4"/>
        <v>0</v>
      </c>
    </row>
    <row r="38" spans="2:13" s="231" customFormat="1" ht="15" x14ac:dyDescent="0.25">
      <c r="B38" s="234">
        <f t="shared" si="5"/>
        <v>16</v>
      </c>
      <c r="C38" s="411" t="s">
        <v>533</v>
      </c>
      <c r="D38" s="412"/>
      <c r="E38" s="412"/>
      <c r="F38" s="412"/>
      <c r="G38" s="412"/>
      <c r="H38" s="384"/>
      <c r="I38" s="385"/>
      <c r="J38" s="255">
        <f>SUM(J39:J43)</f>
        <v>2875206</v>
      </c>
      <c r="K38" s="255">
        <f>SUM(K39:K43)</f>
        <v>979402</v>
      </c>
      <c r="L38" s="367">
        <f t="shared" si="4"/>
        <v>34.063715782451766</v>
      </c>
    </row>
    <row r="39" spans="2:13" ht="15" x14ac:dyDescent="0.25">
      <c r="B39" s="234">
        <f t="shared" si="5"/>
        <v>17</v>
      </c>
      <c r="C39" s="379" t="s">
        <v>507</v>
      </c>
      <c r="D39" s="380"/>
      <c r="E39" s="380"/>
      <c r="F39" s="380"/>
      <c r="G39" s="380"/>
      <c r="H39" s="380"/>
      <c r="I39" s="381"/>
      <c r="J39" s="254">
        <v>15000</v>
      </c>
      <c r="K39" s="254">
        <v>15000</v>
      </c>
      <c r="L39" s="367">
        <f t="shared" si="4"/>
        <v>100</v>
      </c>
    </row>
    <row r="40" spans="2:13" ht="15" x14ac:dyDescent="0.25">
      <c r="B40" s="234">
        <f t="shared" si="5"/>
        <v>18</v>
      </c>
      <c r="C40" s="379" t="s">
        <v>701</v>
      </c>
      <c r="D40" s="380"/>
      <c r="E40" s="380"/>
      <c r="F40" s="380"/>
      <c r="G40" s="380"/>
      <c r="H40" s="380"/>
      <c r="I40" s="381"/>
      <c r="J40" s="254">
        <v>207206</v>
      </c>
      <c r="K40" s="254"/>
      <c r="L40" s="367">
        <f t="shared" si="4"/>
        <v>0</v>
      </c>
    </row>
    <row r="41" spans="2:13" ht="15" x14ac:dyDescent="0.25">
      <c r="B41" s="234">
        <f t="shared" si="5"/>
        <v>19</v>
      </c>
      <c r="C41" s="413" t="s">
        <v>346</v>
      </c>
      <c r="D41" s="414"/>
      <c r="E41" s="414"/>
      <c r="F41" s="414"/>
      <c r="G41" s="414"/>
      <c r="H41" s="386"/>
      <c r="I41" s="387"/>
      <c r="J41" s="254">
        <f>2828000-10000-10000-300000</f>
        <v>2508000</v>
      </c>
      <c r="K41" s="254">
        <v>912023</v>
      </c>
      <c r="L41" s="367">
        <f t="shared" si="4"/>
        <v>36.364553429027112</v>
      </c>
    </row>
    <row r="42" spans="2:13" ht="15" x14ac:dyDescent="0.25">
      <c r="B42" s="234">
        <f t="shared" si="5"/>
        <v>20</v>
      </c>
      <c r="C42" s="417" t="s">
        <v>501</v>
      </c>
      <c r="D42" s="418"/>
      <c r="E42" s="418"/>
      <c r="F42" s="418"/>
      <c r="G42" s="418"/>
      <c r="H42" s="247"/>
      <c r="I42" s="233"/>
      <c r="J42" s="254">
        <v>40000</v>
      </c>
      <c r="K42" s="254"/>
      <c r="L42" s="367">
        <f t="shared" si="4"/>
        <v>0</v>
      </c>
    </row>
    <row r="43" spans="2:13" ht="15" x14ac:dyDescent="0.25">
      <c r="B43" s="234">
        <f t="shared" si="5"/>
        <v>21</v>
      </c>
      <c r="C43" s="417" t="s">
        <v>347</v>
      </c>
      <c r="D43" s="418"/>
      <c r="E43" s="418"/>
      <c r="F43" s="418"/>
      <c r="G43" s="418"/>
      <c r="H43" s="247"/>
      <c r="I43" s="233"/>
      <c r="J43" s="254">
        <v>105000</v>
      </c>
      <c r="K43" s="254">
        <v>52379</v>
      </c>
      <c r="L43" s="367">
        <f t="shared" si="4"/>
        <v>49.884761904761902</v>
      </c>
    </row>
    <row r="44" spans="2:13" s="232" customFormat="1" ht="25.5" customHeight="1" x14ac:dyDescent="0.2">
      <c r="B44" s="234">
        <f t="shared" ref="B44" si="6">B43+1</f>
        <v>22</v>
      </c>
      <c r="C44" s="409" t="s">
        <v>36</v>
      </c>
      <c r="D44" s="410"/>
      <c r="E44" s="410"/>
      <c r="F44" s="410"/>
      <c r="G44" s="410"/>
      <c r="H44" s="351"/>
      <c r="I44" s="248"/>
      <c r="J44" s="279">
        <f>J20+J23-J38</f>
        <v>0</v>
      </c>
      <c r="K44" s="279">
        <f>K20+K23-K38</f>
        <v>4191432.7199999988</v>
      </c>
      <c r="L44" s="367"/>
    </row>
    <row r="46" spans="2:13" ht="13.5" thickBot="1" x14ac:dyDescent="0.25"/>
    <row r="47" spans="2:13" ht="15" x14ac:dyDescent="0.2">
      <c r="B47" s="334" t="s">
        <v>680</v>
      </c>
      <c r="C47" s="335"/>
      <c r="D47" s="335"/>
      <c r="E47" s="335"/>
      <c r="F47" s="335"/>
      <c r="G47" s="335"/>
      <c r="H47" s="335"/>
      <c r="I47" s="335"/>
      <c r="J47" s="336"/>
      <c r="K47" s="336" t="s">
        <v>685</v>
      </c>
      <c r="M47" s="349"/>
    </row>
    <row r="48" spans="2:13" ht="15" x14ac:dyDescent="0.25">
      <c r="B48" s="328">
        <v>1</v>
      </c>
      <c r="C48" s="246" t="s">
        <v>681</v>
      </c>
      <c r="D48" s="247"/>
      <c r="E48" s="247"/>
      <c r="F48" s="247"/>
      <c r="G48" s="247"/>
      <c r="H48" s="247"/>
      <c r="I48" s="247"/>
      <c r="J48" s="329">
        <v>6623160.9699999997</v>
      </c>
      <c r="K48" s="329"/>
      <c r="M48" s="350"/>
    </row>
    <row r="49" spans="2:13" s="167" customFormat="1" ht="36" x14ac:dyDescent="0.2">
      <c r="B49" s="337">
        <v>2</v>
      </c>
      <c r="C49" s="338" t="s">
        <v>682</v>
      </c>
      <c r="D49" s="339"/>
      <c r="E49" s="339"/>
      <c r="F49" s="339"/>
      <c r="G49" s="339"/>
      <c r="H49" s="339"/>
      <c r="I49" s="339"/>
      <c r="J49" s="340">
        <v>4587261</v>
      </c>
      <c r="K49" s="340"/>
      <c r="M49" s="349"/>
    </row>
    <row r="50" spans="2:13" ht="15" x14ac:dyDescent="0.25">
      <c r="B50" s="328">
        <v>3</v>
      </c>
      <c r="C50" s="246" t="s">
        <v>683</v>
      </c>
      <c r="E50" s="247"/>
      <c r="F50" s="247"/>
      <c r="G50" s="247"/>
      <c r="H50" s="247"/>
      <c r="I50" s="247"/>
      <c r="J50" s="329">
        <f>J30+J31+J32</f>
        <v>8028343</v>
      </c>
      <c r="K50" s="341">
        <v>71153.14</v>
      </c>
      <c r="M50" s="350"/>
    </row>
    <row r="51" spans="2:13" ht="15" x14ac:dyDescent="0.25">
      <c r="B51" s="344"/>
      <c r="C51" s="345"/>
      <c r="D51" s="346"/>
      <c r="E51" s="346"/>
      <c r="F51" s="346"/>
      <c r="G51" s="346"/>
      <c r="H51" s="346"/>
      <c r="I51" s="346"/>
      <c r="J51" s="347"/>
      <c r="K51" s="348"/>
      <c r="M51" s="350"/>
    </row>
    <row r="52" spans="2:13" ht="15.75" thickBot="1" x14ac:dyDescent="0.3">
      <c r="B52" s="330">
        <v>4</v>
      </c>
      <c r="C52" s="331" t="s">
        <v>684</v>
      </c>
      <c r="D52" s="332"/>
      <c r="E52" s="332"/>
      <c r="F52" s="332"/>
      <c r="G52" s="332"/>
      <c r="H52" s="332"/>
      <c r="I52" s="332"/>
      <c r="J52" s="333">
        <f>J48+J49-J50</f>
        <v>3182078.9699999988</v>
      </c>
      <c r="K52" s="333"/>
      <c r="M52" s="350"/>
    </row>
    <row r="70" spans="10:10" x14ac:dyDescent="0.2">
      <c r="J70" s="262"/>
    </row>
    <row r="1662" s="249" customFormat="1" x14ac:dyDescent="0.2"/>
  </sheetData>
  <mergeCells count="12">
    <mergeCell ref="C23:G23"/>
    <mergeCell ref="C24:G24"/>
    <mergeCell ref="D2:J2"/>
    <mergeCell ref="D20:I20"/>
    <mergeCell ref="E19:F19"/>
    <mergeCell ref="J22:K22"/>
    <mergeCell ref="C44:G44"/>
    <mergeCell ref="C38:G38"/>
    <mergeCell ref="C41:G41"/>
    <mergeCell ref="C34:G34"/>
    <mergeCell ref="C43:G43"/>
    <mergeCell ref="C42:G42"/>
  </mergeCells>
  <phoneticPr fontId="2" type="noConversion"/>
  <pageMargins left="0" right="0" top="0.27559055118110237" bottom="0.27559055118110237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 2025</vt:lpstr>
      <vt:lpstr>Výdavky 2025</vt:lpstr>
      <vt:lpstr>Sumarizácia 2025</vt:lpstr>
      <vt:lpstr>'Príjmy 2025'!Oblasť_tlače</vt:lpstr>
      <vt:lpstr>'Sumarizácia 2025'!Oblasť_tlače</vt:lpstr>
      <vt:lpstr>'Výdavky 2025'!Oblasť_tlače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Žilková Andrea, Ing.</cp:lastModifiedBy>
  <cp:lastPrinted>2025-10-09T06:58:55Z</cp:lastPrinted>
  <dcterms:created xsi:type="dcterms:W3CDTF">2014-05-27T11:25:41Z</dcterms:created>
  <dcterms:modified xsi:type="dcterms:W3CDTF">2026-04-09T07:30:49Z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