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4\Záverečný účet 2024\"/>
    </mc:Choice>
  </mc:AlternateContent>
  <xr:revisionPtr revIDLastSave="0" documentId="13_ncr:1_{3C032FFE-3F81-43C4-9471-4D1288A577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úvahy" sheetId="1" r:id="rId1"/>
    <sheet name="MHSL" sheetId="2" r:id="rId2"/>
    <sheet name="SSMT" sheetId="3" r:id="rId3"/>
    <sheet name="ŠZMT" sheetId="4" r:id="rId4"/>
    <sheet name="Materské_školy" sheetId="5" r:id="rId5"/>
    <sheet name="Základné_školy" sheetId="6" r:id="rId6"/>
    <sheet name="Bežné_dotácie" sheetId="7" r:id="rId7"/>
    <sheet name="Kapitálové_dotácie" sheetId="8" r:id="rId8"/>
    <sheet name="Dotácie_na_šport_1" sheetId="9" r:id="rId9"/>
    <sheet name="Dotácie_na_šport_2" sheetId="10" r:id="rId10"/>
    <sheet name="Dotácie_kultúra" sheetId="11" r:id="rId11"/>
    <sheet name="Dotácie_v_soc_oblasti" sheetId="12" r:id="rId12"/>
    <sheet name="Dotácie_v_oblasti_školstva" sheetId="13" r:id="rId13"/>
    <sheet name="Dotácie_v_oblasti_ŽP" sheetId="14" r:id="rId14"/>
    <sheet name="Pohľadávky" sheetId="15" r:id="rId15"/>
    <sheet name="Prehľad_dlhu" sheetId="16" r:id="rId16"/>
    <sheet name="Vývoj_dlhovej_služby" sheetId="17" r:id="rId17"/>
    <sheet name="BV-funkčná_kl_" sheetId="18" r:id="rId18"/>
    <sheet name="KV-funkčná_kl_" sheetId="19" r:id="rId19"/>
    <sheet name="Výdavky_ek_kl_" sheetId="20" r:id="rId20"/>
    <sheet name="FO_podľa_RK" sheetId="21" r:id="rId21"/>
    <sheet name="Počet_zamest_ZŠ" sheetId="22" r:id="rId22"/>
    <sheet name="Počet_žiakov_a_tried" sheetId="23" r:id="rId23"/>
    <sheet name="Zoznam_org_" sheetId="24" r:id="rId24"/>
    <sheet name="ESA" sheetId="25" r:id="rId25"/>
  </sheets>
  <definedNames>
    <definedName name="_xlnm.Print_Area" localSheetId="6">Bežné_dotácie!$C$3:$F$65</definedName>
    <definedName name="_xlnm.Print_Area" localSheetId="17">'BV-funkčná_kl_'!$B$2:$G$54</definedName>
    <definedName name="_xlnm.Print_Area" localSheetId="10">Dotácie_kultúra!$B$1:$E$85</definedName>
    <definedName name="_xlnm.Print_Area" localSheetId="8">Dotácie_na_šport_1!$B$2:$D$43</definedName>
    <definedName name="_xlnm.Print_Area" localSheetId="9">Dotácie_na_šport_2!$B$3:$E$72</definedName>
    <definedName name="_xlnm.Print_Area" localSheetId="12">Dotácie_v_oblasti_školstva!$B$3:$E$31</definedName>
    <definedName name="_xlnm.Print_Area" localSheetId="13">Dotácie_v_oblasti_ŽP!$B$3:$E$15</definedName>
    <definedName name="_xlnm.Print_Area" localSheetId="11">Dotácie_v_soc_oblasti!$B$2:$E$43</definedName>
    <definedName name="_xlnm.Print_Area" localSheetId="24">ESA!$D$2:$F$31</definedName>
    <definedName name="_xlnm.Print_Area" localSheetId="20">FO_podľa_RK!$B$2:$F$15</definedName>
    <definedName name="_xlnm.Print_Area" localSheetId="7">Kapitálové_dotácie!$B$3:$E$17</definedName>
    <definedName name="_xlnm.Print_Area" localSheetId="18">'KV-funkčná_kl_'!$B$2:$G$38</definedName>
    <definedName name="_xlnm.Print_Area" localSheetId="4">Materské_školy!$B$2:$I$79</definedName>
    <definedName name="_xlnm.Print_Area" localSheetId="1">MHSL!$B$1:$G$73</definedName>
    <definedName name="_xlnm.Print_Area" localSheetId="21">Počet_zamest_ZŠ!$B$2:$I$20</definedName>
    <definedName name="_xlnm.Print_Area" localSheetId="22">Počet_žiakov_a_tried!$B$2:$T$27</definedName>
    <definedName name="_xlnm.Print_Area" localSheetId="14">Pohľadávky!$B$1:$E$21</definedName>
    <definedName name="_xlnm.Print_Area" localSheetId="15">Prehľad_dlhu!$B$1:$H$48</definedName>
    <definedName name="_xlnm.Print_Area" localSheetId="2">SSMT!$B$2:$G$74</definedName>
    <definedName name="_xlnm.Print_Area" localSheetId="0">Súvahy!$B$3:$L$23</definedName>
    <definedName name="_xlnm.Print_Area" localSheetId="3">ŠZMT!$B$1:$E$29</definedName>
    <definedName name="_xlnm.Print_Area" localSheetId="19">Výdavky_ek_kl_!$B$3:$F$32</definedName>
    <definedName name="_xlnm.Print_Area" localSheetId="16">Vývoj_dlhovej_služby!$B$2:$H$36</definedName>
    <definedName name="_xlnm.Print_Area" localSheetId="5">Základné_školy!$B$6:$K$422</definedName>
    <definedName name="_xlnm.Print_Area" localSheetId="23">Zoznam_org_!$B$2:$D$23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6" l="1"/>
  <c r="F34" i="7" l="1"/>
  <c r="F65" i="7" s="1"/>
  <c r="E316" i="6"/>
  <c r="I284" i="6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D19" i="4"/>
  <c r="D28" i="4" s="1"/>
  <c r="I20" i="22" l="1"/>
  <c r="H20" i="22"/>
  <c r="G20" i="22"/>
  <c r="F20" i="22"/>
  <c r="E20" i="22"/>
  <c r="D20" i="22"/>
  <c r="C20" i="22"/>
  <c r="I19" i="22"/>
  <c r="I18" i="22"/>
  <c r="I17" i="22"/>
  <c r="I16" i="22"/>
  <c r="I15" i="22"/>
  <c r="I14" i="22"/>
  <c r="I13" i="22"/>
  <c r="I12" i="22"/>
  <c r="I11" i="22"/>
  <c r="I10" i="22"/>
  <c r="Q20" i="23"/>
  <c r="N20" i="23"/>
  <c r="H20" i="23"/>
  <c r="T19" i="23"/>
  <c r="S19" i="23"/>
  <c r="R19" i="23"/>
  <c r="Q19" i="23"/>
  <c r="P19" i="23"/>
  <c r="M19" i="23"/>
  <c r="L19" i="23"/>
  <c r="K19" i="23"/>
  <c r="J19" i="23"/>
  <c r="I19" i="23"/>
  <c r="G19" i="23"/>
  <c r="F19" i="23"/>
  <c r="E19" i="23"/>
  <c r="D19" i="23"/>
  <c r="C19" i="23"/>
  <c r="N18" i="23"/>
  <c r="H18" i="23"/>
  <c r="O18" i="23" s="1"/>
  <c r="N17" i="23"/>
  <c r="H17" i="23"/>
  <c r="O17" i="23" s="1"/>
  <c r="N16" i="23"/>
  <c r="H16" i="23"/>
  <c r="O16" i="23" s="1"/>
  <c r="N15" i="23"/>
  <c r="H15" i="23"/>
  <c r="O15" i="23" s="1"/>
  <c r="N14" i="23"/>
  <c r="H14" i="23"/>
  <c r="O14" i="23" s="1"/>
  <c r="N13" i="23"/>
  <c r="H13" i="23"/>
  <c r="O13" i="23" s="1"/>
  <c r="O12" i="23"/>
  <c r="N12" i="23"/>
  <c r="H12" i="23"/>
  <c r="N11" i="23"/>
  <c r="H11" i="23"/>
  <c r="O11" i="23" s="1"/>
  <c r="N10" i="23"/>
  <c r="H10" i="23"/>
  <c r="O10" i="23" s="1"/>
  <c r="N9" i="23"/>
  <c r="H9" i="23"/>
  <c r="O9" i="23" s="1"/>
  <c r="N8" i="23"/>
  <c r="N19" i="23" s="1"/>
  <c r="H8" i="23"/>
  <c r="O8" i="23" s="1"/>
  <c r="O19" i="23" l="1"/>
  <c r="H19" i="23"/>
  <c r="H15" i="17" l="1"/>
  <c r="H12" i="17" l="1"/>
  <c r="G12" i="17" l="1"/>
  <c r="H10" i="17"/>
  <c r="F10" i="25" l="1"/>
  <c r="F6" i="25" s="1"/>
  <c r="F13" i="25"/>
  <c r="F20" i="25"/>
  <c r="F23" i="25"/>
  <c r="F26" i="25" l="1"/>
  <c r="F17" i="25"/>
  <c r="F18" i="25"/>
  <c r="F16" i="17"/>
  <c r="E16" i="17"/>
  <c r="D16" i="17"/>
  <c r="F15" i="17"/>
  <c r="F12" i="17"/>
  <c r="E12" i="17"/>
  <c r="D12" i="17"/>
  <c r="F10" i="17"/>
  <c r="E10" i="17"/>
  <c r="D10" i="17"/>
  <c r="C10" i="17"/>
  <c r="E12" i="15"/>
  <c r="D10" i="21"/>
  <c r="F7" i="21"/>
  <c r="E10" i="21"/>
  <c r="F27" i="25" l="1"/>
  <c r="E12" i="21"/>
  <c r="F12" i="21"/>
  <c r="D12" i="21"/>
  <c r="F7" i="20"/>
  <c r="F21" i="20"/>
  <c r="F13" i="19"/>
  <c r="G13" i="19"/>
  <c r="E13" i="19"/>
  <c r="F10" i="19"/>
  <c r="G10" i="19"/>
  <c r="E10" i="19"/>
  <c r="G27" i="19"/>
  <c r="F27" i="19"/>
  <c r="E27" i="19"/>
  <c r="E38" i="18" l="1"/>
  <c r="G6" i="18"/>
  <c r="G38" i="18"/>
  <c r="F38" i="18"/>
  <c r="F31" i="18"/>
  <c r="F23" i="18"/>
  <c r="F15" i="18"/>
  <c r="F6" i="18" s="1"/>
  <c r="G43" i="18" l="1"/>
  <c r="F43" i="18"/>
  <c r="E43" i="18"/>
  <c r="G13" i="18" l="1"/>
  <c r="H38" i="16" l="1"/>
  <c r="H29" i="16"/>
  <c r="H26" i="16"/>
  <c r="H8" i="16"/>
  <c r="H11" i="16"/>
  <c r="H14" i="16"/>
  <c r="H17" i="16"/>
  <c r="H20" i="16"/>
  <c r="H23" i="16"/>
  <c r="H32" i="16"/>
  <c r="H35" i="16"/>
  <c r="H43" i="16"/>
  <c r="H45" i="16"/>
  <c r="H47" i="16"/>
  <c r="D20" i="15" l="1"/>
  <c r="E15" i="14"/>
  <c r="E30" i="13"/>
  <c r="E72" i="10" l="1"/>
  <c r="G332" i="6" l="1"/>
  <c r="E314" i="6"/>
  <c r="D329" i="6"/>
  <c r="J201" i="6"/>
  <c r="E334" i="6"/>
  <c r="E309" i="6"/>
  <c r="F28" i="6" l="1"/>
  <c r="H332" i="6"/>
  <c r="D332" i="6"/>
  <c r="E332" i="6"/>
  <c r="I30" i="6"/>
  <c r="J112" i="6" l="1"/>
  <c r="J111" i="6"/>
  <c r="J110" i="6"/>
  <c r="J109" i="6"/>
  <c r="J107" i="6"/>
  <c r="J105" i="6"/>
  <c r="J104" i="6"/>
  <c r="J103" i="6"/>
  <c r="J101" i="6"/>
  <c r="J100" i="6"/>
  <c r="J326" i="6"/>
  <c r="I102" i="6"/>
  <c r="I113" i="6" s="1"/>
  <c r="E315" i="6"/>
  <c r="E313" i="6"/>
  <c r="E327" i="6"/>
  <c r="E328" i="6"/>
  <c r="D327" i="6"/>
  <c r="I58" i="6"/>
  <c r="E124" i="6" l="1"/>
  <c r="F77" i="5" l="1"/>
  <c r="E77" i="5"/>
  <c r="D77" i="5"/>
  <c r="C77" i="5"/>
  <c r="G77" i="5" s="1"/>
  <c r="F76" i="5"/>
  <c r="E76" i="5"/>
  <c r="D76" i="5"/>
  <c r="C76" i="5"/>
  <c r="G76" i="5" s="1"/>
  <c r="F75" i="5"/>
  <c r="E75" i="5"/>
  <c r="D75" i="5"/>
  <c r="C75" i="5"/>
  <c r="G75" i="5" s="1"/>
  <c r="F74" i="5"/>
  <c r="E74" i="5"/>
  <c r="D74" i="5"/>
  <c r="C74" i="5"/>
  <c r="G74" i="5" s="1"/>
  <c r="F73" i="5"/>
  <c r="E73" i="5"/>
  <c r="D73" i="5"/>
  <c r="C73" i="5"/>
  <c r="G73" i="5" s="1"/>
  <c r="F72" i="5"/>
  <c r="E72" i="5"/>
  <c r="D72" i="5"/>
  <c r="C72" i="5"/>
  <c r="G72" i="5" s="1"/>
  <c r="F71" i="5"/>
  <c r="E71" i="5"/>
  <c r="D71" i="5"/>
  <c r="C71" i="5"/>
  <c r="G71" i="5" s="1"/>
  <c r="F70" i="5"/>
  <c r="E70" i="5"/>
  <c r="D70" i="5"/>
  <c r="C70" i="5"/>
  <c r="G70" i="5" s="1"/>
  <c r="F69" i="5"/>
  <c r="E69" i="5"/>
  <c r="D69" i="5"/>
  <c r="C69" i="5"/>
  <c r="G69" i="5" s="1"/>
  <c r="F68" i="5"/>
  <c r="E68" i="5"/>
  <c r="D68" i="5"/>
  <c r="C68" i="5"/>
  <c r="G68" i="5" s="1"/>
  <c r="F67" i="5"/>
  <c r="E67" i="5"/>
  <c r="D67" i="5"/>
  <c r="C67" i="5"/>
  <c r="G67" i="5" s="1"/>
  <c r="F66" i="5"/>
  <c r="E66" i="5"/>
  <c r="D66" i="5"/>
  <c r="C66" i="5"/>
  <c r="G66" i="5" s="1"/>
  <c r="F65" i="5"/>
  <c r="E65" i="5"/>
  <c r="D65" i="5"/>
  <c r="C65" i="5"/>
  <c r="G65" i="5" s="1"/>
  <c r="F64" i="5"/>
  <c r="E64" i="5"/>
  <c r="D64" i="5"/>
  <c r="C64" i="5"/>
  <c r="G64" i="5" s="1"/>
  <c r="F63" i="5"/>
  <c r="E63" i="5"/>
  <c r="D63" i="5"/>
  <c r="C63" i="5"/>
  <c r="G63" i="5" s="1"/>
  <c r="F62" i="5"/>
  <c r="F78" i="5" s="1"/>
  <c r="E62" i="5"/>
  <c r="E78" i="5" s="1"/>
  <c r="D62" i="5"/>
  <c r="D78" i="5" s="1"/>
  <c r="C62" i="5"/>
  <c r="G62" i="5" s="1"/>
  <c r="F51" i="5"/>
  <c r="E51" i="5"/>
  <c r="D51" i="5"/>
  <c r="C51" i="5"/>
  <c r="G50" i="5"/>
  <c r="G49" i="5"/>
  <c r="G48" i="5"/>
  <c r="G47" i="5"/>
  <c r="G46" i="5"/>
  <c r="G45" i="5"/>
  <c r="G44" i="5"/>
  <c r="G43" i="5"/>
  <c r="G42" i="5"/>
  <c r="G41" i="5"/>
  <c r="G51" i="5" s="1"/>
  <c r="G40" i="5"/>
  <c r="G39" i="5"/>
  <c r="G38" i="5"/>
  <c r="G37" i="5"/>
  <c r="H30" i="5"/>
  <c r="G30" i="5"/>
  <c r="F30" i="5"/>
  <c r="E30" i="5"/>
  <c r="D30" i="5"/>
  <c r="C30" i="5"/>
  <c r="I29" i="5"/>
  <c r="I28" i="5"/>
  <c r="I30" i="5" s="1"/>
  <c r="H26" i="5"/>
  <c r="G26" i="5"/>
  <c r="F26" i="5"/>
  <c r="E26" i="5"/>
  <c r="D26" i="5"/>
  <c r="C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26" i="5" s="1"/>
  <c r="E16" i="8"/>
  <c r="E13" i="8"/>
  <c r="E12" i="8"/>
  <c r="E8" i="8"/>
  <c r="G78" i="5" l="1"/>
  <c r="C78" i="5"/>
  <c r="E12" i="4" l="1"/>
  <c r="E48" i="3"/>
  <c r="F70" i="3"/>
  <c r="E73" i="3"/>
  <c r="D70" i="3"/>
  <c r="F51" i="3"/>
  <c r="F48" i="3"/>
  <c r="C73" i="3"/>
  <c r="C70" i="3"/>
  <c r="C48" i="3"/>
  <c r="E34" i="3" l="1"/>
  <c r="E14" i="3"/>
  <c r="G64" i="2"/>
  <c r="G65" i="2"/>
  <c r="G66" i="2"/>
  <c r="G69" i="2"/>
  <c r="G63" i="2"/>
  <c r="G60" i="2"/>
  <c r="G59" i="2"/>
  <c r="G62" i="2"/>
  <c r="D69" i="2"/>
  <c r="D68" i="2"/>
  <c r="G68" i="2" s="1"/>
  <c r="D67" i="2"/>
  <c r="G67" i="2" s="1"/>
  <c r="D66" i="2"/>
  <c r="D65" i="2"/>
  <c r="D64" i="2"/>
  <c r="D63" i="2"/>
  <c r="D60" i="2"/>
  <c r="D59" i="2"/>
  <c r="D40" i="2"/>
  <c r="D39" i="2"/>
  <c r="D37" i="2"/>
  <c r="D35" i="2"/>
  <c r="D34" i="2"/>
  <c r="D32" i="2"/>
  <c r="D31" i="2"/>
  <c r="E9" i="2"/>
  <c r="E11" i="1"/>
  <c r="I334" i="6" l="1"/>
  <c r="J327" i="6"/>
  <c r="I327" i="6"/>
  <c r="H327" i="6"/>
  <c r="G327" i="6"/>
  <c r="E333" i="6"/>
  <c r="J108" i="6"/>
  <c r="J106" i="6"/>
  <c r="F17" i="19" l="1"/>
  <c r="G17" i="19"/>
  <c r="E17" i="19"/>
  <c r="E22" i="3"/>
  <c r="G16" i="17"/>
  <c r="H16" i="17"/>
  <c r="G10" i="17" l="1"/>
  <c r="E17" i="8"/>
  <c r="F7" i="7" l="1"/>
  <c r="E7" i="21" l="1"/>
  <c r="D7" i="21"/>
  <c r="E42" i="12" l="1"/>
  <c r="E84" i="11"/>
  <c r="E17" i="10"/>
  <c r="F330" i="6" l="1"/>
  <c r="E324" i="6" l="1"/>
  <c r="D324" i="6"/>
  <c r="E329" i="6" l="1"/>
  <c r="H254" i="6"/>
  <c r="H250" i="6"/>
  <c r="E48" i="6" l="1"/>
  <c r="H21" i="6" l="1"/>
  <c r="H32" i="6" s="1"/>
  <c r="E23" i="19" l="1"/>
  <c r="G31" i="18"/>
  <c r="E31" i="18"/>
  <c r="D22" i="20" l="1"/>
  <c r="F19" i="19" l="1"/>
  <c r="G19" i="19"/>
  <c r="E19" i="19"/>
  <c r="E7" i="18"/>
  <c r="E325" i="6" l="1"/>
  <c r="D245" i="6" l="1"/>
  <c r="D255" i="6" s="1"/>
  <c r="E245" i="6"/>
  <c r="F245" i="6"/>
  <c r="F255" i="6" s="1"/>
  <c r="G245" i="6"/>
  <c r="C245" i="6"/>
  <c r="H246" i="6"/>
  <c r="G324" i="6"/>
  <c r="H324" i="6"/>
  <c r="I324" i="6"/>
  <c r="J324" i="6"/>
  <c r="C169" i="6"/>
  <c r="E169" i="6"/>
  <c r="E177" i="6" s="1"/>
  <c r="F169" i="6"/>
  <c r="G169" i="6"/>
  <c r="H169" i="6"/>
  <c r="D169" i="6"/>
  <c r="I170" i="6"/>
  <c r="G326" i="6"/>
  <c r="F102" i="6"/>
  <c r="F113" i="6" s="1"/>
  <c r="G102" i="6"/>
  <c r="G113" i="6" s="1"/>
  <c r="H102" i="6"/>
  <c r="H113" i="6" s="1"/>
  <c r="H245" i="6" l="1"/>
  <c r="K324" i="6"/>
  <c r="F326" i="6"/>
  <c r="K333" i="6" l="1"/>
  <c r="I31" i="6"/>
  <c r="D21" i="15" l="1"/>
  <c r="G71" i="3" l="1"/>
  <c r="G69" i="3"/>
  <c r="G68" i="3"/>
  <c r="G67" i="3"/>
  <c r="G66" i="3"/>
  <c r="G65" i="3"/>
  <c r="G64" i="3"/>
  <c r="G62" i="3"/>
  <c r="G61" i="3"/>
  <c r="G41" i="3"/>
  <c r="G50" i="3" s="1"/>
  <c r="G73" i="3"/>
  <c r="G70" i="3"/>
  <c r="E24" i="3"/>
  <c r="E13" i="3"/>
  <c r="E6" i="3"/>
  <c r="E30" i="3"/>
  <c r="G72" i="2"/>
  <c r="F22" i="20" l="1"/>
  <c r="E22" i="20"/>
  <c r="J329" i="6"/>
  <c r="I329" i="6"/>
  <c r="H329" i="6"/>
  <c r="G331" i="6"/>
  <c r="G330" i="6"/>
  <c r="G329" i="6"/>
  <c r="G328" i="6"/>
  <c r="G325" i="6"/>
  <c r="G322" i="6"/>
  <c r="G321" i="6"/>
  <c r="F334" i="6"/>
  <c r="I283" i="6"/>
  <c r="I282" i="6"/>
  <c r="I281" i="6"/>
  <c r="I280" i="6"/>
  <c r="I279" i="6"/>
  <c r="I278" i="6"/>
  <c r="I277" i="6"/>
  <c r="I276" i="6"/>
  <c r="I274" i="6"/>
  <c r="J204" i="6"/>
  <c r="J203" i="6"/>
  <c r="J202" i="6"/>
  <c r="J200" i="6"/>
  <c r="J199" i="6"/>
  <c r="J198" i="6"/>
  <c r="J197" i="6"/>
  <c r="J195" i="6"/>
  <c r="J194" i="6"/>
  <c r="I176" i="6"/>
  <c r="I175" i="6"/>
  <c r="I174" i="6"/>
  <c r="I173" i="6"/>
  <c r="I172" i="6"/>
  <c r="I171" i="6"/>
  <c r="I168" i="6"/>
  <c r="I167" i="6"/>
  <c r="I64" i="6"/>
  <c r="I63" i="6"/>
  <c r="I62" i="6"/>
  <c r="I61" i="6"/>
  <c r="I60" i="6"/>
  <c r="I59" i="6"/>
  <c r="I57" i="6"/>
  <c r="I56" i="6"/>
  <c r="I55" i="6"/>
  <c r="I53" i="6"/>
  <c r="I52" i="6"/>
  <c r="I29" i="6"/>
  <c r="I28" i="6"/>
  <c r="I27" i="6"/>
  <c r="I26" i="6"/>
  <c r="I25" i="6"/>
  <c r="I24" i="6"/>
  <c r="I23" i="6"/>
  <c r="I22" i="6"/>
  <c r="I20" i="6"/>
  <c r="I19" i="6"/>
  <c r="I169" i="6" l="1"/>
  <c r="K327" i="6"/>
  <c r="E406" i="6" l="1"/>
  <c r="E308" i="6"/>
  <c r="H334" i="6"/>
  <c r="H326" i="6"/>
  <c r="H325" i="6"/>
  <c r="H322" i="6"/>
  <c r="H321" i="6"/>
  <c r="J331" i="6"/>
  <c r="J330" i="6"/>
  <c r="J328" i="6"/>
  <c r="J325" i="6"/>
  <c r="J322" i="6"/>
  <c r="J321" i="6"/>
  <c r="E96" i="6"/>
  <c r="I332" i="6"/>
  <c r="J332" i="6"/>
  <c r="C19" i="4"/>
  <c r="K334" i="6" l="1"/>
  <c r="E163" i="6"/>
  <c r="G33" i="2" l="1"/>
  <c r="G42" i="2" s="1"/>
  <c r="D42" i="9" l="1"/>
  <c r="D23" i="1" l="1"/>
  <c r="D14" i="1" l="1"/>
  <c r="E310" i="6" l="1"/>
  <c r="E311" i="6"/>
  <c r="E312" i="6"/>
  <c r="C321" i="6"/>
  <c r="D321" i="6"/>
  <c r="E321" i="6"/>
  <c r="I321" i="6"/>
  <c r="C322" i="6"/>
  <c r="D322" i="6"/>
  <c r="E322" i="6"/>
  <c r="I322" i="6"/>
  <c r="C325" i="6"/>
  <c r="D325" i="6"/>
  <c r="I325" i="6"/>
  <c r="C326" i="6"/>
  <c r="D326" i="6"/>
  <c r="E326" i="6"/>
  <c r="I326" i="6"/>
  <c r="C328" i="6"/>
  <c r="D328" i="6"/>
  <c r="H328" i="6"/>
  <c r="I328" i="6"/>
  <c r="C329" i="6"/>
  <c r="K329" i="6" s="1"/>
  <c r="D330" i="6"/>
  <c r="E330" i="6"/>
  <c r="H330" i="6"/>
  <c r="I330" i="6"/>
  <c r="D331" i="6"/>
  <c r="E331" i="6"/>
  <c r="H331" i="6"/>
  <c r="I331" i="6"/>
  <c r="K332" i="6"/>
  <c r="F34" i="19"/>
  <c r="G34" i="19"/>
  <c r="E34" i="19"/>
  <c r="K325" i="6" l="1"/>
  <c r="K322" i="6"/>
  <c r="K321" i="6"/>
  <c r="K330" i="6"/>
  <c r="K326" i="6"/>
  <c r="K331" i="6"/>
  <c r="K328" i="6"/>
  <c r="E317" i="6"/>
  <c r="I273" i="6"/>
  <c r="H253" i="6"/>
  <c r="H252" i="6"/>
  <c r="H251" i="6"/>
  <c r="H249" i="6"/>
  <c r="H248" i="6"/>
  <c r="H247" i="6"/>
  <c r="H244" i="6"/>
  <c r="H243" i="6"/>
  <c r="C196" i="6"/>
  <c r="I137" i="6"/>
  <c r="I136" i="6"/>
  <c r="I135" i="6"/>
  <c r="I134" i="6"/>
  <c r="I133" i="6"/>
  <c r="I132" i="6"/>
  <c r="I131" i="6"/>
  <c r="I129" i="6"/>
  <c r="I128" i="6"/>
  <c r="C205" i="6" l="1"/>
  <c r="I196" i="6" l="1"/>
  <c r="I205" i="6" s="1"/>
  <c r="H275" i="6"/>
  <c r="H285" i="6" s="1"/>
  <c r="E196" i="6"/>
  <c r="E205" i="6" s="1"/>
  <c r="E102" i="6"/>
  <c r="E113" i="6" s="1"/>
  <c r="H130" i="6"/>
  <c r="H138" i="6" s="1"/>
  <c r="F323" i="6" l="1"/>
  <c r="F335" i="6" s="1"/>
  <c r="D21" i="20" l="1"/>
  <c r="E21" i="20" l="1"/>
  <c r="H323" i="6" l="1"/>
  <c r="H335" i="6" s="1"/>
  <c r="G323" i="6"/>
  <c r="G335" i="6" s="1"/>
  <c r="D323" i="6"/>
  <c r="D335" i="6" s="1"/>
  <c r="J323" i="6"/>
  <c r="J335" i="6" s="1"/>
  <c r="E323" i="6"/>
  <c r="E335" i="6" s="1"/>
  <c r="I323" i="6"/>
  <c r="I335" i="6" s="1"/>
  <c r="C323" i="6"/>
  <c r="C335" i="6" s="1"/>
  <c r="K335" i="6" l="1"/>
  <c r="K323" i="6"/>
  <c r="H54" i="6" l="1"/>
  <c r="H65" i="6" s="1"/>
  <c r="H177" i="6" l="1"/>
  <c r="C54" i="6" l="1"/>
  <c r="C65" i="6" s="1"/>
  <c r="D54" i="6"/>
  <c r="D65" i="6" s="1"/>
  <c r="E54" i="6"/>
  <c r="E65" i="6" s="1"/>
  <c r="F54" i="6"/>
  <c r="F65" i="6" s="1"/>
  <c r="G54" i="6"/>
  <c r="G65" i="6" s="1"/>
  <c r="C102" i="6"/>
  <c r="D102" i="6"/>
  <c r="C130" i="6"/>
  <c r="D130" i="6"/>
  <c r="D138" i="6" s="1"/>
  <c r="E130" i="6"/>
  <c r="E138" i="6" s="1"/>
  <c r="F130" i="6"/>
  <c r="F138" i="6" s="1"/>
  <c r="G130" i="6"/>
  <c r="G138" i="6" s="1"/>
  <c r="C177" i="6"/>
  <c r="D177" i="6"/>
  <c r="F177" i="6"/>
  <c r="G177" i="6"/>
  <c r="C21" i="6"/>
  <c r="C32" i="6" s="1"/>
  <c r="D21" i="6"/>
  <c r="D32" i="6" s="1"/>
  <c r="E21" i="6"/>
  <c r="E32" i="6" s="1"/>
  <c r="F21" i="6"/>
  <c r="F32" i="6" s="1"/>
  <c r="G21" i="6"/>
  <c r="G32" i="6" s="1"/>
  <c r="I32" i="6" l="1"/>
  <c r="D113" i="6"/>
  <c r="J102" i="6"/>
  <c r="I177" i="6"/>
  <c r="I54" i="6"/>
  <c r="I65" i="6" s="1"/>
  <c r="I21" i="6"/>
  <c r="I130" i="6"/>
  <c r="C138" i="6"/>
  <c r="I138" i="6" s="1"/>
  <c r="E33" i="2" l="1"/>
  <c r="E42" i="2" s="1"/>
  <c r="G18" i="2"/>
  <c r="G27" i="2" s="1"/>
  <c r="F18" i="2"/>
  <c r="F27" i="2" s="1"/>
  <c r="E18" i="2"/>
  <c r="E27" i="2" s="1"/>
  <c r="D18" i="2"/>
  <c r="D27" i="2" s="1"/>
  <c r="C18" i="2"/>
  <c r="C27" i="2" s="1"/>
  <c r="G61" i="2" l="1"/>
  <c r="F10" i="20" l="1"/>
  <c r="E10" i="20"/>
  <c r="E7" i="20" s="1"/>
  <c r="D10" i="20"/>
  <c r="D7" i="20" s="1"/>
  <c r="G23" i="19"/>
  <c r="F23" i="19"/>
  <c r="G8" i="19"/>
  <c r="F8" i="19"/>
  <c r="E8" i="19"/>
  <c r="G48" i="18"/>
  <c r="F48" i="18"/>
  <c r="E48" i="18"/>
  <c r="G33" i="18"/>
  <c r="F33" i="18"/>
  <c r="E33" i="18"/>
  <c r="G26" i="18"/>
  <c r="F26" i="18"/>
  <c r="E26" i="18"/>
  <c r="G23" i="18"/>
  <c r="E23" i="18"/>
  <c r="G18" i="18"/>
  <c r="F18" i="18"/>
  <c r="E18" i="18"/>
  <c r="G15" i="18"/>
  <c r="E15" i="18"/>
  <c r="F13" i="18"/>
  <c r="E13" i="18"/>
  <c r="G7" i="18"/>
  <c r="F7" i="18"/>
  <c r="C21" i="15"/>
  <c r="E20" i="15"/>
  <c r="E19" i="15"/>
  <c r="E18" i="15"/>
  <c r="E17" i="15"/>
  <c r="E16" i="15"/>
  <c r="E15" i="15"/>
  <c r="E14" i="15"/>
  <c r="E13" i="15"/>
  <c r="E11" i="15"/>
  <c r="E10" i="15"/>
  <c r="E9" i="15"/>
  <c r="E8" i="15"/>
  <c r="E7" i="15"/>
  <c r="C412" i="6"/>
  <c r="C421" i="6" s="1"/>
  <c r="C389" i="6"/>
  <c r="C398" i="6" s="1"/>
  <c r="E383" i="6"/>
  <c r="G275" i="6"/>
  <c r="G285" i="6" s="1"/>
  <c r="F275" i="6"/>
  <c r="F285" i="6" s="1"/>
  <c r="E275" i="6"/>
  <c r="E285" i="6" s="1"/>
  <c r="D275" i="6"/>
  <c r="D285" i="6" s="1"/>
  <c r="C275" i="6"/>
  <c r="E269" i="6"/>
  <c r="G255" i="6"/>
  <c r="E255" i="6"/>
  <c r="E239" i="6"/>
  <c r="H196" i="6"/>
  <c r="H205" i="6" s="1"/>
  <c r="G196" i="6"/>
  <c r="G205" i="6" s="1"/>
  <c r="F196" i="6"/>
  <c r="F205" i="6" s="1"/>
  <c r="D196" i="6"/>
  <c r="D205" i="6" s="1"/>
  <c r="E190" i="6"/>
  <c r="E15" i="6"/>
  <c r="F63" i="3"/>
  <c r="F72" i="3" s="1"/>
  <c r="E63" i="3"/>
  <c r="E72" i="3" s="1"/>
  <c r="D63" i="3"/>
  <c r="D72" i="3" s="1"/>
  <c r="C63" i="3"/>
  <c r="C72" i="3" s="1"/>
  <c r="F41" i="3"/>
  <c r="F50" i="3" s="1"/>
  <c r="E41" i="3"/>
  <c r="E50" i="3" s="1"/>
  <c r="D41" i="3"/>
  <c r="D50" i="3" s="1"/>
  <c r="C41" i="3"/>
  <c r="E19" i="3"/>
  <c r="E17" i="3"/>
  <c r="F61" i="2"/>
  <c r="F71" i="2" s="1"/>
  <c r="E61" i="2"/>
  <c r="E71" i="2" s="1"/>
  <c r="D61" i="2"/>
  <c r="D71" i="2" s="1"/>
  <c r="C61" i="2"/>
  <c r="C71" i="2" s="1"/>
  <c r="F33" i="2"/>
  <c r="F42" i="2" s="1"/>
  <c r="D33" i="2"/>
  <c r="D42" i="2" s="1"/>
  <c r="C33" i="2"/>
  <c r="C42" i="2" s="1"/>
  <c r="E4" i="2"/>
  <c r="K23" i="1"/>
  <c r="J23" i="1"/>
  <c r="I23" i="1"/>
  <c r="H23" i="1"/>
  <c r="G23" i="1"/>
  <c r="F23" i="1"/>
  <c r="E23" i="1"/>
  <c r="L22" i="1"/>
  <c r="L21" i="1"/>
  <c r="L20" i="1"/>
  <c r="L19" i="1"/>
  <c r="L18" i="1"/>
  <c r="L17" i="1"/>
  <c r="L16" i="1"/>
  <c r="L15" i="1"/>
  <c r="K14" i="1"/>
  <c r="J14" i="1"/>
  <c r="I14" i="1"/>
  <c r="H14" i="1"/>
  <c r="G14" i="1"/>
  <c r="F14" i="1"/>
  <c r="L13" i="1"/>
  <c r="L12" i="1"/>
  <c r="E14" i="1"/>
  <c r="L10" i="1"/>
  <c r="L9" i="1"/>
  <c r="L8" i="1"/>
  <c r="L7" i="1"/>
  <c r="L6" i="1"/>
  <c r="E6" i="18" l="1"/>
  <c r="E5" i="3"/>
  <c r="G63" i="3"/>
  <c r="I275" i="6"/>
  <c r="J205" i="6"/>
  <c r="J196" i="6"/>
  <c r="G71" i="2"/>
  <c r="C285" i="6"/>
  <c r="I285" i="6" s="1"/>
  <c r="F7" i="19"/>
  <c r="G7" i="19"/>
  <c r="C255" i="6"/>
  <c r="H255" i="6" s="1"/>
  <c r="L11" i="1"/>
  <c r="E21" i="15"/>
  <c r="L23" i="1"/>
  <c r="C50" i="3"/>
  <c r="G72" i="3" s="1"/>
  <c r="E7" i="19"/>
  <c r="C113" i="6"/>
  <c r="J113" i="6" s="1"/>
  <c r="C28" i="4"/>
  <c r="L14" i="1"/>
</calcChain>
</file>

<file path=xl/sharedStrings.xml><?xml version="1.0" encoding="utf-8"?>
<sst xmlns="http://schemas.openxmlformats.org/spreadsheetml/2006/main" count="1659" uniqueCount="1004">
  <si>
    <t>Ukazovateľ</t>
  </si>
  <si>
    <t>Mesto Trenčín</t>
  </si>
  <si>
    <t>MHSL</t>
  </si>
  <si>
    <t>SSmT</t>
  </si>
  <si>
    <t>ŠZmT</t>
  </si>
  <si>
    <t>MŠ Šafárikova</t>
  </si>
  <si>
    <t>Základné školy</t>
  </si>
  <si>
    <t>Centrum voľného času</t>
  </si>
  <si>
    <t>Základná umelecká škola</t>
  </si>
  <si>
    <t>SPOLU</t>
  </si>
  <si>
    <t>1.</t>
  </si>
  <si>
    <t>Dlhodobý nehmotný majetok</t>
  </si>
  <si>
    <t>2.</t>
  </si>
  <si>
    <t>Dlhodobý hmotný majetok</t>
  </si>
  <si>
    <t>3.</t>
  </si>
  <si>
    <t>Dlhodobý finančný majetok</t>
  </si>
  <si>
    <t>4.</t>
  </si>
  <si>
    <t>Zásoby</t>
  </si>
  <si>
    <t>5.</t>
  </si>
  <si>
    <t>Zúčtovanie medzi subjektami ver.správy</t>
  </si>
  <si>
    <t>6.</t>
  </si>
  <si>
    <t>Pohľadávky</t>
  </si>
  <si>
    <t>7.</t>
  </si>
  <si>
    <t>Finančný majetok</t>
  </si>
  <si>
    <t>8.</t>
  </si>
  <si>
    <t>Náklady budúcich období</t>
  </si>
  <si>
    <t>A K T Í V A  celkom</t>
  </si>
  <si>
    <t>9.</t>
  </si>
  <si>
    <t>Oceňovacie rozdiely</t>
  </si>
  <si>
    <t>10.</t>
  </si>
  <si>
    <t>Výsledok hospodárenia (výnosy - náklady)</t>
  </si>
  <si>
    <t>11.</t>
  </si>
  <si>
    <t>Rezervy</t>
  </si>
  <si>
    <t>12.</t>
  </si>
  <si>
    <t>13.</t>
  </si>
  <si>
    <t>Dlhodobé záväzky</t>
  </si>
  <si>
    <t>14.</t>
  </si>
  <si>
    <t>Krátkodobé záväzky</t>
  </si>
  <si>
    <t>15.</t>
  </si>
  <si>
    <t>16.</t>
  </si>
  <si>
    <t>Výnosy budúcich období</t>
  </si>
  <si>
    <t>Bankové úvery a ostatné prijaté výpomoci</t>
  </si>
  <si>
    <t>P A S Í V A   celkom</t>
  </si>
  <si>
    <t>Príloha č.1</t>
  </si>
  <si>
    <t>Mestské hospodárstvo a správa lesov m.r.o.</t>
  </si>
  <si>
    <t>210: Príjmy z podnikania a vlastníctva majetku</t>
  </si>
  <si>
    <t>222: Pokuty, penále a iné sankcie</t>
  </si>
  <si>
    <t>223 001: Za predaj výrobkov, tovarov a služieb</t>
  </si>
  <si>
    <t>292 006: Z náhrad z poistného plnenia</t>
  </si>
  <si>
    <t>292 012: Z dobropisov</t>
  </si>
  <si>
    <t>292 017: Vratky</t>
  </si>
  <si>
    <t>292 027: Iné</t>
  </si>
  <si>
    <t>Výdavky</t>
  </si>
  <si>
    <t>610: Mzdy, platy, a OOV</t>
  </si>
  <si>
    <t xml:space="preserve">620: Poistné </t>
  </si>
  <si>
    <t>630: Tovary a služby</t>
  </si>
  <si>
    <t>632: Energie, voda, komun.</t>
  </si>
  <si>
    <t>633: Materiál</t>
  </si>
  <si>
    <t>634: Dopravné</t>
  </si>
  <si>
    <t>635: Rutinná a štand.údržba</t>
  </si>
  <si>
    <t>636: Nájomné</t>
  </si>
  <si>
    <t>637: Služby</t>
  </si>
  <si>
    <t>640: Transfery</t>
  </si>
  <si>
    <t>Bežné výdavky spolu</t>
  </si>
  <si>
    <t>Kapitálové výdavky spolu</t>
  </si>
  <si>
    <t>620: Poistné</t>
  </si>
  <si>
    <t>631: Cestovné náhrady</t>
  </si>
  <si>
    <t>Spolu výdavky MHSL m.r.o.</t>
  </si>
  <si>
    <t>Príloha č.2</t>
  </si>
  <si>
    <t>Sociálne služby mesta Trenčín m.r.o.</t>
  </si>
  <si>
    <t>Príjmy spolu:</t>
  </si>
  <si>
    <t>Detské jasle</t>
  </si>
  <si>
    <t>223 002: Za jasle</t>
  </si>
  <si>
    <t>223 003: Za stravné detské jasle</t>
  </si>
  <si>
    <t>223 003: Za stravné materská škola</t>
  </si>
  <si>
    <t>223 003: Za stravné zamestnanci</t>
  </si>
  <si>
    <t>Zariadenie opatrovateľskej služby</t>
  </si>
  <si>
    <t>223 001: ZOS 24 hod.starostlivosť</t>
  </si>
  <si>
    <t>223 001: Celoročný pobyt</t>
  </si>
  <si>
    <t>212 003: Z prenajatých budov, priestorov</t>
  </si>
  <si>
    <t>Opatrovateľská služba</t>
  </si>
  <si>
    <t>223 001: Opatrovateľská služba - staroba,invalitida,rozvoz stravy</t>
  </si>
  <si>
    <t>Prepravná služba</t>
  </si>
  <si>
    <t>223 001 - Prepravná služba</t>
  </si>
  <si>
    <t>Krízové centrum</t>
  </si>
  <si>
    <t>223 001 - Krízové centrum</t>
  </si>
  <si>
    <t>Zariadenie pre seniorov</t>
  </si>
  <si>
    <t>223 001: Ubytovanie a zaopatrenie</t>
  </si>
  <si>
    <t>223 001: Stravovanie</t>
  </si>
  <si>
    <t>212 003: Príjmy z prenajatých budov, priestorov (ZPS)</t>
  </si>
  <si>
    <t>Ostatné príjmy</t>
  </si>
  <si>
    <t>292 012: dobropisy</t>
  </si>
  <si>
    <t>311: dary</t>
  </si>
  <si>
    <t>631: Cestovné</t>
  </si>
  <si>
    <t xml:space="preserve">Bežné výdavky </t>
  </si>
  <si>
    <t>Spolu</t>
  </si>
  <si>
    <t xml:space="preserve">Kapitálové výdavky </t>
  </si>
  <si>
    <t>Príloha č.3</t>
  </si>
  <si>
    <t>Školské zariadenia mesta Trenčín m.r.o.</t>
  </si>
  <si>
    <t>Príjmy</t>
  </si>
  <si>
    <t>212 003: Príjmy z prenajatých budov, priestorov a objektov</t>
  </si>
  <si>
    <t>223 001: za predaj výrobkov, tovarov a služieb</t>
  </si>
  <si>
    <t>223 002: Poplatky za jasle, MŠ a školské kluby detí</t>
  </si>
  <si>
    <t>223 003: Za stravné</t>
  </si>
  <si>
    <t>292 019: Z refundácie</t>
  </si>
  <si>
    <t>Príloha č.4</t>
  </si>
  <si>
    <t xml:space="preserve">V ý d a v k y    m a t e r s k ý ch  š k ô l </t>
  </si>
  <si>
    <t>09.1.1.1. Predškolská výchova s bežnou starostlivosťou</t>
  </si>
  <si>
    <t>Materská škola</t>
  </si>
  <si>
    <t>Počet detí</t>
  </si>
  <si>
    <t>Príjem</t>
  </si>
  <si>
    <t>MŠ Švermova</t>
  </si>
  <si>
    <t>MŠ Legionárska</t>
  </si>
  <si>
    <t>MŠ Považská</t>
  </si>
  <si>
    <t>MŠ M.Turkovej</t>
  </si>
  <si>
    <t>MŠ Soblahovská</t>
  </si>
  <si>
    <t>MŠ Šmidkeho</t>
  </si>
  <si>
    <t>MŠ J.Halašu</t>
  </si>
  <si>
    <t>MŠ Stromova</t>
  </si>
  <si>
    <t>MŠ Opatovská</t>
  </si>
  <si>
    <t>MŠ Kubranská</t>
  </si>
  <si>
    <t>MŠ Medňanského</t>
  </si>
  <si>
    <t>MŠ Pri Parku</t>
  </si>
  <si>
    <t>MŠ Niva</t>
  </si>
  <si>
    <t>MŠ 28. októbra</t>
  </si>
  <si>
    <t>MŠ Na dolinách</t>
  </si>
  <si>
    <t>S P O L U:</t>
  </si>
  <si>
    <t>09.6.0.1 Školské stravovanie v predškolských zariadeniach a základných školách</t>
  </si>
  <si>
    <t>Spolu výdavky materských škôl (predškolská výchova + stravovanie)</t>
  </si>
  <si>
    <t>Základná škola Novomeského</t>
  </si>
  <si>
    <t>Príloha č.5</t>
  </si>
  <si>
    <t>212 003: Z prenajatých budov, priestorov a objektov</t>
  </si>
  <si>
    <t>223 001: Réžia - cudzí stravníci</t>
  </si>
  <si>
    <t>223 002: Za jasle, materské školy a školské kluby detí</t>
  </si>
  <si>
    <t>311: Granty</t>
  </si>
  <si>
    <t>312: Transfery v rámci verejnej správy</t>
  </si>
  <si>
    <t>Základná škola Kubranská</t>
  </si>
  <si>
    <t>Základná škola Na dolinách</t>
  </si>
  <si>
    <t>Základná škola Bezruča</t>
  </si>
  <si>
    <t>Základná škola Hodžova</t>
  </si>
  <si>
    <t>636: Prenájom</t>
  </si>
  <si>
    <t>Základná škola Východná</t>
  </si>
  <si>
    <t>292 012: z dobropisov</t>
  </si>
  <si>
    <t>Základná škola Dlhé Hony</t>
  </si>
  <si>
    <t>Základná škola Veľkomoravská</t>
  </si>
  <si>
    <t>Základné školy spolu</t>
  </si>
  <si>
    <t>Základná umelecká škola Karola Pádivého m.r.o.</t>
  </si>
  <si>
    <t>223 002: Za školy a školské zariadenia</t>
  </si>
  <si>
    <t>223 002: poplatky rodičov za letné tábory</t>
  </si>
  <si>
    <t>Príloha č.6</t>
  </si>
  <si>
    <t>P.č.</t>
  </si>
  <si>
    <t>Poskytovateľ dotácie</t>
  </si>
  <si>
    <t>Druh dotácie</t>
  </si>
  <si>
    <t>Výška dotácie v EUR</t>
  </si>
  <si>
    <t>Dotácie na školstvo</t>
  </si>
  <si>
    <t>Ostatné dotácie</t>
  </si>
  <si>
    <t xml:space="preserve"> </t>
  </si>
  <si>
    <t>Príloha č.8</t>
  </si>
  <si>
    <t>Príjemca dotácie činnosť</t>
  </si>
  <si>
    <t>Dotácie pre mládež</t>
  </si>
  <si>
    <t>Dotácie na výnimočné akcie</t>
  </si>
  <si>
    <t>Príjemca dotácie</t>
  </si>
  <si>
    <t>Účel dotácie</t>
  </si>
  <si>
    <t>Príloha č.9</t>
  </si>
  <si>
    <t xml:space="preserve">Príjemca dotácie </t>
  </si>
  <si>
    <t>Príloha č.10</t>
  </si>
  <si>
    <t>Príloha č.11</t>
  </si>
  <si>
    <t>Príjemca dotácie a názov projektu</t>
  </si>
  <si>
    <t>Príloha č.12</t>
  </si>
  <si>
    <t>Príloha č.13</t>
  </si>
  <si>
    <t>+ nárast</t>
  </si>
  <si>
    <t>- pokles</t>
  </si>
  <si>
    <t>Daň z nehnuteľností</t>
  </si>
  <si>
    <t>Daň za psa</t>
  </si>
  <si>
    <t>Daň z predaja alk. nápojov a tabak. výrobkov</t>
  </si>
  <si>
    <t xml:space="preserve">Daň za užívanie verejného priestranstva </t>
  </si>
  <si>
    <t>Daň za ubytovanie</t>
  </si>
  <si>
    <t>Miestny poplatok za KO a DSO</t>
  </si>
  <si>
    <t>Nájomné zmluvy</t>
  </si>
  <si>
    <t>Z predaja a nájmu bytov a nebyt. priestorov</t>
  </si>
  <si>
    <t>Pokuty</t>
  </si>
  <si>
    <t>Za znečisťovanie ovzdušia</t>
  </si>
  <si>
    <t xml:space="preserve">Z lotérií a iných podobných hier </t>
  </si>
  <si>
    <t>Neuhradené faktúry</t>
  </si>
  <si>
    <t>Ostatné pohľadávky</t>
  </si>
  <si>
    <t xml:space="preserve">Zmluva č. </t>
  </si>
  <si>
    <t>Výška poskytnutého úveru</t>
  </si>
  <si>
    <t>Splatnosť úveru</t>
  </si>
  <si>
    <t xml:space="preserve">Zostatok úveru </t>
  </si>
  <si>
    <t>zo dňa</t>
  </si>
  <si>
    <t>v EUR</t>
  </si>
  <si>
    <t>Štátny fond rozvoja bývania, 61 b.j.</t>
  </si>
  <si>
    <t>309/308/2002</t>
  </si>
  <si>
    <t>300/149/2017</t>
  </si>
  <si>
    <t>jún 2018</t>
  </si>
  <si>
    <t>2048</t>
  </si>
  <si>
    <t>300/202/2018</t>
  </si>
  <si>
    <t>Slovenská sporiteľňa a.s.</t>
  </si>
  <si>
    <t>1190/CC/16</t>
  </si>
  <si>
    <t>31.1.2017</t>
  </si>
  <si>
    <t>335/CC/18</t>
  </si>
  <si>
    <t>31.1.2019</t>
  </si>
  <si>
    <t>Československá obchodná banka a.s.</t>
  </si>
  <si>
    <t>0499/15/80226</t>
  </si>
  <si>
    <t>0840/14/80226</t>
  </si>
  <si>
    <t xml:space="preserve">Tatrabanka a.s. </t>
  </si>
  <si>
    <t>S01545/2014</t>
  </si>
  <si>
    <t>31.1.2015</t>
  </si>
  <si>
    <t>S02531/2015</t>
  </si>
  <si>
    <t>29.1.2016</t>
  </si>
  <si>
    <t>Slovenská záručná a rozvojová banka</t>
  </si>
  <si>
    <t>282917-2017</t>
  </si>
  <si>
    <t>21.1.2018</t>
  </si>
  <si>
    <t>Príloha č. 15</t>
  </si>
  <si>
    <t>počet obyvateľov k 31.12.</t>
  </si>
  <si>
    <t>Dlhová služba v tis. €</t>
  </si>
  <si>
    <t>Dlhová služba na 1 obyvateľa v €</t>
  </si>
  <si>
    <t>Bežné príjmy v tis. €</t>
  </si>
  <si>
    <t>Podiel dlhu na bežných príjmoch predchádzajúceho roka*</t>
  </si>
  <si>
    <t>Splátky úverov a úrokov v tis. €</t>
  </si>
  <si>
    <t>Bežné príjmy v tis. € znížené o prostriedky z iných rozpočtov (platí od 2017)</t>
  </si>
  <si>
    <t>Podiel splátok úverov a úrokov na bežných príjmoch predch.roka **</t>
  </si>
  <si>
    <t xml:space="preserve">a)   celková suma dlhu ku koncu rozpočtového roka neprekročí 60% skutočných bežných príjmov predchádzajúceho rozpočtového roka a </t>
  </si>
  <si>
    <t>Príloha č.16</t>
  </si>
  <si>
    <t>Schválený rozpočet</t>
  </si>
  <si>
    <t xml:space="preserve">Upravený rozpočet </t>
  </si>
  <si>
    <t>Plnenie</t>
  </si>
  <si>
    <t>Bežné výdavky</t>
  </si>
  <si>
    <t>01</t>
  </si>
  <si>
    <t>Všeobecné verejné služby</t>
  </si>
  <si>
    <t>01.1.1.</t>
  </si>
  <si>
    <t>Obce</t>
  </si>
  <si>
    <t>01.1.2.</t>
  </si>
  <si>
    <t>Finančná a rozpočtová oblasť</t>
  </si>
  <si>
    <t>01.7.0.</t>
  </si>
  <si>
    <t>Transakcia verejného dlhu</t>
  </si>
  <si>
    <t>01.3.3.</t>
  </si>
  <si>
    <t>Iné všeobecné služby</t>
  </si>
  <si>
    <t>02</t>
  </si>
  <si>
    <t>Obrana</t>
  </si>
  <si>
    <t>02.2.0.</t>
  </si>
  <si>
    <t>Civilná obrana</t>
  </si>
  <si>
    <t>03</t>
  </si>
  <si>
    <t>Verejný poriadok</t>
  </si>
  <si>
    <t>03.1.0.</t>
  </si>
  <si>
    <t>Policajné služby</t>
  </si>
  <si>
    <t>03.2.0.</t>
  </si>
  <si>
    <t>Ochrana pred požiarmi</t>
  </si>
  <si>
    <t>04</t>
  </si>
  <si>
    <t>Ekonomická oblasť</t>
  </si>
  <si>
    <t>04.2.2.</t>
  </si>
  <si>
    <t>Lesníctvo</t>
  </si>
  <si>
    <t>04.4.3.</t>
  </si>
  <si>
    <t>Výstavba</t>
  </si>
  <si>
    <t>04.5.1.</t>
  </si>
  <si>
    <t>Správa a údržba ciest</t>
  </si>
  <si>
    <t>04.7.3.</t>
  </si>
  <si>
    <t>Cestovný ruch</t>
  </si>
  <si>
    <t>05</t>
  </si>
  <si>
    <t>Ochrana životného prostredia</t>
  </si>
  <si>
    <t>05.1.0.</t>
  </si>
  <si>
    <t>Nakladanie s odpadmi</t>
  </si>
  <si>
    <t>05.6.0.</t>
  </si>
  <si>
    <t>Ochrana ŽP inde neklasifikovaná</t>
  </si>
  <si>
    <t>06</t>
  </si>
  <si>
    <t>Bývanie a občianska vybavenosť</t>
  </si>
  <si>
    <t>06.1.0.</t>
  </si>
  <si>
    <t>Rozvoj bývania</t>
  </si>
  <si>
    <t>06.2.0.</t>
  </si>
  <si>
    <t>Rozvoj obcí</t>
  </si>
  <si>
    <t>06.4.0.</t>
  </si>
  <si>
    <t>Verejné osvetlenie</t>
  </si>
  <si>
    <t>06.6.0.</t>
  </si>
  <si>
    <t>08</t>
  </si>
  <si>
    <t>Rekreácia, kultúra, náboženstvo</t>
  </si>
  <si>
    <t>08.1.0.</t>
  </si>
  <si>
    <t>Rekreačné a športové služby</t>
  </si>
  <si>
    <t>08.2.0.</t>
  </si>
  <si>
    <t>Ostatné kultúrne služby</t>
  </si>
  <si>
    <t>08.3.0.</t>
  </si>
  <si>
    <t>TV vysielanie, hlásnik</t>
  </si>
  <si>
    <t>08.4.0.</t>
  </si>
  <si>
    <t>Obradné siene + náboženstvo</t>
  </si>
  <si>
    <t>09</t>
  </si>
  <si>
    <t>Vzdelávanie</t>
  </si>
  <si>
    <t>09.1.1.1.</t>
  </si>
  <si>
    <t>Predškolská výchova s bežnou starostl.</t>
  </si>
  <si>
    <t>09.1.2.1.</t>
  </si>
  <si>
    <t>Základné vzdelanie s bežnou starostl.</t>
  </si>
  <si>
    <t>09.2.1.1.</t>
  </si>
  <si>
    <t>Nižšie sekundárne vzdelávanie s bežnou starostlivosťou</t>
  </si>
  <si>
    <t>09.5.0.</t>
  </si>
  <si>
    <t>Vzdelávanie nedef.podľa úrovne</t>
  </si>
  <si>
    <t>09.6.0.</t>
  </si>
  <si>
    <t>Školské stravovanie</t>
  </si>
  <si>
    <t>09.6.0.1.</t>
  </si>
  <si>
    <t>09.6.0.2.</t>
  </si>
  <si>
    <t>Školské stravovanie I.stupeň</t>
  </si>
  <si>
    <t>09.6.0.3.</t>
  </si>
  <si>
    <t>Školské stravovanie II.stupeň</t>
  </si>
  <si>
    <t>09.8.0.</t>
  </si>
  <si>
    <t>Vzdelávanie inde neklasifikované</t>
  </si>
  <si>
    <t>Sociálne zabezpečenie</t>
  </si>
  <si>
    <t>10.1.2.</t>
  </si>
  <si>
    <t>Ďalšie sociálne služby -inval.a ŤZP</t>
  </si>
  <si>
    <t>10.2.0.</t>
  </si>
  <si>
    <t>Zariadenia sociálnych služieb</t>
  </si>
  <si>
    <t>10.4.0.</t>
  </si>
  <si>
    <t>Rodina a deti</t>
  </si>
  <si>
    <t>10.7.0.</t>
  </si>
  <si>
    <t>Soc.pomoc občanom v hm.a soc.núdzi</t>
  </si>
  <si>
    <t>10.9.0.</t>
  </si>
  <si>
    <t>Soc.zabezpečenie inde neklas.</t>
  </si>
  <si>
    <t>Príloha č.17</t>
  </si>
  <si>
    <t>Kapitálové výdavky</t>
  </si>
  <si>
    <t>Múzeá a galérie</t>
  </si>
  <si>
    <t>Obradné siene + nábož.</t>
  </si>
  <si>
    <t>10</t>
  </si>
  <si>
    <t>Invalidita a ťažké zdravotné postihnutie</t>
  </si>
  <si>
    <t>Príloha č.18</t>
  </si>
  <si>
    <t>Mzdy, platy, služobné príjmy  a ostatné osobné vyrovnania</t>
  </si>
  <si>
    <t xml:space="preserve">Poistné a príspevok do poisťovní </t>
  </si>
  <si>
    <t>Tovary a služby</t>
  </si>
  <si>
    <t>Cestovné náhrady</t>
  </si>
  <si>
    <t>Energie, voda a komunikácie</t>
  </si>
  <si>
    <t>Materiál</t>
  </si>
  <si>
    <t>Dopravné</t>
  </si>
  <si>
    <t>Rutinná a štandardná údržba</t>
  </si>
  <si>
    <t>Nájomné za nájom</t>
  </si>
  <si>
    <t>Služby</t>
  </si>
  <si>
    <t>Bežné transfery</t>
  </si>
  <si>
    <t>Splácanie úrokov</t>
  </si>
  <si>
    <t>Obstarávanie kapitálových aktív</t>
  </si>
  <si>
    <t>Nákup pozemkov a nehm.aktív</t>
  </si>
  <si>
    <t>Nákup budov, objektov alebo ich častí</t>
  </si>
  <si>
    <t>Nákup strojov, prístrojov, zariadení, techniky a náradia</t>
  </si>
  <si>
    <t>nákup dopravných prostriedkov</t>
  </si>
  <si>
    <t>prípravná a projektová dokumentácia</t>
  </si>
  <si>
    <t>Realizácia stavieb a ich tech.zhodnotenia</t>
  </si>
  <si>
    <t>Kapitálové transfery</t>
  </si>
  <si>
    <t>Príloha č.19</t>
  </si>
  <si>
    <t>Príjmové operácie spolu</t>
  </si>
  <si>
    <t>Výdavkové operácie spolu</t>
  </si>
  <si>
    <t>Splácanie tuzemskej istiny -  z bankových úverov dlhodobých</t>
  </si>
  <si>
    <t>Splácanie tuzemskej istiny -  z ostatných úverov, pôžičiek a finančných výpomocí dlhodobých</t>
  </si>
  <si>
    <t>Príloha č. 20</t>
  </si>
  <si>
    <t>Pedagogickí zamestnanci</t>
  </si>
  <si>
    <t>Odborní zamestnanci</t>
  </si>
  <si>
    <t>Vychovávatelia</t>
  </si>
  <si>
    <t>Nepedagogickí zamestnanci</t>
  </si>
  <si>
    <t>Zamestnanci školskej jedálne</t>
  </si>
  <si>
    <t>Spolu zamestnancov</t>
  </si>
  <si>
    <t>ZŠ Bezručova</t>
  </si>
  <si>
    <t>ZŠ Dlhé Hony</t>
  </si>
  <si>
    <t>ZŠ Hodžova</t>
  </si>
  <si>
    <t>ZŠ Kubranská</t>
  </si>
  <si>
    <t>ZŠ Na dolinách</t>
  </si>
  <si>
    <t>ZŠ Novomeského</t>
  </si>
  <si>
    <t>ZŠ Východná</t>
  </si>
  <si>
    <t>ZŠ Veľkomoravská</t>
  </si>
  <si>
    <t>ZUŠ</t>
  </si>
  <si>
    <t>CVČ</t>
  </si>
  <si>
    <t>Príloha č.21</t>
  </si>
  <si>
    <t>škola/trieda</t>
  </si>
  <si>
    <t>5. - 9.r.</t>
  </si>
  <si>
    <t>spolu žiakov školy</t>
  </si>
  <si>
    <t>počet tried</t>
  </si>
  <si>
    <t xml:space="preserve">ŠKD              </t>
  </si>
  <si>
    <t>integro-     vaní žiaci</t>
  </si>
  <si>
    <t>SZP</t>
  </si>
  <si>
    <t>Bezručova</t>
  </si>
  <si>
    <t>Dlhé Hony</t>
  </si>
  <si>
    <t>Hodžova</t>
  </si>
  <si>
    <t>Kubranská</t>
  </si>
  <si>
    <t>Na dolinách</t>
  </si>
  <si>
    <t>Novomeského</t>
  </si>
  <si>
    <t>Veľkomoravská</t>
  </si>
  <si>
    <t>Východná</t>
  </si>
  <si>
    <t>Spolu žiakov v ročníku</t>
  </si>
  <si>
    <t>Počet tried</t>
  </si>
  <si>
    <t>Príloha č.22</t>
  </si>
  <si>
    <t>Rozpočtové organizácie v zriaďovateľskej pôsobnosti Mesta Trenčín:</t>
  </si>
  <si>
    <t>Dátum vzniku:</t>
  </si>
  <si>
    <t>Mestské hospodárstvo a správa lesov, Soblahovská 65, Trenčín</t>
  </si>
  <si>
    <t>Sociálne služby mesta Trenčín, Piaristická 42, Trenčín</t>
  </si>
  <si>
    <t>Základná umelecká škola Karola Pádivého, Nám.SNP 2, Trenčín</t>
  </si>
  <si>
    <t>Príloha č. 23</t>
  </si>
  <si>
    <t>Číslo riadku</t>
  </si>
  <si>
    <t>Ukazovateľ (hlavná kategória ekonomickej klasifikácie)</t>
  </si>
  <si>
    <t>PRÍJMY (100+200+300) a príjmové finančné operácie (400+500)</t>
  </si>
  <si>
    <t>Daňové príjmy (100)</t>
  </si>
  <si>
    <t>Nedaňové príjmy (200)</t>
  </si>
  <si>
    <t>Granty a transfery (300)</t>
  </si>
  <si>
    <t>Príjmové finančné operácie (400+500)</t>
  </si>
  <si>
    <t xml:space="preserve"> - príjmy z transakcií s finančnými aktívami a finančnými pasívami (400)</t>
  </si>
  <si>
    <t xml:space="preserve"> - prijaté úvery, pôžičky a návratné finančné výpomoci (500)</t>
  </si>
  <si>
    <t>VÝDAVKY (600+700) a výdavkové finančné operácie (800)</t>
  </si>
  <si>
    <t>Bežné výdavky (600)</t>
  </si>
  <si>
    <t>Kapitálové výdavky (700)</t>
  </si>
  <si>
    <t>Výdavkové finančné operácie (800)</t>
  </si>
  <si>
    <t>Prebytok (+)/schodok (-) (r.1-r.8)</t>
  </si>
  <si>
    <t>Prebytok (+)/schodok (-) po vylučení príjmových a výdavkových finančných operácií  (r.1 - r.5 - r.8 + r.11)</t>
  </si>
  <si>
    <t>Zmena stavu vybraných pohľadávok (+,-) (r.15 - r.16)</t>
  </si>
  <si>
    <t>Zmena stavu vybraných záväzkov (+,-) (r.19 - r.18)</t>
  </si>
  <si>
    <t>Zahrnutie položiek časového rozlíšenia (r.14 + r.17)</t>
  </si>
  <si>
    <t>Prebytok (+)/schodok (-) v metodike ESA 2010 (r.13 + r.20)</t>
  </si>
  <si>
    <t xml:space="preserve">V súlade s § 4, ods. 7 zákona č. 583/2004 o rozpočtových pravidlách územnej samosprávy v znení neskorších predpisov sa pre potreby vyčíslenia schodku rozpočtu obce alebo prebytku rozpočtu obce ako subjektu verejnej správy uplatňuje jednotná metodika platná pre Európsku úniu. </t>
  </si>
  <si>
    <t xml:space="preserve">Európsky systém národných a regionálnych účtov ESA 2010 je najnovší medzinárodne porovnateľný účtovný rámec EÚ pre systematický a podrobný opis ekonomiky. Je implementovaný od 1. septembra 2014 a prenos údajov z členských štátov do Eurostatu po tomto dátume sa riadi pravidlami Programu zasielania údajov ESA 2010. Štruktúra ESA 2010 je konzistentná s celosvetovými usmerneniami o národnom účtovníctve stanovenými v metodike pre systém národných účtov 2008 (SNA 2008), s výnimkou určitých rozdielov v prezentácii a vysokého stupňa presnosti niektorých pojmov ESA 2010, ktoré sa používajú na špecifické účely EÚ. </t>
  </si>
  <si>
    <t>Postup pre výpočet výsledku hospodárenia  v metodike ESA 2010 je uvedený na stránke Ministerstva financií SR.</t>
  </si>
  <si>
    <t>312 001: transfer</t>
  </si>
  <si>
    <t>536/CC/19</t>
  </si>
  <si>
    <t>31.1.2020</t>
  </si>
  <si>
    <t>Centrum voľného času, m.r.o.</t>
  </si>
  <si>
    <t xml:space="preserve"> V súlade s § 17, ods. 6 zákona č.583/2004 Z.z. o rozpočtových pravidlách územnej samosprávy a o zmene a doplnení niektorých zákonov v znení neskorších predpisov môže obec na splnenie svojich úloh prijať návratné zdroje financovania len ak:</t>
  </si>
  <si>
    <t>Zostatok prostriedkov z predchádzajúcich rokov</t>
  </si>
  <si>
    <t>2049</t>
  </si>
  <si>
    <t>Príloha č.7</t>
  </si>
  <si>
    <t>Poskytnutá dotácia</t>
  </si>
  <si>
    <t>Kubranská - Aprogén</t>
  </si>
  <si>
    <t>223 001: Za jasle odborné činnosti</t>
  </si>
  <si>
    <t>223 001: Odborné činnosti</t>
  </si>
  <si>
    <t>361/CC/20</t>
  </si>
  <si>
    <t>31.1.2021</t>
  </si>
  <si>
    <t>Staroba</t>
  </si>
  <si>
    <t>Ostatné kapitálové výdavky</t>
  </si>
  <si>
    <t>Bankové úvery</t>
  </si>
  <si>
    <t>Prevod prostriedkov z peňažných fondov</t>
  </si>
  <si>
    <t>Tenisové centrum mládeže Trenčín</t>
  </si>
  <si>
    <t>Tenisový klub AS Trenčín</t>
  </si>
  <si>
    <t>Golfový a športový klub Trenčín</t>
  </si>
  <si>
    <t>Memoriál Jána Cellera</t>
  </si>
  <si>
    <t>Hviezdy deťom</t>
  </si>
  <si>
    <t>Trenčiansky kolkársky klub</t>
  </si>
  <si>
    <t>Súkromná základná škola pre žiakov s autizmom</t>
  </si>
  <si>
    <t>Kanoistický klub TTS Trenčín</t>
  </si>
  <si>
    <t>Tanečný klub AURA DANCE</t>
  </si>
  <si>
    <t>Vzdelávanie nedefinované podľa úrovne</t>
  </si>
  <si>
    <t>717: Realizácia stavieb</t>
  </si>
  <si>
    <t>CPR Trenčín</t>
  </si>
  <si>
    <t>Divadelná Opatová</t>
  </si>
  <si>
    <t>Hospic Milosrdných sestier</t>
  </si>
  <si>
    <t>BAMBULA</t>
  </si>
  <si>
    <t>TRAKT</t>
  </si>
  <si>
    <t>Veselé Zlatovce</t>
  </si>
  <si>
    <t>OZ Amazonky</t>
  </si>
  <si>
    <t>Silnejší - Slabším</t>
  </si>
  <si>
    <t>Centrum nepočujúcich ANEPS Trenčín</t>
  </si>
  <si>
    <t>Okresný úrad Trenčín</t>
  </si>
  <si>
    <t>Úrad práce, sociálnych vecí a rodiny SR</t>
  </si>
  <si>
    <t>Prenesený výkon štátnej správy starostlivosti o životné prostredie</t>
  </si>
  <si>
    <t>Prenesený výkon štátnej správy na úseku miest. účel.komunikácií</t>
  </si>
  <si>
    <t>Prenesený výkon štátnej správy v oblasti stav.poriadku  vr.vyvlast.</t>
  </si>
  <si>
    <t>Ministerstvo vnútra SR</t>
  </si>
  <si>
    <t>Prenesený výkon štátnej správy na úseku vedenia matriky</t>
  </si>
  <si>
    <t>Prenesený výkon štátnej správa na úseku registra adries</t>
  </si>
  <si>
    <t>Prenesený výkon štátnej správy na ús.hlás.pobytu obč.a reg.obyv.SR</t>
  </si>
  <si>
    <t>Prídavky na deti</t>
  </si>
  <si>
    <t>Dobrovoľná požiarna ochrana SR</t>
  </si>
  <si>
    <t>Bežné príjmy, príjmové finančné operácie</t>
  </si>
  <si>
    <t>Program 4.4: Verejné toalety</t>
  </si>
  <si>
    <t>Program 4.5: Prevádzka mestských trhovísk</t>
  </si>
  <si>
    <t>Program 4.7:  Miestne média</t>
  </si>
  <si>
    <t>Program 5.2: Verejné osvetlenie</t>
  </si>
  <si>
    <t>Program 6.2.1:  Správa a údržba pozemných komunikácií</t>
  </si>
  <si>
    <t>Program 8.3.4.: Plavárne</t>
  </si>
  <si>
    <t>Program 8.3.3.: Zimný štadión</t>
  </si>
  <si>
    <t>Program 8.3.5.: Mobilná ľadová plocha</t>
  </si>
  <si>
    <t>Program 8.4. Mobiliár mesta a detské ihriská</t>
  </si>
  <si>
    <t>Program 10.3. Ochrana prostredia pre život</t>
  </si>
  <si>
    <t xml:space="preserve">Program 10.1.: Verejná zeleň </t>
  </si>
  <si>
    <t>Program 10.1.Verejná zeleň - Brezina a Soblahov</t>
  </si>
  <si>
    <t>Program 10.5.: Fontány</t>
  </si>
  <si>
    <t>Program 10.6.: Podporná činnosť</t>
  </si>
  <si>
    <t>Program 11.4.1.: Nocľaháreň</t>
  </si>
  <si>
    <t>Program 11.4.2.: Nízkoprahové denné centrum</t>
  </si>
  <si>
    <t>Program 11.5.2:  Zariadenie pre seniorov</t>
  </si>
  <si>
    <t>Program 11.7.: Terénna opatrovateľská služba</t>
  </si>
  <si>
    <t>Program 11.10.: Prepravná služba</t>
  </si>
  <si>
    <t>Program 11.11.: Manažment SSMT</t>
  </si>
  <si>
    <t>Program 11.6.: Zariadenie opatr. služby</t>
  </si>
  <si>
    <t>Program 7.1.: Materské školy</t>
  </si>
  <si>
    <t>Program 7.4.: Školské jedálne</t>
  </si>
  <si>
    <t>Program 7.2. Základné škola</t>
  </si>
  <si>
    <t>Program 7.4. Školské jedálne</t>
  </si>
  <si>
    <t>Program 7.3. Voľnočasové vzdelávanie</t>
  </si>
  <si>
    <t>Program 7.2.</t>
  </si>
  <si>
    <t>Program 8.3.3. Zimný štadióm</t>
  </si>
  <si>
    <t>713: Nákup strojov...</t>
  </si>
  <si>
    <t xml:space="preserve">717: Realizácia stavieb </t>
  </si>
  <si>
    <t>713: Nákup strojov..</t>
  </si>
  <si>
    <t xml:space="preserve">Štátny fond rozvoja bývania 48 b.j. </t>
  </si>
  <si>
    <t>Štátny fond rozvoja bývania 26 b.j.</t>
  </si>
  <si>
    <t>Badminton klub MI Trenčín</t>
  </si>
  <si>
    <t>Climberg športový klub</t>
  </si>
  <si>
    <t>Kultúrne centrum Opatová</t>
  </si>
  <si>
    <t>Nevyč.dotácia</t>
  </si>
  <si>
    <t>292 019: príjmy z refundácie</t>
  </si>
  <si>
    <t>Pomoc pri osobnej starostlivosti o dieťa</t>
  </si>
  <si>
    <t>Program 11.1.2: Pomoc pri osobnej starostlivosti o dieťa</t>
  </si>
  <si>
    <t>Program 11.1.1: Detské jasle</t>
  </si>
  <si>
    <t>Vzpieračský klub KOFI Trenčín</t>
  </si>
  <si>
    <t>Ipčko</t>
  </si>
  <si>
    <t>Trenčín inline</t>
  </si>
  <si>
    <t>LUAN občianske združenie</t>
  </si>
  <si>
    <t>Občianske združenie Honkadori Dojo Trenčín</t>
  </si>
  <si>
    <t>Športové lezenie Trenčín</t>
  </si>
  <si>
    <t>AUTIS o.z.</t>
  </si>
  <si>
    <t>Basketbalový klub Trenčín</t>
  </si>
  <si>
    <t>Trenčiansky futbalový klub 1939 Záblatie</t>
  </si>
  <si>
    <t>Hantákov memoriál</t>
  </si>
  <si>
    <t>Night run Trenčín</t>
  </si>
  <si>
    <t>Projekt Ostrov</t>
  </si>
  <si>
    <t>Dychová hudba Textilanka</t>
  </si>
  <si>
    <t>Trenčiansky spevácky zbor</t>
  </si>
  <si>
    <t>Trenčan, folklórny súbor Gymnázia Ľ.Štúra</t>
  </si>
  <si>
    <t>Trenčianska nadácia</t>
  </si>
  <si>
    <t>Materiálne zabezpečenie na chod a činnosť súborov Musica Poetica a Fistulatoris consort</t>
  </si>
  <si>
    <t>Zväz diabetikov Slovenska - ZO DIAVIA Trenčín</t>
  </si>
  <si>
    <t>Materské centrum SRDIEČKO</t>
  </si>
  <si>
    <t>716: Projektová dokumentácia</t>
  </si>
  <si>
    <t>01.6.0.</t>
  </si>
  <si>
    <t>Všeobecné verejné služby inde neklasifikované</t>
  </si>
  <si>
    <t>Škola v prírode</t>
  </si>
  <si>
    <t>Lyžiarsky kurz</t>
  </si>
  <si>
    <t>Jazykový kurz - Ukrajina</t>
  </si>
  <si>
    <t>Podpora integrácie žiakov z Ukrajiny</t>
  </si>
  <si>
    <t>Zabezpečenie akcieschopnosti  DHZO Trenčín-Opatová</t>
  </si>
  <si>
    <t>Zabezpečenie akcieschopnosti  DHZO Trenčín-Záblatie</t>
  </si>
  <si>
    <t>Nadácia EPH</t>
  </si>
  <si>
    <t>Fond na podporu športu</t>
  </si>
  <si>
    <t>Príloha č.14</t>
  </si>
  <si>
    <t>k 31.12.2023</t>
  </si>
  <si>
    <t>07</t>
  </si>
  <si>
    <t>07.2.1.</t>
  </si>
  <si>
    <t>Zdravotníctvo</t>
  </si>
  <si>
    <t>Všeobecná zdravotná starostlivosť</t>
  </si>
  <si>
    <t>223 001: Obslužné činnosti - upratovanie, pranie, žehlenie</t>
  </si>
  <si>
    <t>Rozvoz stravy</t>
  </si>
  <si>
    <t>212 004: Z prenajatých strojov, prístrojov, zariadení, techniky a náradia</t>
  </si>
  <si>
    <t>223 004: Za prebytočný hnuteľný majetok</t>
  </si>
  <si>
    <t>229 012: Z dobropisov</t>
  </si>
  <si>
    <t>312: Granty</t>
  </si>
  <si>
    <t>DIVO občasné združenie</t>
  </si>
  <si>
    <t>Elite Fight Promotion Trenčín</t>
  </si>
  <si>
    <t>Športový klub Real team Trenčín</t>
  </si>
  <si>
    <t>Športový klub Dračia Légia</t>
  </si>
  <si>
    <t>Karate klub Ekonóm Trenčín</t>
  </si>
  <si>
    <t>Tanečný klub Dukla Trenčín</t>
  </si>
  <si>
    <t>Dračia légia</t>
  </si>
  <si>
    <t>Kraso Trenčín</t>
  </si>
  <si>
    <t>Vzdelávacie centrum KRTKO a jeho kamaráti</t>
  </si>
  <si>
    <t>Šachový klub Trenčín</t>
  </si>
  <si>
    <t>Enduro cup stred</t>
  </si>
  <si>
    <t>Sportkemp o.z.</t>
  </si>
  <si>
    <t>Trenčiansky triatlon</t>
  </si>
  <si>
    <t>Pohyb je pre každého</t>
  </si>
  <si>
    <t>AS Trenčín, a.s.</t>
  </si>
  <si>
    <t>LCC Fight Night</t>
  </si>
  <si>
    <t>Spoločnosť Downovho syndrómu na Slovensku</t>
  </si>
  <si>
    <t>UNIPLÁŽ o.z.</t>
  </si>
  <si>
    <t>Spojená škola internátna</t>
  </si>
  <si>
    <t>Letná atletická paralympiáda</t>
  </si>
  <si>
    <t>Basketbal na kolesách</t>
  </si>
  <si>
    <t>Trenčania pre Trenčín</t>
  </si>
  <si>
    <t>Folklórny súbor Nadšenci</t>
  </si>
  <si>
    <t>Dogma Divadlo</t>
  </si>
  <si>
    <t>Silnejší slabším o.z.</t>
  </si>
  <si>
    <t>Občianske združenie Naše Záblatie</t>
  </si>
  <si>
    <t>Folklórny súbor Družba</t>
  </si>
  <si>
    <t>Džamál</t>
  </si>
  <si>
    <t>Slovenské tango - hudobný fenomén</t>
  </si>
  <si>
    <t>Okresná prehliadka speváckych seniorských skupín</t>
  </si>
  <si>
    <t>Otvor srdce, daruj knihu</t>
  </si>
  <si>
    <t>Bella (a) cappella</t>
  </si>
  <si>
    <t>Festival dychových hudieb Okolo Trenčína</t>
  </si>
  <si>
    <t>AUTIS</t>
  </si>
  <si>
    <t>Finančné zabezpečenie ročného plánu činnosti ZO 02 JDS Trenčín</t>
  </si>
  <si>
    <t>Liga proti reumatizmu - Miestna pobočka Trenčín</t>
  </si>
  <si>
    <t>Marcus SK</t>
  </si>
  <si>
    <t>Asociácia zväzov zdravotne postihnutých v Trenčíne</t>
  </si>
  <si>
    <t>Trenčín Na ceste o.z.</t>
  </si>
  <si>
    <t>Trenčianske dobrovoľnícke centrum o.z.</t>
  </si>
  <si>
    <t>Združenie rodičov ZŠ Dlhé Hony</t>
  </si>
  <si>
    <t>Občianske združenie MŠ Dúha</t>
  </si>
  <si>
    <t>Rodičovské združenie pri ZUŠ Trenčín</t>
  </si>
  <si>
    <t>Občianske združenie Komenský</t>
  </si>
  <si>
    <t>Akadémia tretieho veku Trenčín</t>
  </si>
  <si>
    <t>Účasť na majetku</t>
  </si>
  <si>
    <t>Poskytovateľ úveru</t>
  </si>
  <si>
    <t>482/CC/22</t>
  </si>
  <si>
    <t>0248/23/80226</t>
  </si>
  <si>
    <t xml:space="preserve">dodatok č.1  </t>
  </si>
  <si>
    <t>v roku 2023</t>
  </si>
  <si>
    <t>Ministerstvo kultúry SR</t>
  </si>
  <si>
    <t>Revitalizácia vnútrobloku Pádivec</t>
  </si>
  <si>
    <r>
      <t>b) suma splátok návratných zdrojov financovania, vrátane úhrady výnosov a suma splátok záväzkov z investičných dodávateľských úverov</t>
    </r>
    <r>
      <rPr>
        <vertAlign val="superscript"/>
        <sz val="8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 xml:space="preserve">neprekročí v príslušnom rozpočtovom roku 25% skutočných bežných príjmov predchádzajúceho rozpočtového roka znížených o prostriedky poskytnuté v príslušnom rozpočtovom roku obci alebo vyššiemu územnému celku z rozpočtu iného subjektu verejnej správy, prostriedky poskytnuté z Európskej únie a iné prostriedky zo zahraničia alebo prostriedky získané na základe osobitného predpisu. </t>
    </r>
  </si>
  <si>
    <t>EP, Potočná 86 ako súčasť ZŠ, Kubranská 80</t>
  </si>
  <si>
    <r>
      <t xml:space="preserve">ŠKD - 1 933 žiakov - </t>
    </r>
    <r>
      <rPr>
        <b/>
        <u/>
        <sz val="10"/>
        <rFont val="Arial"/>
        <family val="2"/>
        <charset val="238"/>
      </rPr>
      <t>o 161 detí viac ako vlani</t>
    </r>
  </si>
  <si>
    <r>
      <t xml:space="preserve">Stav vybraných pohľadávok  </t>
    </r>
    <r>
      <rPr>
        <sz val="8"/>
        <color rgb="FF000000"/>
        <rFont val="Arial"/>
        <family val="2"/>
        <charset val="238"/>
      </rPr>
      <t>ku koncu sledovaného obdobia</t>
    </r>
  </si>
  <si>
    <r>
      <t xml:space="preserve">Stav vybraných pohľadávok  </t>
    </r>
    <r>
      <rPr>
        <sz val="8"/>
        <color rgb="FF000000"/>
        <rFont val="Arial"/>
        <family val="2"/>
        <charset val="238"/>
      </rPr>
      <t>k 31.12. predchádzajúceho obdobia</t>
    </r>
  </si>
  <si>
    <r>
      <t xml:space="preserve">Stav vybraných záväzkov  </t>
    </r>
    <r>
      <rPr>
        <sz val="8"/>
        <color rgb="FF000000"/>
        <rFont val="Arial"/>
        <family val="2"/>
        <charset val="238"/>
      </rPr>
      <t>ku koncu sledovaného obdobia</t>
    </r>
  </si>
  <si>
    <r>
      <t xml:space="preserve">Stav vybraných záväzkov </t>
    </r>
    <r>
      <rPr>
        <sz val="8"/>
        <color rgb="FF000000"/>
        <rFont val="Arial"/>
        <family val="2"/>
        <charset val="238"/>
      </rPr>
      <t>k 31.12. predchádzajúceho obdobia</t>
    </r>
  </si>
  <si>
    <t>Národný inštitút vzdelávania a mládeže</t>
  </si>
  <si>
    <t>Ministerstvo investícií, regionálneho rozvoja a informatizácie SR</t>
  </si>
  <si>
    <t>Program 8.3.3. Zimný štadión</t>
  </si>
  <si>
    <t>Environmentálny fond</t>
  </si>
  <si>
    <t>Mesto Trenčín nemalo v roku 2024 zriadené príspevkové organizácie</t>
  </si>
  <si>
    <t>Súvaha Mesta Trenčín a mestských rozpočtových organizácií mesta  k 31.12.2024</t>
  </si>
  <si>
    <t>Prijaté bežné dotácie v roku 2024</t>
  </si>
  <si>
    <t>Dotácia na úhradu cestovných nákladov žiakov</t>
  </si>
  <si>
    <t>Dotácia na osobné náklady asistentov učiteľov</t>
  </si>
  <si>
    <t>Dotácia na vzdelávacie poukazy</t>
  </si>
  <si>
    <t>Dotácia na prenesené kompetencie - odchodné</t>
  </si>
  <si>
    <t>Dotácia na prenesené kompetencie - odstupné</t>
  </si>
  <si>
    <t>Dotácia na prenesené kompetencie - odmeny učiteľom</t>
  </si>
  <si>
    <t>Dotácia na učebnice</t>
  </si>
  <si>
    <t>Finančné prostriedky na výchovu a vzdelávanie pre materské školy</t>
  </si>
  <si>
    <t>Prenesený výkon štátnej správy - školský úrad</t>
  </si>
  <si>
    <t>Mimoriadne výsledky žiakov</t>
  </si>
  <si>
    <t>Príspevok na špecifiká - digitálne technológie</t>
  </si>
  <si>
    <t>Profesijný rozvoj</t>
  </si>
  <si>
    <t>Dotácia na školské potreby pre deti v hmotnej núdzi</t>
  </si>
  <si>
    <t>Príspevok na stravovanie (obedy zadarmo)</t>
  </si>
  <si>
    <t>Príspevok na podporné opatrenia</t>
  </si>
  <si>
    <t>Navýšenie odvodov do zdravotných poisťovní</t>
  </si>
  <si>
    <t>Na pedagogického asistenta</t>
  </si>
  <si>
    <t>Dotácia na zabezpečenie starostlivosti o vojnové hroby</t>
  </si>
  <si>
    <t>Dotácia na obnovu kamenných prvkov pamätníka Brezina</t>
  </si>
  <si>
    <t>Dotácia na obnovu kultúrnej pamiatky - Cintorín vojnový a kaplnka pohrebná v meste Trenčín</t>
  </si>
  <si>
    <t xml:space="preserve">Príspevok za ubytovanie odídenca </t>
  </si>
  <si>
    <t>Prenesený výkon štátnej správy ŠFRB</t>
  </si>
  <si>
    <t>Dotácia na financovanie soc.služby v zariadení  sociálnych služieb</t>
  </si>
  <si>
    <t>Zvýšenie úrovne informačnej a kybernetickej bezpečnosti mesta Trenčín</t>
  </si>
  <si>
    <t>Finančný príspevok na výsadbu cibuľovín a dodávku kvetov</t>
  </si>
  <si>
    <t>Nadácia SPP</t>
  </si>
  <si>
    <t>Finančný príspevok na projekt "Zeleň, na ktorej mi záleží"</t>
  </si>
  <si>
    <t>Dotácia na krytie výdavkov súvisiacich s výpadkom dane z príjmov FO</t>
  </si>
  <si>
    <t>Prijaté kapitálové dotácie v roku 2024</t>
  </si>
  <si>
    <t>Podpora sociálnych služieb poskytovaných v zariadení na komunitnej báze v meste Trenčín</t>
  </si>
  <si>
    <t>Centrum kultúrno-kreatívneho potenciálu Hviezda</t>
  </si>
  <si>
    <t>Revitalizácia verejného priestoru Považská</t>
  </si>
  <si>
    <t>Zvýšenie mestskej mobility budovaním siete cyklistickej infraštruktúry v Trenčíne: Cyklotrasa Brnianska ul. 1.etapa</t>
  </si>
  <si>
    <t>Ministerstvo dopravy a výstavby SR</t>
  </si>
  <si>
    <t>Revitalizácia pešej zóny: Hviezdoslavova - Jaselská - Vajanského - Sládkovičova</t>
  </si>
  <si>
    <t>Ul. 1. mája - projektová dokumentácia</t>
  </si>
  <si>
    <t>Projekt Budovanie mesta s prehľadným systémom investícií Hackathon</t>
  </si>
  <si>
    <t xml:space="preserve">Výmena polubovej padlahy a mobilných tribún </t>
  </si>
  <si>
    <t>POČTY ŽIAKOV A TRIED V ROČNÍKOCH V ZŠ K 15. 09. 2024</t>
  </si>
  <si>
    <t>stav k 15.9.2024</t>
  </si>
  <si>
    <t>Stav 15.9.2024</t>
  </si>
  <si>
    <t>Základná škola, Dlhé Hony 1, Trenčín</t>
  </si>
  <si>
    <t>Základná škola, Veľkomoravská 12, Trenčín</t>
  </si>
  <si>
    <t>Základná škola, Bezručova 66, Trenčín</t>
  </si>
  <si>
    <t>Základná škola, Hodžova 37, Trenčín</t>
  </si>
  <si>
    <t>Základná škola, Východná 9, Trenčín</t>
  </si>
  <si>
    <t>Základná škola, Na dolinách 27, Trenčín</t>
  </si>
  <si>
    <t>Základná škola, Kubranská 80, Trenčín</t>
  </si>
  <si>
    <t>Materská škola, Šafárikova 11, Trenčín</t>
  </si>
  <si>
    <t>Centrum voľného času Trenčín, Východná 9, Trenčín</t>
  </si>
  <si>
    <t>Základná škola, L. Novomeského 11, Trenčín</t>
  </si>
  <si>
    <t>Školské zariadenia mesta Trenčín, Mládežnícka 4, Trenčín</t>
  </si>
  <si>
    <t>292 017: Z vratiek</t>
  </si>
  <si>
    <t>Program 7.2. Základná škola</t>
  </si>
  <si>
    <t>713: Nákup strojov</t>
  </si>
  <si>
    <t>713: Nákup strojov, prístrojov, zariadení, techniky a náradia</t>
  </si>
  <si>
    <t>Gevorg Tennis club</t>
  </si>
  <si>
    <t>GK Pavlo s.r.o.</t>
  </si>
  <si>
    <t>Športová akadémia Trenčín</t>
  </si>
  <si>
    <t>Tanečný klub DUKLA Trenčín</t>
  </si>
  <si>
    <t>Dračia légia Trenčín</t>
  </si>
  <si>
    <t>Horolezecký klub JAMES Trenčín</t>
  </si>
  <si>
    <t>Jednota Sokol Trenčín</t>
  </si>
  <si>
    <t>Telovýchovná jednosta ŠTADIÓN</t>
  </si>
  <si>
    <t>Otužilci a zimní plavci Trenčianske tulene</t>
  </si>
  <si>
    <t>UNITY Academy</t>
  </si>
  <si>
    <t>Stolnotenisový klub KERAMING</t>
  </si>
  <si>
    <t>JUDO Club Trenčín</t>
  </si>
  <si>
    <t>Slávia Trenčín o.z.</t>
  </si>
  <si>
    <t>ILYO - TEAKWONDO Trenčín</t>
  </si>
  <si>
    <t>Laugaricio combat club, o.z.</t>
  </si>
  <si>
    <t>I Ambitions</t>
  </si>
  <si>
    <t>Súkromná základná školo pre žiakov s autizmom</t>
  </si>
  <si>
    <t>Slovenský skauting, o.z.</t>
  </si>
  <si>
    <t>DIVO</t>
  </si>
  <si>
    <t>Camp na sebarozvoj DASATO</t>
  </si>
  <si>
    <t>Florbalový turnaj - slabší bodujú</t>
  </si>
  <si>
    <t>Rád sa hýbem - som autista</t>
  </si>
  <si>
    <t>Kurz prežitia v prírode</t>
  </si>
  <si>
    <t>DRA-VEC dramatická divadelná vec</t>
  </si>
  <si>
    <t>Sila mladosti: Inklúzia a športové aktivity v Trenčíne</t>
  </si>
  <si>
    <t>(NE)VYPOČUTÍ V KÁČKO TRENČÍN</t>
  </si>
  <si>
    <t>Cyklo DIVOčiny 2024</t>
  </si>
  <si>
    <t>RoZOHRANIE</t>
  </si>
  <si>
    <t>Klub orientačného behu Sokol Pezinok</t>
  </si>
  <si>
    <t>KC Sihoť</t>
  </si>
  <si>
    <t>Telovýchovná jednota Štadión Trenčín</t>
  </si>
  <si>
    <t>Hokejový klub Dukla Trenčín n.o.</t>
  </si>
  <si>
    <t>Professional Muaythai League</t>
  </si>
  <si>
    <t>Občianske združenie Kolotoč pri CVČ</t>
  </si>
  <si>
    <t>Motoclub Baláž</t>
  </si>
  <si>
    <t>Joga v škole o.z.</t>
  </si>
  <si>
    <t>Dobrovoľný hasičský zbor Trenčín- Opatová</t>
  </si>
  <si>
    <t>Centrum včasnej intervencie Trenčín</t>
  </si>
  <si>
    <t>Buď lepší o.z.</t>
  </si>
  <si>
    <t>Zaži Trenčín</t>
  </si>
  <si>
    <t>Vrchárska koruna Trenčianska o.z.</t>
  </si>
  <si>
    <t>Trenčiansky plavecký oddiel</t>
  </si>
  <si>
    <t>Stolnotenisový klub Keraming Trenčín</t>
  </si>
  <si>
    <t>Športový klub Real team Trenčín o.z.</t>
  </si>
  <si>
    <t>Športový klub polície v Trenčíne</t>
  </si>
  <si>
    <t>ŠK Dračia légia 2012 Trenčín</t>
  </si>
  <si>
    <t>Sport Pole Dance Federation SLOVAKIA</t>
  </si>
  <si>
    <t>UNIPLÁŽ, o.z.</t>
  </si>
  <si>
    <t>Korčuľko</t>
  </si>
  <si>
    <t>Pro Sport Team</t>
  </si>
  <si>
    <t>Trenčianska bežecká liga 2024 - 10.ročník</t>
  </si>
  <si>
    <t>Športovo-golfová olympiáda v Hoss Sport Center Trenčín 2024</t>
  </si>
  <si>
    <t>Finále detskej celoslovenskej 3x3 Trenčín tour 2024</t>
  </si>
  <si>
    <t>Veľká cena Trenčína v krasokorčulovaní</t>
  </si>
  <si>
    <t>Mikulášsky gól 2024</t>
  </si>
  <si>
    <t>Paddle cup - Prebudenie draka</t>
  </si>
  <si>
    <t>Benefičný beh Pro Autis 12.ročník</t>
  </si>
  <si>
    <t>PML 9</t>
  </si>
  <si>
    <t>Olympijské hviezdičky</t>
  </si>
  <si>
    <t>Medzinárodné motocyklové preteky 2024</t>
  </si>
  <si>
    <t>Piknik v parku</t>
  </si>
  <si>
    <t>Joga pre deti Trenčín</t>
  </si>
  <si>
    <t>Územné kolo hry Plameň</t>
  </si>
  <si>
    <t>Buď lepší - Challenge Day 14.ročník</t>
  </si>
  <si>
    <t>Detská športová olympiáda na Brezine</t>
  </si>
  <si>
    <t>Love Trenčín (24h MTB)</t>
  </si>
  <si>
    <t>10.ročník Trenčín inline 2024</t>
  </si>
  <si>
    <t>Pohár mesta Trenčín</t>
  </si>
  <si>
    <t>XII.ročník Detská športová olympiáda Trenčín 2024</t>
  </si>
  <si>
    <t>Majstrovstvá Slovenska v desiatich tancoch 2024</t>
  </si>
  <si>
    <t>Usporiadanie turnaja o Pohár mesta Trenčín s medzinárodnou účasťou</t>
  </si>
  <si>
    <t>Real Cup Trenčín 2024</t>
  </si>
  <si>
    <t>Hokejbalový turnaj o pohár Sihote 2024</t>
  </si>
  <si>
    <t>Cross Run Opatová 2024</t>
  </si>
  <si>
    <t>Detská lezecká liga - 2.ročník</t>
  </si>
  <si>
    <t>Plavecké preteky Veľká cena primátora mesta Trenčín zdravotne znevýhodnenej mládeže a 7.Majstrovstvá Slovenska v plávaní mládeže s Downovým syndrómom (október/2024)</t>
  </si>
  <si>
    <t>Trenčiansky Ypsilon 8.ročník</t>
  </si>
  <si>
    <t>Majstrovstvá Slovenska Air Power Athletic</t>
  </si>
  <si>
    <t>Veľká cena Trenčína vo fitness detí</t>
  </si>
  <si>
    <t>Medzinárodný futbalový turnaj obcí s názvom Záblatie</t>
  </si>
  <si>
    <t>Turnaj Nike Summer Beach Tour 2024 Slovenskej Volejbalovej Federacie</t>
  </si>
  <si>
    <t>120 rokov futbalu v Trenčíne</t>
  </si>
  <si>
    <t>Trenčín Open 2024</t>
  </si>
  <si>
    <t>Dragonboat grand prix Trenčín 2024</t>
  </si>
  <si>
    <t>Trenčianska regata - 2024</t>
  </si>
  <si>
    <t>Dotácie v oblasti športu a mládeže v roku 2024</t>
  </si>
  <si>
    <t>Dotácie v oblasti športu na činnosť v roku 2024</t>
  </si>
  <si>
    <t>Susan slovakia</t>
  </si>
  <si>
    <t>archiTN</t>
  </si>
  <si>
    <t>Formaat</t>
  </si>
  <si>
    <t>Vandrovka</t>
  </si>
  <si>
    <t>Trenčianske osvetové stredisko v Trenčíne</t>
  </si>
  <si>
    <t>Dni Sihote Trenčín o.z.</t>
  </si>
  <si>
    <t>Kultúrne centrum Kubra</t>
  </si>
  <si>
    <t>Spevokol SIHOTIAR</t>
  </si>
  <si>
    <t>Galéria Miloša Alexandra Bazovského</t>
  </si>
  <si>
    <t>Detský folklorny subor Kornička</t>
  </si>
  <si>
    <t>Klub detí a mládeže TIGRÍKY</t>
  </si>
  <si>
    <t>HAMMER</t>
  </si>
  <si>
    <t>Mgr.art. Zuzana Budinská</t>
  </si>
  <si>
    <t>Hudba má spájať</t>
  </si>
  <si>
    <t>Z prameňa</t>
  </si>
  <si>
    <t>Face2Bass klub</t>
  </si>
  <si>
    <t>Folklórny súbor Úsmev</t>
  </si>
  <si>
    <t>SHUFFLEBEAR</t>
  </si>
  <si>
    <t>Trenčianska jazzová spoločnosť</t>
  </si>
  <si>
    <t>Občianske združenie Trenčania pre Trenčín</t>
  </si>
  <si>
    <t>Občianske združenie Hudobno spevácka FS OPATOVANI</t>
  </si>
  <si>
    <t>Dart club</t>
  </si>
  <si>
    <t>ŠKRUPINKA</t>
  </si>
  <si>
    <t>Kultúrne centrum AKTIVITY</t>
  </si>
  <si>
    <t xml:space="preserve">Moja pieseň </t>
  </si>
  <si>
    <t>CLOVER MEDIA SK</t>
  </si>
  <si>
    <t>ŠKM 1.KULFOZ Slovakia</t>
  </si>
  <si>
    <t>TFZ Stodola</t>
  </si>
  <si>
    <t>Nová vlna</t>
  </si>
  <si>
    <t>OZ Trenčianska jazzová spoločnosť FÉNIX</t>
  </si>
  <si>
    <t>Senior klub Družba Trenčín o.z.</t>
  </si>
  <si>
    <t>Mestské divadlo Trenčín - MDT</t>
  </si>
  <si>
    <t>Piano club</t>
  </si>
  <si>
    <t>Jednota dôchodcov na Slovensku - Okresná organizácia Zamarovce</t>
  </si>
  <si>
    <t>INNO</t>
  </si>
  <si>
    <t>Ing. Katarína Vidal</t>
  </si>
  <si>
    <t>Spoločnosť M.R.Štefánika</t>
  </si>
  <si>
    <t>Lampart</t>
  </si>
  <si>
    <t>Činnosť Dogma Divadlo na rok 2024</t>
  </si>
  <si>
    <t>X-MAS Dance show</t>
  </si>
  <si>
    <t>Propagácia architektúry mesta Trenčín</t>
  </si>
  <si>
    <t>For maat - činnosť v roku 2024</t>
  </si>
  <si>
    <t>Neboj sa remesla 2024</t>
  </si>
  <si>
    <t>Udržiavanie, podpora a rozvoj tradičných remesiel 2024</t>
  </si>
  <si>
    <t>TESTAMENT (hudobno - poetický program)</t>
  </si>
  <si>
    <t>Dni Sihote 2024</t>
  </si>
  <si>
    <t>Veľkonočná a vianočná výstava</t>
  </si>
  <si>
    <t xml:space="preserve">Ručné stavanie mája </t>
  </si>
  <si>
    <t>3.ročník - Prehliadka seniorských speváckych skupín s názvom Hudba a spev korenie života</t>
  </si>
  <si>
    <t>Stretnutie s... 2024</t>
  </si>
  <si>
    <t>Občianske združenie Naše Záblatie Udržiavanie tradícií v mestskej časti Záblatie</t>
  </si>
  <si>
    <t>XII.vianočný benefičný koncert na podporu Hospicu Milosrdných sestier</t>
  </si>
  <si>
    <t>činnosť DFS Kornička 2024</t>
  </si>
  <si>
    <t>25.výročie DFS Kornička</t>
  </si>
  <si>
    <t>Cesta rytmu: premostenie komunít prostredníctvom hudby, tanca a športu</t>
  </si>
  <si>
    <t>prenosné kulisy na tanečné vystúpenia</t>
  </si>
  <si>
    <t xml:space="preserve">bábkové divadlo Marcello </t>
  </si>
  <si>
    <t>Hudba má spájať 2024</t>
  </si>
  <si>
    <t>činnosť FS Trenčan</t>
  </si>
  <si>
    <t>75.výročie založenia FS Trenčan</t>
  </si>
  <si>
    <t>záujmová činnosť speváckeho zboru s cieľom zachovať, rozvíjať a propagovať zborový spev</t>
  </si>
  <si>
    <t>ZUŠKA Trenčanom 2024</t>
  </si>
  <si>
    <t>Yogacamp 202 - festival jogy nielen o joge</t>
  </si>
  <si>
    <t xml:space="preserve">Deň rodiny 2024 </t>
  </si>
  <si>
    <t>Trenčín - V uličkách času - výstava fotografií</t>
  </si>
  <si>
    <t>FestArt Trenčín 2024</t>
  </si>
  <si>
    <t>Bienále lesopark Brezina</t>
  </si>
  <si>
    <t>činnosť TRAKT 2024</t>
  </si>
  <si>
    <t>činnosť FS Nadšenci 2024</t>
  </si>
  <si>
    <t>Zahrajte mi husličky</t>
  </si>
  <si>
    <t>Steps Live Music 2024 - séria 12.eventov s živou hudobnou produkciou</t>
  </si>
  <si>
    <t>XXXI.Trenčiansky jazzový festival</t>
  </si>
  <si>
    <t>30 rokov znie džez pod Trenčianskym hradom</t>
  </si>
  <si>
    <t>Slovenský deň kroja tradície kraja</t>
  </si>
  <si>
    <t>ozvučenie pre potreby občianskeho združenia</t>
  </si>
  <si>
    <t>Ľudová kultúra v trenčianskom regióne</t>
  </si>
  <si>
    <t>Nájom priestorov krojárne a krojové vybavenie</t>
  </si>
  <si>
    <t>Umenie, ktoré spája - činnosť komunitných klubov</t>
  </si>
  <si>
    <t>Ja som dobrý remeselník</t>
  </si>
  <si>
    <t>zachovávanie kultúrnych tradícií a zvyklostí v mestskej časti Zlatovce</t>
  </si>
  <si>
    <t xml:space="preserve">Letný galaprogram </t>
  </si>
  <si>
    <t>Magická Brezina - večerný program</t>
  </si>
  <si>
    <t>70.výročie Folklórneho súboru Družba</t>
  </si>
  <si>
    <t>Činnosť, nájomné a materiálové vybavenie súboru, sústredenie 2024</t>
  </si>
  <si>
    <t>Spolu v Opatovej</t>
  </si>
  <si>
    <t>Hojné požehnanie Vám nesieme</t>
  </si>
  <si>
    <t>Materiálno technické zabezpečenie</t>
  </si>
  <si>
    <t>Výstavy súčasného vizuálneho umenia IX.</t>
  </si>
  <si>
    <t>Roztancujme mesto - relax, tanec, oddychové zóny</t>
  </si>
  <si>
    <t>Vianočný galaprogram tanečného klubu Bambula</t>
  </si>
  <si>
    <t>Jazz za železnou oponou</t>
  </si>
  <si>
    <t>25. výročie SKD a 6. ročník Po rokoch</t>
  </si>
  <si>
    <t>Čaj u pána senátora</t>
  </si>
  <si>
    <t>Koncerty v Piane</t>
  </si>
  <si>
    <t>JazzFest 2024</t>
  </si>
  <si>
    <t>činnosť</t>
  </si>
  <si>
    <t>15. Zlatovský festival dychových hudieb</t>
  </si>
  <si>
    <t>Nový začiatok - Podpora a súdržnosť</t>
  </si>
  <si>
    <t>Tance pre radosť</t>
  </si>
  <si>
    <t>Výstava M.R.Štefánik Stopy života</t>
  </si>
  <si>
    <t>ArtKino Metro</t>
  </si>
  <si>
    <t>Dotácie v  oblasti kultúry  v roku 2024</t>
  </si>
  <si>
    <t>Dotácie v sociálnej oblasti v roku 2024</t>
  </si>
  <si>
    <t>ZO Jednoty dôchodcov na Slovensku Trenčín 05</t>
  </si>
  <si>
    <t>Základná organizácia nedoslýchavých</t>
  </si>
  <si>
    <t>Organizácia postihnutých chronickými chorobami v Trenčíne</t>
  </si>
  <si>
    <t>Klub abstinentov Trenčín</t>
  </si>
  <si>
    <t>Slovenský zväz telesne postihnutých, Prvá ZO č.17</t>
  </si>
  <si>
    <t>ZO Jednoty dôchodcov na Slovensku Trenčín 02</t>
  </si>
  <si>
    <t>ZO Jednoty dôchodcov na Slovensku Trenčín č.19</t>
  </si>
  <si>
    <t>ZO JDS Trenčín-Sihoť</t>
  </si>
  <si>
    <t>Združenie na pomoc ľuďom s mentálnym postihnutím v Trenčíne</t>
  </si>
  <si>
    <t>ZO Jednoty dôchodcov Trenčín 06</t>
  </si>
  <si>
    <t>Misia lásky</t>
  </si>
  <si>
    <t>Mgr. Kristína Staňová</t>
  </si>
  <si>
    <t>ZO Jednoty dôchodcov Trenčín 01</t>
  </si>
  <si>
    <t>ZO JDS Trenčín-Odevák</t>
  </si>
  <si>
    <t>ZO Jednoty dôchodcov č.30, Trenčín-Juh</t>
  </si>
  <si>
    <t>Slovenský zväz protifašistických bojovníkov ZO Trenčín</t>
  </si>
  <si>
    <t>Dobrovoľná civilná ochrana</t>
  </si>
  <si>
    <t>Združenie kresťanských seniorov Slovenska - klub Trenčín-mesto</t>
  </si>
  <si>
    <t>Kultúrne centrum Aktivity, o.z.</t>
  </si>
  <si>
    <t>Slovenský zväz telesne postihnutých, Prvá ZO č.57</t>
  </si>
  <si>
    <t>Celoročná činnosť</t>
  </si>
  <si>
    <t>Zdravá cesta k spoločnosti</t>
  </si>
  <si>
    <t>Činnosť a organizovanie ozdravno-rehabilitačných aktivít pre členov ZON v Trenčíne, Bezručova 1012 v roku 2024 spojená s predáškami a poradenstvom</t>
  </si>
  <si>
    <t>Canisterapia pre žiakov s autizmom</t>
  </si>
  <si>
    <t>Rekondičný pobyt pre ZP v penzione ZORA Tatranskej Lomnici pre 50 členov 13.- 19.5.2024</t>
  </si>
  <si>
    <t>Podporné terapie pre deti s autizmom v Trenčianskom autistickom centre Pro Autis</t>
  </si>
  <si>
    <t>Kurz Nordic Walking zameraný na špecifické potreby onkologického pacienta</t>
  </si>
  <si>
    <t>Rodinná terénna terapia Vitanová 2024</t>
  </si>
  <si>
    <t>Rekondícia ťažko telesne postihnutých</t>
  </si>
  <si>
    <t>Športová olympiáda pre zdravotne postihnutých</t>
  </si>
  <si>
    <t>Bez rozdielov 2</t>
  </si>
  <si>
    <t>Sociálno-rekondičný pobyt nepočujúcich-SRP nepočujúcich</t>
  </si>
  <si>
    <t>Farebná jeseň života</t>
  </si>
  <si>
    <t>Multisenzorický kútik</t>
  </si>
  <si>
    <t>Finančné pokrytie plánu činnosti ZO JDS Trenčín-Sihoť na rok 2024</t>
  </si>
  <si>
    <t>Návšteva v BIVIO-Vzdelávaco rehabilitačnom stredisku a integračnom sociálnom podniku</t>
  </si>
  <si>
    <t>Zájazd na termálne kúpalisko vo Veľkom Mederi</t>
  </si>
  <si>
    <t>Aby sa nikto necítil osamelý</t>
  </si>
  <si>
    <t>Pomoc osbám v núdzi 24</t>
  </si>
  <si>
    <t>Pobočka materského centra Srdiečko</t>
  </si>
  <si>
    <t>Terapie pre Umelcov života</t>
  </si>
  <si>
    <t>Finančné pokrytie plánu činnosti ZO JDS Trenčín 01 na rok 2024</t>
  </si>
  <si>
    <t>Celoročná činnosť ZO JDS Trenčín-Odevák</t>
  </si>
  <si>
    <t>Poznávajme krásy Slovenska a Moravy</t>
  </si>
  <si>
    <t>Vôňa DOMOVA aj v hospici</t>
  </si>
  <si>
    <t>Podpora sociálnych a relaxačných činností pre členov Slovenský zväz protifašistických bojovníkov ZO Trenčín v roku 2024</t>
  </si>
  <si>
    <t>Staň sa hrdinom a zachráň život</t>
  </si>
  <si>
    <t>Socializácia seniorov, zlepšovanie ich vnemových schopností. Vytváranie spoločenských väzieb</t>
  </si>
  <si>
    <t>Tvorenie pre všetkých a v každom veku</t>
  </si>
  <si>
    <t>Dotácia na činnosť v roku 2024</t>
  </si>
  <si>
    <t>Zabezpečenie aktivít v roku 2024 - ZO č.57 SZTP</t>
  </si>
  <si>
    <t>Vykurovanie prevádzky chránenej dielne - kaviareň Na ceste 2024</t>
  </si>
  <si>
    <t>Trenčín pomáha Ukrajine - integračné aktivity</t>
  </si>
  <si>
    <t>Klub dôchodcov Trenčín-Zlatovce</t>
  </si>
  <si>
    <t>Dotácie v  oblasti školstva  v roku 2024</t>
  </si>
  <si>
    <t>Jednota dôchodcov na Slovensku ZO č.02</t>
  </si>
  <si>
    <t>Rada rodičovského združenia pri 7.ZŠ v Trenčíne</t>
  </si>
  <si>
    <t>Verejná knižnica Michala Rešetku v Trenčíne</t>
  </si>
  <si>
    <t>Škola umeleckého priemyslu</t>
  </si>
  <si>
    <t>Slovenský skauting o.z.</t>
  </si>
  <si>
    <t>Deťom n.f. pri ZŠ Ul. L.Novomeského</t>
  </si>
  <si>
    <t>Občianske združenie rodičov pri MŠ Šafárikova</t>
  </si>
  <si>
    <t>OZ pri ZŠ Kubra - ARCHA</t>
  </si>
  <si>
    <t>OZ rodičov pri MŠ Šafárikova 11</t>
  </si>
  <si>
    <t>OZ Kolotoč pri Centre voľného času Trenčín</t>
  </si>
  <si>
    <t>Svadba na spadnutie</t>
  </si>
  <si>
    <t>Motivačné a vzdelávacie súťaže pre deti IV.</t>
  </si>
  <si>
    <t>Zmyslami spoznávame prírodu</t>
  </si>
  <si>
    <t>Spoznaj, zaži, nauč sa</t>
  </si>
  <si>
    <t>Modernizácia učebne jazykov v ZŠ Veľkomoravská</t>
  </si>
  <si>
    <t>Škola a galéria 2024</t>
  </si>
  <si>
    <t>Vývin spoznávajme - s pomocou nečakajme</t>
  </si>
  <si>
    <t>Ódy módy 2024</t>
  </si>
  <si>
    <t>Kurz: Líderstvo ako základ skautingu</t>
  </si>
  <si>
    <t>Prakticky a tvorivo v školskom klube</t>
  </si>
  <si>
    <t>Triednické hodiny s Ipčkom</t>
  </si>
  <si>
    <t>Magické leto 2024</t>
  </si>
  <si>
    <t>Mini záhradka na elokovanom pracovisku Východná 9</t>
  </si>
  <si>
    <t>Duševná pohoda na ZŠ Kubranská</t>
  </si>
  <si>
    <t>Deň rodiny - Cesta okolo sveta</t>
  </si>
  <si>
    <t>Workshop: Kŕmenie vtákov v zime a stavba kŕmidiel</t>
  </si>
  <si>
    <t>Cvičenie pre radosť</t>
  </si>
  <si>
    <t>Vedomosti do hrsti!</t>
  </si>
  <si>
    <t>Relaxačno-oddychová zóna</t>
  </si>
  <si>
    <t>Dotácie v  oblasti životného prostredia  v roku 2024</t>
  </si>
  <si>
    <t>Asociácia zdravotne postihnutých</t>
  </si>
  <si>
    <t>Rímskokatolícka cirkev farnosť Trenčín</t>
  </si>
  <si>
    <t>Rodičovské združenie pri MŠ Kubranská</t>
  </si>
  <si>
    <t>Na zelenej lúke</t>
  </si>
  <si>
    <t>Revitalizácia nádvoria farského úradu - sadové úpravy</t>
  </si>
  <si>
    <t>Domčeky pre hmyz</t>
  </si>
  <si>
    <t>Bioodpad - aktuálna výzva 2024</t>
  </si>
  <si>
    <t>Zelené zajtrajšky</t>
  </si>
  <si>
    <t>Zelená galéria 2024</t>
  </si>
  <si>
    <t>Joga na Brezine</t>
  </si>
  <si>
    <t>k 31.12.2024</t>
  </si>
  <si>
    <t>Pohľadávky Mesta Trenčín k 31.12.2024</t>
  </si>
  <si>
    <t>Prehľad dlhu v zmysle § 17, ods. 6,7 zákona č. 583/2004 o rozpočtových pravidlách územnej samosprávy v znení neskorších predpisov k 31.12.2024</t>
  </si>
  <si>
    <t xml:space="preserve"> k 31.12.2024 v EUR</t>
  </si>
  <si>
    <t>325/CC/24</t>
  </si>
  <si>
    <t>v roku 2024</t>
  </si>
  <si>
    <t>Bežné výdavky podľa funkčnej klasifikácie k 31.12.2024</t>
  </si>
  <si>
    <t>Kapitálové výdavky podľa funkčnej klasifikácie k 31.12.2024</t>
  </si>
  <si>
    <t>Bežné a kapitálové výdavky podľa ekonomickej klasifikácie k 31.12.2024</t>
  </si>
  <si>
    <t>Rekonštrukcia a modernizácia</t>
  </si>
  <si>
    <t>Finančné operácie podľa ekonomickej  klasifikácie k 31.12.2024</t>
  </si>
  <si>
    <t>Poplatok za rozvoj</t>
  </si>
  <si>
    <t xml:space="preserve">  Vývoj dlhovej služby Mesta Trenčín v rokoch  2019-2024 vo väzbe  na zákon č.583/2004 Z.z. o rozpočtových pravidlách územnej samosprávy  a o zmene a doplnení niektorých zákonov v znení neskorších predpisov </t>
  </si>
  <si>
    <t>Rok 2024</t>
  </si>
  <si>
    <t>Výsledok hospodárenia Mesta Trenčín v metodike ESA 2010 za rok 2024</t>
  </si>
  <si>
    <t>Adient Slovakia, s.r.o.</t>
  </si>
  <si>
    <t>Peňažný dar v záujme podpory kultúrno-kreatívneho odvetvia v meste Trenčín - z benefičnej zbierky zamestnancov Adient Slovakia s.r.o.</t>
  </si>
  <si>
    <t>Refundácia verejno - prospešné práce</t>
  </si>
  <si>
    <t>Ministerstvo financií SR</t>
  </si>
  <si>
    <t>Spoločná aktivita proti environmentálnemu znečisťovaniu ohorkami</t>
  </si>
  <si>
    <t>Finančné prostriedky z Finančného mechanizmu EHP a Nórskeho finančného mechanizmu</t>
  </si>
  <si>
    <t>Nenávratný finančný príspevok na podporu administratívnych kapacít sprostredkovateľského orgánu pre IROP Trenčín</t>
  </si>
  <si>
    <t>Ministerstvo dopravy SR</t>
  </si>
  <si>
    <t>Úvodný ročník</t>
  </si>
  <si>
    <t>1. - 4.r. (vrátane úvodného roč.)</t>
  </si>
  <si>
    <t>porovna-nie s min. r.</t>
  </si>
  <si>
    <t>Východná - NKS</t>
  </si>
  <si>
    <r>
      <t xml:space="preserve">ZUŠ - 1 180 žiakov (do 15 r. aj nad 15 r.),560 individuálne; 620 skupinové vyučovanie; </t>
    </r>
    <r>
      <rPr>
        <b/>
        <u/>
        <sz val="10"/>
        <color rgb="FF000000"/>
        <rFont val="Arial"/>
        <family val="2"/>
        <charset val="238"/>
      </rPr>
      <t>o 60 žiakov viac ako v minulom šk. roku</t>
    </r>
  </si>
  <si>
    <r>
      <t xml:space="preserve">CVČ -  393 (pri počte 1 člen = 1 krúžok), niektorí členovia sú prihlásení na viac krúžkov, reálny počet je potom 478 (k </t>
    </r>
    <r>
      <rPr>
        <b/>
        <u/>
        <sz val="10"/>
        <rFont val="Arial"/>
        <family val="2"/>
        <charset val="238"/>
      </rPr>
      <t>31. 10. 2024)</t>
    </r>
  </si>
  <si>
    <t>MŠ - 1 536 detí, z toho 514 predškolákov; 35 detí z Ukrajiny z celkového počtu detí, 22 detí so zdravotným znevýhodnením</t>
  </si>
  <si>
    <r>
      <t xml:space="preserve">ZŠ - 4 865 žiakov - </t>
    </r>
    <r>
      <rPr>
        <b/>
        <u/>
        <sz val="10"/>
        <rFont val="Arial"/>
        <family val="2"/>
        <charset val="238"/>
      </rPr>
      <t>o 25 viac ako vlani</t>
    </r>
  </si>
  <si>
    <r>
      <t xml:space="preserve">Žiaci so ŠVVP - 289 - </t>
    </r>
    <r>
      <rPr>
        <b/>
        <sz val="11"/>
        <color rgb="FF000000"/>
        <rFont val="Arial"/>
        <family val="2"/>
        <charset val="238"/>
      </rPr>
      <t>o 24 viac ako vlani</t>
    </r>
  </si>
  <si>
    <t>Prepočítaný počet zamestnancov základných škôl  v šk.roku roku 2024/2025</t>
  </si>
  <si>
    <t>Pedagogický asistent</t>
  </si>
  <si>
    <t>Projekt Making City</t>
  </si>
  <si>
    <t>Projekt Mobilities</t>
  </si>
  <si>
    <t>Dotácia na zabezpečenie volieb do Európskeho parlamentu</t>
  </si>
  <si>
    <t>Dotácia  na zabezpečenie volieb prezidenta</t>
  </si>
  <si>
    <t>Dotácia na dofinancovanie školských bazénov</t>
  </si>
  <si>
    <t>Dotácia na príspevok na rekreačné poukazy</t>
  </si>
  <si>
    <t>Dotácia na príspevok  na žiakov  zo sociálne znevýhodneného prostredia</t>
  </si>
  <si>
    <t>Príspevok za vytriedené množstvá odpadov</t>
  </si>
  <si>
    <t>SPAK EKO a.s.s</t>
  </si>
  <si>
    <t>Názov projektu/príspevku</t>
  </si>
  <si>
    <t>Začiatok splácania</t>
  </si>
  <si>
    <t>31.1.2023</t>
  </si>
  <si>
    <t>Splatená suma úveru</t>
  </si>
  <si>
    <t>dodatok č.2</t>
  </si>
  <si>
    <t>2 úvery z Environmentálneho fondu na verejné osvetlenia</t>
  </si>
  <si>
    <t>Dotácia na prenesené kompetencie - mzdy, odvody, tovary a služby</t>
  </si>
  <si>
    <t>Ministerstvo práce, sociálnych vecí a rodiny SR</t>
  </si>
  <si>
    <t>Financovanie podporných profesií v školstve</t>
  </si>
  <si>
    <t>Regionálny úrad školskej správy v Trenčíne</t>
  </si>
  <si>
    <t>január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</si>
</sst>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&quot; &quot;[$€-41B];[Red]&quot;-&quot;#,##0.00&quot; &quot;[$€-41B]"/>
    <numFmt numFmtId="166" formatCode="d&quot;.&quot;m&quot;.&quot;yyyy"/>
    <numFmt numFmtId="167" formatCode="#,##0.0"/>
    <numFmt numFmtId="168" formatCode="#,##0.00\ &quot;€&quot;"/>
  </numFmts>
  <fonts count="68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C00000"/>
      <name val="Arial"/>
      <family val="2"/>
      <charset val="238"/>
    </font>
    <font>
      <sz val="11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4"/>
      <color theme="4" tint="-0.499984740745262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2"/>
      <color rgb="FFFFFFFF"/>
      <name val="Arial"/>
      <family val="2"/>
      <charset val="238"/>
    </font>
    <font>
      <b/>
      <sz val="16"/>
      <color rgb="FFC0000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rgb="FF9933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5"/>
      <color rgb="FFC00000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3"/>
      <color rgb="FFC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8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8"/>
      <name val="Trebuchet MS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C5D9F1"/>
        <bgColor rgb="FFC5D9F1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1F4E78"/>
        <bgColor rgb="FF1F4E78"/>
      </patternFill>
    </fill>
    <fill>
      <patternFill patternType="solid">
        <fgColor theme="0"/>
        <bgColor rgb="FF366092"/>
      </patternFill>
    </fill>
    <fill>
      <patternFill patternType="solid">
        <fgColor theme="0"/>
        <bgColor rgb="FF8DB4E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4C6E7"/>
      </patternFill>
    </fill>
    <fill>
      <patternFill patternType="solid">
        <fgColor theme="8" tint="-0.249977111117893"/>
        <bgColor rgb="FF36609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rgb="FF366092"/>
      </patternFill>
    </fill>
    <fill>
      <patternFill patternType="solid">
        <fgColor rgb="FF1F4E78"/>
        <bgColor rgb="FF36609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5D9F1"/>
      </patternFill>
    </fill>
    <fill>
      <patternFill patternType="solid">
        <fgColor theme="4" tint="0.79998168889431442"/>
        <bgColor rgb="FF8DB4E2"/>
      </patternFill>
    </fill>
    <fill>
      <patternFill patternType="solid">
        <fgColor rgb="FF366092"/>
        <bgColor rgb="FF538DD5"/>
      </patternFill>
    </fill>
    <fill>
      <patternFill patternType="solid">
        <fgColor theme="4" tint="0.79998168889431442"/>
        <bgColor rgb="FF366092"/>
      </patternFill>
    </fill>
    <fill>
      <patternFill patternType="solid">
        <fgColor rgb="FFC5D9F1"/>
        <bgColor rgb="FF8DB4E2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6" tint="0.79998168889431442"/>
        <bgColor rgb="FF366092"/>
      </patternFill>
    </fill>
    <fill>
      <patternFill patternType="solid">
        <fgColor theme="6" tint="0.79998168889431442"/>
        <bgColor rgb="FFC5D9F1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3" tint="0.79998168889431442"/>
        <bgColor rgb="FF366092"/>
      </patternFill>
    </fill>
    <fill>
      <patternFill patternType="solid">
        <fgColor theme="3" tint="0.79998168889431442"/>
        <bgColor rgb="FFC5D9F1"/>
      </patternFill>
    </fill>
    <fill>
      <patternFill patternType="solid">
        <fgColor theme="0" tint="-4.9989318521683403E-2"/>
        <bgColor rgb="FFC5D9F1"/>
      </patternFill>
    </fill>
    <fill>
      <patternFill patternType="solid">
        <fgColor theme="0" tint="-0.14999847407452621"/>
        <bgColor rgb="FF36609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6" tint="0.59999389629810485"/>
        <bgColor rgb="FF548235"/>
      </patternFill>
    </fill>
    <fill>
      <patternFill patternType="solid">
        <fgColor theme="6" tint="0.79998168889431442"/>
        <bgColor rgb="FFA9D08E"/>
      </patternFill>
    </fill>
    <fill>
      <patternFill patternType="solid">
        <fgColor theme="6" tint="0.59999389629810485"/>
        <bgColor rgb="FF366092"/>
      </patternFill>
    </fill>
    <fill>
      <patternFill patternType="solid">
        <fgColor theme="6" tint="0.59999389629810485"/>
        <bgColor rgb="FFB4C6E7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/>
      <diagonal/>
    </border>
    <border>
      <left style="double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 style="thin">
        <color indexed="64"/>
      </top>
      <bottom style="hair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/>
      </bottom>
      <diagonal/>
    </border>
    <border>
      <left/>
      <right/>
      <top style="thin">
        <color indexed="6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/>
      <top style="hair">
        <color rgb="FF366092"/>
      </top>
      <bottom style="hair">
        <color rgb="FF36609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/>
      <right/>
      <top style="hair">
        <color rgb="FF8DB4E2"/>
      </top>
      <bottom style="hair">
        <color rgb="FF8DB4E2"/>
      </bottom>
      <diagonal/>
    </border>
    <border>
      <left style="dotted">
        <color rgb="FF8DB4E2"/>
      </left>
      <right/>
      <top style="dotted">
        <color rgb="FF8DB4E2"/>
      </top>
      <bottom style="dotted">
        <color rgb="FF8DB4E2"/>
      </bottom>
      <diagonal/>
    </border>
    <border>
      <left/>
      <right/>
      <top style="dotted">
        <color rgb="FF8DB4E2"/>
      </top>
      <bottom style="dotted">
        <color rgb="FF8DB4E2"/>
      </bottom>
      <diagonal/>
    </border>
    <border>
      <left/>
      <right style="dotted">
        <color rgb="FF8DB4E2"/>
      </right>
      <top style="dotted">
        <color rgb="FF8DB4E2"/>
      </top>
      <bottom style="dotted">
        <color rgb="FF8DB4E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rgb="FF8DB4E2"/>
      </top>
      <bottom/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</borders>
  <cellStyleXfs count="50">
    <xf numFmtId="0" fontId="0" fillId="0" borderId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77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3" fillId="0" borderId="0" xfId="0" applyNumberFormat="1" applyFont="1"/>
    <xf numFmtId="0" fontId="15" fillId="0" borderId="0" xfId="0" applyFont="1"/>
    <xf numFmtId="3" fontId="15" fillId="0" borderId="0" xfId="0" applyNumberFormat="1" applyFont="1"/>
    <xf numFmtId="3" fontId="17" fillId="0" borderId="0" xfId="0" applyNumberFormat="1" applyFont="1"/>
    <xf numFmtId="0" fontId="13" fillId="0" borderId="0" xfId="0" applyFont="1" applyAlignment="1">
      <alignment vertical="center"/>
    </xf>
    <xf numFmtId="0" fontId="19" fillId="4" borderId="0" xfId="0" applyFont="1" applyFill="1" applyAlignment="1">
      <alignment horizontal="center" vertical="center" wrapText="1"/>
    </xf>
    <xf numFmtId="3" fontId="19" fillId="4" borderId="0" xfId="0" applyNumberFormat="1" applyFont="1" applyFill="1"/>
    <xf numFmtId="3" fontId="18" fillId="4" borderId="0" xfId="0" applyNumberFormat="1" applyFont="1" applyFill="1"/>
    <xf numFmtId="0" fontId="13" fillId="4" borderId="0" xfId="0" applyFont="1" applyFill="1"/>
    <xf numFmtId="3" fontId="16" fillId="4" borderId="0" xfId="0" applyNumberFormat="1" applyFont="1" applyFill="1"/>
    <xf numFmtId="0" fontId="14" fillId="0" borderId="0" xfId="0" applyFont="1" applyAlignment="1">
      <alignment vertical="center"/>
    </xf>
    <xf numFmtId="0" fontId="20" fillId="0" borderId="0" xfId="0" applyFont="1"/>
    <xf numFmtId="0" fontId="18" fillId="0" borderId="0" xfId="0" applyFont="1"/>
    <xf numFmtId="3" fontId="18" fillId="0" borderId="0" xfId="0" applyNumberFormat="1" applyFont="1"/>
    <xf numFmtId="0" fontId="23" fillId="0" borderId="0" xfId="0" applyFont="1"/>
    <xf numFmtId="0" fontId="26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12" fillId="0" borderId="6" xfId="0" applyFont="1" applyBorder="1"/>
    <xf numFmtId="3" fontId="12" fillId="0" borderId="6" xfId="0" applyNumberFormat="1" applyFont="1" applyBorder="1"/>
    <xf numFmtId="3" fontId="17" fillId="17" borderId="6" xfId="0" applyNumberFormat="1" applyFont="1" applyFill="1" applyBorder="1"/>
    <xf numFmtId="0" fontId="12" fillId="0" borderId="3" xfId="0" applyFont="1" applyBorder="1"/>
    <xf numFmtId="3" fontId="12" fillId="0" borderId="3" xfId="0" applyNumberFormat="1" applyFont="1" applyBorder="1"/>
    <xf numFmtId="3" fontId="17" fillId="17" borderId="3" xfId="0" applyNumberFormat="1" applyFont="1" applyFill="1" applyBorder="1"/>
    <xf numFmtId="0" fontId="12" fillId="0" borderId="5" xfId="0" applyFont="1" applyBorder="1"/>
    <xf numFmtId="3" fontId="12" fillId="0" borderId="5" xfId="0" applyNumberFormat="1" applyFont="1" applyBorder="1"/>
    <xf numFmtId="3" fontId="17" fillId="17" borderId="5" xfId="0" applyNumberFormat="1" applyFont="1" applyFill="1" applyBorder="1"/>
    <xf numFmtId="0" fontId="26" fillId="2" borderId="1" xfId="0" applyFont="1" applyFill="1" applyBorder="1"/>
    <xf numFmtId="3" fontId="26" fillId="2" borderId="1" xfId="0" applyNumberFormat="1" applyFont="1" applyFill="1" applyBorder="1"/>
    <xf numFmtId="0" fontId="27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26" fillId="2" borderId="2" xfId="0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/>
    </xf>
    <xf numFmtId="49" fontId="26" fillId="2" borderId="3" xfId="0" applyNumberFormat="1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right" vertical="top" wrapText="1"/>
    </xf>
    <xf numFmtId="3" fontId="12" fillId="0" borderId="3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vertical="center"/>
    </xf>
    <xf numFmtId="0" fontId="26" fillId="2" borderId="4" xfId="0" applyFont="1" applyFill="1" applyBorder="1" applyAlignment="1">
      <alignment horizontal="justify" vertical="center" wrapText="1"/>
    </xf>
    <xf numFmtId="3" fontId="26" fillId="2" borderId="4" xfId="0" applyNumberFormat="1" applyFont="1" applyFill="1" applyBorder="1" applyAlignment="1">
      <alignment horizontal="right" vertical="center" wrapText="1"/>
    </xf>
    <xf numFmtId="3" fontId="26" fillId="2" borderId="4" xfId="0" applyNumberFormat="1" applyFont="1" applyFill="1" applyBorder="1" applyAlignment="1">
      <alignment vertical="center"/>
    </xf>
    <xf numFmtId="0" fontId="26" fillId="19" borderId="2" xfId="0" applyFont="1" applyFill="1" applyBorder="1"/>
    <xf numFmtId="3" fontId="26" fillId="19" borderId="2" xfId="0" applyNumberFormat="1" applyFont="1" applyFill="1" applyBorder="1"/>
    <xf numFmtId="3" fontId="12" fillId="0" borderId="3" xfId="0" applyNumberFormat="1" applyFont="1" applyBorder="1" applyAlignment="1">
      <alignment horizontal="right"/>
    </xf>
    <xf numFmtId="0" fontId="12" fillId="0" borderId="4" xfId="0" applyFont="1" applyBorder="1"/>
    <xf numFmtId="3" fontId="12" fillId="0" borderId="4" xfId="0" applyNumberFormat="1" applyFont="1" applyBorder="1" applyAlignment="1">
      <alignment horizontal="right"/>
    </xf>
    <xf numFmtId="0" fontId="17" fillId="0" borderId="0" xfId="0" applyFont="1"/>
    <xf numFmtId="0" fontId="26" fillId="2" borderId="2" xfId="0" applyFont="1" applyFill="1" applyBorder="1" applyAlignment="1">
      <alignment horizontal="left" vertical="center"/>
    </xf>
    <xf numFmtId="0" fontId="26" fillId="7" borderId="0" xfId="0" applyFont="1" applyFill="1" applyAlignment="1">
      <alignment horizontal="center" vertical="center" wrapText="1"/>
    </xf>
    <xf numFmtId="0" fontId="17" fillId="18" borderId="3" xfId="0" applyFont="1" applyFill="1" applyBorder="1" applyAlignment="1">
      <alignment horizontal="left" vertical="center" wrapText="1"/>
    </xf>
    <xf numFmtId="3" fontId="17" fillId="18" borderId="3" xfId="0" applyNumberFormat="1" applyFont="1" applyFill="1" applyBorder="1"/>
    <xf numFmtId="3" fontId="17" fillId="8" borderId="0" xfId="0" applyNumberFormat="1" applyFont="1" applyFill="1"/>
    <xf numFmtId="0" fontId="12" fillId="0" borderId="3" xfId="0" applyFont="1" applyBorder="1" applyAlignment="1">
      <alignment horizontal="left" vertical="center" wrapText="1"/>
    </xf>
    <xf numFmtId="3" fontId="12" fillId="9" borderId="0" xfId="0" applyNumberFormat="1" applyFont="1" applyFill="1"/>
    <xf numFmtId="0" fontId="26" fillId="0" borderId="5" xfId="0" applyFont="1" applyBorder="1" applyAlignment="1">
      <alignment horizontal="left" vertical="center" wrapText="1"/>
    </xf>
    <xf numFmtId="3" fontId="25" fillId="0" borderId="5" xfId="0" applyNumberFormat="1" applyFont="1" applyBorder="1"/>
    <xf numFmtId="3" fontId="12" fillId="4" borderId="5" xfId="0" applyNumberFormat="1" applyFont="1" applyFill="1" applyBorder="1"/>
    <xf numFmtId="3" fontId="12" fillId="10" borderId="0" xfId="0" applyNumberFormat="1" applyFont="1" applyFill="1"/>
    <xf numFmtId="0" fontId="26" fillId="2" borderId="1" xfId="0" applyFont="1" applyFill="1" applyBorder="1" applyAlignment="1">
      <alignment horizontal="left" vertical="center" wrapText="1"/>
    </xf>
    <xf numFmtId="3" fontId="26" fillId="7" borderId="0" xfId="0" applyNumberFormat="1" applyFont="1" applyFill="1"/>
    <xf numFmtId="3" fontId="26" fillId="2" borderId="1" xfId="0" applyNumberFormat="1" applyFont="1" applyFill="1" applyBorder="1" applyAlignment="1">
      <alignment vertical="center"/>
    </xf>
    <xf numFmtId="3" fontId="26" fillId="7" borderId="0" xfId="0" applyNumberFormat="1" applyFont="1" applyFill="1" applyAlignment="1">
      <alignment vertical="center"/>
    </xf>
    <xf numFmtId="0" fontId="17" fillId="4" borderId="5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29" fillId="20" borderId="9" xfId="0" applyNumberFormat="1" applyFont="1" applyFill="1" applyBorder="1"/>
    <xf numFmtId="3" fontId="17" fillId="0" borderId="9" xfId="0" applyNumberFormat="1" applyFont="1" applyBorder="1"/>
    <xf numFmtId="3" fontId="17" fillId="4" borderId="5" xfId="0" applyNumberFormat="1" applyFont="1" applyFill="1" applyBorder="1"/>
    <xf numFmtId="3" fontId="17" fillId="4" borderId="10" xfId="0" applyNumberFormat="1" applyFont="1" applyFill="1" applyBorder="1"/>
    <xf numFmtId="0" fontId="12" fillId="4" borderId="0" xfId="0" applyFont="1" applyFill="1"/>
    <xf numFmtId="3" fontId="26" fillId="2" borderId="7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29" fillId="34" borderId="2" xfId="0" applyFont="1" applyFill="1" applyBorder="1" applyAlignment="1">
      <alignment horizontal="center" vertical="center" wrapText="1"/>
    </xf>
    <xf numFmtId="3" fontId="30" fillId="34" borderId="3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49" fontId="29" fillId="24" borderId="3" xfId="0" applyNumberFormat="1" applyFont="1" applyFill="1" applyBorder="1" applyAlignment="1">
      <alignment vertical="center" wrapText="1"/>
    </xf>
    <xf numFmtId="3" fontId="29" fillId="24" borderId="3" xfId="0" applyNumberFormat="1" applyFont="1" applyFill="1" applyBorder="1" applyAlignment="1">
      <alignment vertical="center"/>
    </xf>
    <xf numFmtId="49" fontId="21" fillId="0" borderId="3" xfId="0" applyNumberFormat="1" applyFont="1" applyBorder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 wrapText="1"/>
    </xf>
    <xf numFmtId="3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49" fontId="21" fillId="0" borderId="3" xfId="0" applyNumberFormat="1" applyFont="1" applyBorder="1" applyAlignment="1">
      <alignment horizontal="left" vertical="center" wrapText="1"/>
    </xf>
    <xf numFmtId="3" fontId="21" fillId="0" borderId="3" xfId="0" applyNumberFormat="1" applyFont="1" applyBorder="1" applyAlignment="1">
      <alignment horizontal="right" vertical="center"/>
    </xf>
    <xf numFmtId="49" fontId="29" fillId="4" borderId="3" xfId="0" applyNumberFormat="1" applyFont="1" applyFill="1" applyBorder="1" applyAlignment="1">
      <alignment vertical="center" wrapText="1"/>
    </xf>
    <xf numFmtId="49" fontId="21" fillId="0" borderId="4" xfId="0" applyNumberFormat="1" applyFont="1" applyBorder="1" applyAlignment="1">
      <alignment vertical="center" wrapText="1"/>
    </xf>
    <xf numFmtId="0" fontId="21" fillId="0" borderId="4" xfId="0" applyFont="1" applyBorder="1" applyAlignment="1">
      <alignment horizontal="left" vertical="center" wrapText="1"/>
    </xf>
    <xf numFmtId="3" fontId="21" fillId="0" borderId="4" xfId="0" applyNumberFormat="1" applyFont="1" applyBorder="1" applyAlignment="1">
      <alignment vertical="center"/>
    </xf>
    <xf numFmtId="0" fontId="12" fillId="0" borderId="0" xfId="0" applyFont="1" applyAlignment="1">
      <alignment horizontal="left"/>
    </xf>
    <xf numFmtId="3" fontId="12" fillId="0" borderId="0" xfId="0" applyNumberFormat="1" applyFont="1"/>
    <xf numFmtId="4" fontId="17" fillId="0" borderId="0" xfId="0" applyNumberFormat="1" applyFont="1"/>
    <xf numFmtId="0" fontId="12" fillId="0" borderId="3" xfId="0" applyFont="1" applyBorder="1" applyAlignment="1">
      <alignment horizontal="left" wrapText="1"/>
    </xf>
    <xf numFmtId="0" fontId="26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9" fillId="29" borderId="2" xfId="0" applyFont="1" applyFill="1" applyBorder="1" applyAlignment="1">
      <alignment horizontal="center" vertical="center" wrapText="1"/>
    </xf>
    <xf numFmtId="3" fontId="30" fillId="29" borderId="3" xfId="0" applyNumberFormat="1" applyFont="1" applyFill="1" applyBorder="1" applyAlignment="1">
      <alignment vertical="center"/>
    </xf>
    <xf numFmtId="49" fontId="29" fillId="28" borderId="3" xfId="0" applyNumberFormat="1" applyFont="1" applyFill="1" applyBorder="1" applyAlignment="1">
      <alignment vertical="top" wrapText="1"/>
    </xf>
    <xf numFmtId="0" fontId="29" fillId="28" borderId="3" xfId="0" applyFont="1" applyFill="1" applyBorder="1" applyAlignment="1">
      <alignment vertical="top" wrapText="1"/>
    </xf>
    <xf numFmtId="3" fontId="29" fillId="28" borderId="3" xfId="0" applyNumberFormat="1" applyFont="1" applyFill="1" applyBorder="1"/>
    <xf numFmtId="49" fontId="21" fillId="0" borderId="3" xfId="0" applyNumberFormat="1" applyFont="1" applyBorder="1" applyAlignment="1">
      <alignment vertical="top" wrapText="1"/>
    </xf>
    <xf numFmtId="0" fontId="21" fillId="0" borderId="3" xfId="0" applyFont="1" applyBorder="1" applyAlignment="1">
      <alignment horizontal="center" vertical="center" wrapText="1"/>
    </xf>
    <xf numFmtId="49" fontId="29" fillId="28" borderId="3" xfId="0" applyNumberFormat="1" applyFont="1" applyFill="1" applyBorder="1" applyAlignment="1">
      <alignment vertical="center" wrapText="1"/>
    </xf>
    <xf numFmtId="0" fontId="29" fillId="28" borderId="3" xfId="0" applyFont="1" applyFill="1" applyBorder="1" applyAlignment="1">
      <alignment vertical="center" wrapText="1"/>
    </xf>
    <xf numFmtId="3" fontId="29" fillId="28" borderId="3" xfId="0" applyNumberFormat="1" applyFont="1" applyFill="1" applyBorder="1" applyAlignment="1">
      <alignment vertical="center"/>
    </xf>
    <xf numFmtId="3" fontId="21" fillId="0" borderId="3" xfId="0" applyNumberFormat="1" applyFont="1" applyBorder="1"/>
    <xf numFmtId="49" fontId="21" fillId="0" borderId="3" xfId="0" applyNumberFormat="1" applyFont="1" applyBorder="1" applyAlignment="1">
      <alignment horizontal="left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3" xfId="0" applyFont="1" applyBorder="1" applyAlignment="1">
      <alignment vertical="top" wrapText="1"/>
    </xf>
    <xf numFmtId="49" fontId="21" fillId="0" borderId="5" xfId="0" applyNumberFormat="1" applyFont="1" applyBorder="1" applyAlignment="1">
      <alignment vertical="top" wrapText="1"/>
    </xf>
    <xf numFmtId="0" fontId="21" fillId="0" borderId="5" xfId="0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vertical="center"/>
    </xf>
    <xf numFmtId="49" fontId="21" fillId="0" borderId="4" xfId="0" applyNumberFormat="1" applyFont="1" applyBorder="1" applyAlignment="1">
      <alignment vertical="top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33" fillId="29" borderId="2" xfId="0" applyFont="1" applyFill="1" applyBorder="1" applyAlignment="1">
      <alignment horizontal="center" vertical="center" wrapText="1"/>
    </xf>
    <xf numFmtId="0" fontId="33" fillId="29" borderId="3" xfId="0" applyFont="1" applyFill="1" applyBorder="1" applyAlignment="1">
      <alignment horizontal="center" vertical="center"/>
    </xf>
    <xf numFmtId="0" fontId="33" fillId="29" borderId="3" xfId="0" applyFont="1" applyFill="1" applyBorder="1" applyAlignment="1">
      <alignment vertical="center" wrapText="1"/>
    </xf>
    <xf numFmtId="3" fontId="33" fillId="29" borderId="3" xfId="0" applyNumberFormat="1" applyFont="1" applyFill="1" applyBorder="1" applyAlignment="1">
      <alignment horizontal="right" vertical="center"/>
    </xf>
    <xf numFmtId="0" fontId="29" fillId="28" borderId="3" xfId="0" applyFont="1" applyFill="1" applyBorder="1" applyAlignment="1">
      <alignment horizontal="center" vertical="center"/>
    </xf>
    <xf numFmtId="3" fontId="29" fillId="28" borderId="3" xfId="0" applyNumberFormat="1" applyFont="1" applyFill="1" applyBorder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top" wrapText="1"/>
    </xf>
    <xf numFmtId="3" fontId="12" fillId="0" borderId="3" xfId="0" applyNumberFormat="1" applyFont="1" applyBorder="1" applyAlignment="1">
      <alignment horizontal="right" vertical="center"/>
    </xf>
    <xf numFmtId="0" fontId="16" fillId="29" borderId="3" xfId="0" applyFont="1" applyFill="1" applyBorder="1" applyAlignment="1">
      <alignment horizontal="center" vertical="center"/>
    </xf>
    <xf numFmtId="0" fontId="17" fillId="28" borderId="3" xfId="0" applyFont="1" applyFill="1" applyBorder="1" applyAlignment="1">
      <alignment horizontal="center" vertical="center"/>
    </xf>
    <xf numFmtId="0" fontId="17" fillId="30" borderId="4" xfId="0" applyFont="1" applyFill="1" applyBorder="1" applyAlignment="1">
      <alignment horizontal="center" vertical="center"/>
    </xf>
    <xf numFmtId="0" fontId="17" fillId="30" borderId="4" xfId="0" applyFont="1" applyFill="1" applyBorder="1" applyAlignment="1">
      <alignment vertical="top" wrapText="1"/>
    </xf>
    <xf numFmtId="3" fontId="17" fillId="30" borderId="4" xfId="0" applyNumberFormat="1" applyFont="1" applyFill="1" applyBorder="1" applyAlignment="1">
      <alignment horizontal="right" vertical="center"/>
    </xf>
    <xf numFmtId="3" fontId="12" fillId="4" borderId="0" xfId="0" applyNumberFormat="1" applyFont="1" applyFill="1"/>
    <xf numFmtId="0" fontId="12" fillId="0" borderId="0" xfId="2" applyFont="1"/>
    <xf numFmtId="0" fontId="34" fillId="0" borderId="0" xfId="48" applyFont="1"/>
    <xf numFmtId="0" fontId="12" fillId="0" borderId="0" xfId="2" applyFont="1" applyAlignment="1">
      <alignment horizontal="right"/>
    </xf>
    <xf numFmtId="0" fontId="17" fillId="0" borderId="0" xfId="2" applyFont="1" applyAlignment="1">
      <alignment horizontal="center"/>
    </xf>
    <xf numFmtId="0" fontId="35" fillId="0" borderId="0" xfId="2" applyFont="1"/>
    <xf numFmtId="0" fontId="36" fillId="0" borderId="0" xfId="2" applyFont="1"/>
    <xf numFmtId="0" fontId="37" fillId="0" borderId="0" xfId="2" applyFont="1" applyBorder="1"/>
    <xf numFmtId="0" fontId="34" fillId="0" borderId="0" xfId="47" applyFont="1"/>
    <xf numFmtId="0" fontId="29" fillId="20" borderId="3" xfId="2" applyFont="1" applyFill="1" applyBorder="1" applyAlignment="1">
      <alignment horizontal="left"/>
    </xf>
    <xf numFmtId="3" fontId="17" fillId="22" borderId="3" xfId="2" applyNumberFormat="1" applyFont="1" applyFill="1" applyBorder="1" applyAlignment="1">
      <alignment horizontal="center"/>
    </xf>
    <xf numFmtId="3" fontId="17" fillId="5" borderId="3" xfId="2" applyNumberFormat="1" applyFont="1" applyFill="1" applyBorder="1" applyAlignment="1">
      <alignment horizontal="right"/>
    </xf>
    <xf numFmtId="3" fontId="38" fillId="0" borderId="3" xfId="48" applyNumberFormat="1" applyFont="1" applyBorder="1"/>
    <xf numFmtId="3" fontId="17" fillId="18" borderId="3" xfId="2" applyNumberFormat="1" applyFont="1" applyFill="1" applyBorder="1" applyAlignment="1">
      <alignment horizontal="right"/>
    </xf>
    <xf numFmtId="0" fontId="34" fillId="0" borderId="0" xfId="4" applyFont="1"/>
    <xf numFmtId="0" fontId="29" fillId="20" borderId="5" xfId="2" applyFont="1" applyFill="1" applyBorder="1" applyAlignment="1">
      <alignment horizontal="left"/>
    </xf>
    <xf numFmtId="3" fontId="17" fillId="22" borderId="5" xfId="2" applyNumberFormat="1" applyFont="1" applyFill="1" applyBorder="1" applyAlignment="1">
      <alignment horizontal="center"/>
    </xf>
    <xf numFmtId="3" fontId="17" fillId="5" borderId="5" xfId="2" applyNumberFormat="1" applyFont="1" applyFill="1" applyBorder="1" applyAlignment="1">
      <alignment horizontal="right"/>
    </xf>
    <xf numFmtId="3" fontId="38" fillId="0" borderId="5" xfId="48" applyNumberFormat="1" applyFont="1" applyBorder="1"/>
    <xf numFmtId="0" fontId="12" fillId="0" borderId="0" xfId="2" applyFont="1" applyAlignment="1">
      <alignment vertical="center"/>
    </xf>
    <xf numFmtId="0" fontId="26" fillId="2" borderId="1" xfId="2" applyFont="1" applyFill="1" applyBorder="1" applyAlignment="1">
      <alignment horizontal="center" vertical="center"/>
    </xf>
    <xf numFmtId="3" fontId="26" fillId="2" borderId="1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3" fontId="12" fillId="0" borderId="0" xfId="2" applyNumberFormat="1" applyFont="1"/>
    <xf numFmtId="0" fontId="26" fillId="0" borderId="0" xfId="2" applyFont="1" applyBorder="1" applyAlignment="1">
      <alignment vertical="center"/>
    </xf>
    <xf numFmtId="0" fontId="38" fillId="0" borderId="0" xfId="49" applyFont="1"/>
    <xf numFmtId="0" fontId="34" fillId="0" borderId="0" xfId="49" applyFont="1"/>
    <xf numFmtId="0" fontId="26" fillId="2" borderId="3" xfId="2" applyFont="1" applyFill="1" applyBorder="1" applyAlignment="1">
      <alignment horizontal="center" vertical="center"/>
    </xf>
    <xf numFmtId="3" fontId="38" fillId="0" borderId="0" xfId="49" applyNumberFormat="1" applyFont="1"/>
    <xf numFmtId="3" fontId="34" fillId="0" borderId="0" xfId="49" applyNumberFormat="1" applyFont="1"/>
    <xf numFmtId="3" fontId="26" fillId="2" borderId="1" xfId="2" applyNumberFormat="1" applyFont="1" applyFill="1" applyBorder="1" applyAlignment="1">
      <alignment horizontal="right" vertical="center"/>
    </xf>
    <xf numFmtId="0" fontId="17" fillId="0" borderId="0" xfId="2" applyFont="1" applyAlignment="1">
      <alignment horizontal="center" vertical="center"/>
    </xf>
    <xf numFmtId="3" fontId="17" fillId="0" borderId="0" xfId="2" applyNumberFormat="1" applyFont="1" applyAlignment="1">
      <alignment horizontal="right" vertical="center"/>
    </xf>
    <xf numFmtId="3" fontId="34" fillId="0" borderId="0" xfId="48" applyNumberFormat="1" applyFont="1"/>
    <xf numFmtId="3" fontId="12" fillId="0" borderId="3" xfId="2" applyNumberFormat="1" applyFont="1" applyBorder="1" applyAlignment="1">
      <alignment horizontal="right"/>
    </xf>
    <xf numFmtId="3" fontId="29" fillId="18" borderId="3" xfId="2" applyNumberFormat="1" applyFont="1" applyFill="1" applyBorder="1" applyAlignment="1">
      <alignment horizontal="right"/>
    </xf>
    <xf numFmtId="3" fontId="12" fillId="0" borderId="0" xfId="2" applyNumberFormat="1" applyFont="1" applyAlignment="1">
      <alignment vertical="center"/>
    </xf>
    <xf numFmtId="3" fontId="26" fillId="2" borderId="2" xfId="0" applyNumberFormat="1" applyFont="1" applyFill="1" applyBorder="1" applyAlignment="1">
      <alignment vertical="center"/>
    </xf>
    <xf numFmtId="3" fontId="17" fillId="21" borderId="3" xfId="0" applyNumberFormat="1" applyFont="1" applyFill="1" applyBorder="1" applyAlignment="1">
      <alignment horizontal="right"/>
    </xf>
    <xf numFmtId="0" fontId="12" fillId="0" borderId="3" xfId="0" applyFont="1" applyBorder="1" applyAlignment="1">
      <alignment horizontal="left"/>
    </xf>
    <xf numFmtId="3" fontId="12" fillId="0" borderId="3" xfId="0" applyNumberFormat="1" applyFont="1" applyBorder="1" applyAlignment="1" applyProtection="1">
      <alignment horizontal="right"/>
      <protection locked="0"/>
    </xf>
    <xf numFmtId="3" fontId="12" fillId="0" borderId="4" xfId="0" applyNumberFormat="1" applyFont="1" applyBorder="1" applyAlignment="1" applyProtection="1">
      <alignment horizontal="right"/>
      <protection locked="0"/>
    </xf>
    <xf numFmtId="0" fontId="17" fillId="21" borderId="3" xfId="0" applyFont="1" applyFill="1" applyBorder="1" applyAlignment="1">
      <alignment horizontal="left" vertical="center" wrapText="1"/>
    </xf>
    <xf numFmtId="3" fontId="17" fillId="21" borderId="3" xfId="0" applyNumberFormat="1" applyFont="1" applyFill="1" applyBorder="1"/>
    <xf numFmtId="0" fontId="17" fillId="21" borderId="5" xfId="0" applyFont="1" applyFill="1" applyBorder="1" applyAlignment="1">
      <alignment horizontal="left" vertical="center" wrapText="1"/>
    </xf>
    <xf numFmtId="3" fontId="17" fillId="21" borderId="5" xfId="0" applyNumberFormat="1" applyFont="1" applyFill="1" applyBorder="1"/>
    <xf numFmtId="0" fontId="26" fillId="2" borderId="8" xfId="0" applyFont="1" applyFill="1" applyBorder="1" applyAlignment="1">
      <alignment horizontal="center" vertical="center"/>
    </xf>
    <xf numFmtId="3" fontId="17" fillId="21" borderId="9" xfId="0" applyNumberFormat="1" applyFont="1" applyFill="1" applyBorder="1"/>
    <xf numFmtId="3" fontId="12" fillId="0" borderId="9" xfId="0" applyNumberFormat="1" applyFont="1" applyBorder="1"/>
    <xf numFmtId="3" fontId="17" fillId="21" borderId="10" xfId="0" applyNumberFormat="1" applyFont="1" applyFill="1" applyBorder="1"/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6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7" fillId="21" borderId="3" xfId="0" applyNumberFormat="1" applyFont="1" applyFill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0" fontId="14" fillId="0" borderId="0" xfId="0" applyFont="1"/>
    <xf numFmtId="0" fontId="26" fillId="7" borderId="0" xfId="0" applyFont="1" applyFill="1" applyAlignment="1">
      <alignment horizontal="left" vertical="center"/>
    </xf>
    <xf numFmtId="3" fontId="12" fillId="9" borderId="0" xfId="0" applyNumberFormat="1" applyFont="1" applyFill="1" applyAlignment="1">
      <alignment horizontal="right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left" vertical="center"/>
    </xf>
    <xf numFmtId="0" fontId="26" fillId="2" borderId="9" xfId="0" applyFont="1" applyFill="1" applyBorder="1" applyAlignment="1">
      <alignment horizontal="center" vertical="center"/>
    </xf>
    <xf numFmtId="0" fontId="17" fillId="17" borderId="3" xfId="0" applyFont="1" applyFill="1" applyBorder="1" applyAlignment="1">
      <alignment horizontal="left" vertical="center" wrapText="1"/>
    </xf>
    <xf numFmtId="3" fontId="17" fillId="17" borderId="9" xfId="0" applyNumberFormat="1" applyFont="1" applyFill="1" applyBorder="1"/>
    <xf numFmtId="0" fontId="26" fillId="2" borderId="4" xfId="0" applyFont="1" applyFill="1" applyBorder="1" applyAlignment="1">
      <alignment horizontal="left" vertical="center" wrapText="1"/>
    </xf>
    <xf numFmtId="3" fontId="26" fillId="2" borderId="11" xfId="0" applyNumberFormat="1" applyFont="1" applyFill="1" applyBorder="1" applyAlignment="1">
      <alignment vertical="center"/>
    </xf>
    <xf numFmtId="3" fontId="17" fillId="17" borderId="3" xfId="0" applyNumberFormat="1" applyFont="1" applyFill="1" applyBorder="1" applyAlignment="1">
      <alignment vertical="center"/>
    </xf>
    <xf numFmtId="3" fontId="17" fillId="17" borderId="9" xfId="0" applyNumberFormat="1" applyFont="1" applyFill="1" applyBorder="1" applyAlignment="1">
      <alignment vertical="center"/>
    </xf>
    <xf numFmtId="3" fontId="12" fillId="9" borderId="0" xfId="0" applyNumberFormat="1" applyFont="1" applyFill="1" applyAlignment="1">
      <alignment horizontal="right"/>
    </xf>
    <xf numFmtId="0" fontId="37" fillId="2" borderId="4" xfId="0" applyFont="1" applyFill="1" applyBorder="1" applyAlignment="1">
      <alignment horizontal="left" vertical="center" wrapText="1"/>
    </xf>
    <xf numFmtId="3" fontId="37" fillId="2" borderId="4" xfId="0" applyNumberFormat="1" applyFont="1" applyFill="1" applyBorder="1" applyAlignment="1">
      <alignment vertical="center"/>
    </xf>
    <xf numFmtId="3" fontId="37" fillId="2" borderId="11" xfId="0" applyNumberFormat="1" applyFont="1" applyFill="1" applyBorder="1" applyAlignment="1">
      <alignment vertical="center"/>
    </xf>
    <xf numFmtId="3" fontId="17" fillId="17" borderId="3" xfId="0" applyNumberFormat="1" applyFont="1" applyFill="1" applyBorder="1" applyAlignment="1">
      <alignment horizontal="right" vertical="center"/>
    </xf>
    <xf numFmtId="3" fontId="26" fillId="2" borderId="4" xfId="0" applyNumberFormat="1" applyFont="1" applyFill="1" applyBorder="1" applyAlignment="1">
      <alignment horizontal="right" vertical="center"/>
    </xf>
    <xf numFmtId="3" fontId="26" fillId="7" borderId="0" xfId="0" applyNumberFormat="1" applyFont="1" applyFill="1" applyAlignment="1">
      <alignment horizontal="right" vertical="center"/>
    </xf>
    <xf numFmtId="3" fontId="29" fillId="7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center" vertical="center" wrapText="1"/>
    </xf>
    <xf numFmtId="3" fontId="29" fillId="7" borderId="0" xfId="0" applyNumberFormat="1" applyFont="1" applyFill="1" applyAlignment="1">
      <alignment horizontal="right" vertical="center"/>
    </xf>
    <xf numFmtId="0" fontId="39" fillId="2" borderId="2" xfId="0" applyFont="1" applyFill="1" applyBorder="1" applyAlignment="1">
      <alignment horizontal="left" vertical="center"/>
    </xf>
    <xf numFmtId="0" fontId="39" fillId="2" borderId="1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/>
    </xf>
    <xf numFmtId="0" fontId="19" fillId="17" borderId="3" xfId="0" applyFont="1" applyFill="1" applyBorder="1" applyAlignment="1">
      <alignment horizontal="left" vertical="center" wrapText="1"/>
    </xf>
    <xf numFmtId="3" fontId="19" fillId="17" borderId="3" xfId="0" applyNumberFormat="1" applyFont="1" applyFill="1" applyBorder="1"/>
    <xf numFmtId="3" fontId="19" fillId="17" borderId="9" xfId="0" applyNumberFormat="1" applyFont="1" applyFill="1" applyBorder="1"/>
    <xf numFmtId="0" fontId="18" fillId="0" borderId="3" xfId="0" applyFont="1" applyBorder="1" applyAlignment="1">
      <alignment horizontal="left" vertical="center" wrapText="1"/>
    </xf>
    <xf numFmtId="3" fontId="18" fillId="0" borderId="3" xfId="0" applyNumberFormat="1" applyFont="1" applyBorder="1"/>
    <xf numFmtId="3" fontId="18" fillId="0" borderId="9" xfId="0" applyNumberFormat="1" applyFont="1" applyBorder="1"/>
    <xf numFmtId="3" fontId="19" fillId="17" borderId="3" xfId="0" applyNumberFormat="1" applyFont="1" applyFill="1" applyBorder="1" applyAlignment="1">
      <alignment vertical="center"/>
    </xf>
    <xf numFmtId="3" fontId="19" fillId="17" borderId="9" xfId="0" applyNumberFormat="1" applyFont="1" applyFill="1" applyBorder="1" applyAlignment="1">
      <alignment vertical="center"/>
    </xf>
    <xf numFmtId="0" fontId="39" fillId="2" borderId="4" xfId="0" applyFont="1" applyFill="1" applyBorder="1" applyAlignment="1">
      <alignment horizontal="left" vertical="center" wrapText="1"/>
    </xf>
    <xf numFmtId="3" fontId="39" fillId="2" borderId="4" xfId="0" applyNumberFormat="1" applyFont="1" applyFill="1" applyBorder="1" applyAlignment="1">
      <alignment vertical="center"/>
    </xf>
    <xf numFmtId="3" fontId="39" fillId="2" borderId="11" xfId="0" applyNumberFormat="1" applyFont="1" applyFill="1" applyBorder="1" applyAlignment="1">
      <alignment vertical="center"/>
    </xf>
    <xf numFmtId="3" fontId="16" fillId="7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3" fontId="26" fillId="2" borderId="4" xfId="0" applyNumberFormat="1" applyFont="1" applyFill="1" applyBorder="1"/>
    <xf numFmtId="0" fontId="17" fillId="17" borderId="5" xfId="0" applyFont="1" applyFill="1" applyBorder="1" applyAlignment="1">
      <alignment horizontal="left" vertical="center" wrapText="1"/>
    </xf>
    <xf numFmtId="3" fontId="17" fillId="17" borderId="10" xfId="0" applyNumberFormat="1" applyFont="1" applyFill="1" applyBorder="1"/>
    <xf numFmtId="0" fontId="13" fillId="0" borderId="0" xfId="11" applyFont="1"/>
    <xf numFmtId="0" fontId="13" fillId="0" borderId="0" xfId="11" applyFont="1" applyAlignment="1">
      <alignment horizontal="center"/>
    </xf>
    <xf numFmtId="0" fontId="12" fillId="0" borderId="0" xfId="11" applyFont="1" applyAlignment="1">
      <alignment horizontal="right" vertical="center"/>
    </xf>
    <xf numFmtId="0" fontId="12" fillId="0" borderId="0" xfId="11" applyFont="1" applyAlignment="1">
      <alignment horizontal="center"/>
    </xf>
    <xf numFmtId="0" fontId="12" fillId="0" borderId="0" xfId="11" applyFont="1"/>
    <xf numFmtId="0" fontId="26" fillId="2" borderId="13" xfId="11" applyFont="1" applyFill="1" applyBorder="1" applyAlignment="1">
      <alignment horizontal="center" vertical="center"/>
    </xf>
    <xf numFmtId="0" fontId="26" fillId="2" borderId="13" xfId="11" applyFont="1" applyFill="1" applyBorder="1" applyAlignment="1">
      <alignment vertical="center"/>
    </xf>
    <xf numFmtId="0" fontId="26" fillId="2" borderId="13" xfId="12" applyFont="1" applyFill="1" applyBorder="1" applyAlignment="1">
      <alignment horizontal="center" vertical="center" wrapText="1"/>
    </xf>
    <xf numFmtId="0" fontId="12" fillId="0" borderId="3" xfId="11" applyFont="1" applyBorder="1" applyAlignment="1">
      <alignment horizontal="center"/>
    </xf>
    <xf numFmtId="0" fontId="4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2" fillId="31" borderId="4" xfId="11" applyFont="1" applyFill="1" applyBorder="1"/>
    <xf numFmtId="0" fontId="26" fillId="2" borderId="4" xfId="11" applyFont="1" applyFill="1" applyBorder="1" applyAlignment="1">
      <alignment vertical="center"/>
    </xf>
    <xf numFmtId="0" fontId="21" fillId="9" borderId="14" xfId="0" applyFont="1" applyFill="1" applyBorder="1" applyAlignment="1">
      <alignment horizontal="left"/>
    </xf>
    <xf numFmtId="0" fontId="21" fillId="9" borderId="3" xfId="0" applyFont="1" applyFill="1" applyBorder="1" applyAlignment="1">
      <alignment horizontal="left"/>
    </xf>
    <xf numFmtId="0" fontId="13" fillId="0" borderId="0" xfId="11" applyFont="1" applyAlignment="1">
      <alignment vertical="center"/>
    </xf>
    <xf numFmtId="0" fontId="42" fillId="4" borderId="0" xfId="11" applyFont="1" applyFill="1" applyAlignment="1">
      <alignment horizontal="left" vertical="center"/>
    </xf>
    <xf numFmtId="3" fontId="26" fillId="2" borderId="4" xfId="11" applyNumberFormat="1" applyFont="1" applyFill="1" applyBorder="1" applyAlignment="1">
      <alignment horizontal="right" vertical="center"/>
    </xf>
    <xf numFmtId="0" fontId="43" fillId="4" borderId="0" xfId="11" applyFont="1" applyFill="1" applyAlignment="1">
      <alignment horizontal="left" vertical="center"/>
    </xf>
    <xf numFmtId="4" fontId="13" fillId="0" borderId="0" xfId="0" applyNumberFormat="1" applyFont="1" applyAlignment="1">
      <alignment vertical="center"/>
    </xf>
    <xf numFmtId="4" fontId="26" fillId="2" borderId="13" xfId="12" applyNumberFormat="1" applyFont="1" applyFill="1" applyBorder="1" applyAlignment="1">
      <alignment horizontal="center" vertical="center" wrapText="1"/>
    </xf>
    <xf numFmtId="0" fontId="21" fillId="9" borderId="3" xfId="11" applyFont="1" applyFill="1" applyBorder="1" applyAlignment="1">
      <alignment horizontal="center" vertical="center" wrapText="1"/>
    </xf>
    <xf numFmtId="3" fontId="21" fillId="9" borderId="3" xfId="0" applyNumberFormat="1" applyFont="1" applyFill="1" applyBorder="1"/>
    <xf numFmtId="0" fontId="21" fillId="9" borderId="3" xfId="28" applyFont="1" applyFill="1" applyBorder="1" applyAlignment="1">
      <alignment horizontal="center" vertical="center"/>
    </xf>
    <xf numFmtId="0" fontId="34" fillId="0" borderId="0" xfId="28" applyFont="1"/>
    <xf numFmtId="4" fontId="34" fillId="0" borderId="0" xfId="28" applyNumberFormat="1" applyFont="1"/>
    <xf numFmtId="164" fontId="26" fillId="6" borderId="13" xfId="28" applyNumberFormat="1" applyFont="1" applyFill="1" applyBorder="1" applyAlignment="1">
      <alignment horizontal="center" vertical="center"/>
    </xf>
    <xf numFmtId="0" fontId="26" fillId="6" borderId="13" xfId="28" applyFont="1" applyFill="1" applyBorder="1" applyAlignment="1">
      <alignment horizontal="center" vertical="center"/>
    </xf>
    <xf numFmtId="4" fontId="26" fillId="15" borderId="13" xfId="1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shrinkToFit="1"/>
    </xf>
    <xf numFmtId="168" fontId="13" fillId="0" borderId="0" xfId="0" applyNumberFormat="1" applyFont="1"/>
    <xf numFmtId="3" fontId="21" fillId="9" borderId="0" xfId="39" applyNumberFormat="1" applyFont="1" applyFill="1" applyAlignment="1">
      <alignment vertical="center"/>
    </xf>
    <xf numFmtId="0" fontId="26" fillId="6" borderId="4" xfId="28" applyFont="1" applyFill="1" applyBorder="1" applyAlignment="1">
      <alignment horizontal="left" vertical="center" wrapText="1"/>
    </xf>
    <xf numFmtId="3" fontId="26" fillId="6" borderId="4" xfId="28" applyNumberFormat="1" applyFont="1" applyFill="1" applyBorder="1" applyAlignment="1">
      <alignment vertical="center"/>
    </xf>
    <xf numFmtId="165" fontId="12" fillId="0" borderId="0" xfId="0" applyNumberFormat="1" applyFont="1" applyAlignment="1">
      <alignment horizontal="left"/>
    </xf>
    <xf numFmtId="4" fontId="13" fillId="0" borderId="0" xfId="0" applyNumberFormat="1" applyFont="1"/>
    <xf numFmtId="0" fontId="13" fillId="0" borderId="0" xfId="0" applyFont="1" applyAlignment="1">
      <alignment horizontal="center"/>
    </xf>
    <xf numFmtId="0" fontId="26" fillId="6" borderId="15" xfId="28" applyFont="1" applyFill="1" applyBorder="1" applyAlignment="1">
      <alignment horizontal="left" vertical="center" wrapText="1"/>
    </xf>
    <xf numFmtId="3" fontId="21" fillId="9" borderId="14" xfId="0" applyNumberFormat="1" applyFont="1" applyFill="1" applyBorder="1"/>
    <xf numFmtId="0" fontId="13" fillId="0" borderId="0" xfId="12" applyFont="1"/>
    <xf numFmtId="4" fontId="13" fillId="0" borderId="0" xfId="12" applyNumberFormat="1" applyFont="1" applyAlignment="1">
      <alignment horizontal="right"/>
    </xf>
    <xf numFmtId="4" fontId="12" fillId="0" borderId="0" xfId="12" applyNumberFormat="1" applyFont="1" applyAlignment="1">
      <alignment horizontal="right"/>
    </xf>
    <xf numFmtId="0" fontId="13" fillId="0" borderId="0" xfId="12" applyFont="1" applyAlignment="1">
      <alignment horizontal="center"/>
    </xf>
    <xf numFmtId="4" fontId="18" fillId="0" borderId="0" xfId="12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26" fillId="2" borderId="13" xfId="12" applyFont="1" applyFill="1" applyBorder="1" applyAlignment="1">
      <alignment vertical="center"/>
    </xf>
    <xf numFmtId="0" fontId="12" fillId="9" borderId="3" xfId="12" applyFont="1" applyFill="1" applyBorder="1" applyAlignment="1">
      <alignment horizontal="center" vertical="center" wrapText="1"/>
    </xf>
    <xf numFmtId="0" fontId="26" fillId="2" borderId="4" xfId="12" applyFont="1" applyFill="1" applyBorder="1" applyAlignment="1">
      <alignment horizontal="left" vertical="center"/>
    </xf>
    <xf numFmtId="3" fontId="26" fillId="2" borderId="4" xfId="12" applyNumberFormat="1" applyFont="1" applyFill="1" applyBorder="1" applyAlignment="1">
      <alignment horizontal="right" vertical="center"/>
    </xf>
    <xf numFmtId="0" fontId="13" fillId="0" borderId="0" xfId="31" applyFont="1"/>
    <xf numFmtId="4" fontId="13" fillId="0" borderId="0" xfId="31" applyNumberFormat="1" applyFont="1" applyAlignment="1">
      <alignment horizontal="right"/>
    </xf>
    <xf numFmtId="0" fontId="34" fillId="0" borderId="0" xfId="12" applyFont="1"/>
    <xf numFmtId="4" fontId="34" fillId="0" borderId="0" xfId="12" applyNumberFormat="1" applyFont="1"/>
    <xf numFmtId="0" fontId="13" fillId="0" borderId="0" xfId="33" applyFont="1"/>
    <xf numFmtId="4" fontId="13" fillId="0" borderId="0" xfId="33" applyNumberFormat="1" applyFont="1" applyAlignment="1">
      <alignment horizontal="right"/>
    </xf>
    <xf numFmtId="0" fontId="34" fillId="0" borderId="0" xfId="31" applyFont="1"/>
    <xf numFmtId="4" fontId="34" fillId="0" borderId="0" xfId="31" applyNumberFormat="1" applyFont="1"/>
    <xf numFmtId="0" fontId="26" fillId="2" borderId="13" xfId="12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33" fillId="26" borderId="3" xfId="0" applyFont="1" applyFill="1" applyBorder="1" applyAlignment="1">
      <alignment horizontal="center" vertical="center"/>
    </xf>
    <xf numFmtId="0" fontId="33" fillId="26" borderId="3" xfId="0" applyFont="1" applyFill="1" applyBorder="1" applyAlignment="1">
      <alignment vertical="center"/>
    </xf>
    <xf numFmtId="3" fontId="33" fillId="26" borderId="3" xfId="0" applyNumberFormat="1" applyFont="1" applyFill="1" applyBorder="1" applyAlignment="1">
      <alignment horizontal="right" vertical="center"/>
    </xf>
    <xf numFmtId="3" fontId="21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4" fontId="21" fillId="0" borderId="0" xfId="0" applyNumberFormat="1" applyFont="1" applyAlignment="1">
      <alignment horizontal="center" wrapText="1"/>
    </xf>
    <xf numFmtId="0" fontId="46" fillId="0" borderId="0" xfId="0" applyFont="1" applyAlignment="1">
      <alignment horizontal="center" vertical="center"/>
    </xf>
    <xf numFmtId="4" fontId="21" fillId="0" borderId="0" xfId="0" applyNumberFormat="1" applyFont="1" applyAlignment="1">
      <alignment vertical="center"/>
    </xf>
    <xf numFmtId="4" fontId="46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48" fillId="0" borderId="12" xfId="0" applyFont="1" applyBorder="1" applyAlignment="1">
      <alignment horizontal="center"/>
    </xf>
    <xf numFmtId="14" fontId="48" fillId="0" borderId="12" xfId="0" applyNumberFormat="1" applyFont="1" applyBorder="1" applyAlignment="1">
      <alignment horizontal="center"/>
    </xf>
    <xf numFmtId="14" fontId="48" fillId="0" borderId="22" xfId="0" applyNumberFormat="1" applyFont="1" applyBorder="1" applyAlignment="1">
      <alignment horizontal="center"/>
    </xf>
    <xf numFmtId="14" fontId="48" fillId="0" borderId="23" xfId="0" applyNumberFormat="1" applyFont="1" applyBorder="1" applyAlignment="1">
      <alignment horizontal="center"/>
    </xf>
    <xf numFmtId="0" fontId="48" fillId="0" borderId="25" xfId="0" applyFont="1" applyBorder="1" applyAlignment="1">
      <alignment horizontal="center"/>
    </xf>
    <xf numFmtId="14" fontId="48" fillId="0" borderId="21" xfId="0" applyNumberFormat="1" applyFont="1" applyBorder="1" applyAlignment="1">
      <alignment horizontal="center"/>
    </xf>
    <xf numFmtId="14" fontId="48" fillId="0" borderId="25" xfId="0" applyNumberFormat="1" applyFont="1" applyBorder="1" applyAlignment="1">
      <alignment horizontal="center"/>
    </xf>
    <xf numFmtId="14" fontId="48" fillId="0" borderId="25" xfId="0" applyNumberFormat="1" applyFont="1" applyBorder="1" applyAlignment="1">
      <alignment horizontal="center" vertical="center"/>
    </xf>
    <xf numFmtId="14" fontId="48" fillId="0" borderId="22" xfId="0" applyNumberFormat="1" applyFont="1" applyBorder="1" applyAlignment="1">
      <alignment horizontal="center" vertical="center"/>
    </xf>
    <xf numFmtId="14" fontId="48" fillId="0" borderId="21" xfId="0" applyNumberFormat="1" applyFont="1" applyBorder="1" applyAlignment="1">
      <alignment horizontal="center" vertical="center"/>
    </xf>
    <xf numFmtId="14" fontId="48" fillId="0" borderId="12" xfId="0" applyNumberFormat="1" applyFont="1" applyBorder="1" applyAlignment="1">
      <alignment horizontal="center" vertical="center"/>
    </xf>
    <xf numFmtId="14" fontId="48" fillId="0" borderId="23" xfId="0" applyNumberFormat="1" applyFont="1" applyBorder="1" applyAlignment="1">
      <alignment horizontal="center" vertical="center"/>
    </xf>
    <xf numFmtId="14" fontId="48" fillId="0" borderId="24" xfId="0" applyNumberFormat="1" applyFont="1" applyBorder="1" applyAlignment="1">
      <alignment horizontal="center" vertical="center"/>
    </xf>
    <xf numFmtId="14" fontId="48" fillId="0" borderId="26" xfId="0" applyNumberFormat="1" applyFont="1" applyBorder="1" applyAlignment="1">
      <alignment horizontal="center" vertical="center"/>
    </xf>
    <xf numFmtId="0" fontId="13" fillId="0" borderId="0" xfId="38" applyFont="1" applyAlignment="1">
      <alignment vertical="center"/>
    </xf>
    <xf numFmtId="4" fontId="13" fillId="0" borderId="0" xfId="38" applyNumberFormat="1" applyFont="1" applyAlignment="1">
      <alignment vertical="center"/>
    </xf>
    <xf numFmtId="4" fontId="12" fillId="0" borderId="0" xfId="38" applyNumberFormat="1" applyFont="1" applyAlignment="1">
      <alignment horizontal="right" vertical="center"/>
    </xf>
    <xf numFmtId="0" fontId="18" fillId="0" borderId="0" xfId="38" applyFont="1" applyAlignment="1">
      <alignment horizontal="center" vertical="center"/>
    </xf>
    <xf numFmtId="0" fontId="18" fillId="0" borderId="0" xfId="38" applyFont="1" applyAlignment="1">
      <alignment vertical="center"/>
    </xf>
    <xf numFmtId="4" fontId="18" fillId="0" borderId="0" xfId="38" applyNumberFormat="1" applyFont="1" applyAlignment="1">
      <alignment vertical="center"/>
    </xf>
    <xf numFmtId="0" fontId="26" fillId="2" borderId="2" xfId="38" applyFont="1" applyFill="1" applyBorder="1" applyAlignment="1">
      <alignment horizontal="center" vertical="center"/>
    </xf>
    <xf numFmtId="0" fontId="26" fillId="2" borderId="2" xfId="38" applyFont="1" applyFill="1" applyBorder="1" applyAlignment="1">
      <alignment vertical="center"/>
    </xf>
    <xf numFmtId="4" fontId="26" fillId="2" borderId="2" xfId="38" applyNumberFormat="1" applyFont="1" applyFill="1" applyBorder="1" applyAlignment="1">
      <alignment horizontal="center" vertical="center" wrapText="1"/>
    </xf>
    <xf numFmtId="4" fontId="17" fillId="3" borderId="3" xfId="38" applyNumberFormat="1" applyFont="1" applyFill="1" applyBorder="1" applyAlignment="1">
      <alignment vertical="center"/>
    </xf>
    <xf numFmtId="0" fontId="34" fillId="0" borderId="0" xfId="38" applyFont="1" applyAlignment="1">
      <alignment vertical="center"/>
    </xf>
    <xf numFmtId="0" fontId="49" fillId="0" borderId="0" xfId="38" applyFont="1" applyAlignment="1">
      <alignment vertical="center"/>
    </xf>
    <xf numFmtId="4" fontId="29" fillId="16" borderId="3" xfId="38" applyNumberFormat="1" applyFont="1" applyFill="1" applyBorder="1" applyAlignment="1">
      <alignment vertical="center"/>
    </xf>
    <xf numFmtId="4" fontId="38" fillId="9" borderId="3" xfId="38" applyNumberFormat="1" applyFont="1" applyFill="1" applyBorder="1" applyAlignment="1">
      <alignment vertical="center"/>
    </xf>
    <xf numFmtId="4" fontId="38" fillId="9" borderId="3" xfId="38" applyNumberFormat="1" applyFont="1" applyFill="1" applyBorder="1" applyAlignment="1">
      <alignment horizontal="right" vertical="center"/>
    </xf>
    <xf numFmtId="4" fontId="21" fillId="9" borderId="3" xfId="38" applyNumberFormat="1" applyFont="1" applyFill="1" applyBorder="1" applyAlignment="1">
      <alignment vertical="center"/>
    </xf>
    <xf numFmtId="4" fontId="26" fillId="2" borderId="15" xfId="38" applyNumberFormat="1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51" fillId="0" borderId="0" xfId="0" applyFont="1"/>
    <xf numFmtId="4" fontId="18" fillId="0" borderId="0" xfId="0" applyNumberFormat="1" applyFont="1"/>
    <xf numFmtId="0" fontId="49" fillId="0" borderId="0" xfId="0" applyFont="1" applyAlignment="1">
      <alignment vertical="center"/>
    </xf>
    <xf numFmtId="4" fontId="12" fillId="0" borderId="0" xfId="0" applyNumberFormat="1" applyFont="1" applyAlignment="1">
      <alignment horizontal="right" textRotation="180"/>
    </xf>
    <xf numFmtId="0" fontId="49" fillId="0" borderId="0" xfId="0" applyFont="1"/>
    <xf numFmtId="0" fontId="26" fillId="2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center"/>
    </xf>
    <xf numFmtId="4" fontId="26" fillId="2" borderId="13" xfId="0" applyNumberFormat="1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vertical="center"/>
    </xf>
    <xf numFmtId="4" fontId="26" fillId="2" borderId="15" xfId="0" applyNumberFormat="1" applyFont="1" applyFill="1" applyBorder="1" applyAlignment="1">
      <alignment vertical="center"/>
    </xf>
    <xf numFmtId="0" fontId="12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4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1" fillId="34" borderId="2" xfId="0" applyFont="1" applyFill="1" applyBorder="1"/>
    <xf numFmtId="0" fontId="29" fillId="34" borderId="2" xfId="0" applyFont="1" applyFill="1" applyBorder="1" applyAlignment="1">
      <alignment horizontal="center"/>
    </xf>
    <xf numFmtId="0" fontId="17" fillId="0" borderId="3" xfId="0" applyFont="1" applyBorder="1"/>
    <xf numFmtId="3" fontId="12" fillId="11" borderId="3" xfId="0" applyNumberFormat="1" applyFont="1" applyFill="1" applyBorder="1" applyAlignment="1">
      <alignment horizontal="right"/>
    </xf>
    <xf numFmtId="3" fontId="12" fillId="35" borderId="3" xfId="0" applyNumberFormat="1" applyFont="1" applyFill="1" applyBorder="1" applyAlignment="1">
      <alignment horizontal="right"/>
    </xf>
    <xf numFmtId="3" fontId="17" fillId="11" borderId="3" xfId="0" applyNumberFormat="1" applyFont="1" applyFill="1" applyBorder="1" applyAlignment="1">
      <alignment horizontal="right"/>
    </xf>
    <xf numFmtId="3" fontId="17" fillId="0" borderId="3" xfId="0" applyNumberFormat="1" applyFont="1" applyBorder="1" applyAlignment="1">
      <alignment horizontal="right"/>
    </xf>
    <xf numFmtId="3" fontId="17" fillId="35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10" fontId="17" fillId="11" borderId="3" xfId="0" applyNumberFormat="1" applyFont="1" applyFill="1" applyBorder="1" applyAlignment="1">
      <alignment horizontal="right" vertical="center"/>
    </xf>
    <xf numFmtId="10" fontId="17" fillId="0" borderId="3" xfId="0" applyNumberFormat="1" applyFont="1" applyBorder="1" applyAlignment="1">
      <alignment horizontal="right" vertical="center"/>
    </xf>
    <xf numFmtId="10" fontId="17" fillId="35" borderId="3" xfId="0" applyNumberFormat="1" applyFont="1" applyFill="1" applyBorder="1" applyAlignment="1">
      <alignment horizontal="right" vertical="center"/>
    </xf>
    <xf numFmtId="3" fontId="17" fillId="11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35" borderId="3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vertical="center" wrapText="1"/>
    </xf>
    <xf numFmtId="10" fontId="17" fillId="11" borderId="4" xfId="0" applyNumberFormat="1" applyFont="1" applyFill="1" applyBorder="1" applyAlignment="1">
      <alignment horizontal="right" vertical="center"/>
    </xf>
    <xf numFmtId="10" fontId="17" fillId="0" borderId="4" xfId="0" applyNumberFormat="1" applyFont="1" applyBorder="1" applyAlignment="1">
      <alignment horizontal="right" vertical="center"/>
    </xf>
    <xf numFmtId="10" fontId="17" fillId="35" borderId="4" xfId="0" applyNumberFormat="1" applyFont="1" applyFill="1" applyBorder="1" applyAlignment="1">
      <alignment horizontal="right" vertical="center"/>
    </xf>
    <xf numFmtId="0" fontId="52" fillId="0" borderId="0" xfId="0" applyFont="1"/>
    <xf numFmtId="10" fontId="13" fillId="0" borderId="0" xfId="0" applyNumberFormat="1" applyFont="1" applyAlignment="1">
      <alignment horizontal="right"/>
    </xf>
    <xf numFmtId="0" fontId="53" fillId="0" borderId="0" xfId="0" applyFont="1" applyAlignment="1">
      <alignment wrapText="1"/>
    </xf>
    <xf numFmtId="0" fontId="53" fillId="0" borderId="0" xfId="0" applyFont="1" applyAlignment="1">
      <alignment vertical="center" wrapText="1"/>
    </xf>
    <xf numFmtId="0" fontId="55" fillId="0" borderId="0" xfId="0" applyFont="1"/>
    <xf numFmtId="0" fontId="13" fillId="0" borderId="0" xfId="37" applyFont="1"/>
    <xf numFmtId="0" fontId="13" fillId="0" borderId="0" xfId="37" applyFont="1" applyAlignment="1">
      <alignment horizontal="right"/>
    </xf>
    <xf numFmtId="0" fontId="34" fillId="0" borderId="0" xfId="37" applyFont="1"/>
    <xf numFmtId="0" fontId="13" fillId="0" borderId="0" xfId="37" applyFont="1" applyAlignment="1">
      <alignment vertical="center"/>
    </xf>
    <xf numFmtId="0" fontId="12" fillId="0" borderId="0" xfId="37" applyFont="1"/>
    <xf numFmtId="0" fontId="13" fillId="0" borderId="0" xfId="36" applyFont="1"/>
    <xf numFmtId="0" fontId="18" fillId="0" borderId="0" xfId="36" applyFont="1"/>
    <xf numFmtId="167" fontId="13" fillId="0" borderId="0" xfId="36" applyNumberFormat="1" applyFont="1"/>
    <xf numFmtId="4" fontId="13" fillId="0" borderId="0" xfId="36" applyNumberFormat="1" applyFont="1"/>
    <xf numFmtId="0" fontId="12" fillId="0" borderId="0" xfId="0" applyFont="1" applyAlignment="1">
      <alignment horizontal="justify" vertical="center"/>
    </xf>
    <xf numFmtId="0" fontId="29" fillId="32" borderId="2" xfId="0" applyFont="1" applyFill="1" applyBorder="1" applyAlignment="1">
      <alignment horizontal="center" vertical="center" wrapText="1"/>
    </xf>
    <xf numFmtId="0" fontId="29" fillId="32" borderId="2" xfId="0" applyFont="1" applyFill="1" applyBorder="1" applyAlignment="1">
      <alignment horizontal="center" vertical="center"/>
    </xf>
    <xf numFmtId="0" fontId="12" fillId="33" borderId="3" xfId="0" applyFont="1" applyFill="1" applyBorder="1" applyAlignment="1">
      <alignment horizontal="center" vertical="center"/>
    </xf>
    <xf numFmtId="0" fontId="17" fillId="33" borderId="3" xfId="0" applyFont="1" applyFill="1" applyBorder="1" applyAlignment="1">
      <alignment vertical="center"/>
    </xf>
    <xf numFmtId="3" fontId="17" fillId="33" borderId="3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21" fillId="32" borderId="3" xfId="0" applyFont="1" applyFill="1" applyBorder="1" applyAlignment="1">
      <alignment horizontal="center" vertical="center"/>
    </xf>
    <xf numFmtId="0" fontId="29" fillId="32" borderId="3" xfId="0" applyFont="1" applyFill="1" applyBorder="1" applyAlignment="1">
      <alignment vertical="center"/>
    </xf>
    <xf numFmtId="3" fontId="29" fillId="32" borderId="3" xfId="0" applyNumberFormat="1" applyFont="1" applyFill="1" applyBorder="1" applyAlignment="1">
      <alignment horizontal="right" vertical="center"/>
    </xf>
    <xf numFmtId="0" fontId="29" fillId="32" borderId="3" xfId="0" applyFont="1" applyFill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0" borderId="3" xfId="0" applyFont="1" applyBorder="1" applyAlignment="1">
      <alignment vertical="center"/>
    </xf>
    <xf numFmtId="0" fontId="60" fillId="33" borderId="3" xfId="0" applyFont="1" applyFill="1" applyBorder="1" applyAlignment="1">
      <alignment vertical="center"/>
    </xf>
    <xf numFmtId="3" fontId="60" fillId="33" borderId="3" xfId="0" applyNumberFormat="1" applyFont="1" applyFill="1" applyBorder="1" applyAlignment="1">
      <alignment horizontal="right" vertical="center"/>
    </xf>
    <xf numFmtId="0" fontId="33" fillId="32" borderId="4" xfId="0" applyFont="1" applyFill="1" applyBorder="1" applyAlignment="1">
      <alignment horizontal="center" vertical="center"/>
    </xf>
    <xf numFmtId="3" fontId="33" fillId="32" borderId="4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left" indent="2"/>
    </xf>
    <xf numFmtId="0" fontId="12" fillId="0" borderId="3" xfId="0" applyFont="1" applyBorder="1" applyAlignment="1">
      <alignment horizontal="left" indent="2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4" fontId="21" fillId="0" borderId="3" xfId="38" applyNumberFormat="1" applyFont="1" applyBorder="1" applyAlignment="1">
      <alignment vertical="center"/>
    </xf>
    <xf numFmtId="0" fontId="12" fillId="0" borderId="3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1" fillId="0" borderId="22" xfId="0" applyFont="1" applyBorder="1"/>
    <xf numFmtId="4" fontId="21" fillId="0" borderId="22" xfId="0" applyNumberFormat="1" applyFont="1" applyBorder="1"/>
    <xf numFmtId="0" fontId="21" fillId="0" borderId="22" xfId="0" applyFont="1" applyBorder="1" applyAlignment="1">
      <alignment wrapText="1"/>
    </xf>
    <xf numFmtId="0" fontId="21" fillId="0" borderId="22" xfId="0" applyFont="1" applyBorder="1" applyAlignment="1">
      <alignment vertical="center" wrapText="1"/>
    </xf>
    <xf numFmtId="0" fontId="21" fillId="0" borderId="22" xfId="0" applyFont="1" applyBorder="1" applyAlignment="1">
      <alignment horizontal="left" vertical="center"/>
    </xf>
    <xf numFmtId="0" fontId="21" fillId="0" borderId="22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21" fillId="0" borderId="32" xfId="0" applyFont="1" applyBorder="1" applyAlignment="1">
      <alignment vertical="center"/>
    </xf>
    <xf numFmtId="0" fontId="21" fillId="0" borderId="34" xfId="0" applyFont="1" applyBorder="1" applyAlignment="1">
      <alignment vertical="center" wrapText="1"/>
    </xf>
    <xf numFmtId="4" fontId="21" fillId="0" borderId="32" xfId="0" applyNumberFormat="1" applyFont="1" applyBorder="1" applyAlignment="1">
      <alignment vertical="center"/>
    </xf>
    <xf numFmtId="3" fontId="57" fillId="0" borderId="33" xfId="0" applyNumberFormat="1" applyFont="1" applyBorder="1"/>
    <xf numFmtId="3" fontId="12" fillId="0" borderId="5" xfId="0" applyNumberFormat="1" applyFont="1" applyBorder="1" applyAlignment="1">
      <alignment horizontal="right" vertical="center" wrapText="1"/>
    </xf>
    <xf numFmtId="0" fontId="21" fillId="9" borderId="0" xfId="0" applyFont="1" applyFill="1" applyAlignment="1">
      <alignment horizontal="center" vertical="center"/>
    </xf>
    <xf numFmtId="0" fontId="62" fillId="9" borderId="35" xfId="0" applyFont="1" applyFill="1" applyBorder="1" applyAlignment="1">
      <alignment horizontal="left"/>
    </xf>
    <xf numFmtId="3" fontId="62" fillId="9" borderId="35" xfId="0" applyNumberFormat="1" applyFont="1" applyFill="1" applyBorder="1"/>
    <xf numFmtId="0" fontId="64" fillId="36" borderId="12" xfId="0" applyFont="1" applyFill="1" applyBorder="1" applyAlignment="1">
      <alignment horizontal="center" vertical="center"/>
    </xf>
    <xf numFmtId="4" fontId="64" fillId="36" borderId="12" xfId="0" applyNumberFormat="1" applyFont="1" applyFill="1" applyBorder="1" applyAlignment="1">
      <alignment horizontal="center" vertical="center" wrapText="1"/>
    </xf>
    <xf numFmtId="0" fontId="64" fillId="36" borderId="21" xfId="0" applyFont="1" applyFill="1" applyBorder="1" applyAlignment="1">
      <alignment horizontal="center" vertical="center"/>
    </xf>
    <xf numFmtId="4" fontId="64" fillId="36" borderId="21" xfId="0" applyNumberFormat="1" applyFont="1" applyFill="1" applyBorder="1" applyAlignment="1">
      <alignment horizontal="center" vertical="center"/>
    </xf>
    <xf numFmtId="4" fontId="64" fillId="36" borderId="21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4" fontId="48" fillId="0" borderId="24" xfId="0" applyNumberFormat="1" applyFont="1" applyBorder="1" applyAlignment="1">
      <alignment horizontal="right" vertical="center"/>
    </xf>
    <xf numFmtId="4" fontId="48" fillId="0" borderId="26" xfId="0" applyNumberFormat="1" applyFont="1" applyBorder="1" applyAlignment="1">
      <alignment horizontal="right" vertical="center"/>
    </xf>
    <xf numFmtId="4" fontId="48" fillId="0" borderId="24" xfId="0" applyNumberFormat="1" applyFont="1" applyBorder="1" applyAlignment="1">
      <alignment vertical="center"/>
    </xf>
    <xf numFmtId="4" fontId="48" fillId="0" borderId="27" xfId="0" applyNumberFormat="1" applyFont="1" applyBorder="1" applyAlignment="1">
      <alignment vertical="center"/>
    </xf>
    <xf numFmtId="0" fontId="38" fillId="0" borderId="22" xfId="0" applyFont="1" applyBorder="1"/>
    <xf numFmtId="0" fontId="38" fillId="0" borderId="22" xfId="0" applyFont="1" applyBorder="1" applyAlignment="1">
      <alignment wrapText="1"/>
    </xf>
    <xf numFmtId="0" fontId="21" fillId="0" borderId="3" xfId="0" applyFont="1" applyBorder="1"/>
    <xf numFmtId="3" fontId="21" fillId="0" borderId="0" xfId="0" applyNumberFormat="1" applyFont="1"/>
    <xf numFmtId="4" fontId="48" fillId="0" borderId="22" xfId="0" applyNumberFormat="1" applyFont="1" applyBorder="1" applyAlignment="1">
      <alignment horizontal="right" vertical="center"/>
    </xf>
    <xf numFmtId="4" fontId="48" fillId="0" borderId="23" xfId="0" applyNumberFormat="1" applyFont="1" applyBorder="1" applyAlignment="1">
      <alignment horizontal="right" vertical="center"/>
    </xf>
    <xf numFmtId="0" fontId="21" fillId="9" borderId="0" xfId="37" applyFont="1" applyFill="1"/>
    <xf numFmtId="0" fontId="13" fillId="9" borderId="0" xfId="0" applyFont="1" applyFill="1"/>
    <xf numFmtId="0" fontId="29" fillId="26" borderId="36" xfId="2" applyFont="1" applyFill="1" applyBorder="1" applyAlignment="1">
      <alignment horizontal="left"/>
    </xf>
    <xf numFmtId="2" fontId="21" fillId="4" borderId="37" xfId="2" applyNumberFormat="1" applyFont="1" applyFill="1" applyBorder="1" applyAlignment="1">
      <alignment horizontal="center" vertical="center"/>
    </xf>
    <xf numFmtId="4" fontId="21" fillId="4" borderId="37" xfId="2" applyNumberFormat="1" applyFont="1" applyFill="1" applyBorder="1" applyAlignment="1">
      <alignment horizontal="center" vertical="center"/>
    </xf>
    <xf numFmtId="4" fontId="21" fillId="4" borderId="37" xfId="2" applyNumberFormat="1" applyFont="1" applyFill="1" applyBorder="1" applyAlignment="1">
      <alignment horizontal="center"/>
    </xf>
    <xf numFmtId="4" fontId="21" fillId="27" borderId="38" xfId="2" applyNumberFormat="1" applyFont="1" applyFill="1" applyBorder="1" applyAlignment="1">
      <alignment horizontal="center"/>
    </xf>
    <xf numFmtId="0" fontId="21" fillId="4" borderId="37" xfId="2" applyNumberFormat="1" applyFont="1" applyFill="1" applyBorder="1" applyAlignment="1">
      <alignment horizontal="center"/>
    </xf>
    <xf numFmtId="0" fontId="29" fillId="26" borderId="36" xfId="2" applyFont="1" applyFill="1" applyBorder="1" applyAlignment="1">
      <alignment horizontal="center" vertical="center"/>
    </xf>
    <xf numFmtId="4" fontId="29" fillId="26" borderId="37" xfId="2" applyNumberFormat="1" applyFont="1" applyFill="1" applyBorder="1" applyAlignment="1">
      <alignment horizontal="center" vertical="center"/>
    </xf>
    <xf numFmtId="2" fontId="29" fillId="26" borderId="37" xfId="2" applyNumberFormat="1" applyFont="1" applyFill="1" applyBorder="1" applyAlignment="1">
      <alignment horizontal="center" vertical="center"/>
    </xf>
    <xf numFmtId="4" fontId="29" fillId="26" borderId="38" xfId="2" applyNumberFormat="1" applyFont="1" applyFill="1" applyBorder="1" applyAlignment="1">
      <alignment horizontal="center" vertical="center"/>
    </xf>
    <xf numFmtId="0" fontId="47" fillId="23" borderId="37" xfId="37" applyFont="1" applyFill="1" applyBorder="1" applyAlignment="1">
      <alignment horizontal="center" vertical="center" wrapText="1"/>
    </xf>
    <xf numFmtId="0" fontId="47" fillId="23" borderId="37" xfId="37" applyFont="1" applyFill="1" applyBorder="1" applyAlignment="1">
      <alignment horizontal="center" vertical="center"/>
    </xf>
    <xf numFmtId="3" fontId="18" fillId="0" borderId="37" xfId="37" applyNumberFormat="1" applyFont="1" applyBorder="1" applyAlignment="1">
      <alignment horizontal="center" vertical="center"/>
    </xf>
    <xf numFmtId="3" fontId="19" fillId="24" borderId="37" xfId="37" applyNumberFormat="1" applyFont="1" applyFill="1" applyBorder="1" applyAlignment="1">
      <alignment horizontal="center" vertical="center"/>
    </xf>
    <xf numFmtId="3" fontId="18" fillId="25" borderId="37" xfId="37" applyNumberFormat="1" applyFont="1" applyFill="1" applyBorder="1" applyAlignment="1">
      <alignment horizontal="center" vertical="center"/>
    </xf>
    <xf numFmtId="3" fontId="65" fillId="0" borderId="37" xfId="37" applyNumberFormat="1" applyFont="1" applyBorder="1" applyAlignment="1">
      <alignment horizontal="center" vertical="center"/>
    </xf>
    <xf numFmtId="3" fontId="66" fillId="0" borderId="37" xfId="37" applyNumberFormat="1" applyFont="1" applyBorder="1" applyAlignment="1">
      <alignment horizontal="center" vertical="center"/>
    </xf>
    <xf numFmtId="3" fontId="18" fillId="0" borderId="37" xfId="37" applyNumberFormat="1" applyFont="1" applyBorder="1" applyAlignment="1" applyProtection="1">
      <alignment horizontal="center" vertical="center"/>
      <protection hidden="1"/>
    </xf>
    <xf numFmtId="3" fontId="58" fillId="24" borderId="37" xfId="37" applyNumberFormat="1" applyFont="1" applyFill="1" applyBorder="1" applyAlignment="1">
      <alignment horizontal="center" vertical="center"/>
    </xf>
    <xf numFmtId="3" fontId="19" fillId="0" borderId="37" xfId="37" applyNumberFormat="1" applyFont="1" applyBorder="1" applyAlignment="1">
      <alignment horizontal="center" vertical="center"/>
    </xf>
    <xf numFmtId="3" fontId="19" fillId="4" borderId="37" xfId="37" applyNumberFormat="1" applyFont="1" applyFill="1" applyBorder="1" applyAlignment="1">
      <alignment horizontal="center" vertical="center"/>
    </xf>
    <xf numFmtId="0" fontId="57" fillId="23" borderId="37" xfId="37" applyFont="1" applyFill="1" applyBorder="1" applyAlignment="1">
      <alignment vertical="center"/>
    </xf>
    <xf numFmtId="0" fontId="18" fillId="0" borderId="37" xfId="37" applyFont="1" applyBorder="1" applyAlignment="1">
      <alignment horizontal="center" vertical="center"/>
    </xf>
    <xf numFmtId="0" fontId="57" fillId="23" borderId="37" xfId="37" applyFont="1" applyFill="1" applyBorder="1" applyAlignment="1">
      <alignment vertical="center" wrapText="1"/>
    </xf>
    <xf numFmtId="0" fontId="19" fillId="24" borderId="37" xfId="37" applyFont="1" applyFill="1" applyBorder="1" applyAlignment="1">
      <alignment horizontal="center" vertical="center"/>
    </xf>
    <xf numFmtId="0" fontId="28" fillId="0" borderId="0" xfId="0" applyFont="1"/>
    <xf numFmtId="3" fontId="12" fillId="0" borderId="9" xfId="0" applyNumberFormat="1" applyFont="1" applyBorder="1" applyAlignment="1">
      <alignment vertical="center"/>
    </xf>
    <xf numFmtId="0" fontId="29" fillId="20" borderId="4" xfId="2" applyFont="1" applyFill="1" applyBorder="1" applyAlignment="1">
      <alignment horizontal="left"/>
    </xf>
    <xf numFmtId="3" fontId="17" fillId="22" borderId="4" xfId="2" applyNumberFormat="1" applyFont="1" applyFill="1" applyBorder="1" applyAlignment="1">
      <alignment horizontal="center"/>
    </xf>
    <xf numFmtId="3" fontId="17" fillId="5" borderId="4" xfId="2" applyNumberFormat="1" applyFont="1" applyFill="1" applyBorder="1" applyAlignment="1">
      <alignment horizontal="right"/>
    </xf>
    <xf numFmtId="3" fontId="38" fillId="0" borderId="4" xfId="48" applyNumberFormat="1" applyFont="1" applyBorder="1"/>
    <xf numFmtId="3" fontId="57" fillId="0" borderId="39" xfId="0" applyNumberFormat="1" applyFont="1" applyBorder="1"/>
    <xf numFmtId="3" fontId="17" fillId="18" borderId="4" xfId="2" applyNumberFormat="1" applyFont="1" applyFill="1" applyBorder="1" applyAlignment="1">
      <alignment horizontal="right"/>
    </xf>
    <xf numFmtId="0" fontId="13" fillId="0" borderId="0" xfId="11" applyFont="1" applyAlignment="1">
      <alignment vertical="center" wrapText="1"/>
    </xf>
    <xf numFmtId="3" fontId="13" fillId="0" borderId="0" xfId="11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11" applyFont="1" applyAlignment="1">
      <alignment horizontal="center" vertical="center" wrapText="1"/>
    </xf>
    <xf numFmtId="3" fontId="14" fillId="0" borderId="0" xfId="11" applyNumberFormat="1" applyFont="1" applyAlignment="1">
      <alignment horizontal="center" vertical="center" wrapText="1"/>
    </xf>
    <xf numFmtId="0" fontId="26" fillId="2" borderId="13" xfId="11" applyFont="1" applyFill="1" applyBorder="1" applyAlignment="1">
      <alignment horizontal="center" vertical="center" wrapText="1"/>
    </xf>
    <xf numFmtId="0" fontId="26" fillId="2" borderId="13" xfId="11" applyFont="1" applyFill="1" applyBorder="1" applyAlignment="1">
      <alignment vertical="center" wrapText="1"/>
    </xf>
    <xf numFmtId="0" fontId="21" fillId="9" borderId="18" xfId="11" applyFont="1" applyFill="1" applyBorder="1" applyAlignment="1">
      <alignment horizontal="center" vertical="center" wrapText="1"/>
    </xf>
    <xf numFmtId="0" fontId="21" fillId="9" borderId="20" xfId="11" applyFont="1" applyFill="1" applyBorder="1" applyAlignment="1">
      <alignment horizontal="center" vertical="center" wrapText="1"/>
    </xf>
    <xf numFmtId="0" fontId="26" fillId="2" borderId="15" xfId="11" applyFont="1" applyFill="1" applyBorder="1" applyAlignment="1">
      <alignment horizontal="left" vertical="center" wrapText="1"/>
    </xf>
    <xf numFmtId="0" fontId="37" fillId="2" borderId="15" xfId="11" applyFont="1" applyFill="1" applyBorder="1" applyAlignment="1">
      <alignment vertical="center" wrapText="1"/>
    </xf>
    <xf numFmtId="3" fontId="26" fillId="2" borderId="15" xfId="11" applyNumberFormat="1" applyFont="1" applyFill="1" applyBorder="1" applyAlignment="1">
      <alignment horizontal="right" vertical="center" wrapText="1"/>
    </xf>
    <xf numFmtId="3" fontId="13" fillId="0" borderId="0" xfId="0" applyNumberFormat="1" applyFont="1" applyAlignment="1">
      <alignment vertical="center" wrapText="1"/>
    </xf>
    <xf numFmtId="4" fontId="13" fillId="0" borderId="0" xfId="11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3" fillId="9" borderId="0" xfId="0" applyFont="1" applyFill="1" applyAlignment="1">
      <alignment vertical="center" wrapText="1"/>
    </xf>
    <xf numFmtId="0" fontId="62" fillId="9" borderId="35" xfId="0" applyFont="1" applyFill="1" applyBorder="1" applyAlignment="1">
      <alignment horizontal="left" vertical="center" wrapText="1"/>
    </xf>
    <xf numFmtId="0" fontId="21" fillId="9" borderId="19" xfId="0" applyFont="1" applyFill="1" applyBorder="1" applyAlignment="1">
      <alignment horizontal="left" vertical="center" wrapText="1"/>
    </xf>
    <xf numFmtId="3" fontId="44" fillId="9" borderId="19" xfId="0" applyNumberFormat="1" applyFont="1" applyFill="1" applyBorder="1" applyAlignment="1">
      <alignment vertical="center" wrapText="1"/>
    </xf>
    <xf numFmtId="0" fontId="21" fillId="9" borderId="20" xfId="0" applyFont="1" applyFill="1" applyBorder="1" applyAlignment="1">
      <alignment horizontal="left" vertical="center" wrapText="1"/>
    </xf>
    <xf numFmtId="3" fontId="44" fillId="9" borderId="20" xfId="0" applyNumberFormat="1" applyFont="1" applyFill="1" applyBorder="1" applyAlignment="1">
      <alignment vertical="center" wrapText="1"/>
    </xf>
    <xf numFmtId="3" fontId="62" fillId="9" borderId="35" xfId="0" applyNumberFormat="1" applyFont="1" applyFill="1" applyBorder="1" applyAlignment="1">
      <alignment vertical="center" wrapText="1"/>
    </xf>
    <xf numFmtId="0" fontId="21" fillId="9" borderId="5" xfId="11" applyFont="1" applyFill="1" applyBorder="1" applyAlignment="1">
      <alignment horizontal="center" vertical="center" wrapText="1"/>
    </xf>
    <xf numFmtId="0" fontId="62" fillId="9" borderId="40" xfId="0" applyFont="1" applyFill="1" applyBorder="1" applyAlignment="1">
      <alignment horizontal="left" vertical="center" wrapText="1"/>
    </xf>
    <xf numFmtId="3" fontId="62" fillId="9" borderId="40" xfId="0" applyNumberFormat="1" applyFont="1" applyFill="1" applyBorder="1" applyAlignment="1">
      <alignment vertical="center" wrapText="1"/>
    </xf>
    <xf numFmtId="0" fontId="21" fillId="9" borderId="13" xfId="11" applyFont="1" applyFill="1" applyBorder="1" applyAlignment="1">
      <alignment horizontal="center" vertical="center" wrapText="1"/>
    </xf>
    <xf numFmtId="0" fontId="62" fillId="9" borderId="13" xfId="0" applyFont="1" applyFill="1" applyBorder="1" applyAlignment="1">
      <alignment horizontal="left" vertical="center" wrapText="1"/>
    </xf>
    <xf numFmtId="3" fontId="62" fillId="9" borderId="13" xfId="0" applyNumberFormat="1" applyFont="1" applyFill="1" applyBorder="1" applyAlignment="1">
      <alignment vertical="center" wrapText="1"/>
    </xf>
    <xf numFmtId="0" fontId="21" fillId="9" borderId="15" xfId="11" applyFont="1" applyFill="1" applyBorder="1" applyAlignment="1">
      <alignment horizontal="center" vertical="center" wrapText="1"/>
    </xf>
    <xf numFmtId="0" fontId="62" fillId="9" borderId="15" xfId="0" applyFont="1" applyFill="1" applyBorder="1" applyAlignment="1">
      <alignment horizontal="left" vertical="center" wrapText="1"/>
    </xf>
    <xf numFmtId="3" fontId="62" fillId="9" borderId="15" xfId="0" applyNumberFormat="1" applyFont="1" applyFill="1" applyBorder="1" applyAlignment="1">
      <alignment vertical="center" wrapText="1"/>
    </xf>
    <xf numFmtId="0" fontId="21" fillId="9" borderId="5" xfId="28" applyFont="1" applyFill="1" applyBorder="1" applyAlignment="1">
      <alignment horizontal="center" vertical="center"/>
    </xf>
    <xf numFmtId="0" fontId="62" fillId="9" borderId="40" xfId="0" applyFont="1" applyFill="1" applyBorder="1" applyAlignment="1">
      <alignment horizontal="left"/>
    </xf>
    <xf numFmtId="3" fontId="62" fillId="9" borderId="40" xfId="0" applyNumberFormat="1" applyFont="1" applyFill="1" applyBorder="1"/>
    <xf numFmtId="0" fontId="21" fillId="9" borderId="13" xfId="28" applyFont="1" applyFill="1" applyBorder="1" applyAlignment="1">
      <alignment horizontal="center" vertical="center"/>
    </xf>
    <xf numFmtId="0" fontId="62" fillId="9" borderId="13" xfId="0" applyFont="1" applyFill="1" applyBorder="1" applyAlignment="1">
      <alignment horizontal="left"/>
    </xf>
    <xf numFmtId="3" fontId="62" fillId="9" borderId="13" xfId="0" applyNumberFormat="1" applyFont="1" applyFill="1" applyBorder="1"/>
    <xf numFmtId="0" fontId="21" fillId="9" borderId="0" xfId="28" applyFont="1" applyFill="1" applyAlignment="1">
      <alignment horizontal="center" vertical="center"/>
    </xf>
    <xf numFmtId="0" fontId="62" fillId="9" borderId="0" xfId="0" applyFont="1" applyFill="1" applyAlignment="1">
      <alignment horizontal="left"/>
    </xf>
    <xf numFmtId="3" fontId="62" fillId="9" borderId="0" xfId="0" applyNumberFormat="1" applyFont="1" applyFill="1"/>
    <xf numFmtId="0" fontId="21" fillId="9" borderId="15" xfId="28" applyFont="1" applyFill="1" applyBorder="1" applyAlignment="1">
      <alignment horizontal="center" vertical="center"/>
    </xf>
    <xf numFmtId="0" fontId="62" fillId="9" borderId="15" xfId="0" applyFont="1" applyFill="1" applyBorder="1" applyAlignment="1">
      <alignment horizontal="left"/>
    </xf>
    <xf numFmtId="3" fontId="62" fillId="9" borderId="15" xfId="0" applyNumberFormat="1" applyFont="1" applyFill="1" applyBorder="1"/>
    <xf numFmtId="164" fontId="26" fillId="6" borderId="13" xfId="28" applyNumberFormat="1" applyFont="1" applyFill="1" applyBorder="1" applyAlignment="1">
      <alignment horizontal="center" vertical="center" wrapText="1"/>
    </xf>
    <xf numFmtId="0" fontId="26" fillId="6" borderId="13" xfId="28" applyFont="1" applyFill="1" applyBorder="1" applyAlignment="1">
      <alignment horizontal="center" vertical="center" wrapText="1"/>
    </xf>
    <xf numFmtId="0" fontId="21" fillId="9" borderId="35" xfId="28" applyFont="1" applyFill="1" applyBorder="1" applyAlignment="1">
      <alignment horizontal="center" vertical="center" wrapText="1"/>
    </xf>
    <xf numFmtId="0" fontId="21" fillId="9" borderId="35" xfId="0" applyFont="1" applyFill="1" applyBorder="1" applyAlignment="1">
      <alignment horizontal="left" vertical="center" wrapText="1"/>
    </xf>
    <xf numFmtId="3" fontId="26" fillId="6" borderId="15" xfId="28" applyNumberFormat="1" applyFont="1" applyFill="1" applyBorder="1" applyAlignment="1">
      <alignment vertical="center" wrapText="1"/>
    </xf>
    <xf numFmtId="4" fontId="1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horizontal="right" vertical="center" wrapText="1"/>
    </xf>
    <xf numFmtId="3" fontId="21" fillId="9" borderId="35" xfId="0" applyNumberFormat="1" applyFont="1" applyFill="1" applyBorder="1" applyAlignment="1">
      <alignment vertical="center" wrapText="1"/>
    </xf>
    <xf numFmtId="0" fontId="49" fillId="0" borderId="0" xfId="0" applyFont="1" applyAlignment="1">
      <alignment vertical="center" wrapText="1"/>
    </xf>
    <xf numFmtId="0" fontId="21" fillId="9" borderId="3" xfId="0" applyFont="1" applyFill="1" applyBorder="1" applyAlignment="1">
      <alignment horizontal="left" vertical="center" wrapText="1"/>
    </xf>
    <xf numFmtId="3" fontId="44" fillId="9" borderId="3" xfId="0" applyNumberFormat="1" applyFont="1" applyFill="1" applyBorder="1" applyAlignment="1">
      <alignment vertical="center" wrapText="1"/>
    </xf>
    <xf numFmtId="0" fontId="62" fillId="9" borderId="3" xfId="0" applyFont="1" applyFill="1" applyBorder="1" applyAlignment="1">
      <alignment horizontal="left" vertical="center" wrapText="1"/>
    </xf>
    <xf numFmtId="49" fontId="62" fillId="9" borderId="3" xfId="0" applyNumberFormat="1" applyFont="1" applyFill="1" applyBorder="1" applyAlignment="1">
      <alignment horizontal="left" vertical="center" wrapText="1"/>
    </xf>
    <xf numFmtId="3" fontId="63" fillId="9" borderId="3" xfId="0" applyNumberFormat="1" applyFont="1" applyFill="1" applyBorder="1" applyAlignment="1">
      <alignment vertical="center" wrapText="1"/>
    </xf>
    <xf numFmtId="0" fontId="63" fillId="9" borderId="3" xfId="0" applyFont="1" applyFill="1" applyBorder="1" applyAlignment="1">
      <alignment horizontal="left" vertical="center" wrapText="1"/>
    </xf>
    <xf numFmtId="14" fontId="67" fillId="0" borderId="22" xfId="0" applyNumberFormat="1" applyFont="1" applyBorder="1" applyAlignment="1">
      <alignment horizontal="center" vertical="center"/>
    </xf>
    <xf numFmtId="14" fontId="67" fillId="0" borderId="23" xfId="0" applyNumberFormat="1" applyFont="1" applyBorder="1" applyAlignment="1">
      <alignment horizontal="center" vertical="center"/>
    </xf>
    <xf numFmtId="3" fontId="21" fillId="37" borderId="41" xfId="0" applyNumberFormat="1" applyFont="1" applyFill="1" applyBorder="1" applyAlignment="1">
      <alignment wrapText="1"/>
    </xf>
    <xf numFmtId="4" fontId="21" fillId="0" borderId="22" xfId="0" applyNumberFormat="1" applyFont="1" applyBorder="1" applyAlignment="1">
      <alignment vertical="center"/>
    </xf>
    <xf numFmtId="0" fontId="24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left" wrapText="1"/>
    </xf>
    <xf numFmtId="0" fontId="17" fillId="21" borderId="3" xfId="0" applyFont="1" applyFill="1" applyBorder="1" applyAlignment="1">
      <alignment horizontal="left"/>
    </xf>
    <xf numFmtId="3" fontId="12" fillId="0" borderId="3" xfId="0" applyNumberFormat="1" applyFont="1" applyBorder="1" applyAlignment="1">
      <alignment horizontal="left" wrapText="1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 applyProtection="1">
      <alignment horizontal="left"/>
      <protection locked="0"/>
    </xf>
    <xf numFmtId="0" fontId="14" fillId="0" borderId="0" xfId="0" applyFont="1" applyAlignment="1">
      <alignment horizontal="center" vertical="center"/>
    </xf>
    <xf numFmtId="0" fontId="26" fillId="2" borderId="2" xfId="0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26" fillId="2" borderId="4" xfId="0" applyFont="1" applyFill="1" applyBorder="1" applyAlignment="1">
      <alignment vertical="center"/>
    </xf>
    <xf numFmtId="0" fontId="26" fillId="2" borderId="2" xfId="0" applyFont="1" applyFill="1" applyBorder="1" applyAlignment="1">
      <alignment horizontal="left" vertical="center"/>
    </xf>
    <xf numFmtId="0" fontId="26" fillId="2" borderId="2" xfId="2" applyFont="1" applyFill="1" applyBorder="1" applyAlignment="1">
      <alignment horizontal="center" vertical="center"/>
    </xf>
    <xf numFmtId="0" fontId="35" fillId="0" borderId="0" xfId="2" applyFont="1" applyAlignment="1">
      <alignment horizontal="center"/>
    </xf>
    <xf numFmtId="0" fontId="26" fillId="2" borderId="2" xfId="2" applyFont="1" applyFill="1" applyBorder="1" applyAlignment="1">
      <alignment horizontal="center" vertical="center" wrapText="1"/>
    </xf>
    <xf numFmtId="0" fontId="26" fillId="2" borderId="3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/>
    </xf>
    <xf numFmtId="0" fontId="26" fillId="12" borderId="2" xfId="2" applyFont="1" applyFill="1" applyBorder="1" applyAlignment="1">
      <alignment horizontal="left" vertical="center" wrapText="1"/>
    </xf>
    <xf numFmtId="0" fontId="26" fillId="12" borderId="3" xfId="2" applyFont="1" applyFill="1" applyBorder="1" applyAlignment="1">
      <alignment horizontal="left" vertical="center" wrapText="1"/>
    </xf>
    <xf numFmtId="0" fontId="26" fillId="12" borderId="2" xfId="2" applyFont="1" applyFill="1" applyBorder="1" applyAlignment="1">
      <alignment horizontal="center" vertical="center" wrapText="1"/>
    </xf>
    <xf numFmtId="0" fontId="26" fillId="12" borderId="3" xfId="2" applyFont="1" applyFill="1" applyBorder="1" applyAlignment="1">
      <alignment horizontal="center" vertical="center" wrapText="1"/>
    </xf>
    <xf numFmtId="0" fontId="37" fillId="13" borderId="2" xfId="2" applyFont="1" applyFill="1" applyBorder="1" applyAlignment="1">
      <alignment horizontal="center"/>
    </xf>
    <xf numFmtId="0" fontId="26" fillId="12" borderId="3" xfId="2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26" fillId="2" borderId="4" xfId="0" applyFont="1" applyFill="1" applyBorder="1"/>
    <xf numFmtId="0" fontId="17" fillId="3" borderId="3" xfId="38" applyFont="1" applyFill="1" applyBorder="1" applyAlignment="1">
      <alignment horizontal="center" vertical="center"/>
    </xf>
    <xf numFmtId="0" fontId="26" fillId="2" borderId="15" xfId="38" applyFont="1" applyFill="1" applyBorder="1" applyAlignment="1">
      <alignment vertical="center"/>
    </xf>
    <xf numFmtId="0" fontId="29" fillId="16" borderId="3" xfId="0" applyFont="1" applyFill="1" applyBorder="1" applyAlignment="1">
      <alignment horizontal="center" vertical="center"/>
    </xf>
    <xf numFmtId="0" fontId="14" fillId="0" borderId="0" xfId="38" applyFont="1" applyAlignment="1">
      <alignment horizontal="center" vertical="center"/>
    </xf>
    <xf numFmtId="0" fontId="13" fillId="0" borderId="0" xfId="0" applyFont="1"/>
    <xf numFmtId="0" fontId="50" fillId="0" borderId="0" xfId="0" applyFont="1" applyAlignment="1">
      <alignment horizontal="center"/>
    </xf>
    <xf numFmtId="0" fontId="41" fillId="0" borderId="0" xfId="11" applyFont="1" applyAlignment="1">
      <alignment horizontal="center" vertical="center" wrapText="1"/>
    </xf>
    <xf numFmtId="0" fontId="14" fillId="0" borderId="0" xfId="11" applyFont="1" applyAlignment="1">
      <alignment horizontal="center" vertical="center" wrapText="1"/>
    </xf>
    <xf numFmtId="0" fontId="42" fillId="4" borderId="0" xfId="11" applyFont="1" applyFill="1" applyAlignment="1">
      <alignment horizontal="left" vertical="center" wrapText="1"/>
    </xf>
    <xf numFmtId="3" fontId="34" fillId="0" borderId="0" xfId="28" applyNumberFormat="1" applyFont="1" applyAlignment="1">
      <alignment horizontal="right"/>
    </xf>
    <xf numFmtId="0" fontId="34" fillId="0" borderId="0" xfId="28" applyFont="1"/>
    <xf numFmtId="0" fontId="14" fillId="0" borderId="0" xfId="28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5" fillId="0" borderId="0" xfId="12" applyFont="1" applyAlignment="1">
      <alignment horizontal="center" vertical="center"/>
    </xf>
    <xf numFmtId="0" fontId="26" fillId="2" borderId="4" xfId="12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/>
    </xf>
    <xf numFmtId="4" fontId="26" fillId="2" borderId="3" xfId="0" applyNumberFormat="1" applyFont="1" applyFill="1" applyBorder="1" applyAlignment="1">
      <alignment horizontal="center" vertical="center"/>
    </xf>
    <xf numFmtId="4" fontId="47" fillId="9" borderId="24" xfId="0" applyNumberFormat="1" applyFont="1" applyFill="1" applyBorder="1" applyAlignment="1">
      <alignment horizontal="center" vertical="center"/>
    </xf>
    <xf numFmtId="4" fontId="47" fillId="9" borderId="26" xfId="0" applyNumberFormat="1" applyFont="1" applyFill="1" applyBorder="1" applyAlignment="1">
      <alignment horizontal="center" vertical="center"/>
    </xf>
    <xf numFmtId="4" fontId="47" fillId="9" borderId="27" xfId="0" applyNumberFormat="1" applyFont="1" applyFill="1" applyBorder="1" applyAlignment="1">
      <alignment horizontal="center" vertical="center"/>
    </xf>
    <xf numFmtId="4" fontId="48" fillId="0" borderId="24" xfId="0" applyNumberFormat="1" applyFont="1" applyBorder="1" applyAlignment="1">
      <alignment horizontal="right" vertical="center"/>
    </xf>
    <xf numFmtId="4" fontId="48" fillId="0" borderId="26" xfId="0" applyNumberFormat="1" applyFont="1" applyBorder="1" applyAlignment="1">
      <alignment horizontal="right" vertical="center"/>
    </xf>
    <xf numFmtId="4" fontId="48" fillId="0" borderId="27" xfId="0" applyNumberFormat="1" applyFont="1" applyBorder="1" applyAlignment="1">
      <alignment horizontal="righ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14" fontId="48" fillId="0" borderId="24" xfId="0" applyNumberFormat="1" applyFont="1" applyBorder="1" applyAlignment="1">
      <alignment horizontal="center" vertical="center"/>
    </xf>
    <xf numFmtId="14" fontId="48" fillId="0" borderId="26" xfId="0" applyNumberFormat="1" applyFont="1" applyBorder="1" applyAlignment="1">
      <alignment horizontal="center" vertical="center"/>
    </xf>
    <xf numFmtId="14" fontId="48" fillId="0" borderId="27" xfId="0" applyNumberFormat="1" applyFont="1" applyBorder="1" applyAlignment="1">
      <alignment horizontal="center" vertical="center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/>
    </xf>
    <xf numFmtId="4" fontId="48" fillId="0" borderId="24" xfId="0" applyNumberFormat="1" applyFont="1" applyBorder="1" applyAlignment="1">
      <alignment vertical="center"/>
    </xf>
    <xf numFmtId="4" fontId="48" fillId="0" borderId="27" xfId="0" applyNumberFormat="1" applyFont="1" applyBorder="1" applyAlignment="1">
      <alignment vertical="center"/>
    </xf>
    <xf numFmtId="49" fontId="48" fillId="0" borderId="24" xfId="0" applyNumberFormat="1" applyFont="1" applyBorder="1" applyAlignment="1">
      <alignment horizontal="center" vertical="center"/>
    </xf>
    <xf numFmtId="49" fontId="48" fillId="0" borderId="27" xfId="0" applyNumberFormat="1" applyFont="1" applyBorder="1" applyAlignment="1">
      <alignment horizontal="center" vertical="center"/>
    </xf>
    <xf numFmtId="49" fontId="48" fillId="0" borderId="24" xfId="0" applyNumberFormat="1" applyFont="1" applyBorder="1" applyAlignment="1">
      <alignment horizontal="center"/>
    </xf>
    <xf numFmtId="49" fontId="48" fillId="0" borderId="27" xfId="0" applyNumberFormat="1" applyFont="1" applyBorder="1" applyAlignment="1">
      <alignment horizontal="center"/>
    </xf>
    <xf numFmtId="49" fontId="48" fillId="0" borderId="26" xfId="0" applyNumberFormat="1" applyFont="1" applyBorder="1" applyAlignment="1">
      <alignment horizontal="center" vertical="center"/>
    </xf>
    <xf numFmtId="4" fontId="47" fillId="0" borderId="24" xfId="0" applyNumberFormat="1" applyFont="1" applyBorder="1" applyAlignment="1">
      <alignment horizontal="center" vertical="center"/>
    </xf>
    <xf numFmtId="4" fontId="47" fillId="0" borderId="26" xfId="0" applyNumberFormat="1" applyFont="1" applyBorder="1" applyAlignment="1">
      <alignment horizontal="center" vertical="center"/>
    </xf>
    <xf numFmtId="4" fontId="47" fillId="0" borderId="27" xfId="0" applyNumberFormat="1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21" fillId="9" borderId="0" xfId="0" applyFont="1" applyFill="1" applyAlignment="1">
      <alignment horizontal="center" vertical="center"/>
    </xf>
    <xf numFmtId="4" fontId="64" fillId="36" borderId="24" xfId="0" applyNumberFormat="1" applyFont="1" applyFill="1" applyBorder="1" applyAlignment="1">
      <alignment horizontal="center" vertical="center" wrapText="1"/>
    </xf>
    <xf numFmtId="4" fontId="64" fillId="36" borderId="27" xfId="0" applyNumberFormat="1" applyFont="1" applyFill="1" applyBorder="1" applyAlignment="1">
      <alignment horizontal="center" vertical="center" wrapText="1"/>
    </xf>
    <xf numFmtId="0" fontId="64" fillId="36" borderId="28" xfId="0" applyFont="1" applyFill="1" applyBorder="1" applyAlignment="1">
      <alignment horizontal="center" vertical="center"/>
    </xf>
    <xf numFmtId="0" fontId="64" fillId="36" borderId="30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14" fontId="64" fillId="36" borderId="24" xfId="0" applyNumberFormat="1" applyFont="1" applyFill="1" applyBorder="1" applyAlignment="1">
      <alignment horizontal="center" vertical="center" wrapText="1"/>
    </xf>
    <xf numFmtId="14" fontId="64" fillId="36" borderId="27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wrapText="1"/>
    </xf>
    <xf numFmtId="0" fontId="53" fillId="0" borderId="0" xfId="0" applyFont="1" applyAlignment="1">
      <alignment horizontal="left" vertical="center" wrapText="1"/>
    </xf>
    <xf numFmtId="0" fontId="29" fillId="24" borderId="3" xfId="0" applyFont="1" applyFill="1" applyBorder="1" applyAlignment="1">
      <alignment vertical="center" wrapText="1"/>
    </xf>
    <xf numFmtId="0" fontId="29" fillId="34" borderId="2" xfId="0" applyFont="1" applyFill="1" applyBorder="1" applyAlignment="1">
      <alignment horizontal="center" vertical="center" wrapText="1"/>
    </xf>
    <xf numFmtId="0" fontId="30" fillId="34" borderId="3" xfId="0" applyFont="1" applyFill="1" applyBorder="1" applyAlignment="1">
      <alignment vertical="center" wrapText="1"/>
    </xf>
    <xf numFmtId="0" fontId="29" fillId="28" borderId="3" xfId="0" applyFont="1" applyFill="1" applyBorder="1" applyAlignment="1">
      <alignment vertical="top" wrapText="1"/>
    </xf>
    <xf numFmtId="0" fontId="29" fillId="28" borderId="3" xfId="0" applyFont="1" applyFill="1" applyBorder="1" applyAlignment="1">
      <alignment vertical="center" wrapText="1"/>
    </xf>
    <xf numFmtId="0" fontId="29" fillId="29" borderId="2" xfId="0" applyFont="1" applyFill="1" applyBorder="1" applyAlignment="1">
      <alignment horizontal="center" vertical="center" wrapText="1"/>
    </xf>
    <xf numFmtId="0" fontId="30" fillId="29" borderId="3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32" fillId="29" borderId="2" xfId="0" applyFont="1" applyFill="1" applyBorder="1"/>
    <xf numFmtId="0" fontId="29" fillId="26" borderId="2" xfId="0" applyFont="1" applyFill="1" applyBorder="1" applyAlignment="1">
      <alignment horizontal="center" vertical="center" wrapText="1"/>
    </xf>
    <xf numFmtId="0" fontId="34" fillId="0" borderId="0" xfId="36" applyFont="1"/>
    <xf numFmtId="0" fontId="14" fillId="0" borderId="0" xfId="36" applyFont="1" applyAlignment="1">
      <alignment horizontal="center"/>
    </xf>
    <xf numFmtId="0" fontId="21" fillId="26" borderId="36" xfId="36" applyFont="1" applyFill="1" applyBorder="1"/>
    <xf numFmtId="0" fontId="57" fillId="26" borderId="37" xfId="2" applyFont="1" applyFill="1" applyBorder="1" applyAlignment="1">
      <alignment horizontal="center" vertical="center" wrapText="1"/>
    </xf>
    <xf numFmtId="0" fontId="47" fillId="26" borderId="37" xfId="2" applyFont="1" applyFill="1" applyBorder="1" applyAlignment="1">
      <alignment horizontal="center" vertical="center" wrapText="1"/>
    </xf>
    <xf numFmtId="0" fontId="57" fillId="26" borderId="38" xfId="2" applyFont="1" applyFill="1" applyBorder="1" applyAlignment="1">
      <alignment horizontal="center" vertical="center" wrapText="1"/>
    </xf>
    <xf numFmtId="0" fontId="34" fillId="0" borderId="0" xfId="37" applyFont="1"/>
    <xf numFmtId="0" fontId="56" fillId="14" borderId="1" xfId="37" applyFont="1" applyFill="1" applyBorder="1" applyAlignment="1">
      <alignment horizontal="center"/>
    </xf>
    <xf numFmtId="0" fontId="21" fillId="9" borderId="0" xfId="37" applyFont="1" applyFill="1"/>
    <xf numFmtId="3" fontId="18" fillId="25" borderId="37" xfId="37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9" borderId="0" xfId="37" applyFont="1" applyFill="1" applyAlignment="1">
      <alignment wrapText="1"/>
    </xf>
    <xf numFmtId="0" fontId="0" fillId="9" borderId="0" xfId="0" applyFill="1"/>
    <xf numFmtId="0" fontId="21" fillId="9" borderId="0" xfId="37" applyFont="1" applyFill="1" applyAlignment="1">
      <alignment horizontal="left"/>
    </xf>
    <xf numFmtId="0" fontId="52" fillId="0" borderId="15" xfId="37" applyFont="1" applyBorder="1" applyAlignment="1">
      <alignment horizontal="right"/>
    </xf>
    <xf numFmtId="0" fontId="61" fillId="0" borderId="2" xfId="0" applyFont="1" applyBorder="1" applyAlignment="1">
      <alignment horizontal="center"/>
    </xf>
    <xf numFmtId="0" fontId="4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50">
    <cellStyle name="Excel Built-in Normal" xfId="1" xr:uid="{00000000-0005-0000-0000-000000000000}"/>
    <cellStyle name="Excel Built-in Normal 1" xfId="2" xr:uid="{00000000-0005-0000-0000-000001000000}"/>
    <cellStyle name="Normálna" xfId="0" builtinId="0" customBuiltin="1"/>
    <cellStyle name="Normálna 10" xfId="3" xr:uid="{00000000-0005-0000-0000-000002000000}"/>
    <cellStyle name="Normálna 11" xfId="26" xr:uid="{00000000-0005-0000-0000-000003000000}"/>
    <cellStyle name="Normálna 11 2" xfId="31" xr:uid="{C99B6DC4-8A46-4F52-8B57-6BC77BEA40A9}"/>
    <cellStyle name="Normálna 11 2 2" xfId="49" xr:uid="{63B7CA4C-4376-4865-9F18-24C5BC316515}"/>
    <cellStyle name="Normálna 12" xfId="27" xr:uid="{00000000-0005-0000-0000-000004000000}"/>
    <cellStyle name="Normálna 12 2" xfId="33" xr:uid="{F76B0DB6-DE57-4FB6-A380-38D9C8053ADB}"/>
    <cellStyle name="Normálna 12 3" xfId="35" xr:uid="{53BDB5A8-E057-41E5-8C19-BA944CC18181}"/>
    <cellStyle name="Normálna 13" xfId="28" xr:uid="{00000000-0005-0000-0000-000005000000}"/>
    <cellStyle name="Normálna 13 2" xfId="32" xr:uid="{B7244BA8-F247-498E-ADE2-E6227A7321F5}"/>
    <cellStyle name="Normálna 14" xfId="29" xr:uid="{00000000-0005-0000-0000-000006000000}"/>
    <cellStyle name="Normálna 14 2" xfId="37" xr:uid="{CD9F5E34-AE75-429D-8E4C-EA3DF7427BD4}"/>
    <cellStyle name="Normálna 15" xfId="30" xr:uid="{615BB169-64E3-4092-AAFD-954A29086734}"/>
    <cellStyle name="Normálna 15 2" xfId="48" xr:uid="{842C2B17-0730-4B54-85B7-8845130268AF}"/>
    <cellStyle name="Normálna 16" xfId="34" xr:uid="{9B70B4CE-FF5F-4D81-8430-FB0FCE99C7AD}"/>
    <cellStyle name="Normálna 17" xfId="36" xr:uid="{2C1FE4FB-F292-4FB3-AD4C-E1E3C80D4675}"/>
    <cellStyle name="Normálna 18" xfId="38" xr:uid="{47CD9248-9CB7-4997-9E44-F50CA93712B4}"/>
    <cellStyle name="Normálna 19" xfId="39" xr:uid="{F4DC07EE-CB9E-4E25-A3A5-ED9446A66BB6}"/>
    <cellStyle name="Normálna 2" xfId="4" xr:uid="{00000000-0005-0000-0000-000007000000}"/>
    <cellStyle name="Normálna 2 2" xfId="40" xr:uid="{64231CB5-8033-4EED-838E-5733A807E390}"/>
    <cellStyle name="Normálna 20" xfId="47" xr:uid="{DEF4DD9F-BF6B-4D97-A0CA-DD9195F552DB}"/>
    <cellStyle name="Normálna 3" xfId="5" xr:uid="{00000000-0005-0000-0000-000008000000}"/>
    <cellStyle name="Normálna 3 2" xfId="6" xr:uid="{00000000-0005-0000-0000-000009000000}"/>
    <cellStyle name="Normálna 3 3" xfId="7" xr:uid="{00000000-0005-0000-0000-00000A000000}"/>
    <cellStyle name="Normálna 4" xfId="8" xr:uid="{00000000-0005-0000-0000-00000B000000}"/>
    <cellStyle name="Normálna 5" xfId="9" xr:uid="{00000000-0005-0000-0000-00000C000000}"/>
    <cellStyle name="Normálna 6" xfId="10" xr:uid="{00000000-0005-0000-0000-00000D000000}"/>
    <cellStyle name="Normálna 7" xfId="11" xr:uid="{00000000-0005-0000-0000-00000E000000}"/>
    <cellStyle name="Normálna 8" xfId="12" xr:uid="{00000000-0005-0000-0000-00000F000000}"/>
    <cellStyle name="Normálna 9" xfId="13" xr:uid="{00000000-0005-0000-0000-000010000000}"/>
    <cellStyle name="normálne 2" xfId="14" xr:uid="{00000000-0005-0000-0000-000012000000}"/>
    <cellStyle name="normálne 2 2" xfId="15" xr:uid="{00000000-0005-0000-0000-000013000000}"/>
    <cellStyle name="normálne 2 2 2" xfId="16" xr:uid="{00000000-0005-0000-0000-000014000000}"/>
    <cellStyle name="normálne 2 2 2 2" xfId="17" xr:uid="{00000000-0005-0000-0000-000015000000}"/>
    <cellStyle name="normálne 2 2 2 3" xfId="18" xr:uid="{00000000-0005-0000-0000-000016000000}"/>
    <cellStyle name="normálne 2 2 3" xfId="19" xr:uid="{00000000-0005-0000-0000-000017000000}"/>
    <cellStyle name="normálne 2 2 4" xfId="20" xr:uid="{00000000-0005-0000-0000-000018000000}"/>
    <cellStyle name="normálne 2 3" xfId="21" xr:uid="{00000000-0005-0000-0000-000019000000}"/>
    <cellStyle name="normálne 2 4" xfId="22" xr:uid="{00000000-0005-0000-0000-00001A000000}"/>
    <cellStyle name="Normálne 2 5" xfId="41" xr:uid="{87C0D2E2-9EC0-4FF4-A1D3-D34556C7302A}"/>
    <cellStyle name="Normálne 2 6" xfId="43" xr:uid="{5D7B5AEE-5122-4523-8563-D45902C8A199}"/>
    <cellStyle name="Normálne 2 7" xfId="45" xr:uid="{8B57D4F4-C6D7-405E-9DDD-CC3C8D7EBE01}"/>
    <cellStyle name="normálne 3" xfId="23" xr:uid="{00000000-0005-0000-0000-00001B000000}"/>
    <cellStyle name="normálne 3 2" xfId="24" xr:uid="{00000000-0005-0000-0000-00001C000000}"/>
    <cellStyle name="normálne 3 3" xfId="25" xr:uid="{00000000-0005-0000-0000-00001D000000}"/>
    <cellStyle name="Normálne 3 4" xfId="42" xr:uid="{43BF8765-F3DE-4777-AE79-BA07702FEA76}"/>
    <cellStyle name="Normálne 3 5" xfId="44" xr:uid="{477C9CBC-EC7F-41E2-A0B7-74D504C6682B}"/>
    <cellStyle name="Normálne 3 6" xfId="46" xr:uid="{82B2E588-C5B5-47C9-8319-43128496CB6E}"/>
  </cellStyles>
  <dxfs count="0"/>
  <tableStyles count="0" defaultTableStyle="TableStyleMedium2" defaultPivotStyle="PivotStyleLight16"/>
  <colors>
    <mruColors>
      <color rgb="FF8DB4E2"/>
      <color rgb="FFC5D9F1"/>
      <color rgb="FF366092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Vývo</a:t>
            </a:r>
            <a:r>
              <a:rPr lang="sk-SK"/>
              <a:t>J DLHOVEJ SLUŽBY</a:t>
            </a:r>
            <a:r>
              <a:rPr lang="sk-SK" baseline="0"/>
              <a:t> V ROKOCH 2019-2024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dLbls>
            <c:delete val="1"/>
          </c:dLbls>
          <c:cat>
            <c:numRef>
              <c:f>Vývoj_dlhovej_služby!$C$6:$H$6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Vývoj_dlhovej_služby!$C$9:$H$9</c:f>
              <c:numCache>
                <c:formatCode>#,##0</c:formatCode>
                <c:ptCount val="6"/>
                <c:pt idx="0">
                  <c:v>12837</c:v>
                </c:pt>
                <c:pt idx="1">
                  <c:v>13686</c:v>
                </c:pt>
                <c:pt idx="2">
                  <c:v>11680</c:v>
                </c:pt>
                <c:pt idx="3">
                  <c:v>12374</c:v>
                </c:pt>
                <c:pt idx="4">
                  <c:v>11244</c:v>
                </c:pt>
                <c:pt idx="5">
                  <c:v>13270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2-46FF-802B-02A512CC59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19957200"/>
        <c:axId val="191789456"/>
      </c:areaChart>
      <c:catAx>
        <c:axId val="21995720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1789456"/>
        <c:crosses val="autoZero"/>
        <c:auto val="1"/>
        <c:lblAlgn val="ctr"/>
        <c:lblOffset val="100"/>
        <c:noMultiLvlLbl val="0"/>
      </c:catAx>
      <c:valAx>
        <c:axId val="19178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9957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302922</xdr:colOff>
      <xdr:row>22</xdr:row>
      <xdr:rowOff>0</xdr:rowOff>
    </xdr:from>
    <xdr:ext cx="184727" cy="937625"/>
    <xdr:sp macro="" textlink="">
      <xdr:nvSpPr>
        <xdr:cNvPr id="3" name="Obdĺžnik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285372" y="20219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35</xdr:row>
      <xdr:rowOff>0</xdr:rowOff>
    </xdr:from>
    <xdr:ext cx="184727" cy="937625"/>
    <xdr:sp macro="" textlink="">
      <xdr:nvSpPr>
        <xdr:cNvPr id="7" name="Obdĺžnik 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2285372" y="569595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6" name="Obdĺžnik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2285372" y="550545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27</xdr:row>
      <xdr:rowOff>2670</xdr:rowOff>
    </xdr:from>
    <xdr:ext cx="184727" cy="937625"/>
    <xdr:sp macro="" textlink="">
      <xdr:nvSpPr>
        <xdr:cNvPr id="5" name="Obdĺžni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2285372" y="310782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9" name="Obdĺžnik 6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4036722" y="10477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25</xdr:row>
      <xdr:rowOff>2670</xdr:rowOff>
    </xdr:from>
    <xdr:ext cx="184727" cy="937625"/>
    <xdr:sp macro="" textlink="">
      <xdr:nvSpPr>
        <xdr:cNvPr id="4" name="Obdĺžnik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85372" y="27458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33</xdr:row>
      <xdr:rowOff>0</xdr:rowOff>
    </xdr:from>
    <xdr:ext cx="184727" cy="937625"/>
    <xdr:sp macro="" textlink="">
      <xdr:nvSpPr>
        <xdr:cNvPr id="8" name="Obdĺžnik 8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4036722" y="10287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22</xdr:row>
      <xdr:rowOff>0</xdr:rowOff>
    </xdr:from>
    <xdr:ext cx="184727" cy="937625"/>
    <xdr:sp macro="" textlink="">
      <xdr:nvSpPr>
        <xdr:cNvPr id="10" name="Obdĺžnik 9">
          <a:extLst>
            <a:ext uri="{FF2B5EF4-FFF2-40B4-BE49-F238E27FC236}">
              <a16:creationId xmlns:a16="http://schemas.microsoft.com/office/drawing/2014/main" id="{AC7C81F1-C85C-4A08-86BC-593BDF5F0981}"/>
            </a:ext>
          </a:extLst>
        </xdr:cNvPr>
        <xdr:cNvSpPr/>
      </xdr:nvSpPr>
      <xdr:spPr>
        <a:xfrm>
          <a:off x="4122447" y="4762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35</xdr:row>
      <xdr:rowOff>0</xdr:rowOff>
    </xdr:from>
    <xdr:ext cx="184727" cy="937625"/>
    <xdr:sp macro="" textlink="">
      <xdr:nvSpPr>
        <xdr:cNvPr id="11" name="Obdĺžnik 10">
          <a:extLst>
            <a:ext uri="{FF2B5EF4-FFF2-40B4-BE49-F238E27FC236}">
              <a16:creationId xmlns:a16="http://schemas.microsoft.com/office/drawing/2014/main" id="{608143B9-578F-4484-93B8-F14A690818E8}"/>
            </a:ext>
          </a:extLst>
        </xdr:cNvPr>
        <xdr:cNvSpPr/>
      </xdr:nvSpPr>
      <xdr:spPr>
        <a:xfrm>
          <a:off x="4122447" y="8191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12" name="Obdĺžnik 4">
          <a:extLst>
            <a:ext uri="{FF2B5EF4-FFF2-40B4-BE49-F238E27FC236}">
              <a16:creationId xmlns:a16="http://schemas.microsoft.com/office/drawing/2014/main" id="{02AE5365-4636-4F0B-BBC2-8F469B1DB212}"/>
            </a:ext>
          </a:extLst>
        </xdr:cNvPr>
        <xdr:cNvSpPr/>
      </xdr:nvSpPr>
      <xdr:spPr>
        <a:xfrm>
          <a:off x="4122447" y="8001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27</xdr:row>
      <xdr:rowOff>2670</xdr:rowOff>
    </xdr:from>
    <xdr:ext cx="184727" cy="937625"/>
    <xdr:sp macro="" textlink="">
      <xdr:nvSpPr>
        <xdr:cNvPr id="13" name="Obdĺžnik 5">
          <a:extLst>
            <a:ext uri="{FF2B5EF4-FFF2-40B4-BE49-F238E27FC236}">
              <a16:creationId xmlns:a16="http://schemas.microsoft.com/office/drawing/2014/main" id="{54B1051C-40A5-44DB-A026-20D99D87E6B1}"/>
            </a:ext>
          </a:extLst>
        </xdr:cNvPr>
        <xdr:cNvSpPr/>
      </xdr:nvSpPr>
      <xdr:spPr>
        <a:xfrm>
          <a:off x="4122447" y="62891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14" name="Obdĺžnik 6">
          <a:extLst>
            <a:ext uri="{FF2B5EF4-FFF2-40B4-BE49-F238E27FC236}">
              <a16:creationId xmlns:a16="http://schemas.microsoft.com/office/drawing/2014/main" id="{564DEB23-B9EF-415F-A508-90E15EAB4A6D}"/>
            </a:ext>
          </a:extLst>
        </xdr:cNvPr>
        <xdr:cNvSpPr/>
      </xdr:nvSpPr>
      <xdr:spPr>
        <a:xfrm>
          <a:off x="4122447" y="8001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25</xdr:row>
      <xdr:rowOff>2670</xdr:rowOff>
    </xdr:from>
    <xdr:ext cx="184727" cy="937625"/>
    <xdr:sp macro="" textlink="">
      <xdr:nvSpPr>
        <xdr:cNvPr id="15" name="Obdĺžnik 7">
          <a:extLst>
            <a:ext uri="{FF2B5EF4-FFF2-40B4-BE49-F238E27FC236}">
              <a16:creationId xmlns:a16="http://schemas.microsoft.com/office/drawing/2014/main" id="{7978C585-38E1-48D3-871B-8E1618664850}"/>
            </a:ext>
          </a:extLst>
        </xdr:cNvPr>
        <xdr:cNvSpPr/>
      </xdr:nvSpPr>
      <xdr:spPr>
        <a:xfrm>
          <a:off x="4122447" y="57176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33</xdr:row>
      <xdr:rowOff>0</xdr:rowOff>
    </xdr:from>
    <xdr:ext cx="184727" cy="937625"/>
    <xdr:sp macro="" textlink="">
      <xdr:nvSpPr>
        <xdr:cNvPr id="16" name="Obdĺžnik 8">
          <a:extLst>
            <a:ext uri="{FF2B5EF4-FFF2-40B4-BE49-F238E27FC236}">
              <a16:creationId xmlns:a16="http://schemas.microsoft.com/office/drawing/2014/main" id="{7F774068-E052-4194-B5A2-1DA4155A4ADC}"/>
            </a:ext>
          </a:extLst>
        </xdr:cNvPr>
        <xdr:cNvSpPr/>
      </xdr:nvSpPr>
      <xdr:spPr>
        <a:xfrm>
          <a:off x="4122447" y="7620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21</xdr:row>
      <xdr:rowOff>161926</xdr:rowOff>
    </xdr:from>
    <xdr:to>
      <xdr:col>7</xdr:col>
      <xdr:colOff>133350</xdr:colOff>
      <xdr:row>35</xdr:row>
      <xdr:rowOff>14288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E0E7799-31DB-AB61-DF92-10748FC50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6"/>
  <sheetViews>
    <sheetView tabSelected="1" workbookViewId="0"/>
  </sheetViews>
  <sheetFormatPr defaultRowHeight="14.25" x14ac:dyDescent="0.2"/>
  <cols>
    <col min="1" max="1" width="1.85546875" style="1" customWidth="1"/>
    <col min="2" max="2" width="4.140625" style="1" customWidth="1"/>
    <col min="3" max="3" width="35.5703125" style="1" customWidth="1"/>
    <col min="4" max="4" width="14.140625" style="1" customWidth="1"/>
    <col min="5" max="5" width="11.5703125" style="1" customWidth="1"/>
    <col min="6" max="6" width="9.85546875" style="1" customWidth="1"/>
    <col min="7" max="7" width="10.42578125" style="1" customWidth="1"/>
    <col min="8" max="8" width="13.42578125" style="1" customWidth="1"/>
    <col min="9" max="9" width="11.140625" style="1" customWidth="1"/>
    <col min="10" max="10" width="9.85546875" style="1" customWidth="1"/>
    <col min="11" max="11" width="12" style="1" customWidth="1"/>
    <col min="12" max="12" width="14.42578125" style="1" customWidth="1"/>
    <col min="13" max="13" width="9.140625" style="1" customWidth="1"/>
    <col min="14" max="16384" width="9.140625" style="1"/>
  </cols>
  <sheetData>
    <row r="3" spans="2:12" ht="18.75" customHeight="1" x14ac:dyDescent="0.25">
      <c r="B3" s="18"/>
      <c r="C3" s="563" t="s">
        <v>607</v>
      </c>
      <c r="D3" s="563"/>
      <c r="E3" s="563"/>
      <c r="F3" s="563"/>
      <c r="G3" s="563"/>
      <c r="H3" s="563"/>
      <c r="I3" s="563"/>
      <c r="J3" s="563"/>
      <c r="K3" s="563"/>
      <c r="L3" s="18"/>
    </row>
    <row r="4" spans="2:12" ht="15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2:12" ht="38.25" x14ac:dyDescent="0.2">
      <c r="B5" s="33"/>
      <c r="C5" s="19" t="s">
        <v>0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  <c r="I5" s="20" t="s">
        <v>6</v>
      </c>
      <c r="J5" s="20" t="s">
        <v>7</v>
      </c>
      <c r="K5" s="20" t="s">
        <v>8</v>
      </c>
      <c r="L5" s="21" t="s">
        <v>9</v>
      </c>
    </row>
    <row r="6" spans="2:12" x14ac:dyDescent="0.2">
      <c r="B6" s="430" t="s">
        <v>10</v>
      </c>
      <c r="C6" s="22" t="s">
        <v>11</v>
      </c>
      <c r="D6" s="23">
        <v>362338.64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4">
        <f t="shared" ref="L6:L23" si="0">D6+E6+F6+G6+H6+I6+J6+K6</f>
        <v>362338.64</v>
      </c>
    </row>
    <row r="7" spans="2:12" x14ac:dyDescent="0.2">
      <c r="B7" s="420" t="s">
        <v>12</v>
      </c>
      <c r="C7" s="25" t="s">
        <v>13</v>
      </c>
      <c r="D7" s="26">
        <v>168459338.77000001</v>
      </c>
      <c r="E7" s="26">
        <v>67709164.739999995</v>
      </c>
      <c r="F7" s="26">
        <v>1587952.13</v>
      </c>
      <c r="G7" s="26">
        <v>6050501.4299999997</v>
      </c>
      <c r="H7" s="26">
        <v>1372752.83</v>
      </c>
      <c r="I7" s="26">
        <v>9653274.6300000008</v>
      </c>
      <c r="J7" s="26">
        <v>6249</v>
      </c>
      <c r="K7" s="26">
        <v>378967.8</v>
      </c>
      <c r="L7" s="27">
        <f t="shared" si="0"/>
        <v>255218201.33000001</v>
      </c>
    </row>
    <row r="8" spans="2:12" x14ac:dyDescent="0.2">
      <c r="B8" s="420" t="s">
        <v>14</v>
      </c>
      <c r="C8" s="25" t="s">
        <v>15</v>
      </c>
      <c r="D8" s="26">
        <v>22510374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7">
        <f t="shared" si="0"/>
        <v>22510374</v>
      </c>
    </row>
    <row r="9" spans="2:12" x14ac:dyDescent="0.2">
      <c r="B9" s="420" t="s">
        <v>16</v>
      </c>
      <c r="C9" s="25" t="s">
        <v>17</v>
      </c>
      <c r="D9" s="26">
        <v>48886.17</v>
      </c>
      <c r="E9" s="26">
        <v>26647.7</v>
      </c>
      <c r="F9" s="26">
        <v>7751.84</v>
      </c>
      <c r="G9" s="26">
        <v>11017.12</v>
      </c>
      <c r="H9" s="26">
        <v>0</v>
      </c>
      <c r="I9" s="26">
        <v>22074.92</v>
      </c>
      <c r="J9" s="26">
        <v>0</v>
      </c>
      <c r="K9" s="26">
        <v>0</v>
      </c>
      <c r="L9" s="27">
        <f t="shared" si="0"/>
        <v>116377.74999999999</v>
      </c>
    </row>
    <row r="10" spans="2:12" x14ac:dyDescent="0.2">
      <c r="B10" s="420" t="s">
        <v>18</v>
      </c>
      <c r="C10" s="25" t="s">
        <v>19</v>
      </c>
      <c r="D10" s="26">
        <v>87299596.290000007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7">
        <f t="shared" si="0"/>
        <v>87299596.290000007</v>
      </c>
    </row>
    <row r="11" spans="2:12" x14ac:dyDescent="0.2">
      <c r="B11" s="420" t="s">
        <v>20</v>
      </c>
      <c r="C11" s="25" t="s">
        <v>21</v>
      </c>
      <c r="D11" s="26">
        <v>749454.51</v>
      </c>
      <c r="E11" s="26">
        <f>515.55+61177.63</f>
        <v>61693.18</v>
      </c>
      <c r="F11" s="26">
        <v>162151.5</v>
      </c>
      <c r="G11" s="26">
        <v>25996.67</v>
      </c>
      <c r="H11" s="26">
        <v>0</v>
      </c>
      <c r="I11" s="26">
        <v>6805.91</v>
      </c>
      <c r="J11" s="26">
        <v>0</v>
      </c>
      <c r="K11" s="26">
        <v>0</v>
      </c>
      <c r="L11" s="27">
        <f t="shared" si="0"/>
        <v>1006101.7700000001</v>
      </c>
    </row>
    <row r="12" spans="2:12" x14ac:dyDescent="0.2">
      <c r="B12" s="420" t="s">
        <v>22</v>
      </c>
      <c r="C12" s="25" t="s">
        <v>23</v>
      </c>
      <c r="D12" s="26">
        <v>13901458.789999999</v>
      </c>
      <c r="E12" s="26">
        <v>149274.38</v>
      </c>
      <c r="F12" s="26">
        <v>15378.41</v>
      </c>
      <c r="G12" s="26">
        <v>347594.36</v>
      </c>
      <c r="H12" s="26">
        <v>49300.34</v>
      </c>
      <c r="I12" s="26">
        <v>1562102.48</v>
      </c>
      <c r="J12" s="26">
        <v>3317.32</v>
      </c>
      <c r="K12" s="26">
        <v>17380.09</v>
      </c>
      <c r="L12" s="27">
        <f t="shared" si="0"/>
        <v>16045806.17</v>
      </c>
    </row>
    <row r="13" spans="2:12" x14ac:dyDescent="0.2">
      <c r="B13" s="431" t="s">
        <v>24</v>
      </c>
      <c r="C13" s="28" t="s">
        <v>25</v>
      </c>
      <c r="D13" s="29">
        <v>65993.789999999994</v>
      </c>
      <c r="E13" s="29">
        <v>6162.35</v>
      </c>
      <c r="F13" s="29">
        <v>26461.9</v>
      </c>
      <c r="G13" s="29">
        <v>172229.1</v>
      </c>
      <c r="H13" s="29">
        <v>9609.1299999999992</v>
      </c>
      <c r="I13" s="29">
        <v>272502.89</v>
      </c>
      <c r="J13" s="29">
        <v>730.42</v>
      </c>
      <c r="K13" s="29">
        <v>2668.47</v>
      </c>
      <c r="L13" s="30">
        <f t="shared" si="0"/>
        <v>556358.05000000005</v>
      </c>
    </row>
    <row r="14" spans="2:12" customFormat="1" ht="15" x14ac:dyDescent="0.25">
      <c r="B14" s="432"/>
      <c r="C14" s="31" t="s">
        <v>26</v>
      </c>
      <c r="D14" s="32">
        <f>SUM(D6:D13)</f>
        <v>293397440.96000004</v>
      </c>
      <c r="E14" s="32">
        <f t="shared" ref="E14:K14" si="1">SUM(E6:E13)</f>
        <v>67952942.349999994</v>
      </c>
      <c r="F14" s="32">
        <f t="shared" si="1"/>
        <v>1799695.7799999998</v>
      </c>
      <c r="G14" s="32">
        <f t="shared" si="1"/>
        <v>6607338.6799999997</v>
      </c>
      <c r="H14" s="32">
        <f t="shared" si="1"/>
        <v>1431662.3</v>
      </c>
      <c r="I14" s="32">
        <f t="shared" si="1"/>
        <v>11516760.830000002</v>
      </c>
      <c r="J14" s="32">
        <f t="shared" si="1"/>
        <v>10296.74</v>
      </c>
      <c r="K14" s="32">
        <f t="shared" si="1"/>
        <v>399016.36</v>
      </c>
      <c r="L14" s="32">
        <f t="shared" si="0"/>
        <v>383115154.00000006</v>
      </c>
    </row>
    <row r="15" spans="2:12" customFormat="1" ht="15" x14ac:dyDescent="0.25">
      <c r="B15" s="430" t="s">
        <v>27</v>
      </c>
      <c r="C15" s="22" t="s">
        <v>28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4">
        <f t="shared" si="0"/>
        <v>0</v>
      </c>
    </row>
    <row r="16" spans="2:12" customFormat="1" ht="15" x14ac:dyDescent="0.25">
      <c r="B16" s="420" t="s">
        <v>29</v>
      </c>
      <c r="C16" s="25" t="s">
        <v>30</v>
      </c>
      <c r="D16" s="26">
        <v>202241203.58000001</v>
      </c>
      <c r="E16" s="26">
        <v>-274982.3</v>
      </c>
      <c r="F16" s="26">
        <v>-342495.9</v>
      </c>
      <c r="G16" s="26">
        <v>-230150.02</v>
      </c>
      <c r="H16" s="26">
        <v>-10489.08</v>
      </c>
      <c r="I16" s="26">
        <v>-301167.18</v>
      </c>
      <c r="J16" s="26">
        <v>-22627.279999999999</v>
      </c>
      <c r="K16" s="26">
        <v>-92956.49</v>
      </c>
      <c r="L16" s="27">
        <f t="shared" si="0"/>
        <v>200966335.32999995</v>
      </c>
    </row>
    <row r="17" spans="2:12" customFormat="1" ht="15" x14ac:dyDescent="0.25">
      <c r="B17" s="420" t="s">
        <v>31</v>
      </c>
      <c r="C17" s="25" t="s">
        <v>32</v>
      </c>
      <c r="D17" s="26">
        <v>301314.82</v>
      </c>
      <c r="E17" s="26">
        <v>23682.49</v>
      </c>
      <c r="F17" s="26">
        <v>34298.32</v>
      </c>
      <c r="G17" s="26">
        <v>186510</v>
      </c>
      <c r="H17" s="26">
        <v>12293.2</v>
      </c>
      <c r="I17" s="26">
        <v>10779.46</v>
      </c>
      <c r="J17" s="26">
        <v>301.86</v>
      </c>
      <c r="K17" s="26">
        <v>3500</v>
      </c>
      <c r="L17" s="27">
        <f t="shared" si="0"/>
        <v>572680.14999999991</v>
      </c>
    </row>
    <row r="18" spans="2:12" customFormat="1" ht="15" x14ac:dyDescent="0.25">
      <c r="B18" s="420" t="s">
        <v>33</v>
      </c>
      <c r="C18" s="25" t="s">
        <v>19</v>
      </c>
      <c r="D18" s="26">
        <v>1712464.95</v>
      </c>
      <c r="E18" s="26">
        <v>67760376.620000005</v>
      </c>
      <c r="F18" s="26">
        <v>1731894.87</v>
      </c>
      <c r="G18" s="26">
        <v>6075712.6299999999</v>
      </c>
      <c r="H18" s="26">
        <v>1372752.83</v>
      </c>
      <c r="I18" s="26">
        <v>9522117.7899999991</v>
      </c>
      <c r="J18" s="26">
        <v>6249</v>
      </c>
      <c r="K18" s="26">
        <v>378967.8</v>
      </c>
      <c r="L18" s="27">
        <f t="shared" si="0"/>
        <v>88560536.489999995</v>
      </c>
    </row>
    <row r="19" spans="2:12" customFormat="1" ht="15" x14ac:dyDescent="0.25">
      <c r="B19" s="420" t="s">
        <v>34</v>
      </c>
      <c r="C19" s="25" t="s">
        <v>35</v>
      </c>
      <c r="D19" s="26">
        <v>2174963.34</v>
      </c>
      <c r="E19" s="26">
        <v>133823.66</v>
      </c>
      <c r="F19" s="26">
        <v>12331.7</v>
      </c>
      <c r="G19" s="26">
        <v>4871.2299999999996</v>
      </c>
      <c r="H19" s="26">
        <v>5026.95</v>
      </c>
      <c r="I19" s="26">
        <v>56462.29</v>
      </c>
      <c r="J19" s="26">
        <v>2587.8200000000002</v>
      </c>
      <c r="K19" s="26">
        <v>2351.09</v>
      </c>
      <c r="L19" s="27">
        <f t="shared" si="0"/>
        <v>2392418.08</v>
      </c>
    </row>
    <row r="20" spans="2:12" customFormat="1" ht="15" x14ac:dyDescent="0.25">
      <c r="B20" s="420" t="s">
        <v>36</v>
      </c>
      <c r="C20" s="25" t="s">
        <v>37</v>
      </c>
      <c r="D20" s="26">
        <v>2640972.75</v>
      </c>
      <c r="E20" s="26">
        <v>309555.32</v>
      </c>
      <c r="F20" s="26">
        <v>342658.84</v>
      </c>
      <c r="G20" s="26">
        <v>540027.91</v>
      </c>
      <c r="H20" s="26">
        <v>47608.4</v>
      </c>
      <c r="I20" s="26">
        <v>2045423.23</v>
      </c>
      <c r="J20" s="26">
        <v>23785.34</v>
      </c>
      <c r="K20" s="26">
        <v>107153.96</v>
      </c>
      <c r="L20" s="27">
        <f t="shared" si="0"/>
        <v>6057185.7499999991</v>
      </c>
    </row>
    <row r="21" spans="2:12" customFormat="1" ht="15" x14ac:dyDescent="0.25">
      <c r="B21" s="420" t="s">
        <v>38</v>
      </c>
      <c r="C21" s="25" t="s">
        <v>40</v>
      </c>
      <c r="D21" s="26">
        <v>71056849.780000001</v>
      </c>
      <c r="E21" s="26">
        <v>486.56</v>
      </c>
      <c r="F21" s="26">
        <v>21007.95</v>
      </c>
      <c r="G21" s="26">
        <v>30366.93</v>
      </c>
      <c r="H21" s="26">
        <v>4470</v>
      </c>
      <c r="I21" s="26">
        <v>183145.24</v>
      </c>
      <c r="J21" s="26">
        <v>0</v>
      </c>
      <c r="K21" s="26">
        <v>0</v>
      </c>
      <c r="L21" s="27">
        <f t="shared" si="0"/>
        <v>71296326.460000008</v>
      </c>
    </row>
    <row r="22" spans="2:12" customFormat="1" ht="15" x14ac:dyDescent="0.25">
      <c r="B22" s="431" t="s">
        <v>39</v>
      </c>
      <c r="C22" s="28" t="s">
        <v>41</v>
      </c>
      <c r="D22" s="29">
        <v>13269671.74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30">
        <f t="shared" si="0"/>
        <v>13269671.74</v>
      </c>
    </row>
    <row r="23" spans="2:12" customFormat="1" ht="15.75" x14ac:dyDescent="0.25">
      <c r="B23" s="34"/>
      <c r="C23" s="31" t="s">
        <v>42</v>
      </c>
      <c r="D23" s="32">
        <f>SUM(D15:D22)</f>
        <v>293397440.96000004</v>
      </c>
      <c r="E23" s="32">
        <f t="shared" ref="E23:K23" si="2">SUM(E15:E22)</f>
        <v>67952942.349999994</v>
      </c>
      <c r="F23" s="32">
        <f t="shared" si="2"/>
        <v>1799695.78</v>
      </c>
      <c r="G23" s="32">
        <f t="shared" si="2"/>
        <v>6607338.6800000006</v>
      </c>
      <c r="H23" s="32">
        <f t="shared" si="2"/>
        <v>1431662.3</v>
      </c>
      <c r="I23" s="32">
        <f t="shared" si="2"/>
        <v>11516760.829999998</v>
      </c>
      <c r="J23" s="32">
        <f t="shared" si="2"/>
        <v>10296.740000000002</v>
      </c>
      <c r="K23" s="32">
        <f t="shared" si="2"/>
        <v>399016.36000000004</v>
      </c>
      <c r="L23" s="32">
        <f t="shared" si="0"/>
        <v>383115154.00000006</v>
      </c>
    </row>
    <row r="24" spans="2:12" ht="15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2" x14ac:dyDescent="0.2"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">
      <c r="D26" s="4"/>
    </row>
  </sheetData>
  <mergeCells count="1">
    <mergeCell ref="C3:K3"/>
  </mergeCells>
  <pageMargins left="0.59055118110236227" right="0.11811023622047245" top="0.74803149606299213" bottom="0.74803149606299213" header="0.31496062992125984" footer="0.31496062992125984"/>
  <pageSetup paperSize="9" scale="9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72"/>
  <sheetViews>
    <sheetView workbookViewId="0"/>
  </sheetViews>
  <sheetFormatPr defaultColWidth="9.140625" defaultRowHeight="14.25" x14ac:dyDescent="0.25"/>
  <cols>
    <col min="1" max="1" width="9.140625" style="502"/>
    <col min="2" max="2" width="6.85546875" style="502" customWidth="1"/>
    <col min="3" max="3" width="39.5703125" style="502" customWidth="1"/>
    <col min="4" max="4" width="44.85546875" style="502" customWidth="1"/>
    <col min="5" max="5" width="10.7109375" style="512" customWidth="1"/>
    <col min="6" max="6" width="4.42578125" style="502" customWidth="1"/>
    <col min="7" max="7" width="10.140625" style="502" customWidth="1"/>
    <col min="8" max="8" width="35.28515625" style="502" customWidth="1"/>
    <col min="9" max="9" width="49.7109375" style="502" customWidth="1"/>
    <col min="10" max="16384" width="9.140625" style="502"/>
  </cols>
  <sheetData>
    <row r="1" spans="2:9" x14ac:dyDescent="0.25">
      <c r="B1" s="500"/>
      <c r="C1" s="500"/>
      <c r="D1" s="500"/>
      <c r="E1" s="501"/>
      <c r="F1" s="500"/>
      <c r="G1" s="500"/>
      <c r="H1" s="500"/>
      <c r="I1" s="500"/>
    </row>
    <row r="2" spans="2:9" x14ac:dyDescent="0.25">
      <c r="B2" s="500"/>
      <c r="C2" s="500"/>
      <c r="D2" s="500"/>
      <c r="E2" s="501"/>
      <c r="F2" s="500"/>
      <c r="G2" s="500"/>
      <c r="H2" s="500"/>
      <c r="I2" s="500"/>
    </row>
    <row r="3" spans="2:9" ht="18" x14ac:dyDescent="0.25">
      <c r="B3" s="602" t="s">
        <v>750</v>
      </c>
      <c r="C3" s="602"/>
      <c r="D3" s="602"/>
      <c r="E3" s="602"/>
      <c r="F3" s="500"/>
      <c r="G3" s="500"/>
      <c r="H3" s="500"/>
      <c r="I3" s="500"/>
    </row>
    <row r="4" spans="2:9" ht="11.25" customHeight="1" x14ac:dyDescent="0.25">
      <c r="B4" s="503"/>
      <c r="C4" s="503"/>
      <c r="D4" s="503"/>
      <c r="E4" s="504"/>
      <c r="F4" s="500"/>
      <c r="G4" s="500"/>
      <c r="H4" s="500"/>
      <c r="I4" s="500"/>
    </row>
    <row r="5" spans="2:9" ht="18" x14ac:dyDescent="0.25">
      <c r="B5" s="603" t="s">
        <v>159</v>
      </c>
      <c r="C5" s="603"/>
      <c r="D5" s="503"/>
      <c r="E5" s="504"/>
      <c r="F5" s="500"/>
      <c r="G5" s="500"/>
    </row>
    <row r="6" spans="2:9" ht="6" customHeight="1" x14ac:dyDescent="0.25">
      <c r="B6" s="500"/>
      <c r="C6" s="500"/>
      <c r="D6" s="500"/>
      <c r="E6" s="501"/>
      <c r="F6" s="500"/>
      <c r="G6" s="500"/>
    </row>
    <row r="7" spans="2:9" ht="25.5" x14ac:dyDescent="0.25">
      <c r="B7" s="505" t="s">
        <v>150</v>
      </c>
      <c r="C7" s="506" t="s">
        <v>161</v>
      </c>
      <c r="D7" s="506" t="s">
        <v>162</v>
      </c>
      <c r="E7" s="254" t="s">
        <v>417</v>
      </c>
      <c r="F7" s="500"/>
      <c r="G7" s="500"/>
    </row>
    <row r="8" spans="2:9" x14ac:dyDescent="0.25">
      <c r="B8" s="507">
        <v>1</v>
      </c>
      <c r="C8" s="517" t="s">
        <v>680</v>
      </c>
      <c r="D8" s="517" t="s">
        <v>684</v>
      </c>
      <c r="E8" s="518">
        <v>3300</v>
      </c>
      <c r="F8" s="500"/>
      <c r="G8" s="500"/>
    </row>
    <row r="9" spans="2:9" x14ac:dyDescent="0.25">
      <c r="B9" s="508">
        <v>2</v>
      </c>
      <c r="C9" s="519" t="s">
        <v>438</v>
      </c>
      <c r="D9" s="519" t="s">
        <v>685</v>
      </c>
      <c r="E9" s="520">
        <v>798</v>
      </c>
      <c r="F9" s="500"/>
      <c r="G9" s="500"/>
    </row>
    <row r="10" spans="2:9" ht="25.5" x14ac:dyDescent="0.25">
      <c r="B10" s="508">
        <v>3</v>
      </c>
      <c r="C10" s="519" t="s">
        <v>681</v>
      </c>
      <c r="D10" s="519" t="s">
        <v>686</v>
      </c>
      <c r="E10" s="520">
        <v>704</v>
      </c>
      <c r="F10" s="500"/>
      <c r="G10" s="500"/>
    </row>
    <row r="11" spans="2:9" x14ac:dyDescent="0.25">
      <c r="B11" s="508">
        <v>4</v>
      </c>
      <c r="C11" s="519" t="s">
        <v>682</v>
      </c>
      <c r="D11" s="519" t="s">
        <v>687</v>
      </c>
      <c r="E11" s="520">
        <v>508</v>
      </c>
      <c r="F11" s="500"/>
      <c r="G11" s="500"/>
    </row>
    <row r="12" spans="2:9" ht="25.5" x14ac:dyDescent="0.25">
      <c r="B12" s="508">
        <v>5</v>
      </c>
      <c r="C12" s="519" t="s">
        <v>579</v>
      </c>
      <c r="D12" s="519" t="s">
        <v>688</v>
      </c>
      <c r="E12" s="520">
        <v>2200</v>
      </c>
      <c r="F12" s="500"/>
      <c r="G12" s="500"/>
    </row>
    <row r="13" spans="2:9" x14ac:dyDescent="0.25">
      <c r="B13" s="508">
        <v>6</v>
      </c>
      <c r="C13" s="519" t="s">
        <v>445</v>
      </c>
      <c r="D13" s="519" t="s">
        <v>689</v>
      </c>
      <c r="E13" s="520">
        <v>700</v>
      </c>
      <c r="F13" s="500"/>
      <c r="G13" s="500"/>
    </row>
    <row r="14" spans="2:9" x14ac:dyDescent="0.25">
      <c r="B14" s="508">
        <v>7</v>
      </c>
      <c r="C14" s="519" t="s">
        <v>501</v>
      </c>
      <c r="D14" s="519" t="s">
        <v>690</v>
      </c>
      <c r="E14" s="520">
        <v>3140</v>
      </c>
      <c r="F14" s="500"/>
      <c r="G14" s="500"/>
    </row>
    <row r="15" spans="2:9" x14ac:dyDescent="0.25">
      <c r="B15" s="508">
        <v>8</v>
      </c>
      <c r="C15" s="519" t="s">
        <v>683</v>
      </c>
      <c r="D15" s="519" t="s">
        <v>691</v>
      </c>
      <c r="E15" s="520">
        <v>2500</v>
      </c>
      <c r="F15" s="500"/>
      <c r="G15" s="500"/>
    </row>
    <row r="16" spans="2:9" x14ac:dyDescent="0.25">
      <c r="B16" s="508">
        <v>9</v>
      </c>
      <c r="C16" s="519" t="s">
        <v>511</v>
      </c>
      <c r="D16" s="519" t="s">
        <v>692</v>
      </c>
      <c r="E16" s="520">
        <v>600</v>
      </c>
      <c r="F16" s="500"/>
      <c r="G16" s="500"/>
    </row>
    <row r="17" spans="2:9" ht="16.5" customHeight="1" x14ac:dyDescent="0.25">
      <c r="B17" s="509"/>
      <c r="C17" s="510" t="s">
        <v>9</v>
      </c>
      <c r="D17" s="509"/>
      <c r="E17" s="511">
        <f>SUM(E8:E16)</f>
        <v>14450</v>
      </c>
      <c r="F17" s="500"/>
      <c r="G17" s="501"/>
      <c r="H17" s="512"/>
    </row>
    <row r="18" spans="2:9" x14ac:dyDescent="0.25">
      <c r="B18" s="500"/>
      <c r="C18" s="500"/>
      <c r="D18" s="500"/>
      <c r="E18" s="513"/>
      <c r="F18" s="500"/>
      <c r="G18" s="501"/>
    </row>
    <row r="19" spans="2:9" ht="19.5" customHeight="1" x14ac:dyDescent="0.25">
      <c r="B19" s="264" t="s">
        <v>160</v>
      </c>
      <c r="C19" s="266"/>
      <c r="D19" s="263"/>
      <c r="E19" s="267"/>
      <c r="F19" s="500"/>
      <c r="G19" s="500"/>
    </row>
    <row r="20" spans="2:9" ht="6.75" customHeight="1" x14ac:dyDescent="0.25">
      <c r="B20" s="500"/>
      <c r="C20" s="500"/>
      <c r="D20" s="500"/>
      <c r="E20" s="514"/>
      <c r="F20" s="500"/>
      <c r="G20" s="500"/>
    </row>
    <row r="21" spans="2:9" ht="33" customHeight="1" x14ac:dyDescent="0.25">
      <c r="B21" s="505" t="s">
        <v>150</v>
      </c>
      <c r="C21" s="506" t="s">
        <v>161</v>
      </c>
      <c r="D21" s="506" t="s">
        <v>162</v>
      </c>
      <c r="E21" s="268" t="s">
        <v>417</v>
      </c>
      <c r="F21" s="500"/>
      <c r="G21" s="500"/>
    </row>
    <row r="22" spans="2:9" ht="24.75" customHeight="1" x14ac:dyDescent="0.25">
      <c r="B22" s="269">
        <v>1</v>
      </c>
      <c r="C22" s="516" t="s">
        <v>693</v>
      </c>
      <c r="D22" s="516" t="s">
        <v>693</v>
      </c>
      <c r="E22" s="521">
        <v>500</v>
      </c>
      <c r="F22" s="500"/>
      <c r="G22" s="500"/>
    </row>
    <row r="23" spans="2:9" x14ac:dyDescent="0.25">
      <c r="B23" s="269">
        <v>2</v>
      </c>
      <c r="C23" s="516" t="s">
        <v>694</v>
      </c>
      <c r="D23" s="516" t="s">
        <v>715</v>
      </c>
      <c r="E23" s="521">
        <v>500</v>
      </c>
      <c r="F23" s="500"/>
      <c r="G23" s="500"/>
    </row>
    <row r="24" spans="2:9" ht="25.5" x14ac:dyDescent="0.25">
      <c r="B24" s="269">
        <v>3</v>
      </c>
      <c r="C24" s="516" t="s">
        <v>429</v>
      </c>
      <c r="D24" s="516" t="s">
        <v>716</v>
      </c>
      <c r="E24" s="521">
        <v>500</v>
      </c>
      <c r="F24" s="500"/>
      <c r="G24" s="500"/>
    </row>
    <row r="25" spans="2:9" x14ac:dyDescent="0.25">
      <c r="B25" s="269">
        <v>4</v>
      </c>
      <c r="C25" s="516" t="s">
        <v>560</v>
      </c>
      <c r="D25" s="516" t="s">
        <v>561</v>
      </c>
      <c r="E25" s="521">
        <v>600</v>
      </c>
      <c r="F25" s="500"/>
      <c r="G25" s="500"/>
    </row>
    <row r="26" spans="2:9" x14ac:dyDescent="0.25">
      <c r="B26" s="269">
        <v>5</v>
      </c>
      <c r="C26" s="516" t="s">
        <v>695</v>
      </c>
      <c r="D26" s="516" t="s">
        <v>717</v>
      </c>
      <c r="E26" s="521">
        <v>650</v>
      </c>
      <c r="F26" s="500"/>
      <c r="G26" s="500"/>
    </row>
    <row r="27" spans="2:9" x14ac:dyDescent="0.25">
      <c r="B27" s="269">
        <v>6</v>
      </c>
      <c r="C27" s="516" t="s">
        <v>549</v>
      </c>
      <c r="D27" s="516" t="s">
        <v>718</v>
      </c>
      <c r="E27" s="521">
        <v>700</v>
      </c>
      <c r="F27" s="500"/>
      <c r="G27" s="500"/>
    </row>
    <row r="28" spans="2:9" x14ac:dyDescent="0.25">
      <c r="B28" s="269">
        <v>7</v>
      </c>
      <c r="C28" s="516" t="s">
        <v>667</v>
      </c>
      <c r="D28" s="516" t="s">
        <v>719</v>
      </c>
      <c r="E28" s="521">
        <v>380</v>
      </c>
      <c r="F28" s="500"/>
      <c r="G28" s="500"/>
    </row>
    <row r="29" spans="2:9" x14ac:dyDescent="0.25">
      <c r="B29" s="269">
        <v>8</v>
      </c>
      <c r="C29" s="516" t="s">
        <v>696</v>
      </c>
      <c r="D29" s="516" t="s">
        <v>509</v>
      </c>
      <c r="E29" s="521">
        <v>1300</v>
      </c>
      <c r="F29" s="500"/>
      <c r="G29" s="500"/>
    </row>
    <row r="30" spans="2:9" x14ac:dyDescent="0.25">
      <c r="B30" s="269">
        <v>9</v>
      </c>
      <c r="C30" s="516" t="s">
        <v>503</v>
      </c>
      <c r="D30" s="516" t="s">
        <v>720</v>
      </c>
      <c r="E30" s="521">
        <v>600</v>
      </c>
      <c r="F30" s="500"/>
      <c r="G30" s="500"/>
      <c r="H30" s="500"/>
      <c r="I30" s="500"/>
    </row>
    <row r="31" spans="2:9" x14ac:dyDescent="0.25">
      <c r="B31" s="269">
        <v>10</v>
      </c>
      <c r="C31" s="516" t="s">
        <v>507</v>
      </c>
      <c r="D31" s="516" t="s">
        <v>562</v>
      </c>
      <c r="E31" s="521">
        <v>750</v>
      </c>
      <c r="F31" s="500"/>
      <c r="G31" s="500"/>
      <c r="H31" s="500"/>
      <c r="I31" s="500"/>
    </row>
    <row r="32" spans="2:9" x14ac:dyDescent="0.25">
      <c r="B32" s="269">
        <v>11</v>
      </c>
      <c r="C32" s="516" t="s">
        <v>507</v>
      </c>
      <c r="D32" s="516" t="s">
        <v>430</v>
      </c>
      <c r="E32" s="521">
        <v>750</v>
      </c>
      <c r="F32" s="500"/>
      <c r="G32" s="500"/>
      <c r="H32" s="500"/>
      <c r="I32" s="500"/>
    </row>
    <row r="33" spans="2:6" x14ac:dyDescent="0.25">
      <c r="B33" s="269">
        <v>12</v>
      </c>
      <c r="C33" s="516" t="s">
        <v>506</v>
      </c>
      <c r="D33" s="516" t="s">
        <v>721</v>
      </c>
      <c r="E33" s="521">
        <v>700</v>
      </c>
    </row>
    <row r="34" spans="2:6" x14ac:dyDescent="0.25">
      <c r="B34" s="269">
        <v>13</v>
      </c>
      <c r="C34" s="516" t="s">
        <v>697</v>
      </c>
      <c r="D34" s="516" t="s">
        <v>722</v>
      </c>
      <c r="E34" s="521">
        <v>1200</v>
      </c>
    </row>
    <row r="35" spans="2:6" x14ac:dyDescent="0.25">
      <c r="B35" s="269">
        <v>14</v>
      </c>
      <c r="C35" s="516" t="s">
        <v>698</v>
      </c>
      <c r="D35" s="516" t="s">
        <v>723</v>
      </c>
      <c r="E35" s="521">
        <v>700</v>
      </c>
    </row>
    <row r="36" spans="2:6" x14ac:dyDescent="0.25">
      <c r="B36" s="269">
        <v>15</v>
      </c>
      <c r="C36" s="516" t="s">
        <v>699</v>
      </c>
      <c r="D36" s="516" t="s">
        <v>724</v>
      </c>
      <c r="E36" s="521">
        <v>670</v>
      </c>
      <c r="F36" s="515"/>
    </row>
    <row r="37" spans="2:6" x14ac:dyDescent="0.25">
      <c r="B37" s="269">
        <v>16</v>
      </c>
      <c r="C37" s="516" t="s">
        <v>679</v>
      </c>
      <c r="D37" s="516" t="s">
        <v>725</v>
      </c>
      <c r="E37" s="521">
        <v>700</v>
      </c>
    </row>
    <row r="38" spans="2:6" x14ac:dyDescent="0.25">
      <c r="B38" s="269">
        <v>17</v>
      </c>
      <c r="C38" s="516" t="s">
        <v>679</v>
      </c>
      <c r="D38" s="516" t="s">
        <v>557</v>
      </c>
      <c r="E38" s="521">
        <v>1350</v>
      </c>
    </row>
    <row r="39" spans="2:6" x14ac:dyDescent="0.25">
      <c r="B39" s="269">
        <v>18</v>
      </c>
      <c r="C39" s="516" t="s">
        <v>700</v>
      </c>
      <c r="D39" s="516" t="s">
        <v>726</v>
      </c>
      <c r="E39" s="521">
        <v>800</v>
      </c>
    </row>
    <row r="40" spans="2:6" x14ac:dyDescent="0.25">
      <c r="B40" s="269">
        <v>19</v>
      </c>
      <c r="C40" s="516" t="s">
        <v>701</v>
      </c>
      <c r="D40" s="516" t="s">
        <v>727</v>
      </c>
      <c r="E40" s="521">
        <v>500</v>
      </c>
    </row>
    <row r="41" spans="2:6" x14ac:dyDescent="0.25">
      <c r="B41" s="269">
        <v>20</v>
      </c>
      <c r="C41" s="516" t="s">
        <v>702</v>
      </c>
      <c r="D41" s="516" t="s">
        <v>555</v>
      </c>
      <c r="E41" s="521">
        <v>600</v>
      </c>
    </row>
    <row r="42" spans="2:6" x14ac:dyDescent="0.25">
      <c r="B42" s="269">
        <v>21</v>
      </c>
      <c r="C42" s="516" t="s">
        <v>703</v>
      </c>
      <c r="D42" s="516" t="s">
        <v>728</v>
      </c>
      <c r="E42" s="521">
        <v>1200</v>
      </c>
    </row>
    <row r="43" spans="2:6" x14ac:dyDescent="0.25">
      <c r="B43" s="269">
        <v>22</v>
      </c>
      <c r="C43" s="516" t="s">
        <v>704</v>
      </c>
      <c r="D43" s="516" t="s">
        <v>729</v>
      </c>
      <c r="E43" s="521">
        <v>700</v>
      </c>
    </row>
    <row r="44" spans="2:6" x14ac:dyDescent="0.25">
      <c r="B44" s="269">
        <v>23</v>
      </c>
      <c r="C44" s="516" t="s">
        <v>705</v>
      </c>
      <c r="D44" s="516" t="s">
        <v>730</v>
      </c>
      <c r="E44" s="521">
        <v>700</v>
      </c>
    </row>
    <row r="45" spans="2:6" x14ac:dyDescent="0.25">
      <c r="B45" s="269">
        <v>24</v>
      </c>
      <c r="C45" s="516" t="s">
        <v>502</v>
      </c>
      <c r="D45" s="516" t="s">
        <v>731</v>
      </c>
      <c r="E45" s="521">
        <v>500</v>
      </c>
    </row>
    <row r="46" spans="2:6" x14ac:dyDescent="0.25">
      <c r="B46" s="269">
        <v>25</v>
      </c>
      <c r="C46" s="516" t="s">
        <v>706</v>
      </c>
      <c r="D46" s="516" t="s">
        <v>732</v>
      </c>
      <c r="E46" s="521">
        <v>500</v>
      </c>
    </row>
    <row r="47" spans="2:6" x14ac:dyDescent="0.25">
      <c r="B47" s="269">
        <v>26</v>
      </c>
      <c r="C47" s="516" t="s">
        <v>427</v>
      </c>
      <c r="D47" s="516" t="s">
        <v>733</v>
      </c>
      <c r="E47" s="521">
        <v>800</v>
      </c>
    </row>
    <row r="48" spans="2:6" x14ac:dyDescent="0.25">
      <c r="B48" s="269">
        <v>27</v>
      </c>
      <c r="C48" s="516" t="s">
        <v>547</v>
      </c>
      <c r="D48" s="516" t="s">
        <v>734</v>
      </c>
      <c r="E48" s="521">
        <v>1200</v>
      </c>
    </row>
    <row r="49" spans="2:5" ht="25.5" x14ac:dyDescent="0.25">
      <c r="B49" s="269">
        <v>28</v>
      </c>
      <c r="C49" s="516" t="s">
        <v>707</v>
      </c>
      <c r="D49" s="516" t="s">
        <v>735</v>
      </c>
      <c r="E49" s="521">
        <v>600</v>
      </c>
    </row>
    <row r="50" spans="2:5" x14ac:dyDescent="0.25">
      <c r="B50" s="269">
        <v>29</v>
      </c>
      <c r="C50" s="516" t="s">
        <v>708</v>
      </c>
      <c r="D50" s="516" t="s">
        <v>736</v>
      </c>
      <c r="E50" s="521">
        <v>600</v>
      </c>
    </row>
    <row r="51" spans="2:5" x14ac:dyDescent="0.25">
      <c r="B51" s="269">
        <v>30</v>
      </c>
      <c r="C51" s="516" t="s">
        <v>709</v>
      </c>
      <c r="D51" s="516" t="s">
        <v>737</v>
      </c>
      <c r="E51" s="521">
        <v>1400</v>
      </c>
    </row>
    <row r="52" spans="2:5" x14ac:dyDescent="0.25">
      <c r="B52" s="269">
        <v>31</v>
      </c>
      <c r="C52" s="516" t="s">
        <v>709</v>
      </c>
      <c r="D52" s="516" t="s">
        <v>738</v>
      </c>
      <c r="E52" s="521">
        <v>600</v>
      </c>
    </row>
    <row r="53" spans="2:5" x14ac:dyDescent="0.25">
      <c r="B53" s="269">
        <v>32</v>
      </c>
      <c r="C53" s="516" t="s">
        <v>505</v>
      </c>
      <c r="D53" s="516" t="s">
        <v>739</v>
      </c>
      <c r="E53" s="521">
        <v>500</v>
      </c>
    </row>
    <row r="54" spans="2:5" ht="15.75" customHeight="1" x14ac:dyDescent="0.25">
      <c r="B54" s="269">
        <v>33</v>
      </c>
      <c r="C54" s="516" t="s">
        <v>553</v>
      </c>
      <c r="D54" s="516" t="s">
        <v>510</v>
      </c>
      <c r="E54" s="521">
        <v>650</v>
      </c>
    </row>
    <row r="55" spans="2:5" ht="51" x14ac:dyDescent="0.25">
      <c r="B55" s="269">
        <v>34</v>
      </c>
      <c r="C55" s="516" t="s">
        <v>558</v>
      </c>
      <c r="D55" s="516" t="s">
        <v>740</v>
      </c>
      <c r="E55" s="521">
        <v>500</v>
      </c>
    </row>
    <row r="56" spans="2:5" x14ac:dyDescent="0.25">
      <c r="B56" s="269">
        <v>35</v>
      </c>
      <c r="C56" s="516" t="s">
        <v>710</v>
      </c>
      <c r="D56" s="516" t="s">
        <v>741</v>
      </c>
      <c r="E56" s="521">
        <v>500</v>
      </c>
    </row>
    <row r="57" spans="2:5" x14ac:dyDescent="0.25">
      <c r="B57" s="522">
        <v>36</v>
      </c>
      <c r="C57" s="523" t="s">
        <v>711</v>
      </c>
      <c r="D57" s="523" t="s">
        <v>742</v>
      </c>
      <c r="E57" s="524">
        <v>500</v>
      </c>
    </row>
    <row r="58" spans="2:5" x14ac:dyDescent="0.25">
      <c r="B58" s="525"/>
      <c r="C58" s="526"/>
      <c r="D58" s="526"/>
      <c r="E58" s="527"/>
    </row>
    <row r="59" spans="2:5" x14ac:dyDescent="0.25">
      <c r="B59" s="528"/>
      <c r="C59" s="529"/>
      <c r="D59" s="529"/>
      <c r="E59" s="530"/>
    </row>
    <row r="60" spans="2:5" ht="25.5" x14ac:dyDescent="0.25">
      <c r="B60" s="505" t="s">
        <v>150</v>
      </c>
      <c r="C60" s="506" t="s">
        <v>161</v>
      </c>
      <c r="D60" s="506" t="s">
        <v>162</v>
      </c>
      <c r="E60" s="268" t="s">
        <v>417</v>
      </c>
    </row>
    <row r="61" spans="2:5" x14ac:dyDescent="0.25">
      <c r="B61" s="269">
        <v>37</v>
      </c>
      <c r="C61" s="516" t="s">
        <v>553</v>
      </c>
      <c r="D61" s="516" t="s">
        <v>554</v>
      </c>
      <c r="E61" s="521">
        <v>650</v>
      </c>
    </row>
    <row r="62" spans="2:5" x14ac:dyDescent="0.25">
      <c r="B62" s="269">
        <v>38</v>
      </c>
      <c r="C62" s="516" t="s">
        <v>674</v>
      </c>
      <c r="D62" s="516" t="s">
        <v>743</v>
      </c>
      <c r="E62" s="521">
        <v>1000</v>
      </c>
    </row>
    <row r="63" spans="2:5" ht="25.5" x14ac:dyDescent="0.25">
      <c r="B63" s="269">
        <v>39</v>
      </c>
      <c r="C63" s="516" t="s">
        <v>508</v>
      </c>
      <c r="D63" s="516" t="s">
        <v>744</v>
      </c>
      <c r="E63" s="521">
        <v>650</v>
      </c>
    </row>
    <row r="64" spans="2:5" ht="25.5" x14ac:dyDescent="0.25">
      <c r="B64" s="269">
        <v>40</v>
      </c>
      <c r="C64" s="516" t="s">
        <v>712</v>
      </c>
      <c r="D64" s="516" t="s">
        <v>745</v>
      </c>
      <c r="E64" s="521">
        <v>500</v>
      </c>
    </row>
    <row r="65" spans="2:7" x14ac:dyDescent="0.25">
      <c r="B65" s="269">
        <v>41</v>
      </c>
      <c r="C65" s="516" t="s">
        <v>556</v>
      </c>
      <c r="D65" s="516" t="s">
        <v>746</v>
      </c>
      <c r="E65" s="521">
        <v>700</v>
      </c>
    </row>
    <row r="66" spans="2:7" x14ac:dyDescent="0.25">
      <c r="B66" s="269">
        <v>42</v>
      </c>
      <c r="C66" s="516" t="s">
        <v>556</v>
      </c>
      <c r="D66" s="516" t="s">
        <v>431</v>
      </c>
      <c r="E66" s="521">
        <v>1300</v>
      </c>
      <c r="G66" s="512"/>
    </row>
    <row r="67" spans="2:7" x14ac:dyDescent="0.25">
      <c r="B67" s="269">
        <v>43</v>
      </c>
      <c r="C67" s="516" t="s">
        <v>713</v>
      </c>
      <c r="D67" s="516" t="s">
        <v>555</v>
      </c>
      <c r="E67" s="521">
        <v>1000</v>
      </c>
    </row>
    <row r="68" spans="2:7" x14ac:dyDescent="0.25">
      <c r="B68" s="269">
        <v>44</v>
      </c>
      <c r="C68" s="516" t="s">
        <v>714</v>
      </c>
      <c r="D68" s="516" t="s">
        <v>552</v>
      </c>
      <c r="E68" s="521">
        <v>500</v>
      </c>
    </row>
    <row r="69" spans="2:7" x14ac:dyDescent="0.25">
      <c r="B69" s="269">
        <v>45</v>
      </c>
      <c r="C69" s="516" t="s">
        <v>678</v>
      </c>
      <c r="D69" s="516" t="s">
        <v>747</v>
      </c>
      <c r="E69" s="521">
        <v>500</v>
      </c>
    </row>
    <row r="70" spans="2:7" x14ac:dyDescent="0.25">
      <c r="B70" s="269">
        <v>46</v>
      </c>
      <c r="C70" s="516" t="s">
        <v>548</v>
      </c>
      <c r="D70" s="516" t="s">
        <v>748</v>
      </c>
      <c r="E70" s="521">
        <v>500</v>
      </c>
    </row>
    <row r="71" spans="2:7" x14ac:dyDescent="0.25">
      <c r="B71" s="269">
        <v>47</v>
      </c>
      <c r="C71" s="516" t="s">
        <v>434</v>
      </c>
      <c r="D71" s="516" t="s">
        <v>749</v>
      </c>
      <c r="E71" s="521">
        <v>700</v>
      </c>
    </row>
    <row r="72" spans="2:7" x14ac:dyDescent="0.25">
      <c r="B72" s="509"/>
      <c r="C72" s="510" t="s">
        <v>9</v>
      </c>
      <c r="D72" s="509"/>
      <c r="E72" s="511">
        <f>SUM(E22:E71)</f>
        <v>33900</v>
      </c>
      <c r="G72" s="514"/>
    </row>
  </sheetData>
  <mergeCells count="2">
    <mergeCell ref="B3:E3"/>
    <mergeCell ref="B5:C5"/>
  </mergeCells>
  <pageMargins left="0.51181102362204722" right="0.43307086614173229" top="0.19685039370078741" bottom="0.19685039370078741" header="0.51181102362204722" footer="0.51181102362204722"/>
  <pageSetup paperSize="9" scale="90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86"/>
  <sheetViews>
    <sheetView workbookViewId="0"/>
  </sheetViews>
  <sheetFormatPr defaultRowHeight="14.25" x14ac:dyDescent="0.2"/>
  <cols>
    <col min="1" max="1" width="9.140625" style="1"/>
    <col min="2" max="2" width="6.5703125" style="1" customWidth="1"/>
    <col min="3" max="3" width="43.42578125" style="1" customWidth="1"/>
    <col min="4" max="4" width="58.5703125" style="1" customWidth="1"/>
    <col min="5" max="5" width="12.7109375" style="283" customWidth="1"/>
    <col min="6" max="8" width="9.140625" style="1"/>
    <col min="9" max="9" width="10.42578125" style="1" bestFit="1" customWidth="1"/>
    <col min="10" max="16384" width="9.140625" style="1"/>
  </cols>
  <sheetData>
    <row r="1" spans="2:11" x14ac:dyDescent="0.2">
      <c r="B1" s="272"/>
      <c r="C1" s="272"/>
      <c r="D1" s="604" t="s">
        <v>163</v>
      </c>
      <c r="E1" s="605"/>
    </row>
    <row r="2" spans="2:11" ht="18" x14ac:dyDescent="0.25">
      <c r="B2" s="606" t="s">
        <v>853</v>
      </c>
      <c r="C2" s="606"/>
      <c r="D2" s="606"/>
      <c r="E2" s="605"/>
    </row>
    <row r="3" spans="2:11" x14ac:dyDescent="0.2">
      <c r="B3" s="272"/>
      <c r="C3" s="272"/>
      <c r="D3" s="272"/>
      <c r="E3" s="273"/>
    </row>
    <row r="4" spans="2:11" ht="27" customHeight="1" x14ac:dyDescent="0.2">
      <c r="B4" s="274" t="s">
        <v>150</v>
      </c>
      <c r="C4" s="275" t="s">
        <v>164</v>
      </c>
      <c r="D4" s="275" t="s">
        <v>162</v>
      </c>
      <c r="E4" s="276" t="s">
        <v>417</v>
      </c>
      <c r="F4" s="277"/>
      <c r="G4" s="599"/>
      <c r="H4" s="599"/>
      <c r="I4" s="599"/>
      <c r="J4" s="599"/>
      <c r="K4" s="599"/>
    </row>
    <row r="5" spans="2:11" ht="17.25" customHeight="1" x14ac:dyDescent="0.2">
      <c r="B5" s="271">
        <v>1</v>
      </c>
      <c r="C5" s="447" t="s">
        <v>565</v>
      </c>
      <c r="D5" s="447" t="s">
        <v>790</v>
      </c>
      <c r="E5" s="448">
        <v>2000</v>
      </c>
      <c r="F5" s="277"/>
    </row>
    <row r="6" spans="2:11" x14ac:dyDescent="0.2">
      <c r="B6" s="271">
        <v>2</v>
      </c>
      <c r="C6" s="447" t="s">
        <v>563</v>
      </c>
      <c r="D6" s="447" t="s">
        <v>439</v>
      </c>
      <c r="E6" s="448">
        <v>2000</v>
      </c>
    </row>
    <row r="7" spans="2:11" x14ac:dyDescent="0.2">
      <c r="B7" s="271">
        <v>3</v>
      </c>
      <c r="C7" s="447" t="s">
        <v>752</v>
      </c>
      <c r="D7" s="447" t="s">
        <v>573</v>
      </c>
      <c r="E7" s="448">
        <v>400</v>
      </c>
    </row>
    <row r="8" spans="2:11" x14ac:dyDescent="0.2">
      <c r="B8" s="271">
        <v>4</v>
      </c>
      <c r="C8" s="447" t="s">
        <v>435</v>
      </c>
      <c r="D8" s="447" t="s">
        <v>791</v>
      </c>
      <c r="E8" s="448">
        <v>600</v>
      </c>
    </row>
    <row r="9" spans="2:11" ht="15" customHeight="1" x14ac:dyDescent="0.2">
      <c r="B9" s="271">
        <v>5</v>
      </c>
      <c r="C9" s="447" t="s">
        <v>753</v>
      </c>
      <c r="D9" s="447" t="s">
        <v>792</v>
      </c>
      <c r="E9" s="448">
        <v>250</v>
      </c>
    </row>
    <row r="10" spans="2:11" x14ac:dyDescent="0.2">
      <c r="B10" s="271">
        <v>6</v>
      </c>
      <c r="C10" s="447" t="s">
        <v>754</v>
      </c>
      <c r="D10" s="447" t="s">
        <v>793</v>
      </c>
      <c r="E10" s="448">
        <v>1200</v>
      </c>
    </row>
    <row r="11" spans="2:11" x14ac:dyDescent="0.2">
      <c r="B11" s="271">
        <v>7</v>
      </c>
      <c r="C11" s="447" t="s">
        <v>755</v>
      </c>
      <c r="D11" s="447" t="s">
        <v>794</v>
      </c>
      <c r="E11" s="448">
        <v>250</v>
      </c>
    </row>
    <row r="12" spans="2:11" x14ac:dyDescent="0.2">
      <c r="B12" s="271">
        <v>8</v>
      </c>
      <c r="C12" s="447" t="s">
        <v>755</v>
      </c>
      <c r="D12" s="447" t="s">
        <v>795</v>
      </c>
      <c r="E12" s="448">
        <v>400</v>
      </c>
    </row>
    <row r="13" spans="2:11" x14ac:dyDescent="0.2">
      <c r="B13" s="271">
        <v>9</v>
      </c>
      <c r="C13" s="447" t="s">
        <v>756</v>
      </c>
      <c r="D13" s="447" t="s">
        <v>796</v>
      </c>
      <c r="E13" s="448">
        <v>250</v>
      </c>
    </row>
    <row r="14" spans="2:11" x14ac:dyDescent="0.2">
      <c r="B14" s="271">
        <v>10</v>
      </c>
      <c r="C14" s="447" t="s">
        <v>757</v>
      </c>
      <c r="D14" s="447" t="s">
        <v>797</v>
      </c>
      <c r="E14" s="448">
        <v>1000</v>
      </c>
    </row>
    <row r="15" spans="2:11" x14ac:dyDescent="0.2">
      <c r="B15" s="271">
        <v>11</v>
      </c>
      <c r="C15" s="447" t="s">
        <v>758</v>
      </c>
      <c r="D15" s="447" t="s">
        <v>798</v>
      </c>
      <c r="E15" s="448">
        <v>200</v>
      </c>
    </row>
    <row r="16" spans="2:11" x14ac:dyDescent="0.2">
      <c r="B16" s="271">
        <v>12</v>
      </c>
      <c r="C16" s="447" t="s">
        <v>758</v>
      </c>
      <c r="D16" s="447" t="s">
        <v>799</v>
      </c>
      <c r="E16" s="448">
        <v>400</v>
      </c>
    </row>
    <row r="17" spans="2:5" x14ac:dyDescent="0.2">
      <c r="B17" s="271">
        <v>13</v>
      </c>
      <c r="C17" s="447" t="s">
        <v>759</v>
      </c>
      <c r="D17" s="447" t="s">
        <v>800</v>
      </c>
      <c r="E17" s="448">
        <v>300</v>
      </c>
    </row>
    <row r="18" spans="2:5" x14ac:dyDescent="0.2">
      <c r="B18" s="271">
        <v>14</v>
      </c>
      <c r="C18" s="447" t="s">
        <v>515</v>
      </c>
      <c r="D18" s="447" t="s">
        <v>572</v>
      </c>
      <c r="E18" s="448">
        <v>350</v>
      </c>
    </row>
    <row r="19" spans="2:5" x14ac:dyDescent="0.2">
      <c r="B19" s="271">
        <v>15</v>
      </c>
      <c r="C19" s="447" t="s">
        <v>760</v>
      </c>
      <c r="D19" s="447" t="s">
        <v>801</v>
      </c>
      <c r="E19" s="448">
        <v>150</v>
      </c>
    </row>
    <row r="20" spans="2:5" x14ac:dyDescent="0.2">
      <c r="B20" s="271">
        <v>16</v>
      </c>
      <c r="C20" s="447" t="s">
        <v>567</v>
      </c>
      <c r="D20" s="447" t="s">
        <v>802</v>
      </c>
      <c r="E20" s="448">
        <v>900</v>
      </c>
    </row>
    <row r="21" spans="2:5" x14ac:dyDescent="0.2">
      <c r="B21" s="271">
        <v>17</v>
      </c>
      <c r="C21" s="447" t="s">
        <v>440</v>
      </c>
      <c r="D21" s="447" t="s">
        <v>803</v>
      </c>
      <c r="E21" s="448">
        <v>800</v>
      </c>
    </row>
    <row r="22" spans="2:5" x14ac:dyDescent="0.2">
      <c r="B22" s="271">
        <v>18</v>
      </c>
      <c r="C22" s="447" t="s">
        <v>761</v>
      </c>
      <c r="D22" s="447" t="s">
        <v>804</v>
      </c>
      <c r="E22" s="448">
        <v>1100</v>
      </c>
    </row>
    <row r="23" spans="2:5" x14ac:dyDescent="0.2">
      <c r="B23" s="271">
        <v>19</v>
      </c>
      <c r="C23" s="447" t="s">
        <v>761</v>
      </c>
      <c r="D23" s="447" t="s">
        <v>805</v>
      </c>
      <c r="E23" s="448">
        <v>1250</v>
      </c>
    </row>
    <row r="24" spans="2:5" x14ac:dyDescent="0.2">
      <c r="B24" s="271">
        <v>20</v>
      </c>
      <c r="C24" s="447" t="s">
        <v>445</v>
      </c>
      <c r="D24" s="447" t="s">
        <v>806</v>
      </c>
      <c r="E24" s="448">
        <v>600</v>
      </c>
    </row>
    <row r="25" spans="2:5" x14ac:dyDescent="0.2">
      <c r="B25" s="271">
        <v>21</v>
      </c>
      <c r="C25" s="447" t="s">
        <v>762</v>
      </c>
      <c r="D25" s="447" t="s">
        <v>807</v>
      </c>
      <c r="E25" s="448">
        <v>250</v>
      </c>
    </row>
    <row r="26" spans="2:5" x14ac:dyDescent="0.2">
      <c r="B26" s="271">
        <v>22</v>
      </c>
      <c r="C26" s="447" t="s">
        <v>763</v>
      </c>
      <c r="D26" s="447" t="s">
        <v>808</v>
      </c>
      <c r="E26" s="448">
        <v>300</v>
      </c>
    </row>
    <row r="27" spans="2:5" x14ac:dyDescent="0.2">
      <c r="B27" s="271">
        <v>23</v>
      </c>
      <c r="C27" s="447" t="s">
        <v>764</v>
      </c>
      <c r="D27" s="447" t="s">
        <v>796</v>
      </c>
      <c r="E27" s="448">
        <v>1000</v>
      </c>
    </row>
    <row r="28" spans="2:5" x14ac:dyDescent="0.2">
      <c r="B28" s="271">
        <v>24</v>
      </c>
      <c r="C28" s="447" t="s">
        <v>765</v>
      </c>
      <c r="D28" s="447" t="s">
        <v>809</v>
      </c>
      <c r="E28" s="448">
        <v>1250</v>
      </c>
    </row>
    <row r="29" spans="2:5" x14ac:dyDescent="0.2">
      <c r="B29" s="271">
        <v>25</v>
      </c>
      <c r="C29" s="447" t="s">
        <v>514</v>
      </c>
      <c r="D29" s="447" t="s">
        <v>810</v>
      </c>
      <c r="E29" s="448">
        <v>900</v>
      </c>
    </row>
    <row r="30" spans="2:5" x14ac:dyDescent="0.2">
      <c r="B30" s="271">
        <v>26</v>
      </c>
      <c r="C30" s="447" t="s">
        <v>514</v>
      </c>
      <c r="D30" s="447" t="s">
        <v>811</v>
      </c>
      <c r="E30" s="448">
        <v>750</v>
      </c>
    </row>
    <row r="31" spans="2:5" x14ac:dyDescent="0.2">
      <c r="B31" s="271">
        <v>27</v>
      </c>
      <c r="C31" s="447" t="s">
        <v>513</v>
      </c>
      <c r="D31" s="447" t="s">
        <v>812</v>
      </c>
      <c r="E31" s="448">
        <v>500</v>
      </c>
    </row>
    <row r="32" spans="2:5" x14ac:dyDescent="0.2">
      <c r="B32" s="271">
        <v>28</v>
      </c>
      <c r="C32" s="447" t="s">
        <v>584</v>
      </c>
      <c r="D32" s="447" t="s">
        <v>813</v>
      </c>
      <c r="E32" s="448">
        <v>400</v>
      </c>
    </row>
    <row r="33" spans="2:5" x14ac:dyDescent="0.2">
      <c r="B33" s="271">
        <v>29</v>
      </c>
      <c r="C33" s="447" t="s">
        <v>766</v>
      </c>
      <c r="D33" s="447" t="s">
        <v>814</v>
      </c>
      <c r="E33" s="448">
        <v>200</v>
      </c>
    </row>
    <row r="34" spans="2:5" x14ac:dyDescent="0.2">
      <c r="B34" s="271">
        <v>30</v>
      </c>
      <c r="C34" s="447" t="s">
        <v>438</v>
      </c>
      <c r="D34" s="447" t="s">
        <v>815</v>
      </c>
      <c r="E34" s="448">
        <v>2000</v>
      </c>
    </row>
    <row r="35" spans="2:5" x14ac:dyDescent="0.2">
      <c r="B35" s="271">
        <v>31</v>
      </c>
      <c r="C35" s="447" t="s">
        <v>767</v>
      </c>
      <c r="D35" s="447" t="s">
        <v>816</v>
      </c>
      <c r="E35" s="448">
        <v>200</v>
      </c>
    </row>
    <row r="36" spans="2:5" x14ac:dyDescent="0.2">
      <c r="B36" s="271">
        <v>32</v>
      </c>
      <c r="C36" s="447" t="s">
        <v>767</v>
      </c>
      <c r="D36" s="447" t="s">
        <v>817</v>
      </c>
      <c r="E36" s="448">
        <v>950</v>
      </c>
    </row>
    <row r="37" spans="2:5" x14ac:dyDescent="0.2">
      <c r="B37" s="271">
        <v>33</v>
      </c>
      <c r="C37" s="447" t="s">
        <v>442</v>
      </c>
      <c r="D37" s="447" t="s">
        <v>818</v>
      </c>
      <c r="E37" s="448">
        <v>750</v>
      </c>
    </row>
    <row r="38" spans="2:5" x14ac:dyDescent="0.2">
      <c r="B38" s="271">
        <v>34</v>
      </c>
      <c r="C38" s="447" t="s">
        <v>442</v>
      </c>
      <c r="D38" s="447" t="s">
        <v>819</v>
      </c>
      <c r="E38" s="448">
        <v>1050</v>
      </c>
    </row>
    <row r="39" spans="2:5" x14ac:dyDescent="0.2">
      <c r="B39" s="271">
        <v>35</v>
      </c>
      <c r="C39" s="447" t="s">
        <v>564</v>
      </c>
      <c r="D39" s="447" t="s">
        <v>820</v>
      </c>
      <c r="E39" s="448">
        <v>800</v>
      </c>
    </row>
    <row r="40" spans="2:5" x14ac:dyDescent="0.2">
      <c r="B40" s="271">
        <v>36</v>
      </c>
      <c r="C40" s="447" t="s">
        <v>768</v>
      </c>
      <c r="D40" s="447" t="s">
        <v>821</v>
      </c>
      <c r="E40" s="448">
        <v>400</v>
      </c>
    </row>
    <row r="41" spans="2:5" x14ac:dyDescent="0.2">
      <c r="B41" s="271">
        <v>37</v>
      </c>
      <c r="C41" s="447" t="s">
        <v>769</v>
      </c>
      <c r="D41" s="447" t="s">
        <v>822</v>
      </c>
      <c r="E41" s="448">
        <v>400</v>
      </c>
    </row>
    <row r="42" spans="2:5" x14ac:dyDescent="0.2">
      <c r="B42" s="271">
        <v>38</v>
      </c>
      <c r="C42" s="447" t="s">
        <v>770</v>
      </c>
      <c r="D42" s="447" t="s">
        <v>570</v>
      </c>
      <c r="E42" s="448">
        <v>250</v>
      </c>
    </row>
    <row r="43" spans="2:5" x14ac:dyDescent="0.2">
      <c r="B43" s="271">
        <v>39</v>
      </c>
      <c r="C43" s="447" t="s">
        <v>770</v>
      </c>
      <c r="D43" s="447" t="s">
        <v>823</v>
      </c>
      <c r="E43" s="448">
        <v>1500</v>
      </c>
    </row>
    <row r="44" spans="2:5" x14ac:dyDescent="0.2">
      <c r="B44" s="271">
        <v>40</v>
      </c>
      <c r="C44" s="447" t="s">
        <v>770</v>
      </c>
      <c r="D44" s="447" t="s">
        <v>824</v>
      </c>
      <c r="E44" s="448">
        <v>250</v>
      </c>
    </row>
    <row r="45" spans="2:5" x14ac:dyDescent="0.2">
      <c r="B45" s="271">
        <v>41</v>
      </c>
      <c r="C45" s="447" t="s">
        <v>494</v>
      </c>
      <c r="D45" s="447" t="s">
        <v>825</v>
      </c>
      <c r="E45" s="448">
        <v>1150</v>
      </c>
    </row>
    <row r="46" spans="2:5" x14ac:dyDescent="0.2">
      <c r="B46" s="271">
        <v>42</v>
      </c>
      <c r="C46" s="447" t="s">
        <v>771</v>
      </c>
      <c r="D46" s="447" t="s">
        <v>826</v>
      </c>
      <c r="E46" s="448">
        <v>2000</v>
      </c>
    </row>
    <row r="47" spans="2:5" x14ac:dyDescent="0.2">
      <c r="B47" s="271">
        <v>43</v>
      </c>
      <c r="C47" s="447" t="s">
        <v>772</v>
      </c>
      <c r="D47" s="447" t="s">
        <v>827</v>
      </c>
      <c r="E47" s="448">
        <v>550</v>
      </c>
    </row>
    <row r="48" spans="2:5" x14ac:dyDescent="0.2">
      <c r="B48" s="271">
        <v>44</v>
      </c>
      <c r="C48" s="447" t="s">
        <v>773</v>
      </c>
      <c r="D48" s="447" t="s">
        <v>516</v>
      </c>
      <c r="E48" s="448">
        <v>600</v>
      </c>
    </row>
    <row r="49" spans="2:5" x14ac:dyDescent="0.2">
      <c r="B49" s="271">
        <v>45</v>
      </c>
      <c r="C49" s="447" t="s">
        <v>774</v>
      </c>
      <c r="D49" s="447" t="s">
        <v>828</v>
      </c>
      <c r="E49" s="448">
        <v>400</v>
      </c>
    </row>
    <row r="50" spans="2:5" x14ac:dyDescent="0.2">
      <c r="B50" s="271">
        <v>46</v>
      </c>
      <c r="C50" s="447" t="s">
        <v>775</v>
      </c>
      <c r="D50" s="447" t="s">
        <v>829</v>
      </c>
      <c r="E50" s="448">
        <v>450</v>
      </c>
    </row>
    <row r="51" spans="2:5" x14ac:dyDescent="0.2">
      <c r="B51" s="271">
        <v>47</v>
      </c>
      <c r="C51" s="447" t="s">
        <v>776</v>
      </c>
      <c r="D51" s="447" t="s">
        <v>830</v>
      </c>
      <c r="E51" s="448">
        <v>250</v>
      </c>
    </row>
    <row r="52" spans="2:5" ht="13.5" customHeight="1" x14ac:dyDescent="0.2">
      <c r="B52" s="271">
        <v>48</v>
      </c>
      <c r="C52" s="447" t="s">
        <v>443</v>
      </c>
      <c r="D52" s="447" t="s">
        <v>831</v>
      </c>
      <c r="E52" s="448">
        <v>1050</v>
      </c>
    </row>
    <row r="53" spans="2:5" x14ac:dyDescent="0.2">
      <c r="B53" s="271">
        <v>49</v>
      </c>
      <c r="C53" s="447" t="s">
        <v>762</v>
      </c>
      <c r="D53" s="447" t="s">
        <v>832</v>
      </c>
      <c r="E53" s="448">
        <v>200</v>
      </c>
    </row>
    <row r="54" spans="2:5" ht="13.5" customHeight="1" x14ac:dyDescent="0.2">
      <c r="B54" s="271">
        <v>50</v>
      </c>
      <c r="C54" s="447" t="s">
        <v>777</v>
      </c>
      <c r="D54" s="447" t="s">
        <v>574</v>
      </c>
      <c r="E54" s="448">
        <v>850</v>
      </c>
    </row>
    <row r="55" spans="2:5" x14ac:dyDescent="0.2">
      <c r="B55" s="271">
        <v>51</v>
      </c>
      <c r="C55" s="447" t="s">
        <v>704</v>
      </c>
      <c r="D55" s="447" t="s">
        <v>833</v>
      </c>
      <c r="E55" s="448">
        <v>700</v>
      </c>
    </row>
    <row r="56" spans="2:5" x14ac:dyDescent="0.2">
      <c r="B56" s="271">
        <v>52</v>
      </c>
      <c r="C56" s="447" t="s">
        <v>568</v>
      </c>
      <c r="D56" s="447" t="s">
        <v>834</v>
      </c>
      <c r="E56" s="448">
        <v>900</v>
      </c>
    </row>
    <row r="57" spans="2:5" x14ac:dyDescent="0.2">
      <c r="B57" s="271">
        <v>53</v>
      </c>
      <c r="C57" s="447" t="s">
        <v>568</v>
      </c>
      <c r="D57" s="447" t="s">
        <v>835</v>
      </c>
      <c r="E57" s="448">
        <v>900</v>
      </c>
    </row>
    <row r="58" spans="2:5" x14ac:dyDescent="0.2">
      <c r="B58" s="271">
        <v>54</v>
      </c>
      <c r="C58" s="447" t="s">
        <v>778</v>
      </c>
      <c r="D58" s="447" t="s">
        <v>836</v>
      </c>
      <c r="E58" s="448">
        <v>200</v>
      </c>
    </row>
    <row r="59" spans="2:5" ht="15" customHeight="1" x14ac:dyDescent="0.2">
      <c r="B59" s="271">
        <v>55</v>
      </c>
      <c r="C59" s="447" t="s">
        <v>779</v>
      </c>
      <c r="D59" s="447" t="s">
        <v>837</v>
      </c>
      <c r="E59" s="448">
        <v>600</v>
      </c>
    </row>
    <row r="60" spans="2:5" ht="15" customHeight="1" x14ac:dyDescent="0.2">
      <c r="B60" s="271">
        <v>56</v>
      </c>
      <c r="C60" s="447" t="s">
        <v>778</v>
      </c>
      <c r="D60" s="447" t="s">
        <v>838</v>
      </c>
      <c r="E60" s="448">
        <v>200</v>
      </c>
    </row>
    <row r="61" spans="2:5" ht="15.75" customHeight="1" x14ac:dyDescent="0.2">
      <c r="B61" s="271">
        <v>57</v>
      </c>
      <c r="C61" s="447" t="s">
        <v>780</v>
      </c>
      <c r="D61" s="447" t="s">
        <v>839</v>
      </c>
      <c r="E61" s="448">
        <v>1000</v>
      </c>
    </row>
    <row r="62" spans="2:5" x14ac:dyDescent="0.2">
      <c r="B62" s="271">
        <v>58</v>
      </c>
      <c r="C62" s="447" t="s">
        <v>569</v>
      </c>
      <c r="D62" s="447" t="s">
        <v>840</v>
      </c>
      <c r="E62" s="448">
        <v>150</v>
      </c>
    </row>
    <row r="63" spans="2:5" x14ac:dyDescent="0.2">
      <c r="B63" s="271">
        <v>59</v>
      </c>
      <c r="C63" s="447" t="s">
        <v>441</v>
      </c>
      <c r="D63" s="447" t="s">
        <v>841</v>
      </c>
      <c r="E63" s="448">
        <v>250</v>
      </c>
    </row>
    <row r="64" spans="2:5" x14ac:dyDescent="0.2">
      <c r="B64" s="271">
        <v>60</v>
      </c>
      <c r="C64" s="447" t="s">
        <v>781</v>
      </c>
      <c r="D64" s="447" t="s">
        <v>842</v>
      </c>
      <c r="E64" s="448">
        <v>250</v>
      </c>
    </row>
    <row r="65" spans="2:9" x14ac:dyDescent="0.2">
      <c r="B65" s="271">
        <v>61</v>
      </c>
      <c r="C65" s="447" t="s">
        <v>782</v>
      </c>
      <c r="D65" s="447" t="s">
        <v>843</v>
      </c>
      <c r="E65" s="448">
        <v>650</v>
      </c>
    </row>
    <row r="66" spans="2:9" x14ac:dyDescent="0.2">
      <c r="B66" s="271">
        <v>62</v>
      </c>
      <c r="C66" s="447" t="s">
        <v>783</v>
      </c>
      <c r="D66" s="447" t="s">
        <v>844</v>
      </c>
      <c r="E66" s="448">
        <v>2500</v>
      </c>
    </row>
    <row r="67" spans="2:9" x14ac:dyDescent="0.2">
      <c r="B67" s="271">
        <v>63</v>
      </c>
      <c r="C67" s="447" t="s">
        <v>784</v>
      </c>
      <c r="D67" s="447" t="s">
        <v>845</v>
      </c>
      <c r="E67" s="448">
        <v>400</v>
      </c>
      <c r="I67" s="278"/>
    </row>
    <row r="68" spans="2:9" x14ac:dyDescent="0.2">
      <c r="B68" s="271">
        <v>64</v>
      </c>
      <c r="C68" s="447" t="s">
        <v>785</v>
      </c>
      <c r="D68" s="447" t="s">
        <v>571</v>
      </c>
      <c r="E68" s="448">
        <v>200</v>
      </c>
    </row>
    <row r="69" spans="2:9" x14ac:dyDescent="0.2">
      <c r="B69" s="531">
        <v>65</v>
      </c>
      <c r="C69" s="532" t="s">
        <v>786</v>
      </c>
      <c r="D69" s="532" t="s">
        <v>846</v>
      </c>
      <c r="E69" s="533">
        <v>400</v>
      </c>
    </row>
    <row r="70" spans="2:9" x14ac:dyDescent="0.2">
      <c r="B70" s="534"/>
      <c r="C70" s="535"/>
      <c r="D70" s="535"/>
      <c r="E70" s="536"/>
    </row>
    <row r="71" spans="2:9" x14ac:dyDescent="0.2">
      <c r="B71" s="537"/>
      <c r="C71" s="538"/>
      <c r="D71" s="538"/>
      <c r="E71" s="539"/>
    </row>
    <row r="72" spans="2:9" x14ac:dyDescent="0.2">
      <c r="B72" s="537"/>
      <c r="C72" s="538"/>
      <c r="D72" s="538"/>
      <c r="E72" s="539"/>
    </row>
    <row r="73" spans="2:9" x14ac:dyDescent="0.2">
      <c r="B73" s="537"/>
      <c r="C73" s="538"/>
      <c r="D73" s="538"/>
      <c r="E73" s="539"/>
    </row>
    <row r="74" spans="2:9" x14ac:dyDescent="0.2">
      <c r="B74" s="537"/>
      <c r="C74" s="538"/>
      <c r="D74" s="538"/>
      <c r="E74" s="539"/>
    </row>
    <row r="75" spans="2:9" x14ac:dyDescent="0.2">
      <c r="B75" s="537"/>
      <c r="C75" s="538"/>
      <c r="D75" s="538"/>
      <c r="E75" s="539"/>
    </row>
    <row r="76" spans="2:9" x14ac:dyDescent="0.2">
      <c r="B76" s="540"/>
      <c r="C76" s="541"/>
      <c r="D76" s="541"/>
      <c r="E76" s="542"/>
    </row>
    <row r="77" spans="2:9" ht="25.5" x14ac:dyDescent="0.2">
      <c r="B77" s="274" t="s">
        <v>150</v>
      </c>
      <c r="C77" s="275" t="s">
        <v>164</v>
      </c>
      <c r="D77" s="275" t="s">
        <v>162</v>
      </c>
      <c r="E77" s="276" t="s">
        <v>417</v>
      </c>
    </row>
    <row r="78" spans="2:9" x14ac:dyDescent="0.2">
      <c r="B78" s="271">
        <v>66</v>
      </c>
      <c r="C78" s="447" t="s">
        <v>512</v>
      </c>
      <c r="D78" s="447" t="s">
        <v>847</v>
      </c>
      <c r="E78" s="448">
        <v>800</v>
      </c>
    </row>
    <row r="79" spans="2:9" x14ac:dyDescent="0.2">
      <c r="B79" s="271">
        <v>67</v>
      </c>
      <c r="C79" s="447" t="s">
        <v>512</v>
      </c>
      <c r="D79" s="447" t="s">
        <v>848</v>
      </c>
      <c r="E79" s="448">
        <v>1800</v>
      </c>
    </row>
    <row r="80" spans="2:9" x14ac:dyDescent="0.2">
      <c r="B80" s="271">
        <v>68</v>
      </c>
      <c r="C80" s="447" t="s">
        <v>445</v>
      </c>
      <c r="D80" s="447" t="s">
        <v>849</v>
      </c>
      <c r="E80" s="448">
        <v>550</v>
      </c>
      <c r="F80" s="279"/>
    </row>
    <row r="81" spans="2:8" x14ac:dyDescent="0.2">
      <c r="B81" s="271">
        <v>69</v>
      </c>
      <c r="C81" s="447" t="s">
        <v>787</v>
      </c>
      <c r="D81" s="447" t="s">
        <v>850</v>
      </c>
      <c r="E81" s="448">
        <v>400</v>
      </c>
      <c r="F81" s="279"/>
    </row>
    <row r="82" spans="2:8" x14ac:dyDescent="0.2">
      <c r="B82" s="271">
        <v>70</v>
      </c>
      <c r="C82" s="447" t="s">
        <v>788</v>
      </c>
      <c r="D82" s="447" t="s">
        <v>851</v>
      </c>
      <c r="E82" s="448">
        <v>200</v>
      </c>
      <c r="F82" s="279"/>
    </row>
    <row r="83" spans="2:8" x14ac:dyDescent="0.2">
      <c r="B83" s="271">
        <v>71</v>
      </c>
      <c r="C83" s="447" t="s">
        <v>789</v>
      </c>
      <c r="D83" s="447" t="s">
        <v>852</v>
      </c>
      <c r="E83" s="448">
        <v>1900</v>
      </c>
      <c r="F83" s="279"/>
    </row>
    <row r="84" spans="2:8" s="8" customFormat="1" ht="28.5" customHeight="1" x14ac:dyDescent="0.25">
      <c r="B84" s="280"/>
      <c r="C84" s="280" t="s">
        <v>9</v>
      </c>
      <c r="D84" s="281"/>
      <c r="E84" s="281">
        <f>SUM(E5:E83)</f>
        <v>50950</v>
      </c>
      <c r="G84" s="267"/>
      <c r="H84" s="84"/>
    </row>
    <row r="85" spans="2:8" x14ac:dyDescent="0.2">
      <c r="C85" s="282"/>
    </row>
    <row r="86" spans="2:8" x14ac:dyDescent="0.2">
      <c r="C86" s="282"/>
    </row>
  </sheetData>
  <mergeCells count="3">
    <mergeCell ref="G4:K4"/>
    <mergeCell ref="D1:E1"/>
    <mergeCell ref="B2:E2"/>
  </mergeCells>
  <pageMargins left="0.31496062992125984" right="0.19685039370078741" top="0.27559055118110237" bottom="7.874015748031496E-2" header="0.15748031496062992" footer="0.31496062992125984"/>
  <pageSetup paperSize="9" scale="78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42"/>
  <sheetViews>
    <sheetView workbookViewId="0"/>
  </sheetViews>
  <sheetFormatPr defaultRowHeight="14.25" x14ac:dyDescent="0.25"/>
  <cols>
    <col min="1" max="1" width="9.140625" style="502" customWidth="1"/>
    <col min="2" max="2" width="6.28515625" style="502" customWidth="1"/>
    <col min="3" max="3" width="41.85546875" style="502" customWidth="1"/>
    <col min="4" max="4" width="49.7109375" style="502" customWidth="1"/>
    <col min="5" max="5" width="11.42578125" style="514" customWidth="1"/>
    <col min="6" max="16384" width="9.140625" style="502"/>
  </cols>
  <sheetData>
    <row r="2" spans="2:10" x14ac:dyDescent="0.25">
      <c r="E2" s="548" t="s">
        <v>165</v>
      </c>
    </row>
    <row r="3" spans="2:10" x14ac:dyDescent="0.25">
      <c r="B3" s="549"/>
    </row>
    <row r="4" spans="2:10" ht="19.5" x14ac:dyDescent="0.25">
      <c r="B4" s="607" t="s">
        <v>854</v>
      </c>
      <c r="C4" s="607"/>
      <c r="D4" s="607"/>
      <c r="E4" s="607"/>
    </row>
    <row r="5" spans="2:10" x14ac:dyDescent="0.25">
      <c r="E5" s="550"/>
    </row>
    <row r="6" spans="2:10" ht="25.5" x14ac:dyDescent="0.25">
      <c r="B6" s="543" t="s">
        <v>150</v>
      </c>
      <c r="C6" s="544" t="s">
        <v>164</v>
      </c>
      <c r="D6" s="544" t="s">
        <v>162</v>
      </c>
      <c r="E6" s="276" t="s">
        <v>417</v>
      </c>
    </row>
    <row r="7" spans="2:10" x14ac:dyDescent="0.25">
      <c r="B7" s="545">
        <v>1</v>
      </c>
      <c r="C7" s="546" t="s">
        <v>855</v>
      </c>
      <c r="D7" s="546" t="s">
        <v>875</v>
      </c>
      <c r="E7" s="551">
        <v>300</v>
      </c>
    </row>
    <row r="8" spans="2:10" x14ac:dyDescent="0.25">
      <c r="B8" s="545">
        <v>2</v>
      </c>
      <c r="C8" s="546" t="s">
        <v>566</v>
      </c>
      <c r="D8" s="546" t="s">
        <v>876</v>
      </c>
      <c r="E8" s="551">
        <v>1000</v>
      </c>
    </row>
    <row r="9" spans="2:10" ht="25.5" customHeight="1" x14ac:dyDescent="0.25">
      <c r="B9" s="545">
        <v>3</v>
      </c>
      <c r="C9" s="546" t="s">
        <v>856</v>
      </c>
      <c r="D9" s="546" t="s">
        <v>877</v>
      </c>
      <c r="E9" s="551">
        <v>900</v>
      </c>
    </row>
    <row r="10" spans="2:10" ht="25.5" x14ac:dyDescent="0.25">
      <c r="B10" s="545">
        <v>4</v>
      </c>
      <c r="C10" s="546" t="s">
        <v>433</v>
      </c>
      <c r="D10" s="546" t="s">
        <v>878</v>
      </c>
      <c r="E10" s="551">
        <v>300</v>
      </c>
    </row>
    <row r="11" spans="2:10" ht="25.5" x14ac:dyDescent="0.25">
      <c r="B11" s="545">
        <v>5</v>
      </c>
      <c r="C11" s="546" t="s">
        <v>857</v>
      </c>
      <c r="D11" s="546" t="s">
        <v>879</v>
      </c>
      <c r="E11" s="551">
        <v>1500</v>
      </c>
    </row>
    <row r="12" spans="2:10" ht="25.5" x14ac:dyDescent="0.25">
      <c r="B12" s="545">
        <v>6</v>
      </c>
      <c r="C12" s="546" t="s">
        <v>575</v>
      </c>
      <c r="D12" s="546" t="s">
        <v>880</v>
      </c>
      <c r="E12" s="551">
        <v>300</v>
      </c>
      <c r="H12" s="552"/>
      <c r="I12" s="552"/>
      <c r="J12" s="552"/>
    </row>
    <row r="13" spans="2:10" ht="25.5" x14ac:dyDescent="0.25">
      <c r="B13" s="545">
        <v>7</v>
      </c>
      <c r="C13" s="546" t="s">
        <v>444</v>
      </c>
      <c r="D13" s="546" t="s">
        <v>881</v>
      </c>
      <c r="E13" s="551">
        <v>1500</v>
      </c>
      <c r="H13" s="552"/>
      <c r="I13" s="552"/>
      <c r="J13" s="552"/>
    </row>
    <row r="14" spans="2:10" x14ac:dyDescent="0.25">
      <c r="B14" s="545">
        <v>8</v>
      </c>
      <c r="C14" s="546" t="s">
        <v>858</v>
      </c>
      <c r="D14" s="546" t="s">
        <v>882</v>
      </c>
      <c r="E14" s="551">
        <v>1000</v>
      </c>
      <c r="H14" s="552"/>
      <c r="I14" s="552"/>
      <c r="J14" s="552"/>
    </row>
    <row r="15" spans="2:10" ht="25.5" x14ac:dyDescent="0.25">
      <c r="B15" s="545">
        <v>9</v>
      </c>
      <c r="C15" s="546" t="s">
        <v>859</v>
      </c>
      <c r="D15" s="546" t="s">
        <v>883</v>
      </c>
      <c r="E15" s="551">
        <v>1200</v>
      </c>
      <c r="H15" s="552"/>
      <c r="I15" s="552"/>
      <c r="J15" s="552"/>
    </row>
    <row r="16" spans="2:10" x14ac:dyDescent="0.25">
      <c r="B16" s="545">
        <v>10</v>
      </c>
      <c r="C16" s="546" t="s">
        <v>704</v>
      </c>
      <c r="D16" s="546" t="s">
        <v>884</v>
      </c>
      <c r="E16" s="551">
        <v>600</v>
      </c>
    </row>
    <row r="17" spans="2:5" x14ac:dyDescent="0.25">
      <c r="B17" s="545">
        <v>11</v>
      </c>
      <c r="C17" s="546" t="s">
        <v>578</v>
      </c>
      <c r="D17" s="546" t="s">
        <v>885</v>
      </c>
      <c r="E17" s="551">
        <v>500</v>
      </c>
    </row>
    <row r="18" spans="2:5" ht="25.5" x14ac:dyDescent="0.25">
      <c r="B18" s="545">
        <v>12</v>
      </c>
      <c r="C18" s="546" t="s">
        <v>860</v>
      </c>
      <c r="D18" s="546" t="s">
        <v>576</v>
      </c>
      <c r="E18" s="551">
        <v>300</v>
      </c>
    </row>
    <row r="19" spans="2:5" ht="25.5" x14ac:dyDescent="0.25">
      <c r="B19" s="545">
        <v>13</v>
      </c>
      <c r="C19" s="546" t="s">
        <v>446</v>
      </c>
      <c r="D19" s="546" t="s">
        <v>886</v>
      </c>
      <c r="E19" s="551">
        <v>1300</v>
      </c>
    </row>
    <row r="20" spans="2:5" ht="25.5" x14ac:dyDescent="0.25">
      <c r="B20" s="545">
        <v>14</v>
      </c>
      <c r="C20" s="546" t="s">
        <v>861</v>
      </c>
      <c r="D20" s="546" t="s">
        <v>887</v>
      </c>
      <c r="E20" s="551">
        <v>300</v>
      </c>
    </row>
    <row r="21" spans="2:5" ht="25.5" x14ac:dyDescent="0.25">
      <c r="B21" s="545">
        <v>15</v>
      </c>
      <c r="C21" s="546" t="s">
        <v>579</v>
      </c>
      <c r="D21" s="546" t="s">
        <v>888</v>
      </c>
      <c r="E21" s="551">
        <v>2000</v>
      </c>
    </row>
    <row r="22" spans="2:5" ht="25.5" x14ac:dyDescent="0.25">
      <c r="B22" s="545">
        <v>16</v>
      </c>
      <c r="C22" s="546" t="s">
        <v>862</v>
      </c>
      <c r="D22" s="546" t="s">
        <v>889</v>
      </c>
      <c r="E22" s="551">
        <v>800</v>
      </c>
    </row>
    <row r="23" spans="2:5" ht="25.5" x14ac:dyDescent="0.25">
      <c r="B23" s="545">
        <v>17</v>
      </c>
      <c r="C23" s="546" t="s">
        <v>863</v>
      </c>
      <c r="D23" s="546" t="s">
        <v>890</v>
      </c>
      <c r="E23" s="551">
        <v>600</v>
      </c>
    </row>
    <row r="24" spans="2:5" ht="25.5" x14ac:dyDescent="0.25">
      <c r="B24" s="545">
        <v>18</v>
      </c>
      <c r="C24" s="546" t="s">
        <v>577</v>
      </c>
      <c r="D24" s="546" t="s">
        <v>891</v>
      </c>
      <c r="E24" s="551">
        <v>500</v>
      </c>
    </row>
    <row r="25" spans="2:5" x14ac:dyDescent="0.25">
      <c r="B25" s="545">
        <v>19</v>
      </c>
      <c r="C25" s="546" t="s">
        <v>864</v>
      </c>
      <c r="D25" s="546" t="s">
        <v>892</v>
      </c>
      <c r="E25" s="551">
        <v>1000</v>
      </c>
    </row>
    <row r="26" spans="2:5" x14ac:dyDescent="0.25">
      <c r="B26" s="545">
        <v>20</v>
      </c>
      <c r="C26" s="546" t="s">
        <v>865</v>
      </c>
      <c r="D26" s="546" t="s">
        <v>893</v>
      </c>
      <c r="E26" s="551">
        <v>2500</v>
      </c>
    </row>
    <row r="27" spans="2:5" x14ac:dyDescent="0.25">
      <c r="B27" s="545">
        <v>21</v>
      </c>
      <c r="C27" s="546" t="s">
        <v>518</v>
      </c>
      <c r="D27" s="546" t="s">
        <v>894</v>
      </c>
      <c r="E27" s="551">
        <v>2000</v>
      </c>
    </row>
    <row r="28" spans="2:5" x14ac:dyDescent="0.25">
      <c r="B28" s="545">
        <v>22</v>
      </c>
      <c r="C28" s="546" t="s">
        <v>866</v>
      </c>
      <c r="D28" s="546" t="s">
        <v>895</v>
      </c>
      <c r="E28" s="551">
        <v>900</v>
      </c>
    </row>
    <row r="29" spans="2:5" ht="25.5" x14ac:dyDescent="0.25">
      <c r="B29" s="545">
        <v>23</v>
      </c>
      <c r="C29" s="546" t="s">
        <v>867</v>
      </c>
      <c r="D29" s="546" t="s">
        <v>896</v>
      </c>
      <c r="E29" s="551">
        <v>450</v>
      </c>
    </row>
    <row r="30" spans="2:5" x14ac:dyDescent="0.25">
      <c r="B30" s="545">
        <v>24</v>
      </c>
      <c r="C30" s="546" t="s">
        <v>868</v>
      </c>
      <c r="D30" s="546" t="s">
        <v>897</v>
      </c>
      <c r="E30" s="551">
        <v>280</v>
      </c>
    </row>
    <row r="31" spans="2:5" x14ac:dyDescent="0.25">
      <c r="B31" s="545">
        <v>25</v>
      </c>
      <c r="C31" s="546" t="s">
        <v>869</v>
      </c>
      <c r="D31" s="546" t="s">
        <v>898</v>
      </c>
      <c r="E31" s="551">
        <v>500</v>
      </c>
    </row>
    <row r="32" spans="2:5" x14ac:dyDescent="0.25">
      <c r="B32" s="545">
        <v>26</v>
      </c>
      <c r="C32" s="546" t="s">
        <v>440</v>
      </c>
      <c r="D32" s="546" t="s">
        <v>899</v>
      </c>
      <c r="E32" s="551">
        <v>1800</v>
      </c>
    </row>
    <row r="33" spans="2:7" ht="38.25" x14ac:dyDescent="0.25">
      <c r="B33" s="545">
        <v>27</v>
      </c>
      <c r="C33" s="546" t="s">
        <v>870</v>
      </c>
      <c r="D33" s="546" t="s">
        <v>900</v>
      </c>
      <c r="E33" s="551">
        <v>500</v>
      </c>
    </row>
    <row r="34" spans="2:7" x14ac:dyDescent="0.25">
      <c r="B34" s="545">
        <v>28</v>
      </c>
      <c r="C34" s="546" t="s">
        <v>871</v>
      </c>
      <c r="D34" s="546" t="s">
        <v>901</v>
      </c>
      <c r="E34" s="551">
        <v>560</v>
      </c>
    </row>
    <row r="35" spans="2:7" ht="25.5" x14ac:dyDescent="0.25">
      <c r="B35" s="545">
        <v>29</v>
      </c>
      <c r="C35" s="546" t="s">
        <v>872</v>
      </c>
      <c r="D35" s="546" t="s">
        <v>902</v>
      </c>
      <c r="E35" s="551">
        <v>2000</v>
      </c>
    </row>
    <row r="36" spans="2:7" x14ac:dyDescent="0.25">
      <c r="B36" s="545">
        <v>30</v>
      </c>
      <c r="C36" s="546" t="s">
        <v>873</v>
      </c>
      <c r="D36" s="546" t="s">
        <v>903</v>
      </c>
      <c r="E36" s="551">
        <v>500</v>
      </c>
    </row>
    <row r="37" spans="2:7" x14ac:dyDescent="0.25">
      <c r="B37" s="545">
        <v>31</v>
      </c>
      <c r="C37" s="546" t="s">
        <v>517</v>
      </c>
      <c r="D37" s="546" t="s">
        <v>904</v>
      </c>
      <c r="E37" s="551">
        <v>1400</v>
      </c>
    </row>
    <row r="38" spans="2:7" ht="25.5" x14ac:dyDescent="0.25">
      <c r="B38" s="545">
        <v>32</v>
      </c>
      <c r="C38" s="546" t="s">
        <v>874</v>
      </c>
      <c r="D38" s="546" t="s">
        <v>905</v>
      </c>
      <c r="E38" s="551">
        <v>1800</v>
      </c>
    </row>
    <row r="39" spans="2:7" ht="25.5" x14ac:dyDescent="0.25">
      <c r="B39" s="545">
        <v>33</v>
      </c>
      <c r="C39" s="546" t="s">
        <v>580</v>
      </c>
      <c r="D39" s="546" t="s">
        <v>906</v>
      </c>
      <c r="E39" s="551">
        <v>1910</v>
      </c>
    </row>
    <row r="40" spans="2:7" x14ac:dyDescent="0.25">
      <c r="B40" s="545">
        <v>34</v>
      </c>
      <c r="C40" s="546" t="s">
        <v>581</v>
      </c>
      <c r="D40" s="546" t="s">
        <v>907</v>
      </c>
      <c r="E40" s="551">
        <v>1500</v>
      </c>
    </row>
    <row r="41" spans="2:7" x14ac:dyDescent="0.25">
      <c r="B41" s="545">
        <v>35</v>
      </c>
      <c r="C41" s="546" t="s">
        <v>567</v>
      </c>
      <c r="D41" s="546" t="s">
        <v>908</v>
      </c>
      <c r="E41" s="551">
        <v>500</v>
      </c>
    </row>
    <row r="42" spans="2:7" x14ac:dyDescent="0.25">
      <c r="B42" s="285"/>
      <c r="C42" s="285" t="s">
        <v>9</v>
      </c>
      <c r="D42" s="547"/>
      <c r="E42" s="547">
        <f>SUM(E7:E41)</f>
        <v>35000</v>
      </c>
      <c r="G42" s="514"/>
    </row>
  </sheetData>
  <mergeCells count="1">
    <mergeCell ref="B4:E4"/>
  </mergeCells>
  <pageMargins left="0.19685039370078741" right="0.15748031496062992" top="0.23622047244094491" bottom="0.39370078740157483" header="0.27559055118110237" footer="0.51181102362204722"/>
  <pageSetup paperSize="9" scale="90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E30"/>
  <sheetViews>
    <sheetView workbookViewId="0"/>
  </sheetViews>
  <sheetFormatPr defaultColWidth="9.140625" defaultRowHeight="14.25" x14ac:dyDescent="0.2"/>
  <cols>
    <col min="1" max="1" width="9.140625" style="1"/>
    <col min="2" max="2" width="6" style="1" customWidth="1"/>
    <col min="3" max="3" width="39.5703125" style="1" customWidth="1"/>
    <col min="4" max="4" width="43.28515625" style="1" customWidth="1"/>
    <col min="5" max="5" width="12" style="292" customWidth="1"/>
    <col min="6" max="16384" width="9.140625" style="1"/>
  </cols>
  <sheetData>
    <row r="1" spans="2:5" x14ac:dyDescent="0.2">
      <c r="B1" s="287"/>
      <c r="C1" s="287"/>
      <c r="D1" s="287"/>
      <c r="E1" s="288"/>
    </row>
    <row r="2" spans="2:5" x14ac:dyDescent="0.2">
      <c r="B2" s="287"/>
      <c r="C2" s="287"/>
      <c r="D2" s="287"/>
      <c r="E2" s="288"/>
    </row>
    <row r="3" spans="2:5" x14ac:dyDescent="0.2">
      <c r="B3" s="287"/>
      <c r="C3" s="287"/>
      <c r="D3" s="287"/>
      <c r="E3" s="289" t="s">
        <v>166</v>
      </c>
    </row>
    <row r="4" spans="2:5" x14ac:dyDescent="0.2">
      <c r="B4" s="287"/>
      <c r="C4" s="287"/>
      <c r="D4" s="287"/>
      <c r="E4" s="288"/>
    </row>
    <row r="5" spans="2:5" ht="19.5" x14ac:dyDescent="0.2">
      <c r="B5" s="608" t="s">
        <v>909</v>
      </c>
      <c r="C5" s="608"/>
      <c r="D5" s="608"/>
      <c r="E5" s="608"/>
    </row>
    <row r="6" spans="2:5" x14ac:dyDescent="0.2">
      <c r="B6" s="290"/>
      <c r="C6" s="287"/>
      <c r="D6" s="287"/>
      <c r="E6" s="291"/>
    </row>
    <row r="9" spans="2:5" ht="25.5" x14ac:dyDescent="0.2">
      <c r="B9" s="305" t="s">
        <v>150</v>
      </c>
      <c r="C9" s="293" t="s">
        <v>161</v>
      </c>
      <c r="D9" s="293" t="s">
        <v>162</v>
      </c>
      <c r="E9" s="268" t="s">
        <v>417</v>
      </c>
    </row>
    <row r="10" spans="2:5" s="502" customFormat="1" x14ac:dyDescent="0.25">
      <c r="B10" s="294">
        <v>1</v>
      </c>
      <c r="C10" s="553" t="s">
        <v>910</v>
      </c>
      <c r="D10" s="553" t="s">
        <v>586</v>
      </c>
      <c r="E10" s="554">
        <v>300</v>
      </c>
    </row>
    <row r="11" spans="2:5" s="502" customFormat="1" ht="25.5" x14ac:dyDescent="0.25">
      <c r="B11" s="294">
        <v>2</v>
      </c>
      <c r="C11" s="553" t="s">
        <v>911</v>
      </c>
      <c r="D11" s="553" t="s">
        <v>920</v>
      </c>
      <c r="E11" s="554">
        <v>1300</v>
      </c>
    </row>
    <row r="12" spans="2:5" s="502" customFormat="1" x14ac:dyDescent="0.25">
      <c r="B12" s="294">
        <v>3</v>
      </c>
      <c r="C12" s="553" t="s">
        <v>912</v>
      </c>
      <c r="D12" s="553" t="s">
        <v>921</v>
      </c>
      <c r="E12" s="554">
        <v>700</v>
      </c>
    </row>
    <row r="13" spans="2:5" s="502" customFormat="1" x14ac:dyDescent="0.25">
      <c r="B13" s="294">
        <v>4</v>
      </c>
      <c r="C13" s="553" t="s">
        <v>583</v>
      </c>
      <c r="D13" s="553" t="s">
        <v>922</v>
      </c>
      <c r="E13" s="554">
        <v>1000</v>
      </c>
    </row>
    <row r="14" spans="2:5" s="502" customFormat="1" x14ac:dyDescent="0.25">
      <c r="B14" s="294">
        <v>5</v>
      </c>
      <c r="C14" s="553" t="s">
        <v>560</v>
      </c>
      <c r="D14" s="553" t="s">
        <v>923</v>
      </c>
      <c r="E14" s="554">
        <v>800</v>
      </c>
    </row>
    <row r="15" spans="2:5" s="502" customFormat="1" ht="25.5" x14ac:dyDescent="0.25">
      <c r="B15" s="294">
        <v>6</v>
      </c>
      <c r="C15" s="553" t="s">
        <v>585</v>
      </c>
      <c r="D15" s="553" t="s">
        <v>924</v>
      </c>
      <c r="E15" s="554">
        <v>1000</v>
      </c>
    </row>
    <row r="16" spans="2:5" s="502" customFormat="1" x14ac:dyDescent="0.25">
      <c r="B16" s="294">
        <v>7</v>
      </c>
      <c r="C16" s="553" t="s">
        <v>760</v>
      </c>
      <c r="D16" s="553" t="s">
        <v>925</v>
      </c>
      <c r="E16" s="554">
        <v>750</v>
      </c>
    </row>
    <row r="17" spans="2:5" s="502" customFormat="1" x14ac:dyDescent="0.25">
      <c r="B17" s="294">
        <v>8</v>
      </c>
      <c r="C17" s="553" t="s">
        <v>550</v>
      </c>
      <c r="D17" s="553" t="s">
        <v>926</v>
      </c>
      <c r="E17" s="554">
        <v>800</v>
      </c>
    </row>
    <row r="18" spans="2:5" s="502" customFormat="1" x14ac:dyDescent="0.25">
      <c r="B18" s="294">
        <v>9</v>
      </c>
      <c r="C18" s="553" t="s">
        <v>913</v>
      </c>
      <c r="D18" s="553" t="s">
        <v>927</v>
      </c>
      <c r="E18" s="554">
        <v>1000</v>
      </c>
    </row>
    <row r="19" spans="2:5" s="502" customFormat="1" x14ac:dyDescent="0.25">
      <c r="B19" s="294">
        <v>10</v>
      </c>
      <c r="C19" s="553" t="s">
        <v>914</v>
      </c>
      <c r="D19" s="553" t="s">
        <v>928</v>
      </c>
      <c r="E19" s="554">
        <v>540</v>
      </c>
    </row>
    <row r="20" spans="2:5" s="502" customFormat="1" x14ac:dyDescent="0.25">
      <c r="B20" s="294">
        <v>11</v>
      </c>
      <c r="C20" s="553" t="s">
        <v>915</v>
      </c>
      <c r="D20" s="553" t="s">
        <v>929</v>
      </c>
      <c r="E20" s="554">
        <v>500</v>
      </c>
    </row>
    <row r="21" spans="2:5" s="502" customFormat="1" x14ac:dyDescent="0.25">
      <c r="B21" s="294">
        <v>12</v>
      </c>
      <c r="C21" s="553" t="s">
        <v>501</v>
      </c>
      <c r="D21" s="553" t="s">
        <v>930</v>
      </c>
      <c r="E21" s="554">
        <v>2200</v>
      </c>
    </row>
    <row r="22" spans="2:5" s="502" customFormat="1" x14ac:dyDescent="0.25">
      <c r="B22" s="294">
        <v>13</v>
      </c>
      <c r="C22" s="553" t="s">
        <v>775</v>
      </c>
      <c r="D22" s="553" t="s">
        <v>931</v>
      </c>
      <c r="E22" s="554">
        <v>600</v>
      </c>
    </row>
    <row r="23" spans="2:5" s="502" customFormat="1" ht="25.5" x14ac:dyDescent="0.25">
      <c r="B23" s="294">
        <v>14</v>
      </c>
      <c r="C23" s="553" t="s">
        <v>916</v>
      </c>
      <c r="D23" s="553" t="s">
        <v>932</v>
      </c>
      <c r="E23" s="554">
        <v>450</v>
      </c>
    </row>
    <row r="24" spans="2:5" s="502" customFormat="1" x14ac:dyDescent="0.25">
      <c r="B24" s="294">
        <v>15</v>
      </c>
      <c r="C24" s="553" t="s">
        <v>917</v>
      </c>
      <c r="D24" s="553" t="s">
        <v>933</v>
      </c>
      <c r="E24" s="554">
        <v>500</v>
      </c>
    </row>
    <row r="25" spans="2:5" s="502" customFormat="1" x14ac:dyDescent="0.25">
      <c r="B25" s="294">
        <v>16</v>
      </c>
      <c r="C25" s="553" t="s">
        <v>917</v>
      </c>
      <c r="D25" s="553" t="s">
        <v>934</v>
      </c>
      <c r="E25" s="554">
        <v>610</v>
      </c>
    </row>
    <row r="26" spans="2:5" s="502" customFormat="1" ht="25.5" x14ac:dyDescent="0.25">
      <c r="B26" s="294">
        <v>17</v>
      </c>
      <c r="C26" s="553" t="s">
        <v>704</v>
      </c>
      <c r="D26" s="553" t="s">
        <v>935</v>
      </c>
      <c r="E26" s="554">
        <v>500</v>
      </c>
    </row>
    <row r="27" spans="2:5" s="502" customFormat="1" x14ac:dyDescent="0.25">
      <c r="B27" s="294">
        <v>18</v>
      </c>
      <c r="C27" s="553" t="s">
        <v>918</v>
      </c>
      <c r="D27" s="553" t="s">
        <v>936</v>
      </c>
      <c r="E27" s="554">
        <v>600</v>
      </c>
    </row>
    <row r="28" spans="2:5" s="502" customFormat="1" x14ac:dyDescent="0.25">
      <c r="B28" s="294">
        <v>19</v>
      </c>
      <c r="C28" s="553" t="s">
        <v>919</v>
      </c>
      <c r="D28" s="553" t="s">
        <v>937</v>
      </c>
      <c r="E28" s="554">
        <v>400</v>
      </c>
    </row>
    <row r="29" spans="2:5" s="502" customFormat="1" x14ac:dyDescent="0.25">
      <c r="B29" s="294">
        <v>20</v>
      </c>
      <c r="C29" s="553" t="s">
        <v>582</v>
      </c>
      <c r="D29" s="553" t="s">
        <v>938</v>
      </c>
      <c r="E29" s="554">
        <v>450</v>
      </c>
    </row>
    <row r="30" spans="2:5" x14ac:dyDescent="0.2">
      <c r="B30" s="295"/>
      <c r="C30" s="609" t="s">
        <v>9</v>
      </c>
      <c r="D30" s="609"/>
      <c r="E30" s="296">
        <f>SUM(E10:E29)</f>
        <v>15000</v>
      </c>
    </row>
  </sheetData>
  <mergeCells count="2">
    <mergeCell ref="B5:E5"/>
    <mergeCell ref="C30:D30"/>
  </mergeCells>
  <phoneticPr fontId="22" type="noConversion"/>
  <pageMargins left="0.39370078740157483" right="0.31496062992125984" top="0.74803149606299213" bottom="0.74803149606299213" header="0.31496062992125984" footer="0.31496062992125984"/>
  <pageSetup paperSize="9" scale="95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29"/>
  <sheetViews>
    <sheetView workbookViewId="0"/>
  </sheetViews>
  <sheetFormatPr defaultRowHeight="14.25" x14ac:dyDescent="0.2"/>
  <cols>
    <col min="1" max="1" width="9.140625" style="1" customWidth="1"/>
    <col min="2" max="2" width="6" style="1" customWidth="1"/>
    <col min="3" max="3" width="33.7109375" style="1" customWidth="1"/>
    <col min="4" max="4" width="41.28515625" style="1" customWidth="1"/>
    <col min="5" max="5" width="11.7109375" style="292" customWidth="1"/>
    <col min="6" max="16384" width="9.140625" style="1"/>
  </cols>
  <sheetData>
    <row r="1" spans="2:7" x14ac:dyDescent="0.2">
      <c r="B1" s="287"/>
      <c r="C1" s="287"/>
      <c r="D1" s="287"/>
      <c r="E1" s="288"/>
    </row>
    <row r="2" spans="2:7" x14ac:dyDescent="0.2">
      <c r="B2" s="287"/>
      <c r="C2" s="287"/>
      <c r="D2" s="287"/>
      <c r="E2" s="288"/>
    </row>
    <row r="3" spans="2:7" x14ac:dyDescent="0.2">
      <c r="B3" s="287"/>
      <c r="C3" s="287"/>
      <c r="D3" s="287"/>
      <c r="E3" s="289" t="s">
        <v>168</v>
      </c>
    </row>
    <row r="4" spans="2:7" x14ac:dyDescent="0.2">
      <c r="B4" s="287"/>
      <c r="C4" s="287"/>
      <c r="D4" s="287"/>
      <c r="E4" s="288"/>
    </row>
    <row r="5" spans="2:7" ht="19.5" x14ac:dyDescent="0.2">
      <c r="B5" s="608" t="s">
        <v>939</v>
      </c>
      <c r="C5" s="608"/>
      <c r="D5" s="608"/>
      <c r="E5" s="608"/>
    </row>
    <row r="6" spans="2:7" x14ac:dyDescent="0.2">
      <c r="B6" s="290"/>
      <c r="C6" s="287"/>
      <c r="D6" s="287"/>
      <c r="E6" s="291"/>
    </row>
    <row r="7" spans="2:7" ht="25.5" x14ac:dyDescent="0.2">
      <c r="B7" s="305" t="s">
        <v>150</v>
      </c>
      <c r="C7" s="293" t="s">
        <v>167</v>
      </c>
      <c r="D7" s="293" t="s">
        <v>162</v>
      </c>
      <c r="E7" s="268" t="s">
        <v>417</v>
      </c>
    </row>
    <row r="8" spans="2:7" s="502" customFormat="1" x14ac:dyDescent="0.25">
      <c r="B8" s="294">
        <v>1</v>
      </c>
      <c r="C8" s="555" t="s">
        <v>940</v>
      </c>
      <c r="D8" s="556" t="s">
        <v>943</v>
      </c>
      <c r="E8" s="557">
        <v>868</v>
      </c>
    </row>
    <row r="9" spans="2:7" s="502" customFormat="1" ht="25.5" x14ac:dyDescent="0.25">
      <c r="B9" s="294">
        <v>2</v>
      </c>
      <c r="C9" s="558" t="s">
        <v>941</v>
      </c>
      <c r="D9" s="556" t="s">
        <v>944</v>
      </c>
      <c r="E9" s="557">
        <v>2400</v>
      </c>
    </row>
    <row r="10" spans="2:7" s="502" customFormat="1" ht="25.5" x14ac:dyDescent="0.25">
      <c r="B10" s="294">
        <v>4</v>
      </c>
      <c r="C10" s="558" t="s">
        <v>942</v>
      </c>
      <c r="D10" s="556" t="s">
        <v>945</v>
      </c>
      <c r="E10" s="557">
        <v>1600</v>
      </c>
    </row>
    <row r="11" spans="2:7" s="502" customFormat="1" ht="13.5" customHeight="1" x14ac:dyDescent="0.25">
      <c r="B11" s="294">
        <v>5</v>
      </c>
      <c r="C11" s="558" t="s">
        <v>865</v>
      </c>
      <c r="D11" s="556" t="s">
        <v>946</v>
      </c>
      <c r="E11" s="557">
        <v>1832</v>
      </c>
    </row>
    <row r="12" spans="2:7" s="502" customFormat="1" ht="14.25" customHeight="1" x14ac:dyDescent="0.25">
      <c r="B12" s="294">
        <v>6</v>
      </c>
      <c r="C12" s="558" t="s">
        <v>445</v>
      </c>
      <c r="D12" s="556" t="s">
        <v>947</v>
      </c>
      <c r="E12" s="557">
        <v>1000</v>
      </c>
    </row>
    <row r="13" spans="2:7" s="502" customFormat="1" ht="13.5" customHeight="1" x14ac:dyDescent="0.25">
      <c r="B13" s="294">
        <v>7</v>
      </c>
      <c r="C13" s="558" t="s">
        <v>760</v>
      </c>
      <c r="D13" s="556" t="s">
        <v>948</v>
      </c>
      <c r="E13" s="557">
        <v>500</v>
      </c>
    </row>
    <row r="14" spans="2:7" s="502" customFormat="1" ht="13.5" customHeight="1" x14ac:dyDescent="0.25">
      <c r="B14" s="294">
        <v>8</v>
      </c>
      <c r="C14" s="558" t="s">
        <v>704</v>
      </c>
      <c r="D14" s="556" t="s">
        <v>949</v>
      </c>
      <c r="E14" s="557">
        <v>1800</v>
      </c>
    </row>
    <row r="15" spans="2:7" x14ac:dyDescent="0.2">
      <c r="B15" s="295"/>
      <c r="C15" s="609" t="s">
        <v>9</v>
      </c>
      <c r="D15" s="609"/>
      <c r="E15" s="296">
        <f>SUM(E8:E14)</f>
        <v>10000</v>
      </c>
      <c r="G15" s="4"/>
    </row>
    <row r="16" spans="2:7" x14ac:dyDescent="0.2">
      <c r="B16" s="297"/>
      <c r="C16" s="297"/>
      <c r="D16" s="297"/>
      <c r="E16" s="298"/>
    </row>
    <row r="17" spans="2:5" x14ac:dyDescent="0.2">
      <c r="B17" s="287"/>
      <c r="C17" s="299"/>
      <c r="D17" s="299"/>
      <c r="E17" s="300"/>
    </row>
    <row r="18" spans="2:5" x14ac:dyDescent="0.2">
      <c r="B18" s="301"/>
      <c r="C18" s="301"/>
      <c r="D18" s="301"/>
      <c r="E18" s="302"/>
    </row>
    <row r="19" spans="2:5" x14ac:dyDescent="0.2">
      <c r="B19" s="287"/>
      <c r="C19" s="301"/>
      <c r="D19" s="301"/>
      <c r="E19" s="302"/>
    </row>
    <row r="20" spans="2:5" x14ac:dyDescent="0.2">
      <c r="B20" s="303"/>
      <c r="C20" s="303"/>
      <c r="D20" s="303"/>
      <c r="E20" s="304"/>
    </row>
    <row r="21" spans="2:5" x14ac:dyDescent="0.2">
      <c r="B21" s="303"/>
      <c r="C21" s="303"/>
      <c r="D21" s="303"/>
      <c r="E21" s="304"/>
    </row>
    <row r="22" spans="2:5" x14ac:dyDescent="0.2">
      <c r="B22" s="303"/>
      <c r="C22" s="303"/>
      <c r="D22" s="303"/>
      <c r="E22" s="304"/>
    </row>
    <row r="23" spans="2:5" x14ac:dyDescent="0.2">
      <c r="B23" s="303"/>
      <c r="C23" s="303"/>
      <c r="D23" s="303"/>
      <c r="E23" s="304"/>
    </row>
    <row r="24" spans="2:5" x14ac:dyDescent="0.2">
      <c r="B24" s="303"/>
      <c r="C24" s="303"/>
      <c r="D24" s="303"/>
      <c r="E24" s="304"/>
    </row>
    <row r="25" spans="2:5" x14ac:dyDescent="0.2">
      <c r="B25" s="303"/>
      <c r="C25" s="303"/>
      <c r="D25" s="303"/>
      <c r="E25" s="304"/>
    </row>
    <row r="26" spans="2:5" x14ac:dyDescent="0.2">
      <c r="B26" s="303"/>
      <c r="C26" s="303"/>
      <c r="D26" s="303"/>
      <c r="E26" s="304"/>
    </row>
    <row r="27" spans="2:5" x14ac:dyDescent="0.2">
      <c r="B27" s="303"/>
      <c r="C27" s="303"/>
      <c r="D27" s="303"/>
      <c r="E27" s="304"/>
    </row>
    <row r="28" spans="2:5" x14ac:dyDescent="0.2">
      <c r="B28" s="303"/>
      <c r="C28" s="303"/>
      <c r="D28" s="303"/>
      <c r="E28" s="304"/>
    </row>
    <row r="29" spans="2:5" x14ac:dyDescent="0.2">
      <c r="B29" s="303"/>
      <c r="C29" s="303"/>
      <c r="D29" s="303"/>
      <c r="E29" s="304"/>
    </row>
  </sheetData>
  <mergeCells count="2">
    <mergeCell ref="B5:E5"/>
    <mergeCell ref="C15:D15"/>
  </mergeCells>
  <pageMargins left="0.39370078740157483" right="0.31496062992125984" top="0.74803149606299213" bottom="0.74803149606299213" header="0.31496062992125984" footer="0.31496062992125984"/>
  <pageSetup paperSize="9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24"/>
  <sheetViews>
    <sheetView workbookViewId="0"/>
  </sheetViews>
  <sheetFormatPr defaultRowHeight="14.25" x14ac:dyDescent="0.2"/>
  <cols>
    <col min="1" max="1" width="3.5703125" style="1" customWidth="1"/>
    <col min="2" max="2" width="42.85546875" style="1" customWidth="1"/>
    <col min="3" max="3" width="14.5703125" style="1" customWidth="1"/>
    <col min="4" max="4" width="13.28515625" style="1" customWidth="1"/>
    <col min="5" max="5" width="13.140625" style="1" customWidth="1"/>
    <col min="6" max="6" width="9.140625" style="1" customWidth="1"/>
    <col min="7" max="16384" width="9.140625" style="1"/>
  </cols>
  <sheetData>
    <row r="1" spans="2:7" x14ac:dyDescent="0.2">
      <c r="E1" s="77" t="s">
        <v>169</v>
      </c>
    </row>
    <row r="2" spans="2:7" x14ac:dyDescent="0.2">
      <c r="B2" s="35"/>
      <c r="C2" s="36"/>
      <c r="D2" s="36"/>
      <c r="F2" s="36"/>
      <c r="G2" s="36"/>
    </row>
    <row r="3" spans="2:7" ht="18" x14ac:dyDescent="0.25">
      <c r="B3" s="574" t="s">
        <v>951</v>
      </c>
      <c r="C3" s="574"/>
      <c r="D3" s="574"/>
      <c r="E3" s="574"/>
      <c r="F3" s="36"/>
      <c r="G3" s="36"/>
    </row>
    <row r="4" spans="2:7" x14ac:dyDescent="0.2">
      <c r="B4" s="35"/>
      <c r="C4" s="36"/>
      <c r="D4" s="36"/>
      <c r="E4" s="36"/>
      <c r="F4" s="36"/>
      <c r="G4" s="36"/>
    </row>
    <row r="5" spans="2:7" x14ac:dyDescent="0.2">
      <c r="B5" s="589" t="s">
        <v>21</v>
      </c>
      <c r="C5" s="611" t="s">
        <v>950</v>
      </c>
      <c r="D5" s="611" t="s">
        <v>531</v>
      </c>
      <c r="E5" s="38" t="s">
        <v>170</v>
      </c>
      <c r="F5" s="36"/>
      <c r="G5" s="35"/>
    </row>
    <row r="6" spans="2:7" x14ac:dyDescent="0.2">
      <c r="B6" s="610"/>
      <c r="C6" s="612"/>
      <c r="D6" s="612"/>
      <c r="E6" s="39" t="s">
        <v>171</v>
      </c>
      <c r="F6" s="36"/>
      <c r="G6" s="35"/>
    </row>
    <row r="7" spans="2:7" ht="13.5" customHeight="1" x14ac:dyDescent="0.2">
      <c r="B7" s="428" t="s">
        <v>172</v>
      </c>
      <c r="C7" s="40">
        <v>1205733.72</v>
      </c>
      <c r="D7" s="40">
        <v>975671.3</v>
      </c>
      <c r="E7" s="26">
        <f t="shared" ref="E7:E21" si="0">C7-D7</f>
        <v>230062.41999999993</v>
      </c>
      <c r="F7" s="36"/>
      <c r="G7" s="35"/>
    </row>
    <row r="8" spans="2:7" ht="14.25" customHeight="1" x14ac:dyDescent="0.2">
      <c r="B8" s="428" t="s">
        <v>173</v>
      </c>
      <c r="C8" s="40">
        <v>19684.11</v>
      </c>
      <c r="D8" s="40">
        <v>19511.03</v>
      </c>
      <c r="E8" s="26">
        <f t="shared" si="0"/>
        <v>173.08000000000175</v>
      </c>
      <c r="F8" s="36"/>
      <c r="G8" s="35"/>
    </row>
    <row r="9" spans="2:7" ht="17.25" customHeight="1" x14ac:dyDescent="0.2">
      <c r="B9" s="429" t="s">
        <v>174</v>
      </c>
      <c r="C9" s="41">
        <v>0</v>
      </c>
      <c r="D9" s="41">
        <v>39.51</v>
      </c>
      <c r="E9" s="42">
        <f t="shared" si="0"/>
        <v>-39.51</v>
      </c>
      <c r="F9" s="36"/>
      <c r="G9" s="35"/>
    </row>
    <row r="10" spans="2:7" x14ac:dyDescent="0.2">
      <c r="B10" s="428" t="s">
        <v>175</v>
      </c>
      <c r="C10" s="40">
        <v>1387.79</v>
      </c>
      <c r="D10" s="40">
        <v>5194.78</v>
      </c>
      <c r="E10" s="26">
        <f t="shared" si="0"/>
        <v>-3806.99</v>
      </c>
      <c r="F10" s="36"/>
      <c r="G10" s="35"/>
    </row>
    <row r="11" spans="2:7" x14ac:dyDescent="0.2">
      <c r="B11" s="428" t="s">
        <v>176</v>
      </c>
      <c r="C11" s="40">
        <v>49807.1</v>
      </c>
      <c r="D11" s="40">
        <v>45068.1</v>
      </c>
      <c r="E11" s="26">
        <f t="shared" si="0"/>
        <v>4739</v>
      </c>
      <c r="F11" s="36"/>
      <c r="G11" s="35"/>
    </row>
    <row r="12" spans="2:7" x14ac:dyDescent="0.2">
      <c r="B12" s="428" t="s">
        <v>961</v>
      </c>
      <c r="C12" s="40">
        <v>8270</v>
      </c>
      <c r="D12" s="40">
        <v>0</v>
      </c>
      <c r="E12" s="26">
        <f t="shared" si="0"/>
        <v>8270</v>
      </c>
      <c r="F12" s="36"/>
      <c r="G12" s="35"/>
    </row>
    <row r="13" spans="2:7" ht="15" customHeight="1" x14ac:dyDescent="0.2">
      <c r="B13" s="428" t="s">
        <v>177</v>
      </c>
      <c r="C13" s="40">
        <v>1959980.99</v>
      </c>
      <c r="D13" s="40">
        <v>1883708.07</v>
      </c>
      <c r="E13" s="26">
        <f t="shared" si="0"/>
        <v>76272.919999999925</v>
      </c>
      <c r="F13" s="36"/>
      <c r="G13" s="35"/>
    </row>
    <row r="14" spans="2:7" ht="14.25" customHeight="1" x14ac:dyDescent="0.2">
      <c r="B14" s="428" t="s">
        <v>178</v>
      </c>
      <c r="C14" s="40">
        <v>15115.81</v>
      </c>
      <c r="D14" s="40">
        <v>13988.18</v>
      </c>
      <c r="E14" s="26">
        <f t="shared" si="0"/>
        <v>1127.6299999999992</v>
      </c>
      <c r="F14" s="36"/>
      <c r="G14" s="35"/>
    </row>
    <row r="15" spans="2:7" x14ac:dyDescent="0.2">
      <c r="B15" s="429" t="s">
        <v>179</v>
      </c>
      <c r="C15" s="41">
        <v>36783.4</v>
      </c>
      <c r="D15" s="41">
        <v>65252.27</v>
      </c>
      <c r="E15" s="42">
        <f t="shared" si="0"/>
        <v>-28468.869999999995</v>
      </c>
      <c r="F15" s="36"/>
      <c r="G15" s="35"/>
    </row>
    <row r="16" spans="2:7" ht="13.5" customHeight="1" x14ac:dyDescent="0.2">
      <c r="B16" s="428" t="s">
        <v>180</v>
      </c>
      <c r="C16" s="40">
        <v>49025.91</v>
      </c>
      <c r="D16" s="40">
        <v>53711.17</v>
      </c>
      <c r="E16" s="26">
        <f t="shared" si="0"/>
        <v>-4685.2599999999948</v>
      </c>
      <c r="F16" s="36"/>
      <c r="G16" s="35"/>
    </row>
    <row r="17" spans="2:7" ht="15" customHeight="1" x14ac:dyDescent="0.2">
      <c r="B17" s="428" t="s">
        <v>181</v>
      </c>
      <c r="C17" s="40">
        <v>391.79</v>
      </c>
      <c r="D17" s="40">
        <v>451.79</v>
      </c>
      <c r="E17" s="26">
        <f t="shared" si="0"/>
        <v>-60</v>
      </c>
      <c r="F17" s="36"/>
      <c r="G17" s="35"/>
    </row>
    <row r="18" spans="2:7" ht="14.25" customHeight="1" x14ac:dyDescent="0.2">
      <c r="B18" s="428" t="s">
        <v>182</v>
      </c>
      <c r="C18" s="40">
        <v>22661.88</v>
      </c>
      <c r="D18" s="40">
        <v>52963.15</v>
      </c>
      <c r="E18" s="26">
        <f t="shared" si="0"/>
        <v>-30301.27</v>
      </c>
      <c r="F18" s="36"/>
      <c r="G18" s="35"/>
    </row>
    <row r="19" spans="2:7" ht="14.25" customHeight="1" x14ac:dyDescent="0.2">
      <c r="B19" s="428" t="s">
        <v>183</v>
      </c>
      <c r="C19" s="40">
        <v>14145.44</v>
      </c>
      <c r="D19" s="40">
        <v>39079.33</v>
      </c>
      <c r="E19" s="26">
        <f t="shared" si="0"/>
        <v>-24933.89</v>
      </c>
      <c r="F19" s="36"/>
      <c r="G19" s="35"/>
    </row>
    <row r="20" spans="2:7" ht="15" customHeight="1" x14ac:dyDescent="0.2">
      <c r="B20" s="428" t="s">
        <v>184</v>
      </c>
      <c r="C20" s="40">
        <v>298724.99</v>
      </c>
      <c r="D20" s="40">
        <f>388239.46+540000</f>
        <v>928239.46</v>
      </c>
      <c r="E20" s="26">
        <f t="shared" si="0"/>
        <v>-629514.47</v>
      </c>
      <c r="F20" s="36"/>
      <c r="G20" s="35"/>
    </row>
    <row r="21" spans="2:7" s="8" customFormat="1" ht="27.75" customHeight="1" x14ac:dyDescent="0.25">
      <c r="B21" s="43" t="s">
        <v>95</v>
      </c>
      <c r="C21" s="44">
        <f>SUM(C7:C20)</f>
        <v>3681712.9299999997</v>
      </c>
      <c r="D21" s="45">
        <f>SUM(D7:D20)</f>
        <v>4082878.14</v>
      </c>
      <c r="E21" s="45">
        <f t="shared" si="0"/>
        <v>-401165.21000000043</v>
      </c>
      <c r="F21" s="78"/>
      <c r="G21" s="76"/>
    </row>
    <row r="23" spans="2:7" ht="33" customHeight="1" x14ac:dyDescent="0.2">
      <c r="B23" s="599"/>
      <c r="C23" s="599"/>
      <c r="D23" s="599"/>
      <c r="E23" s="599"/>
      <c r="F23" s="36"/>
      <c r="G23" s="36"/>
    </row>
    <row r="24" spans="2:7" x14ac:dyDescent="0.2">
      <c r="B24" s="35"/>
      <c r="C24" s="36"/>
      <c r="D24" s="36"/>
      <c r="E24" s="36"/>
      <c r="F24" s="36"/>
      <c r="G24" s="35"/>
    </row>
  </sheetData>
  <mergeCells count="5">
    <mergeCell ref="B3:E3"/>
    <mergeCell ref="B5:B6"/>
    <mergeCell ref="C5:C6"/>
    <mergeCell ref="D5:D6"/>
    <mergeCell ref="B23:E23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48"/>
  <sheetViews>
    <sheetView workbookViewId="0"/>
  </sheetViews>
  <sheetFormatPr defaultRowHeight="12.75" x14ac:dyDescent="0.2"/>
  <cols>
    <col min="1" max="1" width="6.140625" style="312" customWidth="1"/>
    <col min="2" max="2" width="30.5703125" style="313" customWidth="1"/>
    <col min="3" max="3" width="18" style="312" customWidth="1"/>
    <col min="4" max="5" width="16.5703125" style="314" customWidth="1"/>
    <col min="6" max="6" width="15.28515625" style="314" customWidth="1"/>
    <col min="7" max="7" width="15.140625" style="314" customWidth="1"/>
    <col min="8" max="8" width="15" style="314" customWidth="1"/>
    <col min="9" max="10" width="14.28515625" style="314" customWidth="1"/>
    <col min="11" max="11" width="35.140625" style="313" customWidth="1"/>
    <col min="12" max="12" width="20.7109375" style="314" customWidth="1"/>
    <col min="13" max="14" width="9.140625" style="314"/>
    <col min="15" max="15" width="51.7109375" style="314" customWidth="1"/>
    <col min="16" max="16" width="9.42578125" style="313" customWidth="1"/>
    <col min="17" max="244" width="9.140625" style="313"/>
    <col min="245" max="245" width="11.7109375" style="313" customWidth="1"/>
    <col min="246" max="246" width="16.7109375" style="313" customWidth="1"/>
    <col min="247" max="247" width="14.42578125" style="313" customWidth="1"/>
    <col min="248" max="248" width="13.140625" style="313" customWidth="1"/>
    <col min="249" max="249" width="13.28515625" style="313" customWidth="1"/>
    <col min="250" max="250" width="11.85546875" style="313" customWidth="1"/>
    <col min="251" max="251" width="16" style="313" customWidth="1"/>
    <col min="252" max="252" width="12" style="313" customWidth="1"/>
    <col min="253" max="253" width="11.5703125" style="313" customWidth="1"/>
    <col min="254" max="254" width="11.7109375" style="313" customWidth="1"/>
    <col min="255" max="255" width="17.5703125" style="313" customWidth="1"/>
    <col min="256" max="256" width="6.42578125" style="313" customWidth="1"/>
    <col min="257" max="257" width="29.28515625" style="313" customWidth="1"/>
    <col min="258" max="258" width="18.85546875" style="313" customWidth="1"/>
    <col min="259" max="500" width="9.140625" style="313"/>
    <col min="501" max="501" width="11.7109375" style="313" customWidth="1"/>
    <col min="502" max="502" width="16.7109375" style="313" customWidth="1"/>
    <col min="503" max="503" width="14.42578125" style="313" customWidth="1"/>
    <col min="504" max="504" width="13.140625" style="313" customWidth="1"/>
    <col min="505" max="505" width="13.28515625" style="313" customWidth="1"/>
    <col min="506" max="506" width="11.85546875" style="313" customWidth="1"/>
    <col min="507" max="507" width="16" style="313" customWidth="1"/>
    <col min="508" max="508" width="12" style="313" customWidth="1"/>
    <col min="509" max="509" width="11.5703125" style="313" customWidth="1"/>
    <col min="510" max="510" width="11.7109375" style="313" customWidth="1"/>
    <col min="511" max="511" width="17.5703125" style="313" customWidth="1"/>
    <col min="512" max="512" width="6.42578125" style="313" customWidth="1"/>
    <col min="513" max="513" width="29.28515625" style="313" customWidth="1"/>
    <col min="514" max="514" width="18.85546875" style="313" customWidth="1"/>
    <col min="515" max="756" width="9.140625" style="313"/>
    <col min="757" max="757" width="11.7109375" style="313" customWidth="1"/>
    <col min="758" max="758" width="16.7109375" style="313" customWidth="1"/>
    <col min="759" max="759" width="14.42578125" style="313" customWidth="1"/>
    <col min="760" max="760" width="13.140625" style="313" customWidth="1"/>
    <col min="761" max="761" width="13.28515625" style="313" customWidth="1"/>
    <col min="762" max="762" width="11.85546875" style="313" customWidth="1"/>
    <col min="763" max="763" width="16" style="313" customWidth="1"/>
    <col min="764" max="764" width="12" style="313" customWidth="1"/>
    <col min="765" max="765" width="11.5703125" style="313" customWidth="1"/>
    <col min="766" max="766" width="11.7109375" style="313" customWidth="1"/>
    <col min="767" max="767" width="17.5703125" style="313" customWidth="1"/>
    <col min="768" max="768" width="6.42578125" style="313" customWidth="1"/>
    <col min="769" max="769" width="29.28515625" style="313" customWidth="1"/>
    <col min="770" max="770" width="18.85546875" style="313" customWidth="1"/>
    <col min="771" max="1012" width="9.140625" style="313"/>
    <col min="1013" max="1013" width="11.7109375" style="313" customWidth="1"/>
    <col min="1014" max="1014" width="16.7109375" style="313" customWidth="1"/>
    <col min="1015" max="1015" width="14.42578125" style="313" customWidth="1"/>
    <col min="1016" max="1016" width="13.140625" style="313" customWidth="1"/>
    <col min="1017" max="1017" width="13.28515625" style="313" customWidth="1"/>
    <col min="1018" max="1018" width="11.85546875" style="313" customWidth="1"/>
    <col min="1019" max="1019" width="16" style="313" customWidth="1"/>
    <col min="1020" max="1020" width="12" style="313" customWidth="1"/>
    <col min="1021" max="1021" width="11.5703125" style="313" customWidth="1"/>
    <col min="1022" max="1022" width="11.7109375" style="313" customWidth="1"/>
    <col min="1023" max="1023" width="17.5703125" style="313" customWidth="1"/>
    <col min="1024" max="1024" width="6.42578125" style="313" customWidth="1"/>
    <col min="1025" max="1025" width="29.28515625" style="313" customWidth="1"/>
    <col min="1026" max="1026" width="18.85546875" style="313" customWidth="1"/>
    <col min="1027" max="1268" width="9.140625" style="313"/>
    <col min="1269" max="1269" width="11.7109375" style="313" customWidth="1"/>
    <col min="1270" max="1270" width="16.7109375" style="313" customWidth="1"/>
    <col min="1271" max="1271" width="14.42578125" style="313" customWidth="1"/>
    <col min="1272" max="1272" width="13.140625" style="313" customWidth="1"/>
    <col min="1273" max="1273" width="13.28515625" style="313" customWidth="1"/>
    <col min="1274" max="1274" width="11.85546875" style="313" customWidth="1"/>
    <col min="1275" max="1275" width="16" style="313" customWidth="1"/>
    <col min="1276" max="1276" width="12" style="313" customWidth="1"/>
    <col min="1277" max="1277" width="11.5703125" style="313" customWidth="1"/>
    <col min="1278" max="1278" width="11.7109375" style="313" customWidth="1"/>
    <col min="1279" max="1279" width="17.5703125" style="313" customWidth="1"/>
    <col min="1280" max="1280" width="6.42578125" style="313" customWidth="1"/>
    <col min="1281" max="1281" width="29.28515625" style="313" customWidth="1"/>
    <col min="1282" max="1282" width="18.85546875" style="313" customWidth="1"/>
    <col min="1283" max="1524" width="9.140625" style="313"/>
    <col min="1525" max="1525" width="11.7109375" style="313" customWidth="1"/>
    <col min="1526" max="1526" width="16.7109375" style="313" customWidth="1"/>
    <col min="1527" max="1527" width="14.42578125" style="313" customWidth="1"/>
    <col min="1528" max="1528" width="13.140625" style="313" customWidth="1"/>
    <col min="1529" max="1529" width="13.28515625" style="313" customWidth="1"/>
    <col min="1530" max="1530" width="11.85546875" style="313" customWidth="1"/>
    <col min="1531" max="1531" width="16" style="313" customWidth="1"/>
    <col min="1532" max="1532" width="12" style="313" customWidth="1"/>
    <col min="1533" max="1533" width="11.5703125" style="313" customWidth="1"/>
    <col min="1534" max="1534" width="11.7109375" style="313" customWidth="1"/>
    <col min="1535" max="1535" width="17.5703125" style="313" customWidth="1"/>
    <col min="1536" max="1536" width="6.42578125" style="313" customWidth="1"/>
    <col min="1537" max="1537" width="29.28515625" style="313" customWidth="1"/>
    <col min="1538" max="1538" width="18.85546875" style="313" customWidth="1"/>
    <col min="1539" max="1780" width="9.140625" style="313"/>
    <col min="1781" max="1781" width="11.7109375" style="313" customWidth="1"/>
    <col min="1782" max="1782" width="16.7109375" style="313" customWidth="1"/>
    <col min="1783" max="1783" width="14.42578125" style="313" customWidth="1"/>
    <col min="1784" max="1784" width="13.140625" style="313" customWidth="1"/>
    <col min="1785" max="1785" width="13.28515625" style="313" customWidth="1"/>
    <col min="1786" max="1786" width="11.85546875" style="313" customWidth="1"/>
    <col min="1787" max="1787" width="16" style="313" customWidth="1"/>
    <col min="1788" max="1788" width="12" style="313" customWidth="1"/>
    <col min="1789" max="1789" width="11.5703125" style="313" customWidth="1"/>
    <col min="1790" max="1790" width="11.7109375" style="313" customWidth="1"/>
    <col min="1791" max="1791" width="17.5703125" style="313" customWidth="1"/>
    <col min="1792" max="1792" width="6.42578125" style="313" customWidth="1"/>
    <col min="1793" max="1793" width="29.28515625" style="313" customWidth="1"/>
    <col min="1794" max="1794" width="18.85546875" style="313" customWidth="1"/>
    <col min="1795" max="2036" width="9.140625" style="313"/>
    <col min="2037" max="2037" width="11.7109375" style="313" customWidth="1"/>
    <col min="2038" max="2038" width="16.7109375" style="313" customWidth="1"/>
    <col min="2039" max="2039" width="14.42578125" style="313" customWidth="1"/>
    <col min="2040" max="2040" width="13.140625" style="313" customWidth="1"/>
    <col min="2041" max="2041" width="13.28515625" style="313" customWidth="1"/>
    <col min="2042" max="2042" width="11.85546875" style="313" customWidth="1"/>
    <col min="2043" max="2043" width="16" style="313" customWidth="1"/>
    <col min="2044" max="2044" width="12" style="313" customWidth="1"/>
    <col min="2045" max="2045" width="11.5703125" style="313" customWidth="1"/>
    <col min="2046" max="2046" width="11.7109375" style="313" customWidth="1"/>
    <col min="2047" max="2047" width="17.5703125" style="313" customWidth="1"/>
    <col min="2048" max="2048" width="6.42578125" style="313" customWidth="1"/>
    <col min="2049" max="2049" width="29.28515625" style="313" customWidth="1"/>
    <col min="2050" max="2050" width="18.85546875" style="313" customWidth="1"/>
    <col min="2051" max="2292" width="9.140625" style="313"/>
    <col min="2293" max="2293" width="11.7109375" style="313" customWidth="1"/>
    <col min="2294" max="2294" width="16.7109375" style="313" customWidth="1"/>
    <col min="2295" max="2295" width="14.42578125" style="313" customWidth="1"/>
    <col min="2296" max="2296" width="13.140625" style="313" customWidth="1"/>
    <col min="2297" max="2297" width="13.28515625" style="313" customWidth="1"/>
    <col min="2298" max="2298" width="11.85546875" style="313" customWidth="1"/>
    <col min="2299" max="2299" width="16" style="313" customWidth="1"/>
    <col min="2300" max="2300" width="12" style="313" customWidth="1"/>
    <col min="2301" max="2301" width="11.5703125" style="313" customWidth="1"/>
    <col min="2302" max="2302" width="11.7109375" style="313" customWidth="1"/>
    <col min="2303" max="2303" width="17.5703125" style="313" customWidth="1"/>
    <col min="2304" max="2304" width="6.42578125" style="313" customWidth="1"/>
    <col min="2305" max="2305" width="29.28515625" style="313" customWidth="1"/>
    <col min="2306" max="2306" width="18.85546875" style="313" customWidth="1"/>
    <col min="2307" max="2548" width="9.140625" style="313"/>
    <col min="2549" max="2549" width="11.7109375" style="313" customWidth="1"/>
    <col min="2550" max="2550" width="16.7109375" style="313" customWidth="1"/>
    <col min="2551" max="2551" width="14.42578125" style="313" customWidth="1"/>
    <col min="2552" max="2552" width="13.140625" style="313" customWidth="1"/>
    <col min="2553" max="2553" width="13.28515625" style="313" customWidth="1"/>
    <col min="2554" max="2554" width="11.85546875" style="313" customWidth="1"/>
    <col min="2555" max="2555" width="16" style="313" customWidth="1"/>
    <col min="2556" max="2556" width="12" style="313" customWidth="1"/>
    <col min="2557" max="2557" width="11.5703125" style="313" customWidth="1"/>
    <col min="2558" max="2558" width="11.7109375" style="313" customWidth="1"/>
    <col min="2559" max="2559" width="17.5703125" style="313" customWidth="1"/>
    <col min="2560" max="2560" width="6.42578125" style="313" customWidth="1"/>
    <col min="2561" max="2561" width="29.28515625" style="313" customWidth="1"/>
    <col min="2562" max="2562" width="18.85546875" style="313" customWidth="1"/>
    <col min="2563" max="2804" width="9.140625" style="313"/>
    <col min="2805" max="2805" width="11.7109375" style="313" customWidth="1"/>
    <col min="2806" max="2806" width="16.7109375" style="313" customWidth="1"/>
    <col min="2807" max="2807" width="14.42578125" style="313" customWidth="1"/>
    <col min="2808" max="2808" width="13.140625" style="313" customWidth="1"/>
    <col min="2809" max="2809" width="13.28515625" style="313" customWidth="1"/>
    <col min="2810" max="2810" width="11.85546875" style="313" customWidth="1"/>
    <col min="2811" max="2811" width="16" style="313" customWidth="1"/>
    <col min="2812" max="2812" width="12" style="313" customWidth="1"/>
    <col min="2813" max="2813" width="11.5703125" style="313" customWidth="1"/>
    <col min="2814" max="2814" width="11.7109375" style="313" customWidth="1"/>
    <col min="2815" max="2815" width="17.5703125" style="313" customWidth="1"/>
    <col min="2816" max="2816" width="6.42578125" style="313" customWidth="1"/>
    <col min="2817" max="2817" width="29.28515625" style="313" customWidth="1"/>
    <col min="2818" max="2818" width="18.85546875" style="313" customWidth="1"/>
    <col min="2819" max="3060" width="9.140625" style="313"/>
    <col min="3061" max="3061" width="11.7109375" style="313" customWidth="1"/>
    <col min="3062" max="3062" width="16.7109375" style="313" customWidth="1"/>
    <col min="3063" max="3063" width="14.42578125" style="313" customWidth="1"/>
    <col min="3064" max="3064" width="13.140625" style="313" customWidth="1"/>
    <col min="3065" max="3065" width="13.28515625" style="313" customWidth="1"/>
    <col min="3066" max="3066" width="11.85546875" style="313" customWidth="1"/>
    <col min="3067" max="3067" width="16" style="313" customWidth="1"/>
    <col min="3068" max="3068" width="12" style="313" customWidth="1"/>
    <col min="3069" max="3069" width="11.5703125" style="313" customWidth="1"/>
    <col min="3070" max="3070" width="11.7109375" style="313" customWidth="1"/>
    <col min="3071" max="3071" width="17.5703125" style="313" customWidth="1"/>
    <col min="3072" max="3072" width="6.42578125" style="313" customWidth="1"/>
    <col min="3073" max="3073" width="29.28515625" style="313" customWidth="1"/>
    <col min="3074" max="3074" width="18.85546875" style="313" customWidth="1"/>
    <col min="3075" max="3316" width="9.140625" style="313"/>
    <col min="3317" max="3317" width="11.7109375" style="313" customWidth="1"/>
    <col min="3318" max="3318" width="16.7109375" style="313" customWidth="1"/>
    <col min="3319" max="3319" width="14.42578125" style="313" customWidth="1"/>
    <col min="3320" max="3320" width="13.140625" style="313" customWidth="1"/>
    <col min="3321" max="3321" width="13.28515625" style="313" customWidth="1"/>
    <col min="3322" max="3322" width="11.85546875" style="313" customWidth="1"/>
    <col min="3323" max="3323" width="16" style="313" customWidth="1"/>
    <col min="3324" max="3324" width="12" style="313" customWidth="1"/>
    <col min="3325" max="3325" width="11.5703125" style="313" customWidth="1"/>
    <col min="3326" max="3326" width="11.7109375" style="313" customWidth="1"/>
    <col min="3327" max="3327" width="17.5703125" style="313" customWidth="1"/>
    <col min="3328" max="3328" width="6.42578125" style="313" customWidth="1"/>
    <col min="3329" max="3329" width="29.28515625" style="313" customWidth="1"/>
    <col min="3330" max="3330" width="18.85546875" style="313" customWidth="1"/>
    <col min="3331" max="3572" width="9.140625" style="313"/>
    <col min="3573" max="3573" width="11.7109375" style="313" customWidth="1"/>
    <col min="3574" max="3574" width="16.7109375" style="313" customWidth="1"/>
    <col min="3575" max="3575" width="14.42578125" style="313" customWidth="1"/>
    <col min="3576" max="3576" width="13.140625" style="313" customWidth="1"/>
    <col min="3577" max="3577" width="13.28515625" style="313" customWidth="1"/>
    <col min="3578" max="3578" width="11.85546875" style="313" customWidth="1"/>
    <col min="3579" max="3579" width="16" style="313" customWidth="1"/>
    <col min="3580" max="3580" width="12" style="313" customWidth="1"/>
    <col min="3581" max="3581" width="11.5703125" style="313" customWidth="1"/>
    <col min="3582" max="3582" width="11.7109375" style="313" customWidth="1"/>
    <col min="3583" max="3583" width="17.5703125" style="313" customWidth="1"/>
    <col min="3584" max="3584" width="6.42578125" style="313" customWidth="1"/>
    <col min="3585" max="3585" width="29.28515625" style="313" customWidth="1"/>
    <col min="3586" max="3586" width="18.85546875" style="313" customWidth="1"/>
    <col min="3587" max="3828" width="9.140625" style="313"/>
    <col min="3829" max="3829" width="11.7109375" style="313" customWidth="1"/>
    <col min="3830" max="3830" width="16.7109375" style="313" customWidth="1"/>
    <col min="3831" max="3831" width="14.42578125" style="313" customWidth="1"/>
    <col min="3832" max="3832" width="13.140625" style="313" customWidth="1"/>
    <col min="3833" max="3833" width="13.28515625" style="313" customWidth="1"/>
    <col min="3834" max="3834" width="11.85546875" style="313" customWidth="1"/>
    <col min="3835" max="3835" width="16" style="313" customWidth="1"/>
    <col min="3836" max="3836" width="12" style="313" customWidth="1"/>
    <col min="3837" max="3837" width="11.5703125" style="313" customWidth="1"/>
    <col min="3838" max="3838" width="11.7109375" style="313" customWidth="1"/>
    <col min="3839" max="3839" width="17.5703125" style="313" customWidth="1"/>
    <col min="3840" max="3840" width="6.42578125" style="313" customWidth="1"/>
    <col min="3841" max="3841" width="29.28515625" style="313" customWidth="1"/>
    <col min="3842" max="3842" width="18.85546875" style="313" customWidth="1"/>
    <col min="3843" max="4084" width="9.140625" style="313"/>
    <col min="4085" max="4085" width="11.7109375" style="313" customWidth="1"/>
    <col min="4086" max="4086" width="16.7109375" style="313" customWidth="1"/>
    <col min="4087" max="4087" width="14.42578125" style="313" customWidth="1"/>
    <col min="4088" max="4088" width="13.140625" style="313" customWidth="1"/>
    <col min="4089" max="4089" width="13.28515625" style="313" customWidth="1"/>
    <col min="4090" max="4090" width="11.85546875" style="313" customWidth="1"/>
    <col min="4091" max="4091" width="16" style="313" customWidth="1"/>
    <col min="4092" max="4092" width="12" style="313" customWidth="1"/>
    <col min="4093" max="4093" width="11.5703125" style="313" customWidth="1"/>
    <col min="4094" max="4094" width="11.7109375" style="313" customWidth="1"/>
    <col min="4095" max="4095" width="17.5703125" style="313" customWidth="1"/>
    <col min="4096" max="4096" width="6.42578125" style="313" customWidth="1"/>
    <col min="4097" max="4097" width="29.28515625" style="313" customWidth="1"/>
    <col min="4098" max="4098" width="18.85546875" style="313" customWidth="1"/>
    <col min="4099" max="4340" width="9.140625" style="313"/>
    <col min="4341" max="4341" width="11.7109375" style="313" customWidth="1"/>
    <col min="4342" max="4342" width="16.7109375" style="313" customWidth="1"/>
    <col min="4343" max="4343" width="14.42578125" style="313" customWidth="1"/>
    <col min="4344" max="4344" width="13.140625" style="313" customWidth="1"/>
    <col min="4345" max="4345" width="13.28515625" style="313" customWidth="1"/>
    <col min="4346" max="4346" width="11.85546875" style="313" customWidth="1"/>
    <col min="4347" max="4347" width="16" style="313" customWidth="1"/>
    <col min="4348" max="4348" width="12" style="313" customWidth="1"/>
    <col min="4349" max="4349" width="11.5703125" style="313" customWidth="1"/>
    <col min="4350" max="4350" width="11.7109375" style="313" customWidth="1"/>
    <col min="4351" max="4351" width="17.5703125" style="313" customWidth="1"/>
    <col min="4352" max="4352" width="6.42578125" style="313" customWidth="1"/>
    <col min="4353" max="4353" width="29.28515625" style="313" customWidth="1"/>
    <col min="4354" max="4354" width="18.85546875" style="313" customWidth="1"/>
    <col min="4355" max="4596" width="9.140625" style="313"/>
    <col min="4597" max="4597" width="11.7109375" style="313" customWidth="1"/>
    <col min="4598" max="4598" width="16.7109375" style="313" customWidth="1"/>
    <col min="4599" max="4599" width="14.42578125" style="313" customWidth="1"/>
    <col min="4600" max="4600" width="13.140625" style="313" customWidth="1"/>
    <col min="4601" max="4601" width="13.28515625" style="313" customWidth="1"/>
    <col min="4602" max="4602" width="11.85546875" style="313" customWidth="1"/>
    <col min="4603" max="4603" width="16" style="313" customWidth="1"/>
    <col min="4604" max="4604" width="12" style="313" customWidth="1"/>
    <col min="4605" max="4605" width="11.5703125" style="313" customWidth="1"/>
    <col min="4606" max="4606" width="11.7109375" style="313" customWidth="1"/>
    <col min="4607" max="4607" width="17.5703125" style="313" customWidth="1"/>
    <col min="4608" max="4608" width="6.42578125" style="313" customWidth="1"/>
    <col min="4609" max="4609" width="29.28515625" style="313" customWidth="1"/>
    <col min="4610" max="4610" width="18.85546875" style="313" customWidth="1"/>
    <col min="4611" max="4852" width="9.140625" style="313"/>
    <col min="4853" max="4853" width="11.7109375" style="313" customWidth="1"/>
    <col min="4854" max="4854" width="16.7109375" style="313" customWidth="1"/>
    <col min="4855" max="4855" width="14.42578125" style="313" customWidth="1"/>
    <col min="4856" max="4856" width="13.140625" style="313" customWidth="1"/>
    <col min="4857" max="4857" width="13.28515625" style="313" customWidth="1"/>
    <col min="4858" max="4858" width="11.85546875" style="313" customWidth="1"/>
    <col min="4859" max="4859" width="16" style="313" customWidth="1"/>
    <col min="4860" max="4860" width="12" style="313" customWidth="1"/>
    <col min="4861" max="4861" width="11.5703125" style="313" customWidth="1"/>
    <col min="4862" max="4862" width="11.7109375" style="313" customWidth="1"/>
    <col min="4863" max="4863" width="17.5703125" style="313" customWidth="1"/>
    <col min="4864" max="4864" width="6.42578125" style="313" customWidth="1"/>
    <col min="4865" max="4865" width="29.28515625" style="313" customWidth="1"/>
    <col min="4866" max="4866" width="18.85546875" style="313" customWidth="1"/>
    <col min="4867" max="5108" width="9.140625" style="313"/>
    <col min="5109" max="5109" width="11.7109375" style="313" customWidth="1"/>
    <col min="5110" max="5110" width="16.7109375" style="313" customWidth="1"/>
    <col min="5111" max="5111" width="14.42578125" style="313" customWidth="1"/>
    <col min="5112" max="5112" width="13.140625" style="313" customWidth="1"/>
    <col min="5113" max="5113" width="13.28515625" style="313" customWidth="1"/>
    <col min="5114" max="5114" width="11.85546875" style="313" customWidth="1"/>
    <col min="5115" max="5115" width="16" style="313" customWidth="1"/>
    <col min="5116" max="5116" width="12" style="313" customWidth="1"/>
    <col min="5117" max="5117" width="11.5703125" style="313" customWidth="1"/>
    <col min="5118" max="5118" width="11.7109375" style="313" customWidth="1"/>
    <col min="5119" max="5119" width="17.5703125" style="313" customWidth="1"/>
    <col min="5120" max="5120" width="6.42578125" style="313" customWidth="1"/>
    <col min="5121" max="5121" width="29.28515625" style="313" customWidth="1"/>
    <col min="5122" max="5122" width="18.85546875" style="313" customWidth="1"/>
    <col min="5123" max="5364" width="9.140625" style="313"/>
    <col min="5365" max="5365" width="11.7109375" style="313" customWidth="1"/>
    <col min="5366" max="5366" width="16.7109375" style="313" customWidth="1"/>
    <col min="5367" max="5367" width="14.42578125" style="313" customWidth="1"/>
    <col min="5368" max="5368" width="13.140625" style="313" customWidth="1"/>
    <col min="5369" max="5369" width="13.28515625" style="313" customWidth="1"/>
    <col min="5370" max="5370" width="11.85546875" style="313" customWidth="1"/>
    <col min="5371" max="5371" width="16" style="313" customWidth="1"/>
    <col min="5372" max="5372" width="12" style="313" customWidth="1"/>
    <col min="5373" max="5373" width="11.5703125" style="313" customWidth="1"/>
    <col min="5374" max="5374" width="11.7109375" style="313" customWidth="1"/>
    <col min="5375" max="5375" width="17.5703125" style="313" customWidth="1"/>
    <col min="5376" max="5376" width="6.42578125" style="313" customWidth="1"/>
    <col min="5377" max="5377" width="29.28515625" style="313" customWidth="1"/>
    <col min="5378" max="5378" width="18.85546875" style="313" customWidth="1"/>
    <col min="5379" max="5620" width="9.140625" style="313"/>
    <col min="5621" max="5621" width="11.7109375" style="313" customWidth="1"/>
    <col min="5622" max="5622" width="16.7109375" style="313" customWidth="1"/>
    <col min="5623" max="5623" width="14.42578125" style="313" customWidth="1"/>
    <col min="5624" max="5624" width="13.140625" style="313" customWidth="1"/>
    <col min="5625" max="5625" width="13.28515625" style="313" customWidth="1"/>
    <col min="5626" max="5626" width="11.85546875" style="313" customWidth="1"/>
    <col min="5627" max="5627" width="16" style="313" customWidth="1"/>
    <col min="5628" max="5628" width="12" style="313" customWidth="1"/>
    <col min="5629" max="5629" width="11.5703125" style="313" customWidth="1"/>
    <col min="5630" max="5630" width="11.7109375" style="313" customWidth="1"/>
    <col min="5631" max="5631" width="17.5703125" style="313" customWidth="1"/>
    <col min="5632" max="5632" width="6.42578125" style="313" customWidth="1"/>
    <col min="5633" max="5633" width="29.28515625" style="313" customWidth="1"/>
    <col min="5634" max="5634" width="18.85546875" style="313" customWidth="1"/>
    <col min="5635" max="5876" width="9.140625" style="313"/>
    <col min="5877" max="5877" width="11.7109375" style="313" customWidth="1"/>
    <col min="5878" max="5878" width="16.7109375" style="313" customWidth="1"/>
    <col min="5879" max="5879" width="14.42578125" style="313" customWidth="1"/>
    <col min="5880" max="5880" width="13.140625" style="313" customWidth="1"/>
    <col min="5881" max="5881" width="13.28515625" style="313" customWidth="1"/>
    <col min="5882" max="5882" width="11.85546875" style="313" customWidth="1"/>
    <col min="5883" max="5883" width="16" style="313" customWidth="1"/>
    <col min="5884" max="5884" width="12" style="313" customWidth="1"/>
    <col min="5885" max="5885" width="11.5703125" style="313" customWidth="1"/>
    <col min="5886" max="5886" width="11.7109375" style="313" customWidth="1"/>
    <col min="5887" max="5887" width="17.5703125" style="313" customWidth="1"/>
    <col min="5888" max="5888" width="6.42578125" style="313" customWidth="1"/>
    <col min="5889" max="5889" width="29.28515625" style="313" customWidth="1"/>
    <col min="5890" max="5890" width="18.85546875" style="313" customWidth="1"/>
    <col min="5891" max="6132" width="9.140625" style="313"/>
    <col min="6133" max="6133" width="11.7109375" style="313" customWidth="1"/>
    <col min="6134" max="6134" width="16.7109375" style="313" customWidth="1"/>
    <col min="6135" max="6135" width="14.42578125" style="313" customWidth="1"/>
    <col min="6136" max="6136" width="13.140625" style="313" customWidth="1"/>
    <col min="6137" max="6137" width="13.28515625" style="313" customWidth="1"/>
    <col min="6138" max="6138" width="11.85546875" style="313" customWidth="1"/>
    <col min="6139" max="6139" width="16" style="313" customWidth="1"/>
    <col min="6140" max="6140" width="12" style="313" customWidth="1"/>
    <col min="6141" max="6141" width="11.5703125" style="313" customWidth="1"/>
    <col min="6142" max="6142" width="11.7109375" style="313" customWidth="1"/>
    <col min="6143" max="6143" width="17.5703125" style="313" customWidth="1"/>
    <col min="6144" max="6144" width="6.42578125" style="313" customWidth="1"/>
    <col min="6145" max="6145" width="29.28515625" style="313" customWidth="1"/>
    <col min="6146" max="6146" width="18.85546875" style="313" customWidth="1"/>
    <col min="6147" max="6388" width="9.140625" style="313"/>
    <col min="6389" max="6389" width="11.7109375" style="313" customWidth="1"/>
    <col min="6390" max="6390" width="16.7109375" style="313" customWidth="1"/>
    <col min="6391" max="6391" width="14.42578125" style="313" customWidth="1"/>
    <col min="6392" max="6392" width="13.140625" style="313" customWidth="1"/>
    <col min="6393" max="6393" width="13.28515625" style="313" customWidth="1"/>
    <col min="6394" max="6394" width="11.85546875" style="313" customWidth="1"/>
    <col min="6395" max="6395" width="16" style="313" customWidth="1"/>
    <col min="6396" max="6396" width="12" style="313" customWidth="1"/>
    <col min="6397" max="6397" width="11.5703125" style="313" customWidth="1"/>
    <col min="6398" max="6398" width="11.7109375" style="313" customWidth="1"/>
    <col min="6399" max="6399" width="17.5703125" style="313" customWidth="1"/>
    <col min="6400" max="6400" width="6.42578125" style="313" customWidth="1"/>
    <col min="6401" max="6401" width="29.28515625" style="313" customWidth="1"/>
    <col min="6402" max="6402" width="18.85546875" style="313" customWidth="1"/>
    <col min="6403" max="6644" width="9.140625" style="313"/>
    <col min="6645" max="6645" width="11.7109375" style="313" customWidth="1"/>
    <col min="6646" max="6646" width="16.7109375" style="313" customWidth="1"/>
    <col min="6647" max="6647" width="14.42578125" style="313" customWidth="1"/>
    <col min="6648" max="6648" width="13.140625" style="313" customWidth="1"/>
    <col min="6649" max="6649" width="13.28515625" style="313" customWidth="1"/>
    <col min="6650" max="6650" width="11.85546875" style="313" customWidth="1"/>
    <col min="6651" max="6651" width="16" style="313" customWidth="1"/>
    <col min="6652" max="6652" width="12" style="313" customWidth="1"/>
    <col min="6653" max="6653" width="11.5703125" style="313" customWidth="1"/>
    <col min="6654" max="6654" width="11.7109375" style="313" customWidth="1"/>
    <col min="6655" max="6655" width="17.5703125" style="313" customWidth="1"/>
    <col min="6656" max="6656" width="6.42578125" style="313" customWidth="1"/>
    <col min="6657" max="6657" width="29.28515625" style="313" customWidth="1"/>
    <col min="6658" max="6658" width="18.85546875" style="313" customWidth="1"/>
    <col min="6659" max="6900" width="9.140625" style="313"/>
    <col min="6901" max="6901" width="11.7109375" style="313" customWidth="1"/>
    <col min="6902" max="6902" width="16.7109375" style="313" customWidth="1"/>
    <col min="6903" max="6903" width="14.42578125" style="313" customWidth="1"/>
    <col min="6904" max="6904" width="13.140625" style="313" customWidth="1"/>
    <col min="6905" max="6905" width="13.28515625" style="313" customWidth="1"/>
    <col min="6906" max="6906" width="11.85546875" style="313" customWidth="1"/>
    <col min="6907" max="6907" width="16" style="313" customWidth="1"/>
    <col min="6908" max="6908" width="12" style="313" customWidth="1"/>
    <col min="6909" max="6909" width="11.5703125" style="313" customWidth="1"/>
    <col min="6910" max="6910" width="11.7109375" style="313" customWidth="1"/>
    <col min="6911" max="6911" width="17.5703125" style="313" customWidth="1"/>
    <col min="6912" max="6912" width="6.42578125" style="313" customWidth="1"/>
    <col min="6913" max="6913" width="29.28515625" style="313" customWidth="1"/>
    <col min="6914" max="6914" width="18.85546875" style="313" customWidth="1"/>
    <col min="6915" max="7156" width="9.140625" style="313"/>
    <col min="7157" max="7157" width="11.7109375" style="313" customWidth="1"/>
    <col min="7158" max="7158" width="16.7109375" style="313" customWidth="1"/>
    <col min="7159" max="7159" width="14.42578125" style="313" customWidth="1"/>
    <col min="7160" max="7160" width="13.140625" style="313" customWidth="1"/>
    <col min="7161" max="7161" width="13.28515625" style="313" customWidth="1"/>
    <col min="7162" max="7162" width="11.85546875" style="313" customWidth="1"/>
    <col min="7163" max="7163" width="16" style="313" customWidth="1"/>
    <col min="7164" max="7164" width="12" style="313" customWidth="1"/>
    <col min="7165" max="7165" width="11.5703125" style="313" customWidth="1"/>
    <col min="7166" max="7166" width="11.7109375" style="313" customWidth="1"/>
    <col min="7167" max="7167" width="17.5703125" style="313" customWidth="1"/>
    <col min="7168" max="7168" width="6.42578125" style="313" customWidth="1"/>
    <col min="7169" max="7169" width="29.28515625" style="313" customWidth="1"/>
    <col min="7170" max="7170" width="18.85546875" style="313" customWidth="1"/>
    <col min="7171" max="7412" width="9.140625" style="313"/>
    <col min="7413" max="7413" width="11.7109375" style="313" customWidth="1"/>
    <col min="7414" max="7414" width="16.7109375" style="313" customWidth="1"/>
    <col min="7415" max="7415" width="14.42578125" style="313" customWidth="1"/>
    <col min="7416" max="7416" width="13.140625" style="313" customWidth="1"/>
    <col min="7417" max="7417" width="13.28515625" style="313" customWidth="1"/>
    <col min="7418" max="7418" width="11.85546875" style="313" customWidth="1"/>
    <col min="7419" max="7419" width="16" style="313" customWidth="1"/>
    <col min="7420" max="7420" width="12" style="313" customWidth="1"/>
    <col min="7421" max="7421" width="11.5703125" style="313" customWidth="1"/>
    <col min="7422" max="7422" width="11.7109375" style="313" customWidth="1"/>
    <col min="7423" max="7423" width="17.5703125" style="313" customWidth="1"/>
    <col min="7424" max="7424" width="6.42578125" style="313" customWidth="1"/>
    <col min="7425" max="7425" width="29.28515625" style="313" customWidth="1"/>
    <col min="7426" max="7426" width="18.85546875" style="313" customWidth="1"/>
    <col min="7427" max="7668" width="9.140625" style="313"/>
    <col min="7669" max="7669" width="11.7109375" style="313" customWidth="1"/>
    <col min="7670" max="7670" width="16.7109375" style="313" customWidth="1"/>
    <col min="7671" max="7671" width="14.42578125" style="313" customWidth="1"/>
    <col min="7672" max="7672" width="13.140625" style="313" customWidth="1"/>
    <col min="7673" max="7673" width="13.28515625" style="313" customWidth="1"/>
    <col min="7674" max="7674" width="11.85546875" style="313" customWidth="1"/>
    <col min="7675" max="7675" width="16" style="313" customWidth="1"/>
    <col min="7676" max="7676" width="12" style="313" customWidth="1"/>
    <col min="7677" max="7677" width="11.5703125" style="313" customWidth="1"/>
    <col min="7678" max="7678" width="11.7109375" style="313" customWidth="1"/>
    <col min="7679" max="7679" width="17.5703125" style="313" customWidth="1"/>
    <col min="7680" max="7680" width="6.42578125" style="313" customWidth="1"/>
    <col min="7681" max="7681" width="29.28515625" style="313" customWidth="1"/>
    <col min="7682" max="7682" width="18.85546875" style="313" customWidth="1"/>
    <col min="7683" max="7924" width="9.140625" style="313"/>
    <col min="7925" max="7925" width="11.7109375" style="313" customWidth="1"/>
    <col min="7926" max="7926" width="16.7109375" style="313" customWidth="1"/>
    <col min="7927" max="7927" width="14.42578125" style="313" customWidth="1"/>
    <col min="7928" max="7928" width="13.140625" style="313" customWidth="1"/>
    <col min="7929" max="7929" width="13.28515625" style="313" customWidth="1"/>
    <col min="7930" max="7930" width="11.85546875" style="313" customWidth="1"/>
    <col min="7931" max="7931" width="16" style="313" customWidth="1"/>
    <col min="7932" max="7932" width="12" style="313" customWidth="1"/>
    <col min="7933" max="7933" width="11.5703125" style="313" customWidth="1"/>
    <col min="7934" max="7934" width="11.7109375" style="313" customWidth="1"/>
    <col min="7935" max="7935" width="17.5703125" style="313" customWidth="1"/>
    <col min="7936" max="7936" width="6.42578125" style="313" customWidth="1"/>
    <col min="7937" max="7937" width="29.28515625" style="313" customWidth="1"/>
    <col min="7938" max="7938" width="18.85546875" style="313" customWidth="1"/>
    <col min="7939" max="8180" width="9.140625" style="313"/>
    <col min="8181" max="8181" width="11.7109375" style="313" customWidth="1"/>
    <col min="8182" max="8182" width="16.7109375" style="313" customWidth="1"/>
    <col min="8183" max="8183" width="14.42578125" style="313" customWidth="1"/>
    <col min="8184" max="8184" width="13.140625" style="313" customWidth="1"/>
    <col min="8185" max="8185" width="13.28515625" style="313" customWidth="1"/>
    <col min="8186" max="8186" width="11.85546875" style="313" customWidth="1"/>
    <col min="8187" max="8187" width="16" style="313" customWidth="1"/>
    <col min="8188" max="8188" width="12" style="313" customWidth="1"/>
    <col min="8189" max="8189" width="11.5703125" style="313" customWidth="1"/>
    <col min="8190" max="8190" width="11.7109375" style="313" customWidth="1"/>
    <col min="8191" max="8191" width="17.5703125" style="313" customWidth="1"/>
    <col min="8192" max="8192" width="6.42578125" style="313" customWidth="1"/>
    <col min="8193" max="8193" width="29.28515625" style="313" customWidth="1"/>
    <col min="8194" max="8194" width="18.85546875" style="313" customWidth="1"/>
    <col min="8195" max="8436" width="9.140625" style="313"/>
    <col min="8437" max="8437" width="11.7109375" style="313" customWidth="1"/>
    <col min="8438" max="8438" width="16.7109375" style="313" customWidth="1"/>
    <col min="8439" max="8439" width="14.42578125" style="313" customWidth="1"/>
    <col min="8440" max="8440" width="13.140625" style="313" customWidth="1"/>
    <col min="8441" max="8441" width="13.28515625" style="313" customWidth="1"/>
    <col min="8442" max="8442" width="11.85546875" style="313" customWidth="1"/>
    <col min="8443" max="8443" width="16" style="313" customWidth="1"/>
    <col min="8444" max="8444" width="12" style="313" customWidth="1"/>
    <col min="8445" max="8445" width="11.5703125" style="313" customWidth="1"/>
    <col min="8446" max="8446" width="11.7109375" style="313" customWidth="1"/>
    <col min="8447" max="8447" width="17.5703125" style="313" customWidth="1"/>
    <col min="8448" max="8448" width="6.42578125" style="313" customWidth="1"/>
    <col min="8449" max="8449" width="29.28515625" style="313" customWidth="1"/>
    <col min="8450" max="8450" width="18.85546875" style="313" customWidth="1"/>
    <col min="8451" max="8692" width="9.140625" style="313"/>
    <col min="8693" max="8693" width="11.7109375" style="313" customWidth="1"/>
    <col min="8694" max="8694" width="16.7109375" style="313" customWidth="1"/>
    <col min="8695" max="8695" width="14.42578125" style="313" customWidth="1"/>
    <col min="8696" max="8696" width="13.140625" style="313" customWidth="1"/>
    <col min="8697" max="8697" width="13.28515625" style="313" customWidth="1"/>
    <col min="8698" max="8698" width="11.85546875" style="313" customWidth="1"/>
    <col min="8699" max="8699" width="16" style="313" customWidth="1"/>
    <col min="8700" max="8700" width="12" style="313" customWidth="1"/>
    <col min="8701" max="8701" width="11.5703125" style="313" customWidth="1"/>
    <col min="8702" max="8702" width="11.7109375" style="313" customWidth="1"/>
    <col min="8703" max="8703" width="17.5703125" style="313" customWidth="1"/>
    <col min="8704" max="8704" width="6.42578125" style="313" customWidth="1"/>
    <col min="8705" max="8705" width="29.28515625" style="313" customWidth="1"/>
    <col min="8706" max="8706" width="18.85546875" style="313" customWidth="1"/>
    <col min="8707" max="8948" width="9.140625" style="313"/>
    <col min="8949" max="8949" width="11.7109375" style="313" customWidth="1"/>
    <col min="8950" max="8950" width="16.7109375" style="313" customWidth="1"/>
    <col min="8951" max="8951" width="14.42578125" style="313" customWidth="1"/>
    <col min="8952" max="8952" width="13.140625" style="313" customWidth="1"/>
    <col min="8953" max="8953" width="13.28515625" style="313" customWidth="1"/>
    <col min="8954" max="8954" width="11.85546875" style="313" customWidth="1"/>
    <col min="8955" max="8955" width="16" style="313" customWidth="1"/>
    <col min="8956" max="8956" width="12" style="313" customWidth="1"/>
    <col min="8957" max="8957" width="11.5703125" style="313" customWidth="1"/>
    <col min="8958" max="8958" width="11.7109375" style="313" customWidth="1"/>
    <col min="8959" max="8959" width="17.5703125" style="313" customWidth="1"/>
    <col min="8960" max="8960" width="6.42578125" style="313" customWidth="1"/>
    <col min="8961" max="8961" width="29.28515625" style="313" customWidth="1"/>
    <col min="8962" max="8962" width="18.85546875" style="313" customWidth="1"/>
    <col min="8963" max="9204" width="9.140625" style="313"/>
    <col min="9205" max="9205" width="11.7109375" style="313" customWidth="1"/>
    <col min="9206" max="9206" width="16.7109375" style="313" customWidth="1"/>
    <col min="9207" max="9207" width="14.42578125" style="313" customWidth="1"/>
    <col min="9208" max="9208" width="13.140625" style="313" customWidth="1"/>
    <col min="9209" max="9209" width="13.28515625" style="313" customWidth="1"/>
    <col min="9210" max="9210" width="11.85546875" style="313" customWidth="1"/>
    <col min="9211" max="9211" width="16" style="313" customWidth="1"/>
    <col min="9212" max="9212" width="12" style="313" customWidth="1"/>
    <col min="9213" max="9213" width="11.5703125" style="313" customWidth="1"/>
    <col min="9214" max="9214" width="11.7109375" style="313" customWidth="1"/>
    <col min="9215" max="9215" width="17.5703125" style="313" customWidth="1"/>
    <col min="9216" max="9216" width="6.42578125" style="313" customWidth="1"/>
    <col min="9217" max="9217" width="29.28515625" style="313" customWidth="1"/>
    <col min="9218" max="9218" width="18.85546875" style="313" customWidth="1"/>
    <col min="9219" max="9460" width="9.140625" style="313"/>
    <col min="9461" max="9461" width="11.7109375" style="313" customWidth="1"/>
    <col min="9462" max="9462" width="16.7109375" style="313" customWidth="1"/>
    <col min="9463" max="9463" width="14.42578125" style="313" customWidth="1"/>
    <col min="9464" max="9464" width="13.140625" style="313" customWidth="1"/>
    <col min="9465" max="9465" width="13.28515625" style="313" customWidth="1"/>
    <col min="9466" max="9466" width="11.85546875" style="313" customWidth="1"/>
    <col min="9467" max="9467" width="16" style="313" customWidth="1"/>
    <col min="9468" max="9468" width="12" style="313" customWidth="1"/>
    <col min="9469" max="9469" width="11.5703125" style="313" customWidth="1"/>
    <col min="9470" max="9470" width="11.7109375" style="313" customWidth="1"/>
    <col min="9471" max="9471" width="17.5703125" style="313" customWidth="1"/>
    <col min="9472" max="9472" width="6.42578125" style="313" customWidth="1"/>
    <col min="9473" max="9473" width="29.28515625" style="313" customWidth="1"/>
    <col min="9474" max="9474" width="18.85546875" style="313" customWidth="1"/>
    <col min="9475" max="9716" width="9.140625" style="313"/>
    <col min="9717" max="9717" width="11.7109375" style="313" customWidth="1"/>
    <col min="9718" max="9718" width="16.7109375" style="313" customWidth="1"/>
    <col min="9719" max="9719" width="14.42578125" style="313" customWidth="1"/>
    <col min="9720" max="9720" width="13.140625" style="313" customWidth="1"/>
    <col min="9721" max="9721" width="13.28515625" style="313" customWidth="1"/>
    <col min="9722" max="9722" width="11.85546875" style="313" customWidth="1"/>
    <col min="9723" max="9723" width="16" style="313" customWidth="1"/>
    <col min="9724" max="9724" width="12" style="313" customWidth="1"/>
    <col min="9725" max="9725" width="11.5703125" style="313" customWidth="1"/>
    <col min="9726" max="9726" width="11.7109375" style="313" customWidth="1"/>
    <col min="9727" max="9727" width="17.5703125" style="313" customWidth="1"/>
    <col min="9728" max="9728" width="6.42578125" style="313" customWidth="1"/>
    <col min="9729" max="9729" width="29.28515625" style="313" customWidth="1"/>
    <col min="9730" max="9730" width="18.85546875" style="313" customWidth="1"/>
    <col min="9731" max="9972" width="9.140625" style="313"/>
    <col min="9973" max="9973" width="11.7109375" style="313" customWidth="1"/>
    <col min="9974" max="9974" width="16.7109375" style="313" customWidth="1"/>
    <col min="9975" max="9975" width="14.42578125" style="313" customWidth="1"/>
    <col min="9976" max="9976" width="13.140625" style="313" customWidth="1"/>
    <col min="9977" max="9977" width="13.28515625" style="313" customWidth="1"/>
    <col min="9978" max="9978" width="11.85546875" style="313" customWidth="1"/>
    <col min="9979" max="9979" width="16" style="313" customWidth="1"/>
    <col min="9980" max="9980" width="12" style="313" customWidth="1"/>
    <col min="9981" max="9981" width="11.5703125" style="313" customWidth="1"/>
    <col min="9982" max="9982" width="11.7109375" style="313" customWidth="1"/>
    <col min="9983" max="9983" width="17.5703125" style="313" customWidth="1"/>
    <col min="9984" max="9984" width="6.42578125" style="313" customWidth="1"/>
    <col min="9985" max="9985" width="29.28515625" style="313" customWidth="1"/>
    <col min="9986" max="9986" width="18.85546875" style="313" customWidth="1"/>
    <col min="9987" max="10228" width="9.140625" style="313"/>
    <col min="10229" max="10229" width="11.7109375" style="313" customWidth="1"/>
    <col min="10230" max="10230" width="16.7109375" style="313" customWidth="1"/>
    <col min="10231" max="10231" width="14.42578125" style="313" customWidth="1"/>
    <col min="10232" max="10232" width="13.140625" style="313" customWidth="1"/>
    <col min="10233" max="10233" width="13.28515625" style="313" customWidth="1"/>
    <col min="10234" max="10234" width="11.85546875" style="313" customWidth="1"/>
    <col min="10235" max="10235" width="16" style="313" customWidth="1"/>
    <col min="10236" max="10236" width="12" style="313" customWidth="1"/>
    <col min="10237" max="10237" width="11.5703125" style="313" customWidth="1"/>
    <col min="10238" max="10238" width="11.7109375" style="313" customWidth="1"/>
    <col min="10239" max="10239" width="17.5703125" style="313" customWidth="1"/>
    <col min="10240" max="10240" width="6.42578125" style="313" customWidth="1"/>
    <col min="10241" max="10241" width="29.28515625" style="313" customWidth="1"/>
    <col min="10242" max="10242" width="18.85546875" style="313" customWidth="1"/>
    <col min="10243" max="10484" width="9.140625" style="313"/>
    <col min="10485" max="10485" width="11.7109375" style="313" customWidth="1"/>
    <col min="10486" max="10486" width="16.7109375" style="313" customWidth="1"/>
    <col min="10487" max="10487" width="14.42578125" style="313" customWidth="1"/>
    <col min="10488" max="10488" width="13.140625" style="313" customWidth="1"/>
    <col min="10489" max="10489" width="13.28515625" style="313" customWidth="1"/>
    <col min="10490" max="10490" width="11.85546875" style="313" customWidth="1"/>
    <col min="10491" max="10491" width="16" style="313" customWidth="1"/>
    <col min="10492" max="10492" width="12" style="313" customWidth="1"/>
    <col min="10493" max="10493" width="11.5703125" style="313" customWidth="1"/>
    <col min="10494" max="10494" width="11.7109375" style="313" customWidth="1"/>
    <col min="10495" max="10495" width="17.5703125" style="313" customWidth="1"/>
    <col min="10496" max="10496" width="6.42578125" style="313" customWidth="1"/>
    <col min="10497" max="10497" width="29.28515625" style="313" customWidth="1"/>
    <col min="10498" max="10498" width="18.85546875" style="313" customWidth="1"/>
    <col min="10499" max="10740" width="9.140625" style="313"/>
    <col min="10741" max="10741" width="11.7109375" style="313" customWidth="1"/>
    <col min="10742" max="10742" width="16.7109375" style="313" customWidth="1"/>
    <col min="10743" max="10743" width="14.42578125" style="313" customWidth="1"/>
    <col min="10744" max="10744" width="13.140625" style="313" customWidth="1"/>
    <col min="10745" max="10745" width="13.28515625" style="313" customWidth="1"/>
    <col min="10746" max="10746" width="11.85546875" style="313" customWidth="1"/>
    <col min="10747" max="10747" width="16" style="313" customWidth="1"/>
    <col min="10748" max="10748" width="12" style="313" customWidth="1"/>
    <col min="10749" max="10749" width="11.5703125" style="313" customWidth="1"/>
    <col min="10750" max="10750" width="11.7109375" style="313" customWidth="1"/>
    <col min="10751" max="10751" width="17.5703125" style="313" customWidth="1"/>
    <col min="10752" max="10752" width="6.42578125" style="313" customWidth="1"/>
    <col min="10753" max="10753" width="29.28515625" style="313" customWidth="1"/>
    <col min="10754" max="10754" width="18.85546875" style="313" customWidth="1"/>
    <col min="10755" max="10996" width="9.140625" style="313"/>
    <col min="10997" max="10997" width="11.7109375" style="313" customWidth="1"/>
    <col min="10998" max="10998" width="16.7109375" style="313" customWidth="1"/>
    <col min="10999" max="10999" width="14.42578125" style="313" customWidth="1"/>
    <col min="11000" max="11000" width="13.140625" style="313" customWidth="1"/>
    <col min="11001" max="11001" width="13.28515625" style="313" customWidth="1"/>
    <col min="11002" max="11002" width="11.85546875" style="313" customWidth="1"/>
    <col min="11003" max="11003" width="16" style="313" customWidth="1"/>
    <col min="11004" max="11004" width="12" style="313" customWidth="1"/>
    <col min="11005" max="11005" width="11.5703125" style="313" customWidth="1"/>
    <col min="11006" max="11006" width="11.7109375" style="313" customWidth="1"/>
    <col min="11007" max="11007" width="17.5703125" style="313" customWidth="1"/>
    <col min="11008" max="11008" width="6.42578125" style="313" customWidth="1"/>
    <col min="11009" max="11009" width="29.28515625" style="313" customWidth="1"/>
    <col min="11010" max="11010" width="18.85546875" style="313" customWidth="1"/>
    <col min="11011" max="11252" width="9.140625" style="313"/>
    <col min="11253" max="11253" width="11.7109375" style="313" customWidth="1"/>
    <col min="11254" max="11254" width="16.7109375" style="313" customWidth="1"/>
    <col min="11255" max="11255" width="14.42578125" style="313" customWidth="1"/>
    <col min="11256" max="11256" width="13.140625" style="313" customWidth="1"/>
    <col min="11257" max="11257" width="13.28515625" style="313" customWidth="1"/>
    <col min="11258" max="11258" width="11.85546875" style="313" customWidth="1"/>
    <col min="11259" max="11259" width="16" style="313" customWidth="1"/>
    <col min="11260" max="11260" width="12" style="313" customWidth="1"/>
    <col min="11261" max="11261" width="11.5703125" style="313" customWidth="1"/>
    <col min="11262" max="11262" width="11.7109375" style="313" customWidth="1"/>
    <col min="11263" max="11263" width="17.5703125" style="313" customWidth="1"/>
    <col min="11264" max="11264" width="6.42578125" style="313" customWidth="1"/>
    <col min="11265" max="11265" width="29.28515625" style="313" customWidth="1"/>
    <col min="11266" max="11266" width="18.85546875" style="313" customWidth="1"/>
    <col min="11267" max="11508" width="9.140625" style="313"/>
    <col min="11509" max="11509" width="11.7109375" style="313" customWidth="1"/>
    <col min="11510" max="11510" width="16.7109375" style="313" customWidth="1"/>
    <col min="11511" max="11511" width="14.42578125" style="313" customWidth="1"/>
    <col min="11512" max="11512" width="13.140625" style="313" customWidth="1"/>
    <col min="11513" max="11513" width="13.28515625" style="313" customWidth="1"/>
    <col min="11514" max="11514" width="11.85546875" style="313" customWidth="1"/>
    <col min="11515" max="11515" width="16" style="313" customWidth="1"/>
    <col min="11516" max="11516" width="12" style="313" customWidth="1"/>
    <col min="11517" max="11517" width="11.5703125" style="313" customWidth="1"/>
    <col min="11518" max="11518" width="11.7109375" style="313" customWidth="1"/>
    <col min="11519" max="11519" width="17.5703125" style="313" customWidth="1"/>
    <col min="11520" max="11520" width="6.42578125" style="313" customWidth="1"/>
    <col min="11521" max="11521" width="29.28515625" style="313" customWidth="1"/>
    <col min="11522" max="11522" width="18.85546875" style="313" customWidth="1"/>
    <col min="11523" max="11764" width="9.140625" style="313"/>
    <col min="11765" max="11765" width="11.7109375" style="313" customWidth="1"/>
    <col min="11766" max="11766" width="16.7109375" style="313" customWidth="1"/>
    <col min="11767" max="11767" width="14.42578125" style="313" customWidth="1"/>
    <col min="11768" max="11768" width="13.140625" style="313" customWidth="1"/>
    <col min="11769" max="11769" width="13.28515625" style="313" customWidth="1"/>
    <col min="11770" max="11770" width="11.85546875" style="313" customWidth="1"/>
    <col min="11771" max="11771" width="16" style="313" customWidth="1"/>
    <col min="11772" max="11772" width="12" style="313" customWidth="1"/>
    <col min="11773" max="11773" width="11.5703125" style="313" customWidth="1"/>
    <col min="11774" max="11774" width="11.7109375" style="313" customWidth="1"/>
    <col min="11775" max="11775" width="17.5703125" style="313" customWidth="1"/>
    <col min="11776" max="11776" width="6.42578125" style="313" customWidth="1"/>
    <col min="11777" max="11777" width="29.28515625" style="313" customWidth="1"/>
    <col min="11778" max="11778" width="18.85546875" style="313" customWidth="1"/>
    <col min="11779" max="12020" width="9.140625" style="313"/>
    <col min="12021" max="12021" width="11.7109375" style="313" customWidth="1"/>
    <col min="12022" max="12022" width="16.7109375" style="313" customWidth="1"/>
    <col min="12023" max="12023" width="14.42578125" style="313" customWidth="1"/>
    <col min="12024" max="12024" width="13.140625" style="313" customWidth="1"/>
    <col min="12025" max="12025" width="13.28515625" style="313" customWidth="1"/>
    <col min="12026" max="12026" width="11.85546875" style="313" customWidth="1"/>
    <col min="12027" max="12027" width="16" style="313" customWidth="1"/>
    <col min="12028" max="12028" width="12" style="313" customWidth="1"/>
    <col min="12029" max="12029" width="11.5703125" style="313" customWidth="1"/>
    <col min="12030" max="12030" width="11.7109375" style="313" customWidth="1"/>
    <col min="12031" max="12031" width="17.5703125" style="313" customWidth="1"/>
    <col min="12032" max="12032" width="6.42578125" style="313" customWidth="1"/>
    <col min="12033" max="12033" width="29.28515625" style="313" customWidth="1"/>
    <col min="12034" max="12034" width="18.85546875" style="313" customWidth="1"/>
    <col min="12035" max="12276" width="9.140625" style="313"/>
    <col min="12277" max="12277" width="11.7109375" style="313" customWidth="1"/>
    <col min="12278" max="12278" width="16.7109375" style="313" customWidth="1"/>
    <col min="12279" max="12279" width="14.42578125" style="313" customWidth="1"/>
    <col min="12280" max="12280" width="13.140625" style="313" customWidth="1"/>
    <col min="12281" max="12281" width="13.28515625" style="313" customWidth="1"/>
    <col min="12282" max="12282" width="11.85546875" style="313" customWidth="1"/>
    <col min="12283" max="12283" width="16" style="313" customWidth="1"/>
    <col min="12284" max="12284" width="12" style="313" customWidth="1"/>
    <col min="12285" max="12285" width="11.5703125" style="313" customWidth="1"/>
    <col min="12286" max="12286" width="11.7109375" style="313" customWidth="1"/>
    <col min="12287" max="12287" width="17.5703125" style="313" customWidth="1"/>
    <col min="12288" max="12288" width="6.42578125" style="313" customWidth="1"/>
    <col min="12289" max="12289" width="29.28515625" style="313" customWidth="1"/>
    <col min="12290" max="12290" width="18.85546875" style="313" customWidth="1"/>
    <col min="12291" max="12532" width="9.140625" style="313"/>
    <col min="12533" max="12533" width="11.7109375" style="313" customWidth="1"/>
    <col min="12534" max="12534" width="16.7109375" style="313" customWidth="1"/>
    <col min="12535" max="12535" width="14.42578125" style="313" customWidth="1"/>
    <col min="12536" max="12536" width="13.140625" style="313" customWidth="1"/>
    <col min="12537" max="12537" width="13.28515625" style="313" customWidth="1"/>
    <col min="12538" max="12538" width="11.85546875" style="313" customWidth="1"/>
    <col min="12539" max="12539" width="16" style="313" customWidth="1"/>
    <col min="12540" max="12540" width="12" style="313" customWidth="1"/>
    <col min="12541" max="12541" width="11.5703125" style="313" customWidth="1"/>
    <col min="12542" max="12542" width="11.7109375" style="313" customWidth="1"/>
    <col min="12543" max="12543" width="17.5703125" style="313" customWidth="1"/>
    <col min="12544" max="12544" width="6.42578125" style="313" customWidth="1"/>
    <col min="12545" max="12545" width="29.28515625" style="313" customWidth="1"/>
    <col min="12546" max="12546" width="18.85546875" style="313" customWidth="1"/>
    <col min="12547" max="12788" width="9.140625" style="313"/>
    <col min="12789" max="12789" width="11.7109375" style="313" customWidth="1"/>
    <col min="12790" max="12790" width="16.7109375" style="313" customWidth="1"/>
    <col min="12791" max="12791" width="14.42578125" style="313" customWidth="1"/>
    <col min="12792" max="12792" width="13.140625" style="313" customWidth="1"/>
    <col min="12793" max="12793" width="13.28515625" style="313" customWidth="1"/>
    <col min="12794" max="12794" width="11.85546875" style="313" customWidth="1"/>
    <col min="12795" max="12795" width="16" style="313" customWidth="1"/>
    <col min="12796" max="12796" width="12" style="313" customWidth="1"/>
    <col min="12797" max="12797" width="11.5703125" style="313" customWidth="1"/>
    <col min="12798" max="12798" width="11.7109375" style="313" customWidth="1"/>
    <col min="12799" max="12799" width="17.5703125" style="313" customWidth="1"/>
    <col min="12800" max="12800" width="6.42578125" style="313" customWidth="1"/>
    <col min="12801" max="12801" width="29.28515625" style="313" customWidth="1"/>
    <col min="12802" max="12802" width="18.85546875" style="313" customWidth="1"/>
    <col min="12803" max="13044" width="9.140625" style="313"/>
    <col min="13045" max="13045" width="11.7109375" style="313" customWidth="1"/>
    <col min="13046" max="13046" width="16.7109375" style="313" customWidth="1"/>
    <col min="13047" max="13047" width="14.42578125" style="313" customWidth="1"/>
    <col min="13048" max="13048" width="13.140625" style="313" customWidth="1"/>
    <col min="13049" max="13049" width="13.28515625" style="313" customWidth="1"/>
    <col min="13050" max="13050" width="11.85546875" style="313" customWidth="1"/>
    <col min="13051" max="13051" width="16" style="313" customWidth="1"/>
    <col min="13052" max="13052" width="12" style="313" customWidth="1"/>
    <col min="13053" max="13053" width="11.5703125" style="313" customWidth="1"/>
    <col min="13054" max="13054" width="11.7109375" style="313" customWidth="1"/>
    <col min="13055" max="13055" width="17.5703125" style="313" customWidth="1"/>
    <col min="13056" max="13056" width="6.42578125" style="313" customWidth="1"/>
    <col min="13057" max="13057" width="29.28515625" style="313" customWidth="1"/>
    <col min="13058" max="13058" width="18.85546875" style="313" customWidth="1"/>
    <col min="13059" max="13300" width="9.140625" style="313"/>
    <col min="13301" max="13301" width="11.7109375" style="313" customWidth="1"/>
    <col min="13302" max="13302" width="16.7109375" style="313" customWidth="1"/>
    <col min="13303" max="13303" width="14.42578125" style="313" customWidth="1"/>
    <col min="13304" max="13304" width="13.140625" style="313" customWidth="1"/>
    <col min="13305" max="13305" width="13.28515625" style="313" customWidth="1"/>
    <col min="13306" max="13306" width="11.85546875" style="313" customWidth="1"/>
    <col min="13307" max="13307" width="16" style="313" customWidth="1"/>
    <col min="13308" max="13308" width="12" style="313" customWidth="1"/>
    <col min="13309" max="13309" width="11.5703125" style="313" customWidth="1"/>
    <col min="13310" max="13310" width="11.7109375" style="313" customWidth="1"/>
    <col min="13311" max="13311" width="17.5703125" style="313" customWidth="1"/>
    <col min="13312" max="13312" width="6.42578125" style="313" customWidth="1"/>
    <col min="13313" max="13313" width="29.28515625" style="313" customWidth="1"/>
    <col min="13314" max="13314" width="18.85546875" style="313" customWidth="1"/>
    <col min="13315" max="13556" width="9.140625" style="313"/>
    <col min="13557" max="13557" width="11.7109375" style="313" customWidth="1"/>
    <col min="13558" max="13558" width="16.7109375" style="313" customWidth="1"/>
    <col min="13559" max="13559" width="14.42578125" style="313" customWidth="1"/>
    <col min="13560" max="13560" width="13.140625" style="313" customWidth="1"/>
    <col min="13561" max="13561" width="13.28515625" style="313" customWidth="1"/>
    <col min="13562" max="13562" width="11.85546875" style="313" customWidth="1"/>
    <col min="13563" max="13563" width="16" style="313" customWidth="1"/>
    <col min="13564" max="13564" width="12" style="313" customWidth="1"/>
    <col min="13565" max="13565" width="11.5703125" style="313" customWidth="1"/>
    <col min="13566" max="13566" width="11.7109375" style="313" customWidth="1"/>
    <col min="13567" max="13567" width="17.5703125" style="313" customWidth="1"/>
    <col min="13568" max="13568" width="6.42578125" style="313" customWidth="1"/>
    <col min="13569" max="13569" width="29.28515625" style="313" customWidth="1"/>
    <col min="13570" max="13570" width="18.85546875" style="313" customWidth="1"/>
    <col min="13571" max="13812" width="9.140625" style="313"/>
    <col min="13813" max="13813" width="11.7109375" style="313" customWidth="1"/>
    <col min="13814" max="13814" width="16.7109375" style="313" customWidth="1"/>
    <col min="13815" max="13815" width="14.42578125" style="313" customWidth="1"/>
    <col min="13816" max="13816" width="13.140625" style="313" customWidth="1"/>
    <col min="13817" max="13817" width="13.28515625" style="313" customWidth="1"/>
    <col min="13818" max="13818" width="11.85546875" style="313" customWidth="1"/>
    <col min="13819" max="13819" width="16" style="313" customWidth="1"/>
    <col min="13820" max="13820" width="12" style="313" customWidth="1"/>
    <col min="13821" max="13821" width="11.5703125" style="313" customWidth="1"/>
    <col min="13822" max="13822" width="11.7109375" style="313" customWidth="1"/>
    <col min="13823" max="13823" width="17.5703125" style="313" customWidth="1"/>
    <col min="13824" max="13824" width="6.42578125" style="313" customWidth="1"/>
    <col min="13825" max="13825" width="29.28515625" style="313" customWidth="1"/>
    <col min="13826" max="13826" width="18.85546875" style="313" customWidth="1"/>
    <col min="13827" max="14068" width="9.140625" style="313"/>
    <col min="14069" max="14069" width="11.7109375" style="313" customWidth="1"/>
    <col min="14070" max="14070" width="16.7109375" style="313" customWidth="1"/>
    <col min="14071" max="14071" width="14.42578125" style="313" customWidth="1"/>
    <col min="14072" max="14072" width="13.140625" style="313" customWidth="1"/>
    <col min="14073" max="14073" width="13.28515625" style="313" customWidth="1"/>
    <col min="14074" max="14074" width="11.85546875" style="313" customWidth="1"/>
    <col min="14075" max="14075" width="16" style="313" customWidth="1"/>
    <col min="14076" max="14076" width="12" style="313" customWidth="1"/>
    <col min="14077" max="14077" width="11.5703125" style="313" customWidth="1"/>
    <col min="14078" max="14078" width="11.7109375" style="313" customWidth="1"/>
    <col min="14079" max="14079" width="17.5703125" style="313" customWidth="1"/>
    <col min="14080" max="14080" width="6.42578125" style="313" customWidth="1"/>
    <col min="14081" max="14081" width="29.28515625" style="313" customWidth="1"/>
    <col min="14082" max="14082" width="18.85546875" style="313" customWidth="1"/>
    <col min="14083" max="14324" width="9.140625" style="313"/>
    <col min="14325" max="14325" width="11.7109375" style="313" customWidth="1"/>
    <col min="14326" max="14326" width="16.7109375" style="313" customWidth="1"/>
    <col min="14327" max="14327" width="14.42578125" style="313" customWidth="1"/>
    <col min="14328" max="14328" width="13.140625" style="313" customWidth="1"/>
    <col min="14329" max="14329" width="13.28515625" style="313" customWidth="1"/>
    <col min="14330" max="14330" width="11.85546875" style="313" customWidth="1"/>
    <col min="14331" max="14331" width="16" style="313" customWidth="1"/>
    <col min="14332" max="14332" width="12" style="313" customWidth="1"/>
    <col min="14333" max="14333" width="11.5703125" style="313" customWidth="1"/>
    <col min="14334" max="14334" width="11.7109375" style="313" customWidth="1"/>
    <col min="14335" max="14335" width="17.5703125" style="313" customWidth="1"/>
    <col min="14336" max="14336" width="6.42578125" style="313" customWidth="1"/>
    <col min="14337" max="14337" width="29.28515625" style="313" customWidth="1"/>
    <col min="14338" max="14338" width="18.85546875" style="313" customWidth="1"/>
    <col min="14339" max="14580" width="9.140625" style="313"/>
    <col min="14581" max="14581" width="11.7109375" style="313" customWidth="1"/>
    <col min="14582" max="14582" width="16.7109375" style="313" customWidth="1"/>
    <col min="14583" max="14583" width="14.42578125" style="313" customWidth="1"/>
    <col min="14584" max="14584" width="13.140625" style="313" customWidth="1"/>
    <col min="14585" max="14585" width="13.28515625" style="313" customWidth="1"/>
    <col min="14586" max="14586" width="11.85546875" style="313" customWidth="1"/>
    <col min="14587" max="14587" width="16" style="313" customWidth="1"/>
    <col min="14588" max="14588" width="12" style="313" customWidth="1"/>
    <col min="14589" max="14589" width="11.5703125" style="313" customWidth="1"/>
    <col min="14590" max="14590" width="11.7109375" style="313" customWidth="1"/>
    <col min="14591" max="14591" width="17.5703125" style="313" customWidth="1"/>
    <col min="14592" max="14592" width="6.42578125" style="313" customWidth="1"/>
    <col min="14593" max="14593" width="29.28515625" style="313" customWidth="1"/>
    <col min="14594" max="14594" width="18.85546875" style="313" customWidth="1"/>
    <col min="14595" max="14836" width="9.140625" style="313"/>
    <col min="14837" max="14837" width="11.7109375" style="313" customWidth="1"/>
    <col min="14838" max="14838" width="16.7109375" style="313" customWidth="1"/>
    <col min="14839" max="14839" width="14.42578125" style="313" customWidth="1"/>
    <col min="14840" max="14840" width="13.140625" style="313" customWidth="1"/>
    <col min="14841" max="14841" width="13.28515625" style="313" customWidth="1"/>
    <col min="14842" max="14842" width="11.85546875" style="313" customWidth="1"/>
    <col min="14843" max="14843" width="16" style="313" customWidth="1"/>
    <col min="14844" max="14844" width="12" style="313" customWidth="1"/>
    <col min="14845" max="14845" width="11.5703125" style="313" customWidth="1"/>
    <col min="14846" max="14846" width="11.7109375" style="313" customWidth="1"/>
    <col min="14847" max="14847" width="17.5703125" style="313" customWidth="1"/>
    <col min="14848" max="14848" width="6.42578125" style="313" customWidth="1"/>
    <col min="14849" max="14849" width="29.28515625" style="313" customWidth="1"/>
    <col min="14850" max="14850" width="18.85546875" style="313" customWidth="1"/>
    <col min="14851" max="15092" width="9.140625" style="313"/>
    <col min="15093" max="15093" width="11.7109375" style="313" customWidth="1"/>
    <col min="15094" max="15094" width="16.7109375" style="313" customWidth="1"/>
    <col min="15095" max="15095" width="14.42578125" style="313" customWidth="1"/>
    <col min="15096" max="15096" width="13.140625" style="313" customWidth="1"/>
    <col min="15097" max="15097" width="13.28515625" style="313" customWidth="1"/>
    <col min="15098" max="15098" width="11.85546875" style="313" customWidth="1"/>
    <col min="15099" max="15099" width="16" style="313" customWidth="1"/>
    <col min="15100" max="15100" width="12" style="313" customWidth="1"/>
    <col min="15101" max="15101" width="11.5703125" style="313" customWidth="1"/>
    <col min="15102" max="15102" width="11.7109375" style="313" customWidth="1"/>
    <col min="15103" max="15103" width="17.5703125" style="313" customWidth="1"/>
    <col min="15104" max="15104" width="6.42578125" style="313" customWidth="1"/>
    <col min="15105" max="15105" width="29.28515625" style="313" customWidth="1"/>
    <col min="15106" max="15106" width="18.85546875" style="313" customWidth="1"/>
    <col min="15107" max="15348" width="9.140625" style="313"/>
    <col min="15349" max="15349" width="11.7109375" style="313" customWidth="1"/>
    <col min="15350" max="15350" width="16.7109375" style="313" customWidth="1"/>
    <col min="15351" max="15351" width="14.42578125" style="313" customWidth="1"/>
    <col min="15352" max="15352" width="13.140625" style="313" customWidth="1"/>
    <col min="15353" max="15353" width="13.28515625" style="313" customWidth="1"/>
    <col min="15354" max="15354" width="11.85546875" style="313" customWidth="1"/>
    <col min="15355" max="15355" width="16" style="313" customWidth="1"/>
    <col min="15356" max="15356" width="12" style="313" customWidth="1"/>
    <col min="15357" max="15357" width="11.5703125" style="313" customWidth="1"/>
    <col min="15358" max="15358" width="11.7109375" style="313" customWidth="1"/>
    <col min="15359" max="15359" width="17.5703125" style="313" customWidth="1"/>
    <col min="15360" max="15360" width="6.42578125" style="313" customWidth="1"/>
    <col min="15361" max="15361" width="29.28515625" style="313" customWidth="1"/>
    <col min="15362" max="15362" width="18.85546875" style="313" customWidth="1"/>
    <col min="15363" max="15604" width="9.140625" style="313"/>
    <col min="15605" max="15605" width="11.7109375" style="313" customWidth="1"/>
    <col min="15606" max="15606" width="16.7109375" style="313" customWidth="1"/>
    <col min="15607" max="15607" width="14.42578125" style="313" customWidth="1"/>
    <col min="15608" max="15608" width="13.140625" style="313" customWidth="1"/>
    <col min="15609" max="15609" width="13.28515625" style="313" customWidth="1"/>
    <col min="15610" max="15610" width="11.85546875" style="313" customWidth="1"/>
    <col min="15611" max="15611" width="16" style="313" customWidth="1"/>
    <col min="15612" max="15612" width="12" style="313" customWidth="1"/>
    <col min="15613" max="15613" width="11.5703125" style="313" customWidth="1"/>
    <col min="15614" max="15614" width="11.7109375" style="313" customWidth="1"/>
    <col min="15615" max="15615" width="17.5703125" style="313" customWidth="1"/>
    <col min="15616" max="15616" width="6.42578125" style="313" customWidth="1"/>
    <col min="15617" max="15617" width="29.28515625" style="313" customWidth="1"/>
    <col min="15618" max="15618" width="18.85546875" style="313" customWidth="1"/>
    <col min="15619" max="15860" width="9.140625" style="313"/>
    <col min="15861" max="15861" width="11.7109375" style="313" customWidth="1"/>
    <col min="15862" max="15862" width="16.7109375" style="313" customWidth="1"/>
    <col min="15863" max="15863" width="14.42578125" style="313" customWidth="1"/>
    <col min="15864" max="15864" width="13.140625" style="313" customWidth="1"/>
    <col min="15865" max="15865" width="13.28515625" style="313" customWidth="1"/>
    <col min="15866" max="15866" width="11.85546875" style="313" customWidth="1"/>
    <col min="15867" max="15867" width="16" style="313" customWidth="1"/>
    <col min="15868" max="15868" width="12" style="313" customWidth="1"/>
    <col min="15869" max="15869" width="11.5703125" style="313" customWidth="1"/>
    <col min="15870" max="15870" width="11.7109375" style="313" customWidth="1"/>
    <col min="15871" max="15871" width="17.5703125" style="313" customWidth="1"/>
    <col min="15872" max="15872" width="6.42578125" style="313" customWidth="1"/>
    <col min="15873" max="15873" width="29.28515625" style="313" customWidth="1"/>
    <col min="15874" max="15874" width="18.85546875" style="313" customWidth="1"/>
    <col min="15875" max="16116" width="9.140625" style="313"/>
    <col min="16117" max="16117" width="11.7109375" style="313" customWidth="1"/>
    <col min="16118" max="16118" width="16.7109375" style="313" customWidth="1"/>
    <col min="16119" max="16119" width="14.42578125" style="313" customWidth="1"/>
    <col min="16120" max="16120" width="13.140625" style="313" customWidth="1"/>
    <col min="16121" max="16121" width="13.28515625" style="313" customWidth="1"/>
    <col min="16122" max="16122" width="11.85546875" style="313" customWidth="1"/>
    <col min="16123" max="16123" width="16" style="313" customWidth="1"/>
    <col min="16124" max="16124" width="12" style="313" customWidth="1"/>
    <col min="16125" max="16125" width="11.5703125" style="313" customWidth="1"/>
    <col min="16126" max="16126" width="11.7109375" style="313" customWidth="1"/>
    <col min="16127" max="16127" width="17.5703125" style="313" customWidth="1"/>
    <col min="16128" max="16128" width="6.42578125" style="313" customWidth="1"/>
    <col min="16129" max="16129" width="29.28515625" style="313" customWidth="1"/>
    <col min="16130" max="16130" width="18.85546875" style="313" customWidth="1"/>
    <col min="16131" max="16384" width="9.140625" style="313"/>
  </cols>
  <sheetData>
    <row r="1" spans="1:15" x14ac:dyDescent="0.2">
      <c r="H1" s="314" t="s">
        <v>530</v>
      </c>
    </row>
    <row r="2" spans="1:15" ht="33.75" customHeight="1" x14ac:dyDescent="0.2">
      <c r="B2" s="643" t="s">
        <v>952</v>
      </c>
      <c r="C2" s="643"/>
      <c r="D2" s="643"/>
      <c r="E2" s="643"/>
      <c r="F2" s="643"/>
      <c r="G2" s="643"/>
      <c r="H2" s="643"/>
      <c r="L2" s="315"/>
    </row>
    <row r="3" spans="1:15" s="319" customFormat="1" ht="45" customHeight="1" x14ac:dyDescent="0.25">
      <c r="A3" s="316"/>
      <c r="B3" s="641" t="s">
        <v>588</v>
      </c>
      <c r="C3" s="449" t="s">
        <v>185</v>
      </c>
      <c r="D3" s="450" t="s">
        <v>186</v>
      </c>
      <c r="E3" s="639" t="s">
        <v>994</v>
      </c>
      <c r="F3" s="450" t="s">
        <v>996</v>
      </c>
      <c r="G3" s="644" t="s">
        <v>187</v>
      </c>
      <c r="H3" s="450" t="s">
        <v>188</v>
      </c>
      <c r="I3" s="318"/>
      <c r="J3" s="318"/>
      <c r="K3" s="318"/>
      <c r="L3" s="318"/>
    </row>
    <row r="4" spans="1:15" s="321" customFormat="1" ht="27.75" customHeight="1" x14ac:dyDescent="0.25">
      <c r="A4" s="320"/>
      <c r="B4" s="642"/>
      <c r="C4" s="451" t="s">
        <v>189</v>
      </c>
      <c r="D4" s="452" t="s">
        <v>190</v>
      </c>
      <c r="E4" s="640"/>
      <c r="F4" s="452" t="s">
        <v>190</v>
      </c>
      <c r="G4" s="645"/>
      <c r="H4" s="453" t="s">
        <v>953</v>
      </c>
      <c r="I4" s="317"/>
      <c r="J4" s="317"/>
      <c r="K4" s="317"/>
      <c r="L4" s="317"/>
    </row>
    <row r="5" spans="1:15" ht="13.5" customHeight="1" x14ac:dyDescent="0.2">
      <c r="A5" s="638"/>
      <c r="B5" s="619" t="s">
        <v>191</v>
      </c>
      <c r="C5" s="322" t="s">
        <v>192</v>
      </c>
      <c r="D5" s="616">
        <v>841930.56</v>
      </c>
      <c r="E5" s="622">
        <v>37391</v>
      </c>
      <c r="F5" s="616">
        <v>506199.87</v>
      </c>
      <c r="G5" s="629">
        <v>2032</v>
      </c>
      <c r="H5" s="634">
        <f>D5-F5</f>
        <v>335730.69000000006</v>
      </c>
      <c r="K5" s="314"/>
      <c r="M5" s="313"/>
      <c r="N5" s="313"/>
      <c r="O5" s="313"/>
    </row>
    <row r="6" spans="1:15" ht="14.25" customHeight="1" x14ac:dyDescent="0.2">
      <c r="A6" s="638"/>
      <c r="B6" s="620"/>
      <c r="C6" s="324">
        <v>37313</v>
      </c>
      <c r="D6" s="617"/>
      <c r="E6" s="623"/>
      <c r="F6" s="617"/>
      <c r="G6" s="633"/>
      <c r="H6" s="635"/>
      <c r="K6" s="314"/>
      <c r="M6" s="313"/>
      <c r="N6" s="313"/>
      <c r="O6" s="313"/>
    </row>
    <row r="7" spans="1:15" ht="14.25" customHeight="1" x14ac:dyDescent="0.2">
      <c r="A7" s="638"/>
      <c r="B7" s="621"/>
      <c r="C7" s="325"/>
      <c r="D7" s="618"/>
      <c r="E7" s="624"/>
      <c r="F7" s="618"/>
      <c r="G7" s="630"/>
      <c r="H7" s="636"/>
      <c r="K7" s="314"/>
      <c r="M7" s="313"/>
      <c r="N7" s="313"/>
      <c r="O7" s="313"/>
    </row>
    <row r="8" spans="1:15" ht="12.75" customHeight="1" x14ac:dyDescent="0.2">
      <c r="A8" s="638"/>
      <c r="B8" s="619" t="s">
        <v>490</v>
      </c>
      <c r="C8" s="326" t="s">
        <v>193</v>
      </c>
      <c r="D8" s="616">
        <v>1529840</v>
      </c>
      <c r="E8" s="629" t="s">
        <v>194</v>
      </c>
      <c r="F8" s="616">
        <v>296689.24</v>
      </c>
      <c r="G8" s="629" t="s">
        <v>195</v>
      </c>
      <c r="H8" s="634">
        <f>D8-F8</f>
        <v>1233150.76</v>
      </c>
      <c r="K8" s="314"/>
      <c r="M8" s="313"/>
      <c r="N8" s="313"/>
      <c r="O8" s="313"/>
    </row>
    <row r="9" spans="1:15" ht="14.25" customHeight="1" x14ac:dyDescent="0.2">
      <c r="A9" s="638"/>
      <c r="B9" s="620"/>
      <c r="C9" s="324">
        <v>43012</v>
      </c>
      <c r="D9" s="617"/>
      <c r="E9" s="633"/>
      <c r="F9" s="617"/>
      <c r="G9" s="633"/>
      <c r="H9" s="635"/>
      <c r="K9" s="314"/>
      <c r="M9" s="313"/>
      <c r="N9" s="313"/>
      <c r="O9" s="313"/>
    </row>
    <row r="10" spans="1:15" ht="14.25" customHeight="1" x14ac:dyDescent="0.2">
      <c r="A10" s="638"/>
      <c r="B10" s="621"/>
      <c r="C10" s="327"/>
      <c r="D10" s="618"/>
      <c r="E10" s="630"/>
      <c r="F10" s="618"/>
      <c r="G10" s="630"/>
      <c r="H10" s="636"/>
      <c r="K10" s="314"/>
      <c r="M10" s="313"/>
      <c r="N10" s="313"/>
      <c r="O10" s="313"/>
    </row>
    <row r="11" spans="1:15" ht="12.75" customHeight="1" x14ac:dyDescent="0.2">
      <c r="A11" s="638"/>
      <c r="B11" s="619" t="s">
        <v>491</v>
      </c>
      <c r="C11" s="322" t="s">
        <v>196</v>
      </c>
      <c r="D11" s="616">
        <v>770210</v>
      </c>
      <c r="E11" s="629" t="s">
        <v>1003</v>
      </c>
      <c r="F11" s="616">
        <v>137653.37</v>
      </c>
      <c r="G11" s="629" t="s">
        <v>415</v>
      </c>
      <c r="H11" s="634">
        <f>D11-F11</f>
        <v>632556.63</v>
      </c>
      <c r="K11" s="314"/>
      <c r="M11" s="313"/>
      <c r="N11" s="313"/>
      <c r="O11" s="313"/>
    </row>
    <row r="12" spans="1:15" ht="15" customHeight="1" x14ac:dyDescent="0.2">
      <c r="A12" s="638"/>
      <c r="B12" s="620"/>
      <c r="C12" s="324">
        <v>43249</v>
      </c>
      <c r="D12" s="617"/>
      <c r="E12" s="633"/>
      <c r="F12" s="617"/>
      <c r="G12" s="633"/>
      <c r="H12" s="635"/>
      <c r="K12" s="314"/>
      <c r="M12" s="313"/>
      <c r="N12" s="313"/>
      <c r="O12" s="313"/>
    </row>
    <row r="13" spans="1:15" ht="14.25" customHeight="1" x14ac:dyDescent="0.2">
      <c r="A13" s="638"/>
      <c r="B13" s="621"/>
      <c r="C13" s="325"/>
      <c r="D13" s="618"/>
      <c r="E13" s="630"/>
      <c r="F13" s="618"/>
      <c r="G13" s="630"/>
      <c r="H13" s="636"/>
      <c r="K13" s="314"/>
      <c r="M13" s="313"/>
      <c r="N13" s="313"/>
      <c r="O13" s="313"/>
    </row>
    <row r="14" spans="1:15" ht="14.25" customHeight="1" x14ac:dyDescent="0.2">
      <c r="A14" s="638"/>
      <c r="B14" s="619" t="s">
        <v>197</v>
      </c>
      <c r="C14" s="323" t="s">
        <v>198</v>
      </c>
      <c r="D14" s="616">
        <v>1000000</v>
      </c>
      <c r="E14" s="629" t="s">
        <v>199</v>
      </c>
      <c r="F14" s="616">
        <v>800064</v>
      </c>
      <c r="G14" s="622">
        <v>46387</v>
      </c>
      <c r="H14" s="613">
        <f>D14-F14</f>
        <v>199936</v>
      </c>
      <c r="K14" s="314"/>
      <c r="M14" s="313"/>
      <c r="N14" s="313"/>
      <c r="O14" s="313"/>
    </row>
    <row r="15" spans="1:15" ht="14.25" customHeight="1" x14ac:dyDescent="0.2">
      <c r="A15" s="638"/>
      <c r="B15" s="620"/>
      <c r="C15" s="324">
        <v>42655</v>
      </c>
      <c r="D15" s="617"/>
      <c r="E15" s="633"/>
      <c r="F15" s="617"/>
      <c r="G15" s="623"/>
      <c r="H15" s="614"/>
      <c r="K15" s="314"/>
      <c r="M15" s="313"/>
      <c r="N15" s="313"/>
      <c r="O15" s="313"/>
    </row>
    <row r="16" spans="1:15" ht="14.25" customHeight="1" x14ac:dyDescent="0.2">
      <c r="A16" s="638"/>
      <c r="B16" s="621"/>
      <c r="C16" s="325"/>
      <c r="D16" s="618"/>
      <c r="E16" s="630"/>
      <c r="F16" s="618"/>
      <c r="G16" s="624"/>
      <c r="H16" s="615"/>
      <c r="K16" s="314"/>
      <c r="M16" s="313"/>
      <c r="N16" s="313"/>
      <c r="O16" s="313"/>
    </row>
    <row r="17" spans="1:15" ht="14.25" customHeight="1" x14ac:dyDescent="0.2">
      <c r="A17" s="638"/>
      <c r="B17" s="619" t="s">
        <v>197</v>
      </c>
      <c r="C17" s="328" t="s">
        <v>200</v>
      </c>
      <c r="D17" s="616">
        <v>3210000</v>
      </c>
      <c r="E17" s="629" t="s">
        <v>201</v>
      </c>
      <c r="F17" s="616">
        <v>1926000</v>
      </c>
      <c r="G17" s="622">
        <v>47118</v>
      </c>
      <c r="H17" s="613">
        <f>D17-F17</f>
        <v>1284000</v>
      </c>
      <c r="K17" s="314"/>
      <c r="M17" s="313"/>
      <c r="N17" s="313"/>
      <c r="O17" s="313"/>
    </row>
    <row r="18" spans="1:15" ht="14.25" customHeight="1" x14ac:dyDescent="0.2">
      <c r="A18" s="638"/>
      <c r="B18" s="620"/>
      <c r="C18" s="324">
        <v>43299</v>
      </c>
      <c r="D18" s="617"/>
      <c r="E18" s="633"/>
      <c r="F18" s="617"/>
      <c r="G18" s="623"/>
      <c r="H18" s="614"/>
      <c r="K18" s="314"/>
      <c r="M18" s="313"/>
      <c r="N18" s="313"/>
      <c r="O18" s="313"/>
    </row>
    <row r="19" spans="1:15" ht="14.25" customHeight="1" x14ac:dyDescent="0.2">
      <c r="A19" s="638"/>
      <c r="B19" s="621"/>
      <c r="C19" s="327"/>
      <c r="D19" s="618"/>
      <c r="E19" s="630"/>
      <c r="F19" s="618"/>
      <c r="G19" s="624"/>
      <c r="H19" s="615"/>
      <c r="K19" s="314"/>
      <c r="M19" s="313"/>
      <c r="N19" s="313"/>
      <c r="O19" s="313"/>
    </row>
    <row r="20" spans="1:15" ht="15" customHeight="1" x14ac:dyDescent="0.2">
      <c r="A20" s="638"/>
      <c r="B20" s="619" t="s">
        <v>197</v>
      </c>
      <c r="C20" s="323" t="s">
        <v>410</v>
      </c>
      <c r="D20" s="616">
        <v>2050000</v>
      </c>
      <c r="E20" s="629" t="s">
        <v>411</v>
      </c>
      <c r="F20" s="616">
        <v>1025040</v>
      </c>
      <c r="G20" s="622">
        <v>47483</v>
      </c>
      <c r="H20" s="613">
        <f>D20-F20</f>
        <v>1024960</v>
      </c>
      <c r="K20" s="314"/>
      <c r="M20" s="313"/>
      <c r="N20" s="313"/>
      <c r="O20" s="313"/>
    </row>
    <row r="21" spans="1:15" ht="15" customHeight="1" x14ac:dyDescent="0.2">
      <c r="A21" s="638"/>
      <c r="B21" s="620"/>
      <c r="C21" s="324">
        <v>43753</v>
      </c>
      <c r="D21" s="617"/>
      <c r="E21" s="633"/>
      <c r="F21" s="617"/>
      <c r="G21" s="623"/>
      <c r="H21" s="614"/>
      <c r="K21" s="314"/>
      <c r="M21" s="313"/>
      <c r="N21" s="313"/>
      <c r="O21" s="313"/>
    </row>
    <row r="22" spans="1:15" ht="15.75" customHeight="1" x14ac:dyDescent="0.2">
      <c r="A22" s="638"/>
      <c r="B22" s="621"/>
      <c r="C22" s="325"/>
      <c r="D22" s="618"/>
      <c r="E22" s="630"/>
      <c r="F22" s="618"/>
      <c r="G22" s="624"/>
      <c r="H22" s="615"/>
      <c r="K22" s="314"/>
      <c r="M22" s="313"/>
      <c r="N22" s="313"/>
      <c r="O22" s="313"/>
    </row>
    <row r="23" spans="1:15" ht="15.75" customHeight="1" x14ac:dyDescent="0.2">
      <c r="A23" s="638"/>
      <c r="B23" s="619" t="s">
        <v>197</v>
      </c>
      <c r="C23" s="328" t="s">
        <v>421</v>
      </c>
      <c r="D23" s="616">
        <v>1600000</v>
      </c>
      <c r="E23" s="629" t="s">
        <v>422</v>
      </c>
      <c r="F23" s="616">
        <v>639984</v>
      </c>
      <c r="G23" s="622">
        <v>47848</v>
      </c>
      <c r="H23" s="613">
        <f>D23-F23</f>
        <v>960016</v>
      </c>
      <c r="K23" s="314"/>
      <c r="M23" s="313"/>
      <c r="N23" s="313"/>
      <c r="O23" s="313"/>
    </row>
    <row r="24" spans="1:15" ht="15.75" customHeight="1" x14ac:dyDescent="0.2">
      <c r="A24" s="638"/>
      <c r="B24" s="620"/>
      <c r="C24" s="324">
        <v>43980</v>
      </c>
      <c r="D24" s="617"/>
      <c r="E24" s="633"/>
      <c r="F24" s="617"/>
      <c r="G24" s="623"/>
      <c r="H24" s="614"/>
      <c r="K24" s="314"/>
      <c r="M24" s="313"/>
      <c r="N24" s="313"/>
      <c r="O24" s="313"/>
    </row>
    <row r="25" spans="1:15" ht="15.75" customHeight="1" x14ac:dyDescent="0.2">
      <c r="A25" s="638"/>
      <c r="B25" s="621"/>
      <c r="C25" s="327"/>
      <c r="D25" s="618"/>
      <c r="E25" s="630"/>
      <c r="F25" s="618"/>
      <c r="G25" s="624"/>
      <c r="H25" s="615"/>
      <c r="K25" s="314"/>
      <c r="M25" s="313"/>
      <c r="N25" s="313"/>
      <c r="O25" s="313"/>
    </row>
    <row r="26" spans="1:15" ht="13.5" customHeight="1" x14ac:dyDescent="0.2">
      <c r="A26" s="638"/>
      <c r="B26" s="619" t="s">
        <v>197</v>
      </c>
      <c r="C26" s="323" t="s">
        <v>589</v>
      </c>
      <c r="D26" s="616">
        <v>2700000</v>
      </c>
      <c r="E26" s="629" t="s">
        <v>995</v>
      </c>
      <c r="F26" s="616">
        <v>540000</v>
      </c>
      <c r="G26" s="622">
        <v>48579</v>
      </c>
      <c r="H26" s="613">
        <f>D26-F26</f>
        <v>2160000</v>
      </c>
      <c r="K26" s="314"/>
      <c r="M26" s="313"/>
      <c r="N26" s="313"/>
      <c r="O26" s="313"/>
    </row>
    <row r="27" spans="1:15" ht="14.25" customHeight="1" x14ac:dyDescent="0.2">
      <c r="A27" s="638"/>
      <c r="B27" s="620"/>
      <c r="C27" s="324">
        <v>44739</v>
      </c>
      <c r="D27" s="617"/>
      <c r="E27" s="633"/>
      <c r="F27" s="617"/>
      <c r="G27" s="623"/>
      <c r="H27" s="614"/>
      <c r="K27" s="314"/>
      <c r="M27" s="313"/>
      <c r="N27" s="313"/>
      <c r="O27" s="313"/>
    </row>
    <row r="28" spans="1:15" ht="14.25" customHeight="1" x14ac:dyDescent="0.2">
      <c r="A28" s="638"/>
      <c r="B28" s="621"/>
      <c r="C28" s="325"/>
      <c r="D28" s="618"/>
      <c r="E28" s="630"/>
      <c r="F28" s="618"/>
      <c r="G28" s="624"/>
      <c r="H28" s="615"/>
      <c r="K28" s="314"/>
      <c r="M28" s="313"/>
      <c r="N28" s="313"/>
      <c r="O28" s="313"/>
    </row>
    <row r="29" spans="1:15" ht="14.25" customHeight="1" x14ac:dyDescent="0.2">
      <c r="A29" s="446"/>
      <c r="B29" s="619" t="s">
        <v>197</v>
      </c>
      <c r="C29" s="328" t="s">
        <v>954</v>
      </c>
      <c r="D29" s="457">
        <v>3000000</v>
      </c>
      <c r="E29" s="622">
        <v>45688</v>
      </c>
      <c r="F29" s="616">
        <v>0</v>
      </c>
      <c r="G29" s="622">
        <v>49309</v>
      </c>
      <c r="H29" s="613">
        <f>D31</f>
        <v>11164.01</v>
      </c>
      <c r="K29" s="314"/>
      <c r="M29" s="313"/>
      <c r="N29" s="313"/>
      <c r="O29" s="313"/>
    </row>
    <row r="30" spans="1:15" ht="14.25" customHeight="1" x14ac:dyDescent="0.2">
      <c r="A30" s="446"/>
      <c r="B30" s="620"/>
      <c r="C30" s="324">
        <v>45488</v>
      </c>
      <c r="D30" s="456" t="s">
        <v>955</v>
      </c>
      <c r="E30" s="623"/>
      <c r="F30" s="617"/>
      <c r="G30" s="623"/>
      <c r="H30" s="614"/>
      <c r="K30" s="314"/>
      <c r="M30" s="313"/>
      <c r="N30" s="313"/>
      <c r="O30" s="313"/>
    </row>
    <row r="31" spans="1:15" ht="14.25" customHeight="1" x14ac:dyDescent="0.2">
      <c r="A31" s="446"/>
      <c r="B31" s="621"/>
      <c r="C31" s="325"/>
      <c r="D31" s="458">
        <v>11164.01</v>
      </c>
      <c r="E31" s="624"/>
      <c r="F31" s="618"/>
      <c r="G31" s="624"/>
      <c r="H31" s="615"/>
      <c r="K31" s="314"/>
      <c r="M31" s="313"/>
      <c r="N31" s="313"/>
      <c r="O31" s="313"/>
    </row>
    <row r="32" spans="1:15" ht="13.5" customHeight="1" x14ac:dyDescent="0.2">
      <c r="A32" s="638"/>
      <c r="B32" s="619" t="s">
        <v>202</v>
      </c>
      <c r="C32" s="328" t="s">
        <v>203</v>
      </c>
      <c r="D32" s="616">
        <v>2401468.7999999998</v>
      </c>
      <c r="E32" s="622">
        <v>42394</v>
      </c>
      <c r="F32" s="616">
        <v>2161321.92</v>
      </c>
      <c r="G32" s="622">
        <v>46014</v>
      </c>
      <c r="H32" s="613">
        <f>D32-F32</f>
        <v>240146.87999999989</v>
      </c>
      <c r="K32" s="314"/>
      <c r="M32" s="313"/>
      <c r="N32" s="313"/>
      <c r="O32" s="313"/>
    </row>
    <row r="33" spans="1:15" ht="14.25" customHeight="1" x14ac:dyDescent="0.2">
      <c r="A33" s="638"/>
      <c r="B33" s="620"/>
      <c r="C33" s="324">
        <v>42142</v>
      </c>
      <c r="D33" s="617"/>
      <c r="E33" s="623"/>
      <c r="F33" s="617"/>
      <c r="G33" s="623"/>
      <c r="H33" s="614"/>
      <c r="K33" s="314"/>
      <c r="M33" s="313"/>
      <c r="N33" s="313"/>
      <c r="O33" s="313"/>
    </row>
    <row r="34" spans="1:15" ht="14.25" customHeight="1" x14ac:dyDescent="0.2">
      <c r="A34" s="638"/>
      <c r="B34" s="621"/>
      <c r="C34" s="325"/>
      <c r="D34" s="618"/>
      <c r="E34" s="624"/>
      <c r="F34" s="618"/>
      <c r="G34" s="624"/>
      <c r="H34" s="615"/>
      <c r="K34" s="314"/>
      <c r="M34" s="313"/>
      <c r="N34" s="313"/>
      <c r="O34" s="313"/>
    </row>
    <row r="35" spans="1:15" ht="14.25" customHeight="1" x14ac:dyDescent="0.2">
      <c r="A35" s="638"/>
      <c r="B35" s="619" t="s">
        <v>202</v>
      </c>
      <c r="C35" s="329" t="s">
        <v>204</v>
      </c>
      <c r="D35" s="616">
        <v>681759.94</v>
      </c>
      <c r="E35" s="622">
        <v>42034</v>
      </c>
      <c r="F35" s="616">
        <v>681759.94</v>
      </c>
      <c r="G35" s="622">
        <v>45657</v>
      </c>
      <c r="H35" s="613">
        <f>D35-F35</f>
        <v>0</v>
      </c>
      <c r="K35" s="314"/>
      <c r="M35" s="313"/>
      <c r="N35" s="313"/>
      <c r="O35" s="313"/>
    </row>
    <row r="36" spans="1:15" ht="14.25" customHeight="1" x14ac:dyDescent="0.2">
      <c r="A36" s="638"/>
      <c r="B36" s="620"/>
      <c r="C36" s="330"/>
      <c r="D36" s="617"/>
      <c r="E36" s="623"/>
      <c r="F36" s="617"/>
      <c r="G36" s="623"/>
      <c r="H36" s="614"/>
      <c r="K36" s="314"/>
      <c r="M36" s="313"/>
      <c r="N36" s="313"/>
      <c r="O36" s="313"/>
    </row>
    <row r="37" spans="1:15" ht="14.25" customHeight="1" x14ac:dyDescent="0.2">
      <c r="A37" s="638"/>
      <c r="B37" s="621"/>
      <c r="C37" s="331">
        <v>41890</v>
      </c>
      <c r="D37" s="618"/>
      <c r="E37" s="624"/>
      <c r="F37" s="618"/>
      <c r="G37" s="624"/>
      <c r="H37" s="615"/>
      <c r="K37" s="314"/>
      <c r="M37" s="313"/>
      <c r="N37" s="313"/>
      <c r="O37" s="313"/>
    </row>
    <row r="38" spans="1:15" ht="14.25" customHeight="1" x14ac:dyDescent="0.2">
      <c r="A38" s="638"/>
      <c r="B38" s="619" t="s">
        <v>202</v>
      </c>
      <c r="C38" s="334" t="s">
        <v>590</v>
      </c>
      <c r="D38" s="455">
        <v>9000000</v>
      </c>
      <c r="E38" s="622">
        <v>45863</v>
      </c>
      <c r="F38" s="616">
        <v>0</v>
      </c>
      <c r="G38" s="622">
        <v>48936</v>
      </c>
      <c r="H38" s="613">
        <f>D40+D42-F38</f>
        <v>6368368.8499999996</v>
      </c>
      <c r="K38" s="314"/>
      <c r="M38" s="313"/>
      <c r="N38" s="313"/>
      <c r="O38" s="313"/>
    </row>
    <row r="39" spans="1:15" ht="15" customHeight="1" x14ac:dyDescent="0.2">
      <c r="A39" s="638"/>
      <c r="B39" s="620"/>
      <c r="C39" s="330" t="s">
        <v>591</v>
      </c>
      <c r="D39" s="463" t="s">
        <v>592</v>
      </c>
      <c r="E39" s="623"/>
      <c r="F39" s="617"/>
      <c r="G39" s="623"/>
      <c r="H39" s="614"/>
      <c r="K39" s="314"/>
      <c r="M39" s="313"/>
      <c r="N39" s="313"/>
      <c r="O39" s="313"/>
    </row>
    <row r="40" spans="1:15" ht="10.5" customHeight="1" x14ac:dyDescent="0.2">
      <c r="A40" s="638"/>
      <c r="B40" s="620"/>
      <c r="C40" s="335">
        <v>45055</v>
      </c>
      <c r="D40" s="456">
        <v>2353831</v>
      </c>
      <c r="E40" s="623"/>
      <c r="F40" s="617"/>
      <c r="G40" s="623"/>
      <c r="H40" s="614"/>
      <c r="K40" s="314"/>
      <c r="M40" s="313"/>
      <c r="N40" s="313"/>
      <c r="O40" s="313"/>
    </row>
    <row r="41" spans="1:15" ht="10.5" customHeight="1" x14ac:dyDescent="0.2">
      <c r="A41" s="446"/>
      <c r="B41" s="620"/>
      <c r="C41" s="559" t="s">
        <v>997</v>
      </c>
      <c r="D41" s="463" t="s">
        <v>955</v>
      </c>
      <c r="E41" s="623"/>
      <c r="F41" s="617"/>
      <c r="G41" s="623"/>
      <c r="H41" s="614"/>
      <c r="K41" s="314"/>
      <c r="M41" s="313"/>
      <c r="N41" s="313"/>
      <c r="O41" s="313"/>
    </row>
    <row r="42" spans="1:15" ht="10.5" customHeight="1" x14ac:dyDescent="0.2">
      <c r="A42" s="446"/>
      <c r="B42" s="621"/>
      <c r="C42" s="560">
        <v>45639</v>
      </c>
      <c r="D42" s="464">
        <v>4014537.85</v>
      </c>
      <c r="E42" s="624"/>
      <c r="F42" s="618"/>
      <c r="G42" s="624"/>
      <c r="H42" s="615"/>
      <c r="K42" s="314"/>
      <c r="M42" s="313"/>
      <c r="N42" s="313"/>
      <c r="O42" s="313"/>
    </row>
    <row r="43" spans="1:15" ht="15" customHeight="1" x14ac:dyDescent="0.2">
      <c r="A43" s="638"/>
      <c r="B43" s="637" t="s">
        <v>205</v>
      </c>
      <c r="C43" s="329" t="s">
        <v>206</v>
      </c>
      <c r="D43" s="617">
        <v>1300000</v>
      </c>
      <c r="E43" s="631" t="s">
        <v>207</v>
      </c>
      <c r="F43" s="616">
        <v>1300000</v>
      </c>
      <c r="G43" s="622">
        <v>45657</v>
      </c>
      <c r="H43" s="613">
        <f>D43-F43</f>
        <v>0</v>
      </c>
      <c r="K43" s="314"/>
      <c r="M43" s="313"/>
      <c r="N43" s="313"/>
      <c r="O43" s="313"/>
    </row>
    <row r="44" spans="1:15" ht="13.5" customHeight="1" x14ac:dyDescent="0.2">
      <c r="A44" s="638"/>
      <c r="B44" s="626"/>
      <c r="C44" s="331">
        <v>41815</v>
      </c>
      <c r="D44" s="618"/>
      <c r="E44" s="632"/>
      <c r="F44" s="618"/>
      <c r="G44" s="624"/>
      <c r="H44" s="615"/>
      <c r="K44" s="314"/>
      <c r="M44" s="313"/>
      <c r="N44" s="313"/>
      <c r="O44" s="313"/>
    </row>
    <row r="45" spans="1:15" ht="13.5" customHeight="1" x14ac:dyDescent="0.2">
      <c r="A45" s="638"/>
      <c r="B45" s="625" t="s">
        <v>205</v>
      </c>
      <c r="C45" s="332" t="s">
        <v>208</v>
      </c>
      <c r="D45" s="627">
        <v>1800000</v>
      </c>
      <c r="E45" s="629" t="s">
        <v>209</v>
      </c>
      <c r="F45" s="616">
        <v>1620000</v>
      </c>
      <c r="G45" s="622">
        <v>46022</v>
      </c>
      <c r="H45" s="613">
        <f>D45-F45</f>
        <v>180000</v>
      </c>
      <c r="K45" s="314"/>
      <c r="M45" s="313"/>
      <c r="N45" s="313"/>
      <c r="O45" s="313"/>
    </row>
    <row r="46" spans="1:15" ht="13.5" customHeight="1" x14ac:dyDescent="0.2">
      <c r="A46" s="638"/>
      <c r="B46" s="626"/>
      <c r="C46" s="331">
        <v>42304</v>
      </c>
      <c r="D46" s="628"/>
      <c r="E46" s="630"/>
      <c r="F46" s="618"/>
      <c r="G46" s="624"/>
      <c r="H46" s="615"/>
      <c r="K46" s="314"/>
      <c r="M46" s="313"/>
      <c r="N46" s="313"/>
      <c r="O46" s="313"/>
    </row>
    <row r="47" spans="1:15" ht="13.5" customHeight="1" x14ac:dyDescent="0.2">
      <c r="B47" s="619" t="s">
        <v>210</v>
      </c>
      <c r="C47" s="334" t="s">
        <v>211</v>
      </c>
      <c r="D47" s="616">
        <v>3120000</v>
      </c>
      <c r="E47" s="631" t="s">
        <v>212</v>
      </c>
      <c r="F47" s="616">
        <v>2278920</v>
      </c>
      <c r="G47" s="622">
        <v>46589</v>
      </c>
      <c r="H47" s="613">
        <f>D47-F47</f>
        <v>841080</v>
      </c>
      <c r="J47" s="313"/>
      <c r="L47" s="313"/>
      <c r="M47" s="313"/>
      <c r="N47" s="313"/>
      <c r="O47" s="313"/>
    </row>
    <row r="48" spans="1:15" x14ac:dyDescent="0.2">
      <c r="B48" s="621"/>
      <c r="C48" s="333">
        <v>42929</v>
      </c>
      <c r="D48" s="618"/>
      <c r="E48" s="632"/>
      <c r="F48" s="618"/>
      <c r="G48" s="624"/>
      <c r="H48" s="615"/>
      <c r="J48" s="313"/>
      <c r="L48" s="313"/>
      <c r="M48" s="313"/>
      <c r="N48" s="313"/>
      <c r="O48" s="313"/>
    </row>
  </sheetData>
  <mergeCells count="105">
    <mergeCell ref="E23:E25"/>
    <mergeCell ref="E26:E28"/>
    <mergeCell ref="A20:A22"/>
    <mergeCell ref="B17:B19"/>
    <mergeCell ref="B8:B10"/>
    <mergeCell ref="D8:D10"/>
    <mergeCell ref="B11:B13"/>
    <mergeCell ref="D11:D13"/>
    <mergeCell ref="A14:A16"/>
    <mergeCell ref="A8:A10"/>
    <mergeCell ref="B2:H2"/>
    <mergeCell ref="G3:G4"/>
    <mergeCell ref="F5:F7"/>
    <mergeCell ref="G5:G7"/>
    <mergeCell ref="H5:H7"/>
    <mergeCell ref="H20:H22"/>
    <mergeCell ref="F8:F10"/>
    <mergeCell ref="G8:G10"/>
    <mergeCell ref="H8:H10"/>
    <mergeCell ref="F20:F22"/>
    <mergeCell ref="G20:G22"/>
    <mergeCell ref="E5:E7"/>
    <mergeCell ref="E8:E10"/>
    <mergeCell ref="E11:E13"/>
    <mergeCell ref="E14:E16"/>
    <mergeCell ref="E17:E19"/>
    <mergeCell ref="A43:A46"/>
    <mergeCell ref="E3:E4"/>
    <mergeCell ref="B5:B7"/>
    <mergeCell ref="D5:D7"/>
    <mergeCell ref="B20:B22"/>
    <mergeCell ref="D20:D22"/>
    <mergeCell ref="D32:D34"/>
    <mergeCell ref="A39:A40"/>
    <mergeCell ref="A32:A34"/>
    <mergeCell ref="A35:A36"/>
    <mergeCell ref="B32:B34"/>
    <mergeCell ref="A11:A13"/>
    <mergeCell ref="A23:A25"/>
    <mergeCell ref="A37:A38"/>
    <mergeCell ref="B3:B4"/>
    <mergeCell ref="B35:B37"/>
    <mergeCell ref="D35:D37"/>
    <mergeCell ref="A5:A7"/>
    <mergeCell ref="A26:A28"/>
    <mergeCell ref="A17:A19"/>
    <mergeCell ref="D23:D25"/>
    <mergeCell ref="B14:B16"/>
    <mergeCell ref="D14:D16"/>
    <mergeCell ref="D17:D19"/>
    <mergeCell ref="G23:G25"/>
    <mergeCell ref="F11:F13"/>
    <mergeCell ref="G11:G13"/>
    <mergeCell ref="H11:H13"/>
    <mergeCell ref="B43:B44"/>
    <mergeCell ref="D43:D44"/>
    <mergeCell ref="F14:F16"/>
    <mergeCell ref="G14:G16"/>
    <mergeCell ref="H14:H16"/>
    <mergeCell ref="F17:F19"/>
    <mergeCell ref="G17:G19"/>
    <mergeCell ref="H17:H19"/>
    <mergeCell ref="F23:F25"/>
    <mergeCell ref="F35:F37"/>
    <mergeCell ref="G35:G37"/>
    <mergeCell ref="H35:H37"/>
    <mergeCell ref="F32:F34"/>
    <mergeCell ref="G32:G34"/>
    <mergeCell ref="H23:H25"/>
    <mergeCell ref="B26:B28"/>
    <mergeCell ref="H26:H28"/>
    <mergeCell ref="B23:B25"/>
    <mergeCell ref="E43:E44"/>
    <mergeCell ref="E20:E22"/>
    <mergeCell ref="B47:B48"/>
    <mergeCell ref="D47:D48"/>
    <mergeCell ref="F47:F48"/>
    <mergeCell ref="G47:G48"/>
    <mergeCell ref="H47:H48"/>
    <mergeCell ref="F43:F44"/>
    <mergeCell ref="G43:G44"/>
    <mergeCell ref="H43:H44"/>
    <mergeCell ref="B45:B46"/>
    <mergeCell ref="D45:D46"/>
    <mergeCell ref="F45:F46"/>
    <mergeCell ref="G45:G46"/>
    <mergeCell ref="H45:H46"/>
    <mergeCell ref="E45:E46"/>
    <mergeCell ref="E47:E48"/>
    <mergeCell ref="H32:H34"/>
    <mergeCell ref="D26:D28"/>
    <mergeCell ref="B29:B31"/>
    <mergeCell ref="F29:F31"/>
    <mergeCell ref="G29:G31"/>
    <mergeCell ref="H29:H31"/>
    <mergeCell ref="B38:B42"/>
    <mergeCell ref="F38:F42"/>
    <mergeCell ref="G38:G42"/>
    <mergeCell ref="H38:H42"/>
    <mergeCell ref="E29:E31"/>
    <mergeCell ref="E32:E34"/>
    <mergeCell ref="E35:E37"/>
    <mergeCell ref="E38:E42"/>
    <mergeCell ref="F26:F28"/>
    <mergeCell ref="G26:G28"/>
  </mergeCells>
  <pageMargins left="3.937007874015748E-2" right="0.23622047244094491" top="0.11811023622047245" bottom="0.19685039370078741" header="0.11811023622047245" footer="0.19685039370078741"/>
  <pageSetup paperSize="9" scale="78" fitToWidth="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P43"/>
  <sheetViews>
    <sheetView workbookViewId="0"/>
  </sheetViews>
  <sheetFormatPr defaultColWidth="9.7109375" defaultRowHeight="12.75" x14ac:dyDescent="0.2"/>
  <cols>
    <col min="1" max="1" width="10.7109375" style="35" customWidth="1"/>
    <col min="2" max="2" width="33.5703125" style="35" customWidth="1"/>
    <col min="3" max="3" width="9.7109375" style="35" customWidth="1"/>
    <col min="4" max="4" width="9" style="35" customWidth="1"/>
    <col min="5" max="5" width="8.28515625" style="35" customWidth="1"/>
    <col min="6" max="6" width="8.85546875" style="35" customWidth="1"/>
    <col min="7" max="7" width="9.42578125" style="35" customWidth="1"/>
    <col min="8" max="8" width="9.5703125" style="35" customWidth="1"/>
    <col min="9" max="9" width="8.5703125" style="35" customWidth="1"/>
    <col min="10" max="10" width="10.5703125" style="35" customWidth="1"/>
    <col min="11" max="12" width="9.140625" style="35" customWidth="1"/>
    <col min="13" max="13" width="11.7109375" style="35" customWidth="1"/>
    <col min="14" max="15" width="9.140625" style="35" customWidth="1"/>
    <col min="16" max="16" width="19.42578125" style="35" customWidth="1"/>
    <col min="17" max="246" width="9.140625" style="35" customWidth="1"/>
    <col min="247" max="247" width="1.85546875" style="35" customWidth="1"/>
    <col min="248" max="248" width="42" style="35" customWidth="1"/>
    <col min="249" max="249" width="11.7109375" style="35" customWidth="1"/>
    <col min="250" max="250" width="10.140625" style="35" customWidth="1"/>
    <col min="251" max="251" width="10.28515625" style="35" customWidth="1"/>
    <col min="252" max="252" width="10.140625" style="35" customWidth="1"/>
    <col min="253" max="253" width="11.5703125" style="35" customWidth="1"/>
    <col min="254" max="254" width="10.28515625" style="35" customWidth="1"/>
    <col min="255" max="255" width="1.7109375" style="35" customWidth="1"/>
    <col min="256" max="256" width="16.7109375" style="35" customWidth="1"/>
    <col min="257" max="257" width="9.7109375" style="35" customWidth="1"/>
    <col min="258" max="16384" width="9.7109375" style="35"/>
  </cols>
  <sheetData>
    <row r="2" spans="2:12" ht="15" customHeight="1" x14ac:dyDescent="0.2">
      <c r="G2" s="365"/>
      <c r="H2" s="366" t="s">
        <v>213</v>
      </c>
      <c r="K2" s="367"/>
    </row>
    <row r="3" spans="2:12" ht="10.5" customHeight="1" x14ac:dyDescent="0.2">
      <c r="E3" s="365"/>
    </row>
    <row r="4" spans="2:12" ht="72.75" customHeight="1" x14ac:dyDescent="0.2">
      <c r="B4" s="646" t="s">
        <v>962</v>
      </c>
      <c r="C4" s="646"/>
      <c r="D4" s="646"/>
      <c r="E4" s="646"/>
      <c r="F4" s="646"/>
      <c r="G4" s="646"/>
      <c r="H4" s="646"/>
      <c r="I4" s="368"/>
      <c r="J4" s="368"/>
      <c r="K4" s="369"/>
    </row>
    <row r="6" spans="2:12" x14ac:dyDescent="0.2">
      <c r="B6" s="370"/>
      <c r="C6" s="371">
        <v>2019</v>
      </c>
      <c r="D6" s="371">
        <v>2020</v>
      </c>
      <c r="E6" s="371">
        <v>2021</v>
      </c>
      <c r="F6" s="371">
        <v>2022</v>
      </c>
      <c r="G6" s="371">
        <v>2023</v>
      </c>
      <c r="H6" s="371">
        <v>2024</v>
      </c>
    </row>
    <row r="7" spans="2:12" x14ac:dyDescent="0.2">
      <c r="B7" s="372" t="s">
        <v>214</v>
      </c>
      <c r="C7" s="48">
        <v>54696</v>
      </c>
      <c r="D7" s="48">
        <v>54705</v>
      </c>
      <c r="E7" s="48">
        <v>54679</v>
      </c>
      <c r="F7" s="373">
        <v>54368</v>
      </c>
      <c r="G7" s="373">
        <v>54012</v>
      </c>
      <c r="H7" s="374">
        <v>53940</v>
      </c>
    </row>
    <row r="8" spans="2:12" ht="1.5" customHeight="1" x14ac:dyDescent="0.2">
      <c r="B8" s="372"/>
      <c r="C8" s="48"/>
      <c r="D8" s="48"/>
      <c r="E8" s="48"/>
      <c r="F8" s="373"/>
      <c r="G8" s="373"/>
      <c r="H8" s="374"/>
    </row>
    <row r="9" spans="2:12" x14ac:dyDescent="0.2">
      <c r="B9" s="372" t="s">
        <v>215</v>
      </c>
      <c r="C9" s="376">
        <v>12837</v>
      </c>
      <c r="D9" s="376">
        <v>13686</v>
      </c>
      <c r="E9" s="376">
        <v>11680</v>
      </c>
      <c r="F9" s="375">
        <v>12374</v>
      </c>
      <c r="G9" s="375">
        <v>11244</v>
      </c>
      <c r="H9" s="377">
        <v>13270</v>
      </c>
    </row>
    <row r="10" spans="2:12" s="1" customFormat="1" ht="15" customHeight="1" x14ac:dyDescent="0.2">
      <c r="B10" s="378" t="s">
        <v>216</v>
      </c>
      <c r="C10" s="48">
        <f t="shared" ref="C10:D10" si="0">C9/C7*1000</f>
        <v>234.69723562966215</v>
      </c>
      <c r="D10" s="48">
        <f t="shared" si="0"/>
        <v>250.17822868110778</v>
      </c>
      <c r="E10" s="48">
        <f>E9/E7*1000</f>
        <v>213.61034400775435</v>
      </c>
      <c r="F10" s="373">
        <f>F9/F7*1000</f>
        <v>227.59711595055916</v>
      </c>
      <c r="G10" s="373">
        <f>G9/G7*1000</f>
        <v>208.17596089757831</v>
      </c>
      <c r="H10" s="374">
        <f>H9/H7*1000</f>
        <v>246.0140897293289</v>
      </c>
      <c r="I10" s="35"/>
      <c r="J10" s="35"/>
      <c r="K10" s="35"/>
      <c r="L10" s="36"/>
    </row>
    <row r="11" spans="2:12" s="1" customFormat="1" ht="14.25" x14ac:dyDescent="0.2">
      <c r="B11" s="378" t="s">
        <v>217</v>
      </c>
      <c r="C11" s="48">
        <v>48206</v>
      </c>
      <c r="D11" s="48">
        <v>52606</v>
      </c>
      <c r="E11" s="48">
        <v>54373</v>
      </c>
      <c r="F11" s="373">
        <v>59977</v>
      </c>
      <c r="G11" s="373">
        <v>70731</v>
      </c>
      <c r="H11" s="374">
        <v>75406</v>
      </c>
      <c r="I11" s="35"/>
      <c r="J11" s="35"/>
      <c r="K11" s="35"/>
      <c r="L11" s="36"/>
    </row>
    <row r="12" spans="2:12" s="1" customFormat="1" ht="30" customHeight="1" x14ac:dyDescent="0.2">
      <c r="B12" s="378" t="s">
        <v>218</v>
      </c>
      <c r="C12" s="379">
        <v>0.26629999999999998</v>
      </c>
      <c r="D12" s="380">
        <f>D9/C11</f>
        <v>0.28390656764718086</v>
      </c>
      <c r="E12" s="380">
        <f>E9/D11</f>
        <v>0.22202790556210319</v>
      </c>
      <c r="F12" s="379">
        <f>F9/E11</f>
        <v>0.22757618671031579</v>
      </c>
      <c r="G12" s="379">
        <f>G9/F11</f>
        <v>0.18747186421461559</v>
      </c>
      <c r="H12" s="381">
        <f>H9/G11</f>
        <v>0.18761222094979571</v>
      </c>
      <c r="I12" s="35"/>
      <c r="J12" s="35"/>
      <c r="K12" s="35"/>
      <c r="L12" s="35"/>
    </row>
    <row r="13" spans="2:12" s="1" customFormat="1" ht="7.5" customHeight="1" x14ac:dyDescent="0.2">
      <c r="B13" s="378"/>
      <c r="C13" s="379"/>
      <c r="D13" s="380"/>
      <c r="E13" s="380"/>
      <c r="F13" s="379"/>
      <c r="G13" s="379"/>
      <c r="H13" s="381"/>
      <c r="I13" s="35"/>
      <c r="J13" s="35"/>
      <c r="K13" s="35"/>
      <c r="L13" s="35"/>
    </row>
    <row r="14" spans="2:12" s="1" customFormat="1" ht="14.25" x14ac:dyDescent="0.2">
      <c r="B14" s="378" t="s">
        <v>219</v>
      </c>
      <c r="C14" s="376">
        <v>2038</v>
      </c>
      <c r="D14" s="376">
        <v>2231</v>
      </c>
      <c r="E14" s="376">
        <v>2039</v>
      </c>
      <c r="F14" s="375">
        <v>2207</v>
      </c>
      <c r="G14" s="375">
        <v>2673</v>
      </c>
      <c r="H14" s="377">
        <v>2554</v>
      </c>
      <c r="I14" s="35"/>
      <c r="J14" s="35"/>
      <c r="K14" s="35"/>
      <c r="L14" s="35"/>
    </row>
    <row r="15" spans="2:12" s="1" customFormat="1" ht="38.25" x14ac:dyDescent="0.2">
      <c r="B15" s="378" t="s">
        <v>220</v>
      </c>
      <c r="C15" s="383">
        <v>37690</v>
      </c>
      <c r="D15" s="383">
        <v>39005</v>
      </c>
      <c r="E15" s="383">
        <v>40697</v>
      </c>
      <c r="F15" s="382">
        <f>F11-15555</f>
        <v>44422</v>
      </c>
      <c r="G15" s="382">
        <v>45756</v>
      </c>
      <c r="H15" s="384">
        <f>75406-3248-23217</f>
        <v>48941</v>
      </c>
      <c r="I15" s="35"/>
      <c r="J15" s="35"/>
      <c r="K15" s="35"/>
      <c r="L15" s="35"/>
    </row>
    <row r="16" spans="2:12" s="76" customFormat="1" ht="39.75" customHeight="1" x14ac:dyDescent="0.25">
      <c r="B16" s="385" t="s">
        <v>221</v>
      </c>
      <c r="C16" s="386">
        <v>5.4100000000000002E-2</v>
      </c>
      <c r="D16" s="387">
        <f>D14/C15</f>
        <v>5.9193420005306446E-2</v>
      </c>
      <c r="E16" s="387">
        <f>E14/D15</f>
        <v>5.2275349314190492E-2</v>
      </c>
      <c r="F16" s="386">
        <f>F14/E15</f>
        <v>5.4230041526402435E-2</v>
      </c>
      <c r="G16" s="386">
        <f>G14/F15</f>
        <v>6.0172887308090589E-2</v>
      </c>
      <c r="H16" s="388">
        <f>H14/G15</f>
        <v>5.5817816242678557E-2</v>
      </c>
    </row>
    <row r="17" spans="2:16" s="1" customFormat="1" ht="15" x14ac:dyDescent="0.25">
      <c r="B17" s="389"/>
      <c r="C17" s="390"/>
      <c r="D17" s="390"/>
      <c r="E17" s="390"/>
      <c r="F17" s="35"/>
      <c r="G17" s="35"/>
      <c r="H17" s="74"/>
      <c r="I17" s="74"/>
      <c r="J17" s="35"/>
      <c r="K17" s="35"/>
      <c r="L17" s="462"/>
      <c r="M17" s="462"/>
      <c r="N17" s="35"/>
      <c r="O17" s="35"/>
      <c r="P17" s="35"/>
    </row>
    <row r="18" spans="2:16" s="1" customFormat="1" ht="41.25" customHeight="1" x14ac:dyDescent="0.2">
      <c r="B18" s="647" t="s">
        <v>413</v>
      </c>
      <c r="C18" s="647"/>
      <c r="D18" s="647"/>
      <c r="E18" s="647"/>
      <c r="F18" s="647"/>
      <c r="G18" s="647"/>
      <c r="H18" s="647"/>
      <c r="I18" s="391"/>
      <c r="J18" s="391"/>
      <c r="K18" s="35"/>
      <c r="L18" s="462"/>
      <c r="M18" s="462"/>
      <c r="N18" s="35"/>
      <c r="O18" s="35"/>
      <c r="P18" s="35"/>
    </row>
    <row r="19" spans="2:16" s="1" customFormat="1" ht="26.25" customHeight="1" x14ac:dyDescent="0.2">
      <c r="B19" s="647" t="s">
        <v>222</v>
      </c>
      <c r="C19" s="647"/>
      <c r="D19" s="647"/>
      <c r="E19" s="647"/>
      <c r="F19" s="647"/>
      <c r="G19" s="647"/>
      <c r="H19" s="647"/>
      <c r="I19" s="391"/>
      <c r="J19" s="391"/>
      <c r="K19" s="35"/>
      <c r="L19" s="35"/>
      <c r="M19" s="35"/>
      <c r="N19" s="35"/>
      <c r="O19" s="35"/>
      <c r="P19" s="35"/>
    </row>
    <row r="20" spans="2:16" s="1" customFormat="1" ht="55.5" customHeight="1" x14ac:dyDescent="0.2">
      <c r="B20" s="648" t="s">
        <v>595</v>
      </c>
      <c r="C20" s="648"/>
      <c r="D20" s="648"/>
      <c r="E20" s="648"/>
      <c r="F20" s="648"/>
      <c r="G20" s="648"/>
      <c r="H20" s="648"/>
      <c r="I20" s="392"/>
      <c r="J20" s="392"/>
      <c r="K20" s="35"/>
      <c r="L20" s="35"/>
      <c r="M20" s="35"/>
      <c r="N20" s="35"/>
      <c r="O20" s="35"/>
      <c r="P20" s="35"/>
    </row>
    <row r="21" spans="2:16" s="1" customFormat="1" ht="14.25" x14ac:dyDescent="0.2">
      <c r="B21" s="35"/>
      <c r="C21" s="390"/>
      <c r="D21" s="390"/>
      <c r="E21" s="390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2:16" s="1" customFormat="1" ht="15" x14ac:dyDescent="0.25">
      <c r="B22" s="389"/>
      <c r="C22" s="390"/>
      <c r="D22" s="390"/>
      <c r="E22" s="390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2:16" s="1" customFormat="1" ht="15" x14ac:dyDescent="0.25">
      <c r="B23" s="389"/>
      <c r="C23" s="390"/>
      <c r="D23" s="390"/>
      <c r="E23" s="390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2:16" s="1" customFormat="1" ht="15" x14ac:dyDescent="0.25">
      <c r="B24" s="389"/>
      <c r="C24" s="390"/>
      <c r="D24" s="390"/>
      <c r="E24" s="390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2:16" s="1" customFormat="1" ht="15" x14ac:dyDescent="0.25">
      <c r="B25" s="389"/>
      <c r="C25" s="390"/>
      <c r="D25" s="390"/>
      <c r="E25" s="390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2:16" s="1" customFormat="1" ht="15" x14ac:dyDescent="0.25">
      <c r="B26" s="389"/>
      <c r="C26" s="390"/>
      <c r="D26" s="390"/>
      <c r="E26" s="390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2:16" s="1" customFormat="1" ht="15" x14ac:dyDescent="0.25">
      <c r="B27" s="389"/>
      <c r="C27" s="390"/>
      <c r="D27" s="390"/>
      <c r="E27" s="390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2:16" s="1" customFormat="1" ht="15" x14ac:dyDescent="0.25">
      <c r="B28" s="389"/>
      <c r="C28" s="390"/>
      <c r="D28" s="390"/>
      <c r="E28" s="390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2:16" s="1" customFormat="1" ht="15" x14ac:dyDescent="0.25">
      <c r="B29" s="389"/>
      <c r="C29" s="390"/>
      <c r="D29" s="390"/>
      <c r="E29" s="390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2:16" s="1" customFormat="1" ht="15" x14ac:dyDescent="0.25">
      <c r="B30" s="389"/>
      <c r="C30" s="390"/>
      <c r="D30" s="390"/>
      <c r="E30" s="390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2:16" s="1" customFormat="1" ht="15" x14ac:dyDescent="0.25">
      <c r="B31" s="389"/>
      <c r="C31" s="390"/>
      <c r="D31" s="390"/>
      <c r="E31" s="390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2:16" s="1" customFormat="1" ht="15" x14ac:dyDescent="0.25">
      <c r="B32" s="389"/>
      <c r="C32" s="390"/>
      <c r="D32" s="390"/>
      <c r="E32" s="390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2:16" s="1" customFormat="1" ht="15" x14ac:dyDescent="0.25">
      <c r="B33" s="389"/>
      <c r="C33" s="390"/>
      <c r="D33" s="390"/>
      <c r="E33" s="390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2:16" s="1" customFormat="1" ht="15" x14ac:dyDescent="0.25">
      <c r="B34" s="389"/>
      <c r="C34" s="390"/>
      <c r="D34" s="390"/>
      <c r="E34" s="390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2:16" s="1" customFormat="1" ht="15" x14ac:dyDescent="0.25">
      <c r="B35" s="389"/>
      <c r="C35" s="390"/>
      <c r="D35" s="390"/>
      <c r="E35" s="390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2:16" s="1" customFormat="1" ht="15" x14ac:dyDescent="0.25">
      <c r="B36" s="389"/>
      <c r="C36" s="390"/>
      <c r="D36" s="390"/>
      <c r="E36" s="390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s="1" customFormat="1" ht="15" x14ac:dyDescent="0.25">
      <c r="B37" s="389"/>
      <c r="C37" s="390"/>
      <c r="D37" s="390"/>
      <c r="E37" s="390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2:16" s="1" customFormat="1" ht="15" x14ac:dyDescent="0.25">
      <c r="B38" s="389"/>
      <c r="C38" s="390"/>
      <c r="D38" s="390"/>
      <c r="E38" s="390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2:16" s="1" customFormat="1" ht="15" x14ac:dyDescent="0.25">
      <c r="B39" s="393"/>
      <c r="C39" s="390"/>
      <c r="D39" s="390"/>
      <c r="E39" s="390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2:16" s="1" customFormat="1" ht="15" x14ac:dyDescent="0.25">
      <c r="B40" s="389"/>
      <c r="C40" s="390"/>
      <c r="D40" s="390"/>
      <c r="E40" s="390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2:16" s="1" customFormat="1" ht="15" x14ac:dyDescent="0.25">
      <c r="B41" s="389"/>
      <c r="C41" s="390"/>
      <c r="D41" s="390"/>
      <c r="E41" s="390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2:16" s="1" customFormat="1" ht="15" x14ac:dyDescent="0.25">
      <c r="B42" s="389"/>
      <c r="C42" s="390"/>
      <c r="D42" s="390"/>
      <c r="E42" s="390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2:16" s="1" customFormat="1" ht="15" x14ac:dyDescent="0.25">
      <c r="B43" s="389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</row>
  </sheetData>
  <mergeCells count="4">
    <mergeCell ref="B4:H4"/>
    <mergeCell ref="B18:H18"/>
    <mergeCell ref="B19:H19"/>
    <mergeCell ref="B20:H20"/>
  </mergeCells>
  <pageMargins left="0.74803149606299213" right="0.35433070866141736" top="0.35433070866141736" bottom="0.55118110236220474" header="0.31496062992125984" footer="0.31496062992125984"/>
  <pageSetup paperSize="9" scale="95" fitToWidth="0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64"/>
  <sheetViews>
    <sheetView workbookViewId="0"/>
  </sheetViews>
  <sheetFormatPr defaultRowHeight="12.75" x14ac:dyDescent="0.2"/>
  <cols>
    <col min="1" max="1" width="11.7109375" style="35" customWidth="1"/>
    <col min="2" max="2" width="4.85546875" style="35" customWidth="1"/>
    <col min="3" max="3" width="9.28515625" style="98" customWidth="1"/>
    <col min="4" max="4" width="32.42578125" style="35" customWidth="1"/>
    <col min="5" max="5" width="16.42578125" style="35" customWidth="1"/>
    <col min="6" max="6" width="15.85546875" style="35" customWidth="1"/>
    <col min="7" max="7" width="13.140625" style="35" customWidth="1"/>
    <col min="8" max="8" width="5.140625" style="35" customWidth="1"/>
    <col min="9" max="16384" width="9.140625" style="35"/>
  </cols>
  <sheetData>
    <row r="1" spans="2:13" s="76" customFormat="1" x14ac:dyDescent="0.25">
      <c r="C1" s="79"/>
      <c r="F1" s="80"/>
      <c r="G1" s="80"/>
    </row>
    <row r="2" spans="2:13" s="76" customFormat="1" x14ac:dyDescent="0.25">
      <c r="C2" s="79"/>
      <c r="E2" s="80"/>
      <c r="G2" s="81" t="s">
        <v>223</v>
      </c>
    </row>
    <row r="3" spans="2:13" s="76" customFormat="1" ht="15.75" customHeight="1" x14ac:dyDescent="0.25">
      <c r="B3" s="572" t="s">
        <v>956</v>
      </c>
      <c r="C3" s="572"/>
      <c r="D3" s="572"/>
      <c r="E3" s="572"/>
      <c r="F3" s="572"/>
      <c r="G3" s="572"/>
    </row>
    <row r="4" spans="2:13" s="76" customFormat="1" ht="10.5" customHeight="1" x14ac:dyDescent="0.25">
      <c r="C4" s="79"/>
    </row>
    <row r="5" spans="2:13" s="76" customFormat="1" ht="30" customHeight="1" x14ac:dyDescent="0.25">
      <c r="B5" s="650" t="s">
        <v>0</v>
      </c>
      <c r="C5" s="650"/>
      <c r="D5" s="650"/>
      <c r="E5" s="82" t="s">
        <v>224</v>
      </c>
      <c r="F5" s="82" t="s">
        <v>225</v>
      </c>
      <c r="G5" s="82" t="s">
        <v>226</v>
      </c>
    </row>
    <row r="6" spans="2:13" s="8" customFormat="1" ht="24" customHeight="1" x14ac:dyDescent="0.25">
      <c r="B6" s="651" t="s">
        <v>227</v>
      </c>
      <c r="C6" s="651"/>
      <c r="D6" s="651"/>
      <c r="E6" s="83">
        <f>E7+E13+E15+E18+E23+E26+E33+E38+E48+E31</f>
        <v>70666374</v>
      </c>
      <c r="F6" s="83">
        <f>F7+F13+F15+F18+F23+F26+F33+F38+F48+F31</f>
        <v>76000321</v>
      </c>
      <c r="G6" s="83">
        <f>G7+G13+G15+G18+G23+G26+G33+G38+G48+G31+1</f>
        <v>69870539.129999995</v>
      </c>
      <c r="I6" s="84"/>
    </row>
    <row r="7" spans="2:13" s="76" customFormat="1" x14ac:dyDescent="0.25">
      <c r="B7" s="85" t="s">
        <v>228</v>
      </c>
      <c r="C7" s="649" t="s">
        <v>229</v>
      </c>
      <c r="D7" s="649"/>
      <c r="E7" s="86">
        <f>SUM(E8:E12)</f>
        <v>8256125</v>
      </c>
      <c r="F7" s="86">
        <f>SUM(F8:F12)</f>
        <v>8533164</v>
      </c>
      <c r="G7" s="86">
        <f>SUM(G8:G12)</f>
        <v>7743947.620000001</v>
      </c>
    </row>
    <row r="8" spans="2:13" s="76" customFormat="1" x14ac:dyDescent="0.25">
      <c r="B8" s="87"/>
      <c r="C8" s="88" t="s">
        <v>230</v>
      </c>
      <c r="D8" s="89" t="s">
        <v>231</v>
      </c>
      <c r="E8" s="90">
        <v>7528050</v>
      </c>
      <c r="F8" s="90">
        <v>7498869</v>
      </c>
      <c r="G8" s="90">
        <v>6831146.29</v>
      </c>
    </row>
    <row r="9" spans="2:13" s="76" customFormat="1" x14ac:dyDescent="0.25">
      <c r="B9" s="87"/>
      <c r="C9" s="88" t="s">
        <v>232</v>
      </c>
      <c r="D9" s="89" t="s">
        <v>233</v>
      </c>
      <c r="E9" s="90">
        <v>45000</v>
      </c>
      <c r="F9" s="90">
        <v>45000</v>
      </c>
      <c r="G9" s="90">
        <v>34766.94</v>
      </c>
    </row>
    <row r="10" spans="2:13" s="76" customFormat="1" ht="25.5" x14ac:dyDescent="0.2">
      <c r="B10" s="87"/>
      <c r="C10" s="88" t="s">
        <v>520</v>
      </c>
      <c r="D10" s="89" t="s">
        <v>521</v>
      </c>
      <c r="E10" s="90">
        <v>0</v>
      </c>
      <c r="F10" s="90">
        <v>148630</v>
      </c>
      <c r="G10" s="90">
        <v>148609.57</v>
      </c>
      <c r="M10" s="1"/>
    </row>
    <row r="11" spans="2:13" s="76" customFormat="1" ht="15" customHeight="1" x14ac:dyDescent="0.25">
      <c r="B11" s="87"/>
      <c r="C11" s="88" t="s">
        <v>234</v>
      </c>
      <c r="D11" s="89" t="s">
        <v>235</v>
      </c>
      <c r="E11" s="90">
        <v>418000</v>
      </c>
      <c r="F11" s="90">
        <v>521650</v>
      </c>
      <c r="G11" s="90">
        <v>451168.9</v>
      </c>
    </row>
    <row r="12" spans="2:13" s="76" customFormat="1" x14ac:dyDescent="0.25">
      <c r="B12" s="87"/>
      <c r="C12" s="88" t="s">
        <v>236</v>
      </c>
      <c r="D12" s="91" t="s">
        <v>237</v>
      </c>
      <c r="E12" s="90">
        <v>265075</v>
      </c>
      <c r="F12" s="90">
        <v>319015</v>
      </c>
      <c r="G12" s="90">
        <v>278255.92</v>
      </c>
    </row>
    <row r="13" spans="2:13" s="76" customFormat="1" x14ac:dyDescent="0.25">
      <c r="B13" s="85" t="s">
        <v>238</v>
      </c>
      <c r="C13" s="649" t="s">
        <v>239</v>
      </c>
      <c r="D13" s="649"/>
      <c r="E13" s="86">
        <f>E14</f>
        <v>44000</v>
      </c>
      <c r="F13" s="86">
        <f>F14</f>
        <v>49450</v>
      </c>
      <c r="G13" s="86">
        <f>G14</f>
        <v>36058.589999999997</v>
      </c>
    </row>
    <row r="14" spans="2:13" s="76" customFormat="1" x14ac:dyDescent="0.25">
      <c r="B14" s="87"/>
      <c r="C14" s="88" t="s">
        <v>240</v>
      </c>
      <c r="D14" s="89" t="s">
        <v>241</v>
      </c>
      <c r="E14" s="90">
        <v>44000</v>
      </c>
      <c r="F14" s="90">
        <v>49450</v>
      </c>
      <c r="G14" s="90">
        <v>36058.589999999997</v>
      </c>
    </row>
    <row r="15" spans="2:13" s="76" customFormat="1" x14ac:dyDescent="0.25">
      <c r="B15" s="85" t="s">
        <v>242</v>
      </c>
      <c r="C15" s="649" t="s">
        <v>243</v>
      </c>
      <c r="D15" s="649"/>
      <c r="E15" s="86">
        <f>SUM(E16:E17)</f>
        <v>1627799</v>
      </c>
      <c r="F15" s="86">
        <f>SUM(F16:F17)</f>
        <v>1678153</v>
      </c>
      <c r="G15" s="86">
        <f>SUM(G16:G17)</f>
        <v>1552662.4500000002</v>
      </c>
    </row>
    <row r="16" spans="2:13" s="76" customFormat="1" x14ac:dyDescent="0.25">
      <c r="B16" s="87"/>
      <c r="C16" s="88" t="s">
        <v>244</v>
      </c>
      <c r="D16" s="89" t="s">
        <v>245</v>
      </c>
      <c r="E16" s="90">
        <v>1583999</v>
      </c>
      <c r="F16" s="90">
        <v>1630099</v>
      </c>
      <c r="G16" s="90">
        <v>1519307.84</v>
      </c>
    </row>
    <row r="17" spans="2:7" s="76" customFormat="1" x14ac:dyDescent="0.25">
      <c r="B17" s="87"/>
      <c r="C17" s="88" t="s">
        <v>246</v>
      </c>
      <c r="D17" s="89" t="s">
        <v>247</v>
      </c>
      <c r="E17" s="90">
        <v>43800</v>
      </c>
      <c r="F17" s="90">
        <v>48054</v>
      </c>
      <c r="G17" s="90">
        <v>33354.61</v>
      </c>
    </row>
    <row r="18" spans="2:7" s="76" customFormat="1" x14ac:dyDescent="0.25">
      <c r="B18" s="85" t="s">
        <v>248</v>
      </c>
      <c r="C18" s="649" t="s">
        <v>249</v>
      </c>
      <c r="D18" s="649"/>
      <c r="E18" s="86">
        <f>SUM(E19:E22)</f>
        <v>7841031</v>
      </c>
      <c r="F18" s="86">
        <f>SUM(F19:F22)</f>
        <v>7923905</v>
      </c>
      <c r="G18" s="86">
        <f>SUM(G19:G22)</f>
        <v>7461480.9699999997</v>
      </c>
    </row>
    <row r="19" spans="2:7" s="76" customFormat="1" x14ac:dyDescent="0.25">
      <c r="B19" s="87"/>
      <c r="C19" s="88" t="s">
        <v>250</v>
      </c>
      <c r="D19" s="89" t="s">
        <v>251</v>
      </c>
      <c r="E19" s="90">
        <v>339775</v>
      </c>
      <c r="F19" s="90">
        <v>363575</v>
      </c>
      <c r="G19" s="90">
        <v>305006.23</v>
      </c>
    </row>
    <row r="20" spans="2:7" s="76" customFormat="1" x14ac:dyDescent="0.25">
      <c r="B20" s="92"/>
      <c r="C20" s="88" t="s">
        <v>252</v>
      </c>
      <c r="D20" s="88" t="s">
        <v>253</v>
      </c>
      <c r="E20" s="90">
        <v>300000</v>
      </c>
      <c r="F20" s="93">
        <v>246000</v>
      </c>
      <c r="G20" s="90">
        <v>237800.61</v>
      </c>
    </row>
    <row r="21" spans="2:7" s="76" customFormat="1" x14ac:dyDescent="0.25">
      <c r="B21" s="87"/>
      <c r="C21" s="88" t="s">
        <v>254</v>
      </c>
      <c r="D21" s="89" t="s">
        <v>255</v>
      </c>
      <c r="E21" s="90">
        <v>7153756</v>
      </c>
      <c r="F21" s="93">
        <v>7235830</v>
      </c>
      <c r="G21" s="90">
        <v>6841186.6799999997</v>
      </c>
    </row>
    <row r="22" spans="2:7" s="76" customFormat="1" x14ac:dyDescent="0.25">
      <c r="B22" s="87"/>
      <c r="C22" s="88" t="s">
        <v>256</v>
      </c>
      <c r="D22" s="89" t="s">
        <v>257</v>
      </c>
      <c r="E22" s="90">
        <v>47500</v>
      </c>
      <c r="F22" s="93">
        <v>78500</v>
      </c>
      <c r="G22" s="90">
        <v>77487.45</v>
      </c>
    </row>
    <row r="23" spans="2:7" s="76" customFormat="1" x14ac:dyDescent="0.25">
      <c r="B23" s="85" t="s">
        <v>258</v>
      </c>
      <c r="C23" s="649" t="s">
        <v>259</v>
      </c>
      <c r="D23" s="649"/>
      <c r="E23" s="86">
        <f>SUM(E24:E25)</f>
        <v>3595900</v>
      </c>
      <c r="F23" s="86">
        <f>SUM(F24:F25)</f>
        <v>3582400</v>
      </c>
      <c r="G23" s="86">
        <f>SUM(G24:G25)</f>
        <v>2959439.15</v>
      </c>
    </row>
    <row r="24" spans="2:7" s="76" customFormat="1" x14ac:dyDescent="0.25">
      <c r="B24" s="87"/>
      <c r="C24" s="88" t="s">
        <v>260</v>
      </c>
      <c r="D24" s="89" t="s">
        <v>261</v>
      </c>
      <c r="E24" s="90">
        <v>3556300</v>
      </c>
      <c r="F24" s="90">
        <v>3524300</v>
      </c>
      <c r="G24" s="90">
        <v>2903382.27</v>
      </c>
    </row>
    <row r="25" spans="2:7" s="76" customFormat="1" x14ac:dyDescent="0.25">
      <c r="B25" s="87"/>
      <c r="C25" s="88" t="s">
        <v>262</v>
      </c>
      <c r="D25" s="89" t="s">
        <v>263</v>
      </c>
      <c r="E25" s="90">
        <v>39600</v>
      </c>
      <c r="F25" s="90">
        <v>58100</v>
      </c>
      <c r="G25" s="90">
        <v>56056.88</v>
      </c>
    </row>
    <row r="26" spans="2:7" s="76" customFormat="1" x14ac:dyDescent="0.25">
      <c r="B26" s="85" t="s">
        <v>264</v>
      </c>
      <c r="C26" s="649" t="s">
        <v>265</v>
      </c>
      <c r="D26" s="649"/>
      <c r="E26" s="86">
        <f>SUM(E27:E30)</f>
        <v>3656020</v>
      </c>
      <c r="F26" s="86">
        <f>SUM(F27:F30)</f>
        <v>3781820</v>
      </c>
      <c r="G26" s="86">
        <f>SUM(G27:G30)</f>
        <v>3233691.8</v>
      </c>
    </row>
    <row r="27" spans="2:7" s="76" customFormat="1" ht="14.25" customHeight="1" x14ac:dyDescent="0.25">
      <c r="B27" s="87"/>
      <c r="C27" s="88" t="s">
        <v>266</v>
      </c>
      <c r="D27" s="89" t="s">
        <v>267</v>
      </c>
      <c r="E27" s="90">
        <v>48760</v>
      </c>
      <c r="F27" s="90">
        <v>54210</v>
      </c>
      <c r="G27" s="90">
        <v>50071.94</v>
      </c>
    </row>
    <row r="28" spans="2:7" s="76" customFormat="1" x14ac:dyDescent="0.25">
      <c r="B28" s="87"/>
      <c r="C28" s="88" t="s">
        <v>268</v>
      </c>
      <c r="D28" s="89" t="s">
        <v>269</v>
      </c>
      <c r="E28" s="90">
        <v>1925835</v>
      </c>
      <c r="F28" s="90">
        <v>2011935</v>
      </c>
      <c r="G28" s="90">
        <v>1834653.71</v>
      </c>
    </row>
    <row r="29" spans="2:7" s="76" customFormat="1" x14ac:dyDescent="0.25">
      <c r="B29" s="87"/>
      <c r="C29" s="88" t="s">
        <v>270</v>
      </c>
      <c r="D29" s="89" t="s">
        <v>271</v>
      </c>
      <c r="E29" s="90">
        <v>987000</v>
      </c>
      <c r="F29" s="90">
        <v>984700</v>
      </c>
      <c r="G29" s="90">
        <v>795630.86</v>
      </c>
    </row>
    <row r="30" spans="2:7" s="76" customFormat="1" x14ac:dyDescent="0.25">
      <c r="B30" s="87"/>
      <c r="C30" s="88" t="s">
        <v>272</v>
      </c>
      <c r="D30" s="89" t="s">
        <v>265</v>
      </c>
      <c r="E30" s="90">
        <v>694425</v>
      </c>
      <c r="F30" s="90">
        <v>730975</v>
      </c>
      <c r="G30" s="90">
        <v>553335.29</v>
      </c>
    </row>
    <row r="31" spans="2:7" s="76" customFormat="1" x14ac:dyDescent="0.25">
      <c r="B31" s="85" t="s">
        <v>532</v>
      </c>
      <c r="C31" s="649" t="s">
        <v>534</v>
      </c>
      <c r="D31" s="649"/>
      <c r="E31" s="86">
        <f>E32</f>
        <v>7000</v>
      </c>
      <c r="F31" s="86">
        <f>F32</f>
        <v>7000</v>
      </c>
      <c r="G31" s="86">
        <f t="shared" ref="G31" si="0">G32</f>
        <v>5752.2</v>
      </c>
    </row>
    <row r="32" spans="2:7" s="76" customFormat="1" x14ac:dyDescent="0.25">
      <c r="B32" s="87"/>
      <c r="C32" s="88" t="s">
        <v>533</v>
      </c>
      <c r="D32" s="89" t="s">
        <v>535</v>
      </c>
      <c r="E32" s="90">
        <v>7000</v>
      </c>
      <c r="F32" s="90">
        <v>7000</v>
      </c>
      <c r="G32" s="90">
        <v>5752.2</v>
      </c>
    </row>
    <row r="33" spans="2:7" s="76" customFormat="1" x14ac:dyDescent="0.25">
      <c r="B33" s="85" t="s">
        <v>273</v>
      </c>
      <c r="C33" s="649" t="s">
        <v>274</v>
      </c>
      <c r="D33" s="649"/>
      <c r="E33" s="86">
        <f>SUM(E34:E37)</f>
        <v>5370485</v>
      </c>
      <c r="F33" s="86">
        <f>SUM(F34:F37)</f>
        <v>6331025</v>
      </c>
      <c r="G33" s="86">
        <f>SUM(G34:G37)</f>
        <v>5256930.0399999991</v>
      </c>
    </row>
    <row r="34" spans="2:7" s="76" customFormat="1" ht="15" customHeight="1" x14ac:dyDescent="0.25">
      <c r="B34" s="87"/>
      <c r="C34" s="88" t="s">
        <v>275</v>
      </c>
      <c r="D34" s="89" t="s">
        <v>276</v>
      </c>
      <c r="E34" s="90">
        <v>2915730</v>
      </c>
      <c r="F34" s="90">
        <v>2947830</v>
      </c>
      <c r="G34" s="90">
        <v>2584424.13</v>
      </c>
    </row>
    <row r="35" spans="2:7" s="76" customFormat="1" x14ac:dyDescent="0.25">
      <c r="B35" s="87"/>
      <c r="C35" s="88" t="s">
        <v>277</v>
      </c>
      <c r="D35" s="89" t="s">
        <v>278</v>
      </c>
      <c r="E35" s="90">
        <v>2181120</v>
      </c>
      <c r="F35" s="90">
        <v>3065860</v>
      </c>
      <c r="G35" s="90">
        <v>2420098.0699999998</v>
      </c>
    </row>
    <row r="36" spans="2:7" s="76" customFormat="1" x14ac:dyDescent="0.25">
      <c r="B36" s="87"/>
      <c r="C36" s="88" t="s">
        <v>279</v>
      </c>
      <c r="D36" s="89" t="s">
        <v>280</v>
      </c>
      <c r="E36" s="90">
        <v>35085</v>
      </c>
      <c r="F36" s="90">
        <v>36685</v>
      </c>
      <c r="G36" s="90">
        <v>32649.74</v>
      </c>
    </row>
    <row r="37" spans="2:7" s="76" customFormat="1" x14ac:dyDescent="0.25">
      <c r="B37" s="87"/>
      <c r="C37" s="88" t="s">
        <v>281</v>
      </c>
      <c r="D37" s="89" t="s">
        <v>282</v>
      </c>
      <c r="E37" s="90">
        <v>238550</v>
      </c>
      <c r="F37" s="90">
        <v>280650</v>
      </c>
      <c r="G37" s="90">
        <v>219758.1</v>
      </c>
    </row>
    <row r="38" spans="2:7" s="76" customFormat="1" x14ac:dyDescent="0.25">
      <c r="B38" s="85" t="s">
        <v>283</v>
      </c>
      <c r="C38" s="649" t="s">
        <v>284</v>
      </c>
      <c r="D38" s="649"/>
      <c r="E38" s="86">
        <f>SUM(E39:E47)</f>
        <v>34704714</v>
      </c>
      <c r="F38" s="86">
        <f>SUM(F39:F47)</f>
        <v>36729650</v>
      </c>
      <c r="G38" s="86">
        <f>SUM(G39:G47)</f>
        <v>34934425.739999995</v>
      </c>
    </row>
    <row r="39" spans="2:7" s="76" customFormat="1" ht="25.5" x14ac:dyDescent="0.25">
      <c r="B39" s="87"/>
      <c r="C39" s="88" t="s">
        <v>285</v>
      </c>
      <c r="D39" s="89" t="s">
        <v>286</v>
      </c>
      <c r="E39" s="90">
        <v>7768835</v>
      </c>
      <c r="F39" s="90">
        <v>8344670</v>
      </c>
      <c r="G39" s="90">
        <v>7962967.1299999999</v>
      </c>
    </row>
    <row r="40" spans="2:7" s="76" customFormat="1" ht="20.25" customHeight="1" x14ac:dyDescent="0.25">
      <c r="B40" s="87"/>
      <c r="C40" s="88" t="s">
        <v>287</v>
      </c>
      <c r="D40" s="89" t="s">
        <v>288</v>
      </c>
      <c r="E40" s="90">
        <v>5711592</v>
      </c>
      <c r="F40" s="90">
        <v>5908801</v>
      </c>
      <c r="G40" s="90">
        <v>5691096.7599999998</v>
      </c>
    </row>
    <row r="41" spans="2:7" s="76" customFormat="1" ht="25.5" x14ac:dyDescent="0.25">
      <c r="B41" s="87"/>
      <c r="C41" s="88" t="s">
        <v>289</v>
      </c>
      <c r="D41" s="89" t="s">
        <v>290</v>
      </c>
      <c r="E41" s="90">
        <v>9981679</v>
      </c>
      <c r="F41" s="90">
        <v>11457365</v>
      </c>
      <c r="G41" s="90">
        <v>10818306.18</v>
      </c>
    </row>
    <row r="42" spans="2:7" s="76" customFormat="1" x14ac:dyDescent="0.25">
      <c r="B42" s="87"/>
      <c r="C42" s="88" t="s">
        <v>291</v>
      </c>
      <c r="D42" s="88" t="s">
        <v>292</v>
      </c>
      <c r="E42" s="90">
        <v>5576241</v>
      </c>
      <c r="F42" s="90">
        <v>5570692</v>
      </c>
      <c r="G42" s="90">
        <v>5474769.0800000001</v>
      </c>
    </row>
    <row r="43" spans="2:7" s="76" customFormat="1" x14ac:dyDescent="0.25">
      <c r="B43" s="87"/>
      <c r="C43" s="88" t="s">
        <v>293</v>
      </c>
      <c r="D43" s="89" t="s">
        <v>294</v>
      </c>
      <c r="E43" s="90">
        <f>5570197-E44-E45-E46</f>
        <v>388010</v>
      </c>
      <c r="F43" s="90">
        <f>5353072-F44-F45-F46</f>
        <v>0</v>
      </c>
      <c r="G43" s="90">
        <f>4896071.43-G44-G45-G46</f>
        <v>0</v>
      </c>
    </row>
    <row r="44" spans="2:7" s="76" customFormat="1" ht="12.75" customHeight="1" x14ac:dyDescent="0.25">
      <c r="B44" s="87"/>
      <c r="C44" s="88" t="s">
        <v>295</v>
      </c>
      <c r="D44" s="89" t="s">
        <v>294</v>
      </c>
      <c r="E44" s="90">
        <v>1993711</v>
      </c>
      <c r="F44" s="90">
        <v>1960520</v>
      </c>
      <c r="G44" s="90">
        <v>1660629.79</v>
      </c>
    </row>
    <row r="45" spans="2:7" s="76" customFormat="1" ht="12" customHeight="1" x14ac:dyDescent="0.25">
      <c r="B45" s="87"/>
      <c r="C45" s="88" t="s">
        <v>296</v>
      </c>
      <c r="D45" s="89" t="s">
        <v>297</v>
      </c>
      <c r="E45" s="90">
        <v>1377016</v>
      </c>
      <c r="F45" s="90">
        <v>1482897</v>
      </c>
      <c r="G45" s="90">
        <v>1383899.59</v>
      </c>
    </row>
    <row r="46" spans="2:7" s="76" customFormat="1" x14ac:dyDescent="0.25">
      <c r="B46" s="87"/>
      <c r="C46" s="88" t="s">
        <v>298</v>
      </c>
      <c r="D46" s="89" t="s">
        <v>299</v>
      </c>
      <c r="E46" s="90">
        <v>1811460</v>
      </c>
      <c r="F46" s="90">
        <v>1909655</v>
      </c>
      <c r="G46" s="90">
        <v>1851542.05</v>
      </c>
    </row>
    <row r="47" spans="2:7" s="76" customFormat="1" x14ac:dyDescent="0.25">
      <c r="B47" s="87"/>
      <c r="C47" s="88" t="s">
        <v>300</v>
      </c>
      <c r="D47" s="89" t="s">
        <v>301</v>
      </c>
      <c r="E47" s="90">
        <v>96170</v>
      </c>
      <c r="F47" s="90">
        <v>95050</v>
      </c>
      <c r="G47" s="90">
        <v>91215.16</v>
      </c>
    </row>
    <row r="48" spans="2:7" s="76" customFormat="1" x14ac:dyDescent="0.25">
      <c r="B48" s="85">
        <v>10</v>
      </c>
      <c r="C48" s="649" t="s">
        <v>302</v>
      </c>
      <c r="D48" s="649"/>
      <c r="E48" s="86">
        <f>SUM(E49:E53)</f>
        <v>5563300</v>
      </c>
      <c r="F48" s="86">
        <f>SUM(F49:F53)</f>
        <v>7383754</v>
      </c>
      <c r="G48" s="86">
        <f>SUM(G49:G53)</f>
        <v>6686149.5700000003</v>
      </c>
    </row>
    <row r="49" spans="2:8" s="76" customFormat="1" x14ac:dyDescent="0.25">
      <c r="B49" s="94"/>
      <c r="C49" s="88" t="s">
        <v>303</v>
      </c>
      <c r="D49" s="89" t="s">
        <v>304</v>
      </c>
      <c r="E49" s="90">
        <v>3396095</v>
      </c>
      <c r="F49" s="90">
        <v>3511665</v>
      </c>
      <c r="G49" s="90">
        <v>3221704.66</v>
      </c>
    </row>
    <row r="50" spans="2:8" s="76" customFormat="1" x14ac:dyDescent="0.25">
      <c r="B50" s="87"/>
      <c r="C50" s="88" t="s">
        <v>305</v>
      </c>
      <c r="D50" s="89" t="s">
        <v>306</v>
      </c>
      <c r="E50" s="90">
        <v>1323495</v>
      </c>
      <c r="F50" s="90">
        <v>1368245</v>
      </c>
      <c r="G50" s="90">
        <v>1210980.6599999999</v>
      </c>
    </row>
    <row r="51" spans="2:8" s="76" customFormat="1" x14ac:dyDescent="0.25">
      <c r="B51" s="87"/>
      <c r="C51" s="88" t="s">
        <v>307</v>
      </c>
      <c r="D51" s="89" t="s">
        <v>308</v>
      </c>
      <c r="E51" s="90">
        <v>331630</v>
      </c>
      <c r="F51" s="90">
        <v>612514</v>
      </c>
      <c r="G51" s="90">
        <v>576499.96</v>
      </c>
    </row>
    <row r="52" spans="2:8" s="76" customFormat="1" ht="25.5" x14ac:dyDescent="0.25">
      <c r="B52" s="87"/>
      <c r="C52" s="88" t="s">
        <v>309</v>
      </c>
      <c r="D52" s="89" t="s">
        <v>310</v>
      </c>
      <c r="E52" s="90">
        <v>156500</v>
      </c>
      <c r="F52" s="90">
        <v>1486950</v>
      </c>
      <c r="G52" s="90">
        <v>1288131.67</v>
      </c>
    </row>
    <row r="53" spans="2:8" s="76" customFormat="1" x14ac:dyDescent="0.25">
      <c r="B53" s="95"/>
      <c r="C53" s="96" t="s">
        <v>311</v>
      </c>
      <c r="D53" s="96" t="s">
        <v>312</v>
      </c>
      <c r="E53" s="97">
        <v>355580</v>
      </c>
      <c r="F53" s="97">
        <v>404380</v>
      </c>
      <c r="G53" s="97">
        <v>388832.62</v>
      </c>
    </row>
    <row r="54" spans="2:8" s="76" customFormat="1" x14ac:dyDescent="0.2">
      <c r="B54" s="35"/>
      <c r="C54" s="98"/>
      <c r="D54" s="35"/>
      <c r="E54" s="35"/>
      <c r="F54" s="35"/>
      <c r="G54" s="35"/>
    </row>
    <row r="55" spans="2:8" s="76" customFormat="1" x14ac:dyDescent="0.2">
      <c r="B55" s="35"/>
      <c r="C55" s="98"/>
      <c r="D55" s="35"/>
      <c r="E55" s="35"/>
      <c r="F55" s="99"/>
      <c r="G55" s="99"/>
    </row>
    <row r="56" spans="2:8" s="76" customFormat="1" x14ac:dyDescent="0.2">
      <c r="B56" s="35"/>
      <c r="C56" s="98"/>
      <c r="D56" s="35"/>
      <c r="E56" s="35"/>
      <c r="F56" s="35"/>
      <c r="G56" s="99"/>
    </row>
    <row r="57" spans="2:8" s="76" customFormat="1" x14ac:dyDescent="0.2">
      <c r="B57" s="35"/>
      <c r="C57" s="98"/>
      <c r="D57" s="35"/>
      <c r="E57" s="35"/>
      <c r="F57" s="35"/>
      <c r="G57" s="35"/>
    </row>
    <row r="58" spans="2:8" s="76" customFormat="1" ht="26.25" customHeight="1" x14ac:dyDescent="0.2">
      <c r="B58" s="35"/>
      <c r="C58" s="98"/>
      <c r="D58" s="35"/>
      <c r="E58" s="35"/>
      <c r="F58" s="35"/>
      <c r="G58" s="35"/>
    </row>
    <row r="59" spans="2:8" s="76" customFormat="1" x14ac:dyDescent="0.2">
      <c r="B59" s="35"/>
      <c r="C59" s="98"/>
      <c r="D59" s="35"/>
      <c r="E59" s="35"/>
      <c r="F59" s="36"/>
      <c r="G59" s="35"/>
    </row>
    <row r="60" spans="2:8" s="76" customFormat="1" x14ac:dyDescent="0.2">
      <c r="B60" s="35"/>
      <c r="C60" s="98"/>
      <c r="D60" s="35"/>
      <c r="E60" s="35"/>
      <c r="F60" s="36"/>
      <c r="G60" s="35"/>
    </row>
    <row r="61" spans="2:8" s="1" customFormat="1" ht="14.25" x14ac:dyDescent="0.2">
      <c r="B61" s="35"/>
      <c r="C61" s="98"/>
      <c r="D61" s="35"/>
      <c r="E61" s="35"/>
      <c r="F61" s="36"/>
      <c r="G61" s="35"/>
      <c r="H61" s="35"/>
    </row>
    <row r="62" spans="2:8" s="1" customFormat="1" ht="14.25" x14ac:dyDescent="0.2">
      <c r="B62" s="35"/>
      <c r="C62" s="98"/>
      <c r="D62" s="35"/>
      <c r="E62" s="35"/>
      <c r="F62" s="36"/>
      <c r="G62" s="35"/>
      <c r="H62" s="35"/>
    </row>
    <row r="63" spans="2:8" s="1" customFormat="1" ht="14.25" x14ac:dyDescent="0.2">
      <c r="B63" s="35"/>
      <c r="C63" s="98"/>
      <c r="D63" s="35"/>
      <c r="E63" s="35"/>
      <c r="F63" s="36"/>
      <c r="G63" s="35"/>
      <c r="H63" s="35"/>
    </row>
    <row r="64" spans="2:8" s="1" customFormat="1" ht="14.25" x14ac:dyDescent="0.2">
      <c r="B64" s="35"/>
      <c r="C64" s="98"/>
      <c r="D64" s="35"/>
      <c r="E64" s="35"/>
      <c r="F64" s="100"/>
      <c r="G64" s="35"/>
      <c r="H64" s="35"/>
    </row>
  </sheetData>
  <mergeCells count="13">
    <mergeCell ref="C48:D48"/>
    <mergeCell ref="B3:G3"/>
    <mergeCell ref="B5:D5"/>
    <mergeCell ref="B6:D6"/>
    <mergeCell ref="C7:D7"/>
    <mergeCell ref="C13:D13"/>
    <mergeCell ref="C15:D15"/>
    <mergeCell ref="C18:D18"/>
    <mergeCell ref="C23:D23"/>
    <mergeCell ref="C26:D26"/>
    <mergeCell ref="C33:D33"/>
    <mergeCell ref="C38:D38"/>
    <mergeCell ref="C31:D31"/>
  </mergeCells>
  <pageMargins left="0.55118110236220474" right="0.19685039370078741" top="0.51181102362204722" bottom="0.39370078740157483" header="0.27559055118110237" footer="0.31496062992125984"/>
  <pageSetup paperSize="9" scale="97" fitToWidth="0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I40"/>
  <sheetViews>
    <sheetView workbookViewId="0"/>
  </sheetViews>
  <sheetFormatPr defaultRowHeight="12.75" x14ac:dyDescent="0.2"/>
  <cols>
    <col min="1" max="1" width="14.42578125" style="35" customWidth="1"/>
    <col min="2" max="2" width="3.42578125" style="35" customWidth="1"/>
    <col min="3" max="3" width="8.7109375" style="125" customWidth="1"/>
    <col min="4" max="4" width="33.140625" style="35" customWidth="1"/>
    <col min="5" max="5" width="14.42578125" style="35" customWidth="1"/>
    <col min="6" max="6" width="14.5703125" style="35" customWidth="1"/>
    <col min="7" max="7" width="16" style="35" customWidth="1"/>
    <col min="8" max="8" width="8.85546875" style="35" customWidth="1"/>
    <col min="9" max="9" width="9.140625" style="35" customWidth="1"/>
    <col min="10" max="16384" width="9.140625" style="35"/>
  </cols>
  <sheetData>
    <row r="1" spans="2:9" x14ac:dyDescent="0.2">
      <c r="F1" s="36"/>
      <c r="G1" s="36"/>
    </row>
    <row r="2" spans="2:9" ht="14.25" x14ac:dyDescent="0.2">
      <c r="C2" s="2"/>
      <c r="D2" s="103"/>
      <c r="E2" s="84"/>
      <c r="F2" s="84"/>
      <c r="G2" s="81" t="s">
        <v>313</v>
      </c>
    </row>
    <row r="3" spans="2:9" ht="14.25" x14ac:dyDescent="0.2">
      <c r="C3" s="2"/>
      <c r="D3" s="103"/>
      <c r="E3" s="8"/>
      <c r="F3" s="8"/>
      <c r="G3" s="84"/>
    </row>
    <row r="4" spans="2:9" ht="18" x14ac:dyDescent="0.2">
      <c r="B4" s="572" t="s">
        <v>957</v>
      </c>
      <c r="C4" s="572"/>
      <c r="D4" s="572"/>
      <c r="E4" s="572"/>
      <c r="F4" s="572"/>
      <c r="G4" s="572"/>
    </row>
    <row r="5" spans="2:9" ht="20.25" x14ac:dyDescent="0.2">
      <c r="C5" s="104"/>
      <c r="D5" s="104"/>
      <c r="E5" s="104"/>
      <c r="F5" s="104"/>
      <c r="G5" s="104"/>
    </row>
    <row r="6" spans="2:9" ht="30" customHeight="1" x14ac:dyDescent="0.2">
      <c r="B6" s="654" t="s">
        <v>0</v>
      </c>
      <c r="C6" s="654"/>
      <c r="D6" s="654"/>
      <c r="E6" s="105" t="s">
        <v>224</v>
      </c>
      <c r="F6" s="105" t="s">
        <v>225</v>
      </c>
      <c r="G6" s="105" t="s">
        <v>226</v>
      </c>
    </row>
    <row r="7" spans="2:9" s="8" customFormat="1" ht="17.25" customHeight="1" x14ac:dyDescent="0.25">
      <c r="B7" s="655" t="s">
        <v>314</v>
      </c>
      <c r="C7" s="655"/>
      <c r="D7" s="655"/>
      <c r="E7" s="106">
        <f>E8+E13+E17+E19+E23+E27+E10+E34</f>
        <v>83820867</v>
      </c>
      <c r="F7" s="106">
        <f>F8+F13+F17+F19+F23+F27+F10+F34</f>
        <v>91104777</v>
      </c>
      <c r="G7" s="106">
        <f>G8+G13+G17+G19+G23+G27+G10+G34</f>
        <v>9781610.8900000006</v>
      </c>
      <c r="I7" s="84"/>
    </row>
    <row r="8" spans="2:9" ht="14.25" customHeight="1" x14ac:dyDescent="0.2">
      <c r="B8" s="107" t="s">
        <v>228</v>
      </c>
      <c r="C8" s="652" t="s">
        <v>229</v>
      </c>
      <c r="D8" s="652"/>
      <c r="E8" s="109">
        <f>E9</f>
        <v>2803691</v>
      </c>
      <c r="F8" s="109">
        <f>F9</f>
        <v>2192429</v>
      </c>
      <c r="G8" s="109">
        <f>G9</f>
        <v>633879.03</v>
      </c>
    </row>
    <row r="9" spans="2:9" ht="15" customHeight="1" x14ac:dyDescent="0.2">
      <c r="B9" s="110"/>
      <c r="C9" s="111" t="s">
        <v>230</v>
      </c>
      <c r="D9" s="89" t="s">
        <v>231</v>
      </c>
      <c r="E9" s="90">
        <v>2803691</v>
      </c>
      <c r="F9" s="90">
        <v>2192429</v>
      </c>
      <c r="G9" s="90">
        <v>633879.03</v>
      </c>
    </row>
    <row r="10" spans="2:9" ht="12.75" customHeight="1" x14ac:dyDescent="0.2">
      <c r="B10" s="112" t="s">
        <v>242</v>
      </c>
      <c r="C10" s="653" t="s">
        <v>243</v>
      </c>
      <c r="D10" s="653"/>
      <c r="E10" s="114">
        <f>E11+E12</f>
        <v>26700</v>
      </c>
      <c r="F10" s="114">
        <f t="shared" ref="F10:G10" si="0">F11+F12</f>
        <v>82570</v>
      </c>
      <c r="G10" s="114">
        <f t="shared" si="0"/>
        <v>63032.840000000004</v>
      </c>
    </row>
    <row r="11" spans="2:9" x14ac:dyDescent="0.2">
      <c r="B11" s="87"/>
      <c r="C11" s="111" t="s">
        <v>244</v>
      </c>
      <c r="D11" s="89" t="s">
        <v>245</v>
      </c>
      <c r="E11" s="115">
        <v>26700</v>
      </c>
      <c r="F11" s="115">
        <v>71400</v>
      </c>
      <c r="G11" s="115">
        <v>51868.83</v>
      </c>
    </row>
    <row r="12" spans="2:9" x14ac:dyDescent="0.2">
      <c r="B12" s="87"/>
      <c r="C12" s="111" t="s">
        <v>246</v>
      </c>
      <c r="D12" s="89" t="s">
        <v>247</v>
      </c>
      <c r="E12" s="115">
        <v>0</v>
      </c>
      <c r="F12" s="115">
        <v>11170</v>
      </c>
      <c r="G12" s="115">
        <v>11164.01</v>
      </c>
    </row>
    <row r="13" spans="2:9" x14ac:dyDescent="0.2">
      <c r="B13" s="107" t="s">
        <v>248</v>
      </c>
      <c r="C13" s="652" t="s">
        <v>249</v>
      </c>
      <c r="D13" s="652"/>
      <c r="E13" s="109">
        <f>SUM(E14:E16)</f>
        <v>2607347</v>
      </c>
      <c r="F13" s="109">
        <f t="shared" ref="F13:G13" si="1">SUM(F14:F16)</f>
        <v>3968470</v>
      </c>
      <c r="G13" s="109">
        <f t="shared" si="1"/>
        <v>1961843.6400000001</v>
      </c>
    </row>
    <row r="14" spans="2:9" x14ac:dyDescent="0.2">
      <c r="B14" s="88"/>
      <c r="C14" s="111" t="s">
        <v>250</v>
      </c>
      <c r="D14" s="89" t="s">
        <v>251</v>
      </c>
      <c r="E14" s="90">
        <v>0</v>
      </c>
      <c r="F14" s="90">
        <v>335800</v>
      </c>
      <c r="G14" s="90">
        <v>161527.07999999999</v>
      </c>
    </row>
    <row r="15" spans="2:9" s="1" customFormat="1" ht="12.75" customHeight="1" x14ac:dyDescent="0.2">
      <c r="B15" s="116"/>
      <c r="C15" s="111" t="s">
        <v>252</v>
      </c>
      <c r="D15" s="88" t="s">
        <v>253</v>
      </c>
      <c r="E15" s="93">
        <v>184000</v>
      </c>
      <c r="F15" s="93">
        <v>158000</v>
      </c>
      <c r="G15" s="93">
        <v>42426</v>
      </c>
    </row>
    <row r="16" spans="2:9" s="1" customFormat="1" ht="14.25" x14ac:dyDescent="0.2">
      <c r="B16" s="110"/>
      <c r="C16" s="117" t="s">
        <v>254</v>
      </c>
      <c r="D16" s="118" t="s">
        <v>255</v>
      </c>
      <c r="E16" s="93">
        <v>2423347</v>
      </c>
      <c r="F16" s="93">
        <v>3474670</v>
      </c>
      <c r="G16" s="93">
        <v>1757890.5600000001</v>
      </c>
    </row>
    <row r="17" spans="2:9" s="1" customFormat="1" ht="12.75" customHeight="1" x14ac:dyDescent="0.2">
      <c r="B17" s="107" t="s">
        <v>258</v>
      </c>
      <c r="C17" s="652" t="s">
        <v>259</v>
      </c>
      <c r="D17" s="652"/>
      <c r="E17" s="109">
        <f>E18</f>
        <v>13500</v>
      </c>
      <c r="F17" s="109">
        <f t="shared" ref="F17:G17" si="2">F18</f>
        <v>674900</v>
      </c>
      <c r="G17" s="109">
        <f t="shared" si="2"/>
        <v>123026.91</v>
      </c>
    </row>
    <row r="18" spans="2:9" s="1" customFormat="1" ht="14.25" x14ac:dyDescent="0.2">
      <c r="B18" s="110"/>
      <c r="C18" s="117" t="s">
        <v>260</v>
      </c>
      <c r="D18" s="118" t="s">
        <v>261</v>
      </c>
      <c r="E18" s="115">
        <v>13500</v>
      </c>
      <c r="F18" s="115">
        <v>674900</v>
      </c>
      <c r="G18" s="115">
        <v>123026.91</v>
      </c>
    </row>
    <row r="19" spans="2:9" s="1" customFormat="1" ht="14.25" x14ac:dyDescent="0.2">
      <c r="B19" s="107" t="s">
        <v>264</v>
      </c>
      <c r="C19" s="652" t="s">
        <v>265</v>
      </c>
      <c r="D19" s="652"/>
      <c r="E19" s="109">
        <f>SUM(E20:E22)</f>
        <v>18178040</v>
      </c>
      <c r="F19" s="109">
        <f>SUM(F20:F22)</f>
        <v>19045001</v>
      </c>
      <c r="G19" s="109">
        <f t="shared" ref="G19" si="3">SUM(G20:G22)</f>
        <v>1824067.46</v>
      </c>
    </row>
    <row r="20" spans="2:9" s="1" customFormat="1" ht="12.75" customHeight="1" x14ac:dyDescent="0.2">
      <c r="B20" s="110"/>
      <c r="C20" s="117" t="s">
        <v>268</v>
      </c>
      <c r="D20" s="118" t="s">
        <v>269</v>
      </c>
      <c r="E20" s="115">
        <v>926745</v>
      </c>
      <c r="F20" s="115">
        <v>1277385</v>
      </c>
      <c r="G20" s="115">
        <v>908042.59</v>
      </c>
    </row>
    <row r="21" spans="2:9" s="1" customFormat="1" ht="12.75" customHeight="1" x14ac:dyDescent="0.2">
      <c r="B21" s="110"/>
      <c r="C21" s="117" t="s">
        <v>270</v>
      </c>
      <c r="D21" s="118" t="s">
        <v>271</v>
      </c>
      <c r="E21" s="115">
        <v>14961700</v>
      </c>
      <c r="F21" s="115">
        <v>15089800</v>
      </c>
      <c r="G21" s="115">
        <v>160013.82</v>
      </c>
    </row>
    <row r="22" spans="2:9" s="1" customFormat="1" ht="12.75" customHeight="1" x14ac:dyDescent="0.2">
      <c r="B22" s="110"/>
      <c r="C22" s="111" t="s">
        <v>272</v>
      </c>
      <c r="D22" s="89" t="s">
        <v>265</v>
      </c>
      <c r="E22" s="90">
        <v>2289595</v>
      </c>
      <c r="F22" s="90">
        <v>2677816</v>
      </c>
      <c r="G22" s="90">
        <v>756011.05</v>
      </c>
    </row>
    <row r="23" spans="2:9" s="1" customFormat="1" ht="16.5" customHeight="1" x14ac:dyDescent="0.2">
      <c r="B23" s="112" t="s">
        <v>273</v>
      </c>
      <c r="C23" s="653" t="s">
        <v>274</v>
      </c>
      <c r="D23" s="653"/>
      <c r="E23" s="114">
        <f>SUM(E24:E26)</f>
        <v>57129128</v>
      </c>
      <c r="F23" s="114">
        <f>SUM(F24:F26)</f>
        <v>61630162</v>
      </c>
      <c r="G23" s="114">
        <f>SUM(G24:G26)</f>
        <v>3591535.42</v>
      </c>
      <c r="I23" s="4"/>
    </row>
    <row r="24" spans="2:9" s="1" customFormat="1" ht="14.25" x14ac:dyDescent="0.2">
      <c r="B24" s="110"/>
      <c r="C24" s="117" t="s">
        <v>275</v>
      </c>
      <c r="D24" s="118" t="s">
        <v>276</v>
      </c>
      <c r="E24" s="115">
        <v>48452429</v>
      </c>
      <c r="F24" s="115">
        <v>49803701</v>
      </c>
      <c r="G24" s="115">
        <v>3135444.14</v>
      </c>
    </row>
    <row r="25" spans="2:9" s="1" customFormat="1" ht="14.25" x14ac:dyDescent="0.2">
      <c r="B25" s="87"/>
      <c r="C25" s="111" t="s">
        <v>277</v>
      </c>
      <c r="D25" s="89" t="s">
        <v>315</v>
      </c>
      <c r="E25" s="115">
        <v>8371139</v>
      </c>
      <c r="F25" s="115">
        <v>11471201</v>
      </c>
      <c r="G25" s="115">
        <v>222125.94</v>
      </c>
    </row>
    <row r="26" spans="2:9" s="1" customFormat="1" ht="14.25" x14ac:dyDescent="0.2">
      <c r="B26" s="110"/>
      <c r="C26" s="117" t="s">
        <v>281</v>
      </c>
      <c r="D26" s="118" t="s">
        <v>316</v>
      </c>
      <c r="E26" s="115">
        <v>305560</v>
      </c>
      <c r="F26" s="115">
        <v>355260</v>
      </c>
      <c r="G26" s="115">
        <v>233965.34</v>
      </c>
    </row>
    <row r="27" spans="2:9" s="1" customFormat="1" ht="21.75" customHeight="1" x14ac:dyDescent="0.2">
      <c r="B27" s="112" t="s">
        <v>283</v>
      </c>
      <c r="C27" s="653" t="s">
        <v>284</v>
      </c>
      <c r="D27" s="653"/>
      <c r="E27" s="114">
        <f>SUM(E28:E33)</f>
        <v>2522461</v>
      </c>
      <c r="F27" s="114">
        <f>SUM(F28:F33)</f>
        <v>2709535</v>
      </c>
      <c r="G27" s="114">
        <f>SUM(G28:G33)</f>
        <v>1133711.04</v>
      </c>
      <c r="I27" s="4"/>
    </row>
    <row r="28" spans="2:9" s="1" customFormat="1" ht="25.5" x14ac:dyDescent="0.2">
      <c r="B28" s="110"/>
      <c r="C28" s="111" t="s">
        <v>285</v>
      </c>
      <c r="D28" s="88" t="s">
        <v>286</v>
      </c>
      <c r="E28" s="90">
        <v>198000</v>
      </c>
      <c r="F28" s="90">
        <v>201966</v>
      </c>
      <c r="G28" s="90">
        <v>181303.18</v>
      </c>
    </row>
    <row r="29" spans="2:9" s="1" customFormat="1" ht="25.5" x14ac:dyDescent="0.2">
      <c r="B29" s="110"/>
      <c r="C29" s="111" t="s">
        <v>289</v>
      </c>
      <c r="D29" s="89" t="s">
        <v>290</v>
      </c>
      <c r="E29" s="90">
        <v>2264461</v>
      </c>
      <c r="F29" s="90">
        <v>2276246</v>
      </c>
      <c r="G29" s="90">
        <v>724693.86</v>
      </c>
    </row>
    <row r="30" spans="2:9" s="1" customFormat="1" ht="14.25" customHeight="1" x14ac:dyDescent="0.2">
      <c r="B30" s="110"/>
      <c r="C30" s="111" t="s">
        <v>291</v>
      </c>
      <c r="D30" s="89" t="s">
        <v>436</v>
      </c>
      <c r="E30" s="90">
        <v>60000</v>
      </c>
      <c r="F30" s="90">
        <v>61000</v>
      </c>
      <c r="G30" s="90">
        <v>60860</v>
      </c>
    </row>
    <row r="31" spans="2:9" s="1" customFormat="1" ht="14.25" customHeight="1" x14ac:dyDescent="0.2">
      <c r="B31" s="110"/>
      <c r="C31" s="111" t="s">
        <v>295</v>
      </c>
      <c r="D31" s="89" t="s">
        <v>294</v>
      </c>
      <c r="E31" s="90">
        <v>0</v>
      </c>
      <c r="F31" s="90">
        <v>40000</v>
      </c>
      <c r="G31" s="90">
        <v>39657</v>
      </c>
    </row>
    <row r="32" spans="2:9" s="1" customFormat="1" ht="14.25" customHeight="1" x14ac:dyDescent="0.2">
      <c r="B32" s="110"/>
      <c r="C32" s="111" t="s">
        <v>296</v>
      </c>
      <c r="D32" s="89" t="s">
        <v>297</v>
      </c>
      <c r="E32" s="90">
        <v>0</v>
      </c>
      <c r="F32" s="90">
        <v>5511</v>
      </c>
      <c r="G32" s="90">
        <v>5511</v>
      </c>
    </row>
    <row r="33" spans="2:7" s="1" customFormat="1" ht="14.25" x14ac:dyDescent="0.2">
      <c r="B33" s="110"/>
      <c r="C33" s="111" t="s">
        <v>298</v>
      </c>
      <c r="D33" s="89" t="s">
        <v>299</v>
      </c>
      <c r="E33" s="90">
        <v>0</v>
      </c>
      <c r="F33" s="90">
        <v>124812</v>
      </c>
      <c r="G33" s="90">
        <v>121686</v>
      </c>
    </row>
    <row r="34" spans="2:7" s="1" customFormat="1" ht="14.25" x14ac:dyDescent="0.2">
      <c r="B34" s="112" t="s">
        <v>317</v>
      </c>
      <c r="C34" s="653" t="s">
        <v>302</v>
      </c>
      <c r="D34" s="653"/>
      <c r="E34" s="114">
        <f>SUM(E35:E37)</f>
        <v>540000</v>
      </c>
      <c r="F34" s="114">
        <f>SUM(F35:F37)</f>
        <v>801710</v>
      </c>
      <c r="G34" s="114">
        <f>SUM(G35:G37)</f>
        <v>450514.55000000005</v>
      </c>
    </row>
    <row r="35" spans="2:7" s="1" customFormat="1" ht="14.25" x14ac:dyDescent="0.2">
      <c r="B35" s="110"/>
      <c r="C35" s="111" t="s">
        <v>305</v>
      </c>
      <c r="D35" s="89" t="s">
        <v>423</v>
      </c>
      <c r="E35" s="90">
        <v>25000</v>
      </c>
      <c r="F35" s="90">
        <v>162700</v>
      </c>
      <c r="G35" s="90">
        <v>44148.02</v>
      </c>
    </row>
    <row r="36" spans="2:7" s="1" customFormat="1" ht="25.5" x14ac:dyDescent="0.2">
      <c r="B36" s="119"/>
      <c r="C36" s="120" t="s">
        <v>309</v>
      </c>
      <c r="D36" s="89" t="s">
        <v>310</v>
      </c>
      <c r="E36" s="121">
        <v>0</v>
      </c>
      <c r="F36" s="121">
        <v>6710</v>
      </c>
      <c r="G36" s="121">
        <v>6710</v>
      </c>
    </row>
    <row r="37" spans="2:7" s="1" customFormat="1" ht="30" customHeight="1" x14ac:dyDescent="0.2">
      <c r="B37" s="122"/>
      <c r="C37" s="123" t="s">
        <v>303</v>
      </c>
      <c r="D37" s="124" t="s">
        <v>318</v>
      </c>
      <c r="E37" s="97">
        <v>515000</v>
      </c>
      <c r="F37" s="97">
        <v>632300</v>
      </c>
      <c r="G37" s="97">
        <v>399656.53</v>
      </c>
    </row>
    <row r="39" spans="2:7" s="1" customFormat="1" ht="14.25" x14ac:dyDescent="0.2">
      <c r="B39" s="35"/>
      <c r="C39" s="125"/>
      <c r="D39" s="35"/>
      <c r="E39" s="35"/>
      <c r="F39" s="99"/>
      <c r="G39" s="35"/>
    </row>
    <row r="40" spans="2:7" s="1" customFormat="1" ht="14.25" x14ac:dyDescent="0.2">
      <c r="B40" s="35"/>
      <c r="C40" s="125"/>
      <c r="D40" s="35"/>
      <c r="E40" s="99"/>
      <c r="F40" s="35"/>
      <c r="G40" s="35"/>
    </row>
  </sheetData>
  <mergeCells count="11">
    <mergeCell ref="C13:D13"/>
    <mergeCell ref="B4:G4"/>
    <mergeCell ref="B6:D6"/>
    <mergeCell ref="B7:D7"/>
    <mergeCell ref="C8:D8"/>
    <mergeCell ref="C10:D10"/>
    <mergeCell ref="C17:D17"/>
    <mergeCell ref="C19:D19"/>
    <mergeCell ref="C23:D23"/>
    <mergeCell ref="C27:D27"/>
    <mergeCell ref="C34:D34"/>
  </mergeCells>
  <pageMargins left="0.63000000000000012" right="0.29000000000000004" top="0.96000000000000019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72"/>
  <sheetViews>
    <sheetView workbookViewId="0"/>
  </sheetViews>
  <sheetFormatPr defaultRowHeight="14.25" x14ac:dyDescent="0.2"/>
  <cols>
    <col min="1" max="1" width="5.140625" style="1" customWidth="1"/>
    <col min="2" max="2" width="24.140625" style="1" customWidth="1"/>
    <col min="3" max="3" width="13.28515625" style="1" customWidth="1"/>
    <col min="4" max="4" width="12.85546875" style="1" customWidth="1"/>
    <col min="5" max="5" width="12.7109375" style="1" customWidth="1"/>
    <col min="6" max="6" width="12.28515625" style="1" customWidth="1"/>
    <col min="7" max="7" width="13.5703125" style="1" customWidth="1"/>
    <col min="8" max="8" width="15.42578125" style="1" customWidth="1"/>
    <col min="9" max="9" width="11.42578125" style="1" customWidth="1"/>
    <col min="10" max="10" width="9.140625" style="1" customWidth="1"/>
    <col min="11" max="16384" width="9.140625" style="1"/>
  </cols>
  <sheetData>
    <row r="1" spans="2:13" x14ac:dyDescent="0.2">
      <c r="G1" s="35" t="s">
        <v>43</v>
      </c>
    </row>
    <row r="2" spans="2:13" ht="20.25" x14ac:dyDescent="0.3">
      <c r="B2" s="564" t="s">
        <v>44</v>
      </c>
      <c r="C2" s="564"/>
      <c r="D2" s="564"/>
      <c r="E2" s="564"/>
      <c r="F2" s="564"/>
      <c r="G2" s="564"/>
      <c r="H2" s="492"/>
    </row>
    <row r="3" spans="2:13" ht="36.75" customHeight="1" x14ac:dyDescent="0.2">
      <c r="B3" s="35"/>
      <c r="C3" s="35"/>
      <c r="D3" s="35"/>
      <c r="E3" s="35"/>
      <c r="F3" s="35"/>
      <c r="G3" s="35"/>
      <c r="H3" s="35"/>
    </row>
    <row r="4" spans="2:13" x14ac:dyDescent="0.2">
      <c r="B4" s="46" t="s">
        <v>458</v>
      </c>
      <c r="C4" s="46"/>
      <c r="D4" s="46"/>
      <c r="E4" s="47">
        <f>SUM(E5:E12)</f>
        <v>1240398.7399999998</v>
      </c>
      <c r="F4" s="35"/>
      <c r="G4" s="35"/>
      <c r="H4" s="35"/>
    </row>
    <row r="5" spans="2:13" x14ac:dyDescent="0.2">
      <c r="B5" s="566" t="s">
        <v>45</v>
      </c>
      <c r="C5" s="566"/>
      <c r="D5" s="566"/>
      <c r="E5" s="26">
        <v>72453.240000000005</v>
      </c>
      <c r="F5" s="35"/>
      <c r="G5" s="35"/>
      <c r="H5" s="35"/>
    </row>
    <row r="6" spans="2:13" ht="16.5" customHeight="1" x14ac:dyDescent="0.2">
      <c r="B6" s="566" t="s">
        <v>46</v>
      </c>
      <c r="C6" s="566"/>
      <c r="D6" s="566"/>
      <c r="E6" s="26">
        <v>61917.21</v>
      </c>
      <c r="F6" s="35"/>
      <c r="G6" s="35"/>
      <c r="H6" s="35"/>
    </row>
    <row r="7" spans="2:13" ht="15" customHeight="1" x14ac:dyDescent="0.2">
      <c r="B7" s="566" t="s">
        <v>47</v>
      </c>
      <c r="C7" s="566"/>
      <c r="D7" s="566"/>
      <c r="E7" s="26">
        <v>1066329.4099999999</v>
      </c>
      <c r="F7" s="35"/>
      <c r="G7" s="35"/>
      <c r="H7" s="35"/>
    </row>
    <row r="8" spans="2:13" ht="15" customHeight="1" x14ac:dyDescent="0.2">
      <c r="B8" s="566" t="s">
        <v>539</v>
      </c>
      <c r="C8" s="566"/>
      <c r="D8" s="566"/>
      <c r="E8" s="26">
        <v>35</v>
      </c>
      <c r="F8" s="35"/>
      <c r="G8" s="35"/>
      <c r="H8" s="35"/>
    </row>
    <row r="9" spans="2:13" ht="15" customHeight="1" x14ac:dyDescent="0.2">
      <c r="B9" s="566" t="s">
        <v>48</v>
      </c>
      <c r="C9" s="566"/>
      <c r="D9" s="566"/>
      <c r="E9" s="26">
        <f>2921.37+2114.62+3834.67</f>
        <v>8870.66</v>
      </c>
      <c r="F9" s="35"/>
      <c r="G9" s="35"/>
      <c r="H9" s="35"/>
    </row>
    <row r="10" spans="2:13" x14ac:dyDescent="0.2">
      <c r="B10" s="565" t="s">
        <v>49</v>
      </c>
      <c r="C10" s="565"/>
      <c r="D10" s="565"/>
      <c r="E10" s="48">
        <v>24552.39</v>
      </c>
      <c r="F10" s="35"/>
      <c r="G10" s="35"/>
      <c r="H10" s="35"/>
    </row>
    <row r="11" spans="2:13" x14ac:dyDescent="0.2">
      <c r="B11" s="25" t="s">
        <v>50</v>
      </c>
      <c r="C11" s="25"/>
      <c r="D11" s="25"/>
      <c r="E11" s="48">
        <v>1580.83</v>
      </c>
      <c r="F11" s="35"/>
      <c r="G11" s="35"/>
      <c r="H11" s="35"/>
    </row>
    <row r="12" spans="2:13" x14ac:dyDescent="0.2">
      <c r="B12" s="49" t="s">
        <v>51</v>
      </c>
      <c r="C12" s="49"/>
      <c r="D12" s="49"/>
      <c r="E12" s="50">
        <v>4660</v>
      </c>
      <c r="F12" s="35"/>
      <c r="G12" s="35"/>
      <c r="H12" s="35"/>
    </row>
    <row r="13" spans="2:13" ht="9.75" customHeight="1" x14ac:dyDescent="0.2">
      <c r="B13" s="51"/>
      <c r="C13" s="51"/>
      <c r="D13" s="51"/>
      <c r="E13" s="7"/>
      <c r="F13" s="35"/>
      <c r="G13" s="35"/>
      <c r="H13" s="35"/>
    </row>
    <row r="14" spans="2:13" ht="13.5" customHeight="1" x14ac:dyDescent="0.2">
      <c r="B14" s="35"/>
      <c r="C14" s="35"/>
      <c r="D14" s="35"/>
      <c r="E14" s="35"/>
      <c r="F14" s="35"/>
      <c r="G14" s="35"/>
      <c r="H14" s="35"/>
    </row>
    <row r="15" spans="2:13" s="2" customFormat="1" ht="63.75" x14ac:dyDescent="0.25">
      <c r="B15" s="52" t="s">
        <v>52</v>
      </c>
      <c r="C15" s="37" t="s">
        <v>459</v>
      </c>
      <c r="D15" s="37" t="s">
        <v>460</v>
      </c>
      <c r="E15" s="37" t="s">
        <v>461</v>
      </c>
      <c r="F15" s="37" t="s">
        <v>462</v>
      </c>
      <c r="G15" s="37" t="s">
        <v>463</v>
      </c>
      <c r="H15" s="53"/>
      <c r="I15" s="3"/>
      <c r="J15" s="454"/>
      <c r="K15" s="454"/>
      <c r="L15" s="454"/>
      <c r="M15" s="454"/>
    </row>
    <row r="16" spans="2:13" x14ac:dyDescent="0.2">
      <c r="B16" s="54" t="s">
        <v>53</v>
      </c>
      <c r="C16" s="55">
        <v>38019.49</v>
      </c>
      <c r="D16" s="55">
        <v>28937.01</v>
      </c>
      <c r="E16" s="55">
        <v>0</v>
      </c>
      <c r="F16" s="55">
        <v>44040.41</v>
      </c>
      <c r="G16" s="55">
        <v>103064.15</v>
      </c>
      <c r="H16" s="56"/>
      <c r="I16" s="4"/>
      <c r="J16" s="358"/>
      <c r="K16" s="358"/>
      <c r="L16" s="358"/>
      <c r="M16" s="358"/>
    </row>
    <row r="17" spans="2:13" x14ac:dyDescent="0.2">
      <c r="B17" s="54" t="s">
        <v>54</v>
      </c>
      <c r="C17" s="55">
        <v>13238.33</v>
      </c>
      <c r="D17" s="55">
        <v>11535.48</v>
      </c>
      <c r="E17" s="55">
        <v>0</v>
      </c>
      <c r="F17" s="55">
        <v>18435.45</v>
      </c>
      <c r="G17" s="55">
        <v>37893.08</v>
      </c>
      <c r="H17" s="56"/>
      <c r="I17" s="4"/>
      <c r="J17" s="358"/>
      <c r="K17" s="358"/>
      <c r="L17" s="358"/>
      <c r="M17" s="358"/>
    </row>
    <row r="18" spans="2:13" x14ac:dyDescent="0.2">
      <c r="B18" s="54" t="s">
        <v>55</v>
      </c>
      <c r="C18" s="55">
        <f>C19+C20+C21+C22+C23+C24</f>
        <v>12549.429999999998</v>
      </c>
      <c r="D18" s="55">
        <f>D19+D20+D21+D22+D23+D24</f>
        <v>45192.6</v>
      </c>
      <c r="E18" s="55">
        <f>E19+E20+E21+E22+E23+E24</f>
        <v>131.9</v>
      </c>
      <c r="F18" s="55">
        <f>F19+F20+F21+F22+F23+F24</f>
        <v>731583.97</v>
      </c>
      <c r="G18" s="55">
        <f>+G19+G20+G21+G22+G23+G24</f>
        <v>1975747.6900000002</v>
      </c>
      <c r="H18" s="56"/>
      <c r="I18" s="4"/>
      <c r="J18" s="358"/>
      <c r="K18" s="358"/>
      <c r="L18" s="358"/>
      <c r="M18" s="358"/>
    </row>
    <row r="19" spans="2:13" x14ac:dyDescent="0.2">
      <c r="B19" s="57" t="s">
        <v>56</v>
      </c>
      <c r="C19" s="26">
        <v>7151.59</v>
      </c>
      <c r="D19" s="26">
        <v>3304.7</v>
      </c>
      <c r="E19" s="26">
        <v>0</v>
      </c>
      <c r="F19" s="26">
        <v>606214.13</v>
      </c>
      <c r="G19" s="26">
        <v>383.91</v>
      </c>
      <c r="H19" s="58"/>
      <c r="I19" s="4"/>
    </row>
    <row r="20" spans="2:13" x14ac:dyDescent="0.2">
      <c r="B20" s="57" t="s">
        <v>57</v>
      </c>
      <c r="C20" s="26">
        <v>2298.39</v>
      </c>
      <c r="D20" s="26">
        <v>20723.009999999998</v>
      </c>
      <c r="E20" s="26">
        <v>0</v>
      </c>
      <c r="F20" s="26">
        <v>33344</v>
      </c>
      <c r="G20" s="26">
        <v>26921.31</v>
      </c>
      <c r="H20" s="58"/>
      <c r="I20" s="4"/>
    </row>
    <row r="21" spans="2:13" x14ac:dyDescent="0.2">
      <c r="B21" s="57" t="s">
        <v>58</v>
      </c>
      <c r="C21" s="26">
        <v>0</v>
      </c>
      <c r="D21" s="26">
        <v>0</v>
      </c>
      <c r="E21" s="26">
        <v>127.1</v>
      </c>
      <c r="F21" s="26">
        <v>6676.34</v>
      </c>
      <c r="G21" s="26">
        <v>15276.66</v>
      </c>
      <c r="H21" s="58"/>
      <c r="I21" s="4"/>
    </row>
    <row r="22" spans="2:13" ht="15" customHeight="1" x14ac:dyDescent="0.2">
      <c r="B22" s="57" t="s">
        <v>59</v>
      </c>
      <c r="C22" s="26">
        <v>1942.8</v>
      </c>
      <c r="D22" s="26">
        <v>83</v>
      </c>
      <c r="E22" s="26">
        <v>0</v>
      </c>
      <c r="F22" s="26">
        <v>19919.509999999998</v>
      </c>
      <c r="G22" s="26">
        <v>1922649.32</v>
      </c>
      <c r="H22" s="58"/>
      <c r="I22" s="4"/>
    </row>
    <row r="23" spans="2:13" x14ac:dyDescent="0.2">
      <c r="B23" s="57" t="s">
        <v>60</v>
      </c>
      <c r="C23" s="26">
        <v>0</v>
      </c>
      <c r="D23" s="26">
        <v>2318.54</v>
      </c>
      <c r="E23" s="26">
        <v>0</v>
      </c>
      <c r="F23" s="26">
        <v>0</v>
      </c>
      <c r="G23" s="26">
        <v>0</v>
      </c>
      <c r="H23" s="58"/>
      <c r="I23" s="4"/>
    </row>
    <row r="24" spans="2:13" x14ac:dyDescent="0.2">
      <c r="B24" s="57" t="s">
        <v>61</v>
      </c>
      <c r="C24" s="26">
        <v>1156.6500000000001</v>
      </c>
      <c r="D24" s="26">
        <v>18763.349999999999</v>
      </c>
      <c r="E24" s="26">
        <v>4.8</v>
      </c>
      <c r="F24" s="26">
        <v>65429.99</v>
      </c>
      <c r="G24" s="26">
        <v>10516.49</v>
      </c>
      <c r="H24" s="58"/>
      <c r="I24" s="4"/>
    </row>
    <row r="25" spans="2:13" x14ac:dyDescent="0.2">
      <c r="B25" s="54" t="s">
        <v>62</v>
      </c>
      <c r="C25" s="55">
        <v>2419.5</v>
      </c>
      <c r="D25" s="55">
        <v>1759.71</v>
      </c>
      <c r="E25" s="55"/>
      <c r="F25" s="55">
        <v>1571.03</v>
      </c>
      <c r="G25" s="55">
        <v>4665.99</v>
      </c>
      <c r="H25" s="56"/>
      <c r="I25" s="4"/>
    </row>
    <row r="26" spans="2:13" s="5" customFormat="1" ht="3.75" customHeight="1" x14ac:dyDescent="0.2">
      <c r="B26" s="59"/>
      <c r="C26" s="60"/>
      <c r="D26" s="60"/>
      <c r="E26" s="60"/>
      <c r="F26" s="60"/>
      <c r="G26" s="61"/>
      <c r="H26" s="62"/>
      <c r="I26" s="6"/>
    </row>
    <row r="27" spans="2:13" ht="20.25" customHeight="1" x14ac:dyDescent="0.2">
      <c r="B27" s="63" t="s">
        <v>63</v>
      </c>
      <c r="C27" s="32">
        <f>C16+C17+C18+C25</f>
        <v>66226.75</v>
      </c>
      <c r="D27" s="32">
        <f>D16+D17+D18+D25</f>
        <v>87424.8</v>
      </c>
      <c r="E27" s="32">
        <f>E16+E17+E18+E25</f>
        <v>131.9</v>
      </c>
      <c r="F27" s="32">
        <f>F16+F17+F18+F25</f>
        <v>795630.86</v>
      </c>
      <c r="G27" s="32">
        <f>G16+G17+G18+G25</f>
        <v>2121370.91</v>
      </c>
      <c r="H27" s="64"/>
      <c r="I27" s="7"/>
    </row>
    <row r="28" spans="2:13" s="8" customFormat="1" ht="25.5" x14ac:dyDescent="0.25">
      <c r="B28" s="63" t="s">
        <v>64</v>
      </c>
      <c r="C28" s="65">
        <v>0</v>
      </c>
      <c r="D28" s="65">
        <v>0</v>
      </c>
      <c r="E28" s="65">
        <v>0</v>
      </c>
      <c r="F28" s="65">
        <v>122015.02</v>
      </c>
      <c r="G28" s="65">
        <v>9456</v>
      </c>
      <c r="H28" s="66"/>
    </row>
    <row r="29" spans="2:13" x14ac:dyDescent="0.2">
      <c r="B29" s="35"/>
      <c r="C29" s="35"/>
      <c r="D29" s="35"/>
      <c r="E29" s="35"/>
      <c r="F29" s="35"/>
      <c r="G29" s="35"/>
      <c r="H29" s="35"/>
    </row>
    <row r="30" spans="2:13" s="2" customFormat="1" ht="63.75" x14ac:dyDescent="0.25">
      <c r="B30" s="52" t="s">
        <v>52</v>
      </c>
      <c r="C30" s="37" t="s">
        <v>465</v>
      </c>
      <c r="D30" s="37" t="s">
        <v>464</v>
      </c>
      <c r="E30" s="37" t="s">
        <v>466</v>
      </c>
      <c r="F30" s="37" t="s">
        <v>467</v>
      </c>
      <c r="G30" s="37" t="s">
        <v>468</v>
      </c>
      <c r="H30" s="53"/>
      <c r="I30" s="9"/>
    </row>
    <row r="31" spans="2:13" x14ac:dyDescent="0.2">
      <c r="B31" s="54" t="s">
        <v>53</v>
      </c>
      <c r="C31" s="55">
        <v>98307.22</v>
      </c>
      <c r="D31" s="55">
        <f>228268.3</f>
        <v>228268.3</v>
      </c>
      <c r="E31" s="55">
        <v>0</v>
      </c>
      <c r="F31" s="55">
        <v>42136.54</v>
      </c>
      <c r="G31" s="55">
        <v>0</v>
      </c>
      <c r="H31" s="56"/>
      <c r="I31" s="10"/>
    </row>
    <row r="32" spans="2:13" x14ac:dyDescent="0.2">
      <c r="B32" s="54" t="s">
        <v>54</v>
      </c>
      <c r="C32" s="55">
        <v>35310.339999999997</v>
      </c>
      <c r="D32" s="55">
        <f>82839.02+21981.45</f>
        <v>104820.47</v>
      </c>
      <c r="E32" s="55">
        <v>0</v>
      </c>
      <c r="F32" s="55">
        <v>15723.75</v>
      </c>
      <c r="G32" s="55">
        <v>0</v>
      </c>
      <c r="H32" s="56"/>
      <c r="I32" s="10"/>
    </row>
    <row r="33" spans="2:9" x14ac:dyDescent="0.2">
      <c r="B33" s="54" t="s">
        <v>55</v>
      </c>
      <c r="C33" s="55">
        <f>C34+C35+C36+C37+C38+C39</f>
        <v>490153.82</v>
      </c>
      <c r="D33" s="55">
        <f>D34+D35+D36+D37+D38+D39</f>
        <v>511857.80999999994</v>
      </c>
      <c r="E33" s="55">
        <f>E34+E35+E36+E37+E38+E39</f>
        <v>26.4</v>
      </c>
      <c r="F33" s="55">
        <f>F34+F35+F36+F37+F38+F39</f>
        <v>96356.829999999987</v>
      </c>
      <c r="G33" s="55">
        <f>G34+G35+G36+G37+G38+G39</f>
        <v>4495</v>
      </c>
      <c r="H33" s="56"/>
      <c r="I33" s="10"/>
    </row>
    <row r="34" spans="2:9" x14ac:dyDescent="0.2">
      <c r="B34" s="57" t="s">
        <v>56</v>
      </c>
      <c r="C34" s="26">
        <v>326178.14</v>
      </c>
      <c r="D34" s="26">
        <f>178917.13+112316.44</f>
        <v>291233.57</v>
      </c>
      <c r="E34" s="26">
        <v>0</v>
      </c>
      <c r="F34" s="26">
        <v>2353.42</v>
      </c>
      <c r="G34" s="26">
        <v>0</v>
      </c>
      <c r="H34" s="58"/>
      <c r="I34" s="11"/>
    </row>
    <row r="35" spans="2:9" x14ac:dyDescent="0.2">
      <c r="B35" s="57" t="s">
        <v>57</v>
      </c>
      <c r="C35" s="26">
        <v>22598.34</v>
      </c>
      <c r="D35" s="26">
        <f>17728.84+34777.89</f>
        <v>52506.729999999996</v>
      </c>
      <c r="E35" s="26">
        <v>0</v>
      </c>
      <c r="F35" s="26">
        <v>52456.45</v>
      </c>
      <c r="G35" s="26">
        <v>0</v>
      </c>
      <c r="H35" s="58"/>
      <c r="I35" s="11"/>
    </row>
    <row r="36" spans="2:9" x14ac:dyDescent="0.2">
      <c r="B36" s="57" t="s">
        <v>58</v>
      </c>
      <c r="C36" s="26">
        <v>0</v>
      </c>
      <c r="D36" s="26">
        <v>0</v>
      </c>
      <c r="E36" s="26">
        <v>0</v>
      </c>
      <c r="F36" s="26">
        <v>2410.84</v>
      </c>
      <c r="G36" s="26">
        <v>0</v>
      </c>
      <c r="H36" s="58"/>
      <c r="I36" s="11"/>
    </row>
    <row r="37" spans="2:9" ht="11.25" customHeight="1" x14ac:dyDescent="0.2">
      <c r="B37" s="57" t="s">
        <v>59</v>
      </c>
      <c r="C37" s="26">
        <v>86264.74</v>
      </c>
      <c r="D37" s="26">
        <f>39727.79+27552.99</f>
        <v>67280.78</v>
      </c>
      <c r="E37" s="26">
        <v>0</v>
      </c>
      <c r="F37" s="26">
        <v>27345.16</v>
      </c>
      <c r="G37" s="26">
        <v>4495</v>
      </c>
      <c r="H37" s="58"/>
      <c r="I37" s="11"/>
    </row>
    <row r="38" spans="2:9" x14ac:dyDescent="0.2">
      <c r="B38" s="57" t="s">
        <v>60</v>
      </c>
      <c r="C38" s="26">
        <v>0</v>
      </c>
      <c r="D38" s="26">
        <v>0</v>
      </c>
      <c r="E38" s="26">
        <v>0</v>
      </c>
      <c r="F38" s="26">
        <v>612</v>
      </c>
      <c r="G38" s="26">
        <v>0</v>
      </c>
      <c r="H38" s="58"/>
      <c r="I38" s="11"/>
    </row>
    <row r="39" spans="2:9" x14ac:dyDescent="0.2">
      <c r="B39" s="57" t="s">
        <v>61</v>
      </c>
      <c r="C39" s="26">
        <v>55112.6</v>
      </c>
      <c r="D39" s="26">
        <f>18848.87+81987.86</f>
        <v>100836.73</v>
      </c>
      <c r="E39" s="26">
        <v>26.4</v>
      </c>
      <c r="F39" s="26">
        <v>11178.96</v>
      </c>
      <c r="G39" s="26">
        <v>0</v>
      </c>
      <c r="H39" s="58"/>
      <c r="I39" s="11"/>
    </row>
    <row r="40" spans="2:9" x14ac:dyDescent="0.2">
      <c r="B40" s="54" t="s">
        <v>62</v>
      </c>
      <c r="C40" s="55">
        <v>4866.1899999999996</v>
      </c>
      <c r="D40" s="55">
        <f>12475.41+0</f>
        <v>12475.41</v>
      </c>
      <c r="E40" s="55">
        <v>0</v>
      </c>
      <c r="F40" s="55">
        <v>2138.1799999999998</v>
      </c>
      <c r="G40" s="55">
        <v>0</v>
      </c>
      <c r="H40" s="56"/>
      <c r="I40" s="11"/>
    </row>
    <row r="41" spans="2:9" s="12" customFormat="1" ht="6.75" customHeight="1" x14ac:dyDescent="0.2">
      <c r="B41" s="67"/>
      <c r="C41" s="61"/>
      <c r="D41" s="61"/>
      <c r="E41" s="61"/>
      <c r="F41" s="61"/>
      <c r="G41" s="61"/>
      <c r="H41" s="62"/>
      <c r="I41" s="11"/>
    </row>
    <row r="42" spans="2:9" ht="18.75" customHeight="1" x14ac:dyDescent="0.25">
      <c r="B42" s="63" t="s">
        <v>63</v>
      </c>
      <c r="C42" s="32">
        <f>C31+C32+C33+C40</f>
        <v>628637.56999999995</v>
      </c>
      <c r="D42" s="32">
        <f>D31+D32+D33+D40</f>
        <v>857421.99</v>
      </c>
      <c r="E42" s="32">
        <f>E31+E32+E33+E40</f>
        <v>26.4</v>
      </c>
      <c r="F42" s="32">
        <f>F31+F32+F33+F40</f>
        <v>156355.29999999999</v>
      </c>
      <c r="G42" s="32">
        <f>G31+G32+G33+G40</f>
        <v>4495</v>
      </c>
      <c r="H42" s="64"/>
      <c r="I42" s="13"/>
    </row>
    <row r="43" spans="2:9" ht="25.5" x14ac:dyDescent="0.2">
      <c r="B43" s="63" t="s">
        <v>64</v>
      </c>
      <c r="C43" s="65">
        <v>0</v>
      </c>
      <c r="D43" s="65">
        <v>3420</v>
      </c>
      <c r="E43" s="65">
        <v>0</v>
      </c>
      <c r="F43" s="65">
        <v>0</v>
      </c>
      <c r="G43" s="65">
        <v>0</v>
      </c>
      <c r="H43" s="35"/>
    </row>
    <row r="44" spans="2:9" x14ac:dyDescent="0.2">
      <c r="B44" s="35"/>
      <c r="C44" s="35"/>
      <c r="D44" s="35"/>
      <c r="E44" s="35"/>
      <c r="F44" s="35"/>
      <c r="G44" s="35"/>
      <c r="H44" s="35"/>
    </row>
    <row r="45" spans="2:9" x14ac:dyDescent="0.2">
      <c r="B45" s="35"/>
      <c r="C45" s="35"/>
      <c r="D45" s="35"/>
      <c r="E45" s="35"/>
      <c r="F45" s="35"/>
      <c r="G45" s="35"/>
      <c r="H45" s="35"/>
    </row>
    <row r="46" spans="2:9" x14ac:dyDescent="0.2">
      <c r="B46" s="35"/>
      <c r="C46" s="35"/>
      <c r="D46" s="35"/>
      <c r="E46" s="35"/>
      <c r="F46" s="35"/>
      <c r="G46" s="35"/>
      <c r="H46" s="35"/>
    </row>
    <row r="47" spans="2:9" x14ac:dyDescent="0.2">
      <c r="B47" s="35"/>
      <c r="C47" s="35"/>
      <c r="D47" s="35"/>
      <c r="E47" s="35"/>
      <c r="F47" s="35"/>
      <c r="G47" s="35"/>
      <c r="H47" s="35"/>
    </row>
    <row r="48" spans="2:9" x14ac:dyDescent="0.2">
      <c r="B48" s="35"/>
      <c r="C48" s="35"/>
      <c r="D48" s="35"/>
      <c r="E48" s="35"/>
      <c r="F48" s="35"/>
      <c r="G48" s="35"/>
      <c r="H48" s="35"/>
    </row>
    <row r="49" spans="2:9" x14ac:dyDescent="0.2">
      <c r="B49" s="35"/>
      <c r="C49" s="35"/>
      <c r="D49" s="35"/>
      <c r="E49" s="35"/>
      <c r="F49" s="35"/>
      <c r="G49" s="35"/>
      <c r="H49" s="35"/>
    </row>
    <row r="50" spans="2:9" x14ac:dyDescent="0.2">
      <c r="B50" s="35"/>
      <c r="C50" s="35"/>
      <c r="D50" s="35"/>
      <c r="E50" s="35"/>
      <c r="F50" s="35"/>
      <c r="G50" s="35"/>
      <c r="H50" s="35"/>
    </row>
    <row r="51" spans="2:9" x14ac:dyDescent="0.2">
      <c r="B51" s="35"/>
      <c r="C51" s="35"/>
      <c r="D51" s="35"/>
      <c r="E51" s="35"/>
      <c r="F51" s="35"/>
      <c r="G51" s="35"/>
      <c r="H51" s="35"/>
    </row>
    <row r="52" spans="2:9" x14ac:dyDescent="0.2">
      <c r="B52" s="35"/>
      <c r="C52" s="35"/>
      <c r="D52" s="35"/>
      <c r="E52" s="35"/>
      <c r="F52" s="35"/>
      <c r="G52" s="35"/>
      <c r="H52" s="35"/>
    </row>
    <row r="53" spans="2:9" x14ac:dyDescent="0.2">
      <c r="B53" s="35"/>
      <c r="C53" s="35"/>
      <c r="D53" s="35"/>
      <c r="E53" s="35"/>
      <c r="F53" s="35"/>
      <c r="G53" s="35"/>
      <c r="H53" s="35"/>
    </row>
    <row r="54" spans="2:9" x14ac:dyDescent="0.2">
      <c r="B54" s="35"/>
      <c r="C54" s="35"/>
      <c r="D54" s="35"/>
      <c r="E54" s="35"/>
      <c r="F54" s="35"/>
      <c r="G54" s="35"/>
      <c r="H54" s="35"/>
    </row>
    <row r="55" spans="2:9" x14ac:dyDescent="0.2">
      <c r="B55" s="35"/>
      <c r="C55" s="35"/>
      <c r="D55" s="35"/>
      <c r="E55" s="35"/>
      <c r="F55" s="35"/>
      <c r="G55" s="35"/>
      <c r="H55" s="35"/>
    </row>
    <row r="56" spans="2:9" x14ac:dyDescent="0.2">
      <c r="B56" s="35"/>
      <c r="C56" s="35"/>
      <c r="D56" s="35"/>
      <c r="E56" s="35"/>
      <c r="F56" s="35"/>
      <c r="G56" s="35"/>
      <c r="H56" s="35"/>
    </row>
    <row r="57" spans="2:9" x14ac:dyDescent="0.2">
      <c r="B57" s="35"/>
      <c r="C57" s="35"/>
      <c r="D57" s="35"/>
      <c r="E57" s="35"/>
      <c r="F57" s="35"/>
      <c r="G57" s="35"/>
      <c r="H57" s="35"/>
    </row>
    <row r="58" spans="2:9" s="2" customFormat="1" ht="63.75" x14ac:dyDescent="0.25">
      <c r="B58" s="52" t="s">
        <v>52</v>
      </c>
      <c r="C58" s="37" t="s">
        <v>469</v>
      </c>
      <c r="D58" s="37" t="s">
        <v>470</v>
      </c>
      <c r="E58" s="37" t="s">
        <v>471</v>
      </c>
      <c r="F58" s="37" t="s">
        <v>472</v>
      </c>
      <c r="G58" s="68" t="s">
        <v>67</v>
      </c>
      <c r="H58" s="69"/>
    </row>
    <row r="59" spans="2:9" x14ac:dyDescent="0.2">
      <c r="B59" s="54" t="s">
        <v>53</v>
      </c>
      <c r="C59" s="55">
        <v>205186.77</v>
      </c>
      <c r="D59" s="55">
        <f>66730.17+34074.21</f>
        <v>100804.38</v>
      </c>
      <c r="E59" s="55"/>
      <c r="F59" s="55">
        <v>292765.7</v>
      </c>
      <c r="G59" s="70">
        <f>F59+E59+D59+C59+F31+E31+D31+C31+F16+E16+D16+C16</f>
        <v>1078465.82</v>
      </c>
      <c r="H59" s="35"/>
      <c r="I59" s="4"/>
    </row>
    <row r="60" spans="2:9" x14ac:dyDescent="0.2">
      <c r="B60" s="54" t="s">
        <v>65</v>
      </c>
      <c r="C60" s="55">
        <v>75850.33</v>
      </c>
      <c r="D60" s="55">
        <f>24051.91+12759.83</f>
        <v>36811.74</v>
      </c>
      <c r="E60" s="55"/>
      <c r="F60" s="55">
        <v>108342.8</v>
      </c>
      <c r="G60" s="70">
        <f>F60+E60+D60+C60+F32+E32+D32+C32+F17+E17+D17+C17</f>
        <v>420068.68999999994</v>
      </c>
      <c r="H60" s="35"/>
    </row>
    <row r="61" spans="2:9" x14ac:dyDescent="0.2">
      <c r="B61" s="54" t="s">
        <v>55</v>
      </c>
      <c r="C61" s="55">
        <f>C62+C63+C64+C65+C66+C67+C68</f>
        <v>819620.15999999992</v>
      </c>
      <c r="D61" s="55">
        <f>D63+D64+D65+D66+D67+D68+D62</f>
        <v>159789.33000000002</v>
      </c>
      <c r="E61" s="55">
        <f>E63+E64+E65+E66+E67+E68+E62</f>
        <v>23607.51</v>
      </c>
      <c r="F61" s="55">
        <f>F63+F64+F65+F66+F67+F68+F62</f>
        <v>85702.04</v>
      </c>
      <c r="G61" s="70">
        <f>G63+G64+G65+G66+G67+G68+G62</f>
        <v>2976571.8</v>
      </c>
      <c r="H61" s="35"/>
    </row>
    <row r="62" spans="2:9" x14ac:dyDescent="0.2">
      <c r="B62" s="57" t="s">
        <v>66</v>
      </c>
      <c r="C62" s="26">
        <v>0</v>
      </c>
      <c r="D62" s="26">
        <v>0</v>
      </c>
      <c r="E62" s="26"/>
      <c r="F62" s="26">
        <v>53.92</v>
      </c>
      <c r="G62" s="71">
        <f>F62+E62+D62+C62</f>
        <v>53.92</v>
      </c>
      <c r="H62" s="35"/>
    </row>
    <row r="63" spans="2:9" x14ac:dyDescent="0.2">
      <c r="B63" s="57" t="s">
        <v>56</v>
      </c>
      <c r="C63" s="26">
        <v>0</v>
      </c>
      <c r="D63" s="26">
        <f>914.87+1640.63</f>
        <v>2555.5</v>
      </c>
      <c r="E63" s="26">
        <v>12805.58</v>
      </c>
      <c r="F63" s="26">
        <v>8055.52</v>
      </c>
      <c r="G63" s="71">
        <f t="shared" ref="G63:G69" si="0">F63+E63+D63+C63+F34+E34+D34+C34+F19+E19+D19+C19</f>
        <v>1259852.1499999999</v>
      </c>
      <c r="H63" s="35"/>
    </row>
    <row r="64" spans="2:9" x14ac:dyDescent="0.2">
      <c r="B64" s="57" t="s">
        <v>57</v>
      </c>
      <c r="C64" s="26">
        <v>170104.16</v>
      </c>
      <c r="D64" s="26">
        <f>10137.59+4470.37</f>
        <v>14607.96</v>
      </c>
      <c r="E64" s="26">
        <v>2256.91</v>
      </c>
      <c r="F64" s="26">
        <v>13037.13</v>
      </c>
      <c r="G64" s="71">
        <f t="shared" si="0"/>
        <v>383933.08</v>
      </c>
      <c r="H64" s="35"/>
    </row>
    <row r="65" spans="2:8" x14ac:dyDescent="0.2">
      <c r="B65" s="57" t="s">
        <v>58</v>
      </c>
      <c r="C65" s="26">
        <v>33878.19</v>
      </c>
      <c r="D65" s="26">
        <f>3288.31+1795.97</f>
        <v>5084.28</v>
      </c>
      <c r="E65" s="26">
        <v>0</v>
      </c>
      <c r="F65" s="26">
        <v>18119.259999999998</v>
      </c>
      <c r="G65" s="71">
        <f t="shared" si="0"/>
        <v>66296.009999999995</v>
      </c>
      <c r="H65" s="35"/>
    </row>
    <row r="66" spans="2:8" ht="15.75" customHeight="1" x14ac:dyDescent="0.2">
      <c r="B66" s="57" t="s">
        <v>59</v>
      </c>
      <c r="C66" s="26">
        <v>586343.19999999995</v>
      </c>
      <c r="D66" s="26">
        <f>17792.86+7498.4</f>
        <v>25291.260000000002</v>
      </c>
      <c r="E66" s="26">
        <v>7974.72</v>
      </c>
      <c r="F66" s="26">
        <v>3215.4</v>
      </c>
      <c r="G66" s="71">
        <f t="shared" si="0"/>
        <v>825660.57000000007</v>
      </c>
      <c r="H66" s="35"/>
    </row>
    <row r="67" spans="2:8" x14ac:dyDescent="0.2">
      <c r="B67" s="57" t="s">
        <v>60</v>
      </c>
      <c r="C67" s="26">
        <v>0</v>
      </c>
      <c r="D67" s="26">
        <f>2980.16+33.6</f>
        <v>3013.7599999999998</v>
      </c>
      <c r="E67" s="26">
        <v>0</v>
      </c>
      <c r="F67" s="26">
        <v>0</v>
      </c>
      <c r="G67" s="71">
        <f t="shared" si="0"/>
        <v>5944.2999999999993</v>
      </c>
      <c r="H67" s="35"/>
    </row>
    <row r="68" spans="2:8" x14ac:dyDescent="0.2">
      <c r="B68" s="57" t="s">
        <v>61</v>
      </c>
      <c r="C68" s="26">
        <v>29294.61</v>
      </c>
      <c r="D68" s="26">
        <f>17827.1+91409.47</f>
        <v>109236.57</v>
      </c>
      <c r="E68" s="26">
        <v>570.29999999999995</v>
      </c>
      <c r="F68" s="26">
        <v>43220.81</v>
      </c>
      <c r="G68" s="71">
        <f t="shared" si="0"/>
        <v>434831.7699999999</v>
      </c>
      <c r="H68" s="35"/>
    </row>
    <row r="69" spans="2:8" x14ac:dyDescent="0.2">
      <c r="B69" s="54" t="s">
        <v>62</v>
      </c>
      <c r="C69" s="55">
        <v>11771.32</v>
      </c>
      <c r="D69" s="55">
        <f>3362.65+4238.13</f>
        <v>7600.7800000000007</v>
      </c>
      <c r="E69" s="55">
        <v>0</v>
      </c>
      <c r="F69" s="55">
        <v>13833.58</v>
      </c>
      <c r="G69" s="71">
        <f t="shared" si="0"/>
        <v>58435.700000000004</v>
      </c>
      <c r="H69" s="35"/>
    </row>
    <row r="70" spans="2:8" s="12" customFormat="1" ht="6.75" customHeight="1" x14ac:dyDescent="0.2">
      <c r="B70" s="67"/>
      <c r="C70" s="72"/>
      <c r="D70" s="72"/>
      <c r="E70" s="72"/>
      <c r="F70" s="72"/>
      <c r="G70" s="73"/>
      <c r="H70" s="74"/>
    </row>
    <row r="71" spans="2:8" x14ac:dyDescent="0.2">
      <c r="B71" s="63" t="s">
        <v>63</v>
      </c>
      <c r="C71" s="32">
        <f>C59+C60+C61+C69</f>
        <v>1112428.5799999998</v>
      </c>
      <c r="D71" s="32">
        <f>D59+D60+D61+D69</f>
        <v>305006.23000000004</v>
      </c>
      <c r="E71" s="32">
        <f>E59+E60+E61+E69</f>
        <v>23607.51</v>
      </c>
      <c r="F71" s="32">
        <f>F59+F60+F61+F69</f>
        <v>500644.12</v>
      </c>
      <c r="G71" s="75">
        <f>F71+E71+D71+C71+G42+F42+E42+D42+C42+G27+F27+E27+D27+C27</f>
        <v>6659407.9199999999</v>
      </c>
      <c r="H71" s="35"/>
    </row>
    <row r="72" spans="2:8" s="8" customFormat="1" ht="25.5" x14ac:dyDescent="0.25">
      <c r="B72" s="63" t="s">
        <v>64</v>
      </c>
      <c r="C72" s="65"/>
      <c r="D72" s="65">
        <v>161527.07999999999</v>
      </c>
      <c r="E72" s="65">
        <v>0</v>
      </c>
      <c r="F72" s="65">
        <v>18714.54</v>
      </c>
      <c r="G72" s="75">
        <f>F72+E72+D72+C72+G28+F28+E28+D28+C28+C43+D43+E43+F43+G43</f>
        <v>315132.64</v>
      </c>
      <c r="H72" s="76"/>
    </row>
  </sheetData>
  <mergeCells count="7">
    <mergeCell ref="B2:G2"/>
    <mergeCell ref="B10:D10"/>
    <mergeCell ref="B5:D5"/>
    <mergeCell ref="B6:D6"/>
    <mergeCell ref="B7:D7"/>
    <mergeCell ref="B9:D9"/>
    <mergeCell ref="B8:D8"/>
  </mergeCells>
  <pageMargins left="0.86614173228346458" right="0.19685039370078741" top="0.55118110236220474" bottom="0.31496062992125984" header="0.51181102362204722" footer="0.27559055118110237"/>
  <pageSetup paperSize="9" scale="85"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50"/>
  <sheetViews>
    <sheetView workbookViewId="0"/>
  </sheetViews>
  <sheetFormatPr defaultRowHeight="12.75" x14ac:dyDescent="0.2"/>
  <cols>
    <col min="1" max="1" width="16.85546875" style="35" customWidth="1"/>
    <col min="2" max="2" width="6.42578125" style="35" customWidth="1"/>
    <col min="3" max="3" width="33.7109375" style="35" customWidth="1"/>
    <col min="4" max="4" width="16.140625" style="35" customWidth="1"/>
    <col min="5" max="5" width="14.140625" style="35" customWidth="1"/>
    <col min="6" max="6" width="13.5703125" style="35" customWidth="1"/>
    <col min="7" max="7" width="9.140625" style="35" customWidth="1"/>
    <col min="8" max="8" width="9.140625" style="35"/>
    <col min="9" max="9" width="10.140625" style="35" bestFit="1" customWidth="1"/>
    <col min="10" max="16384" width="9.140625" style="35"/>
  </cols>
  <sheetData>
    <row r="2" spans="2:9" x14ac:dyDescent="0.2">
      <c r="D2" s="99"/>
      <c r="E2" s="99"/>
      <c r="F2" s="99"/>
    </row>
    <row r="3" spans="2:9" x14ac:dyDescent="0.2">
      <c r="F3" s="126" t="s">
        <v>319</v>
      </c>
    </row>
    <row r="4" spans="2:9" ht="42" customHeight="1" x14ac:dyDescent="0.2">
      <c r="B4" s="656" t="s">
        <v>958</v>
      </c>
      <c r="C4" s="656"/>
      <c r="D4" s="656"/>
      <c r="E4" s="656"/>
      <c r="F4" s="656"/>
      <c r="G4" s="14"/>
    </row>
    <row r="5" spans="2:9" s="1" customFormat="1" ht="14.25" x14ac:dyDescent="0.2">
      <c r="B5" s="35"/>
      <c r="C5" s="35"/>
      <c r="D5" s="35"/>
      <c r="E5" s="35"/>
      <c r="F5" s="35"/>
      <c r="G5" s="35"/>
    </row>
    <row r="6" spans="2:9" s="1" customFormat="1" ht="30" customHeight="1" x14ac:dyDescent="0.2">
      <c r="B6" s="657"/>
      <c r="C6" s="657"/>
      <c r="D6" s="127" t="s">
        <v>224</v>
      </c>
      <c r="E6" s="127" t="s">
        <v>225</v>
      </c>
      <c r="F6" s="127" t="s">
        <v>226</v>
      </c>
      <c r="G6" s="35"/>
    </row>
    <row r="7" spans="2:9" s="76" customFormat="1" ht="20.25" customHeight="1" x14ac:dyDescent="0.25">
      <c r="B7" s="128"/>
      <c r="C7" s="129" t="s">
        <v>227</v>
      </c>
      <c r="D7" s="130">
        <f>D8+D9+D10+D18+D19</f>
        <v>70666374</v>
      </c>
      <c r="E7" s="130">
        <f>E8+E9+E10+E18+E19</f>
        <v>76000321</v>
      </c>
      <c r="F7" s="130">
        <f>F8+F9+F10+F18+F19+1</f>
        <v>69870539.400000021</v>
      </c>
      <c r="I7" s="80"/>
    </row>
    <row r="8" spans="2:9" s="1" customFormat="1" ht="25.5" x14ac:dyDescent="0.2">
      <c r="B8" s="131">
        <v>610</v>
      </c>
      <c r="C8" s="108" t="s">
        <v>320</v>
      </c>
      <c r="D8" s="114">
        <v>26517850</v>
      </c>
      <c r="E8" s="114">
        <v>27482685</v>
      </c>
      <c r="F8" s="114">
        <v>26875381.530000001</v>
      </c>
      <c r="G8" s="35"/>
    </row>
    <row r="9" spans="2:9" s="1" customFormat="1" ht="14.25" x14ac:dyDescent="0.2">
      <c r="B9" s="131">
        <v>620</v>
      </c>
      <c r="C9" s="108" t="s">
        <v>321</v>
      </c>
      <c r="D9" s="114">
        <v>9790091</v>
      </c>
      <c r="E9" s="114">
        <v>10285712</v>
      </c>
      <c r="F9" s="114">
        <v>10084955.09</v>
      </c>
      <c r="G9" s="35"/>
    </row>
    <row r="10" spans="2:9" s="1" customFormat="1" ht="14.25" x14ac:dyDescent="0.2">
      <c r="B10" s="131">
        <v>630</v>
      </c>
      <c r="C10" s="108" t="s">
        <v>322</v>
      </c>
      <c r="D10" s="132">
        <f>D11+D12+D13+D14+D15+D16+D17</f>
        <v>24907342</v>
      </c>
      <c r="E10" s="132">
        <f>E11+E12+E13+E14+E15+E16+E17</f>
        <v>26991403</v>
      </c>
      <c r="F10" s="132">
        <f>F11+F12+F13+F14+F15+F16+F17</f>
        <v>22203780.900000002</v>
      </c>
      <c r="G10" s="35"/>
    </row>
    <row r="11" spans="2:9" s="1" customFormat="1" ht="14.25" x14ac:dyDescent="0.2">
      <c r="B11" s="133">
        <v>631</v>
      </c>
      <c r="C11" s="118" t="s">
        <v>323</v>
      </c>
      <c r="D11" s="93">
        <v>31597</v>
      </c>
      <c r="E11" s="93">
        <v>119374</v>
      </c>
      <c r="F11" s="93">
        <v>55646.3</v>
      </c>
      <c r="G11" s="35"/>
    </row>
    <row r="12" spans="2:9" s="1" customFormat="1" ht="14.25" x14ac:dyDescent="0.2">
      <c r="B12" s="133">
        <v>632</v>
      </c>
      <c r="C12" s="118" t="s">
        <v>324</v>
      </c>
      <c r="D12" s="93">
        <v>6459124</v>
      </c>
      <c r="E12" s="93">
        <v>5599629.8899999997</v>
      </c>
      <c r="F12" s="93">
        <v>3918890.33</v>
      </c>
      <c r="G12" s="35"/>
    </row>
    <row r="13" spans="2:9" s="1" customFormat="1" ht="14.25" x14ac:dyDescent="0.2">
      <c r="B13" s="133">
        <v>633</v>
      </c>
      <c r="C13" s="118" t="s">
        <v>325</v>
      </c>
      <c r="D13" s="93">
        <v>4313003</v>
      </c>
      <c r="E13" s="93">
        <v>5265725.4800000004</v>
      </c>
      <c r="F13" s="93">
        <v>4716133.24</v>
      </c>
      <c r="G13" s="35"/>
    </row>
    <row r="14" spans="2:9" s="1" customFormat="1" ht="14.25" x14ac:dyDescent="0.2">
      <c r="B14" s="133">
        <v>634</v>
      </c>
      <c r="C14" s="118" t="s">
        <v>326</v>
      </c>
      <c r="D14" s="93">
        <v>228687</v>
      </c>
      <c r="E14" s="93">
        <v>235672</v>
      </c>
      <c r="F14" s="93">
        <v>188518.24</v>
      </c>
      <c r="G14" s="35"/>
    </row>
    <row r="15" spans="2:9" s="1" customFormat="1" ht="14.25" x14ac:dyDescent="0.2">
      <c r="B15" s="133">
        <v>635</v>
      </c>
      <c r="C15" s="118" t="s">
        <v>327</v>
      </c>
      <c r="D15" s="93">
        <v>4538766</v>
      </c>
      <c r="E15" s="93">
        <v>4853095.4000000004</v>
      </c>
      <c r="F15" s="93">
        <v>4236646.2</v>
      </c>
      <c r="G15" s="35"/>
    </row>
    <row r="16" spans="2:9" s="1" customFormat="1" ht="14.25" x14ac:dyDescent="0.2">
      <c r="B16" s="133">
        <v>636</v>
      </c>
      <c r="C16" s="118" t="s">
        <v>328</v>
      </c>
      <c r="D16" s="93">
        <v>1084570</v>
      </c>
      <c r="E16" s="93">
        <v>1107208.57</v>
      </c>
      <c r="F16" s="93">
        <v>1038495.65</v>
      </c>
      <c r="G16" s="35"/>
    </row>
    <row r="17" spans="2:7" s="1" customFormat="1" ht="14.25" x14ac:dyDescent="0.2">
      <c r="B17" s="133">
        <v>637</v>
      </c>
      <c r="C17" s="118" t="s">
        <v>329</v>
      </c>
      <c r="D17" s="93">
        <v>8251595</v>
      </c>
      <c r="E17" s="93">
        <v>9810697.6600000001</v>
      </c>
      <c r="F17" s="93">
        <v>8049450.9400000004</v>
      </c>
      <c r="G17" s="35"/>
    </row>
    <row r="18" spans="2:7" s="1" customFormat="1" ht="14.25" x14ac:dyDescent="0.2">
      <c r="B18" s="131">
        <v>640</v>
      </c>
      <c r="C18" s="108" t="s">
        <v>330</v>
      </c>
      <c r="D18" s="132">
        <v>9033091</v>
      </c>
      <c r="E18" s="132">
        <v>10718871</v>
      </c>
      <c r="F18" s="132">
        <v>10255251.98</v>
      </c>
      <c r="G18" s="35"/>
    </row>
    <row r="19" spans="2:7" s="1" customFormat="1" ht="14.25" x14ac:dyDescent="0.2">
      <c r="B19" s="131">
        <v>650</v>
      </c>
      <c r="C19" s="108" t="s">
        <v>331</v>
      </c>
      <c r="D19" s="132">
        <v>418000</v>
      </c>
      <c r="E19" s="132">
        <v>521650</v>
      </c>
      <c r="F19" s="132">
        <v>451168.9</v>
      </c>
      <c r="G19" s="35"/>
    </row>
    <row r="20" spans="2:7" s="1" customFormat="1" ht="9" customHeight="1" x14ac:dyDescent="0.2">
      <c r="B20" s="134"/>
      <c r="C20" s="135"/>
      <c r="D20" s="136"/>
      <c r="E20" s="136"/>
      <c r="F20" s="136"/>
      <c r="G20" s="35"/>
    </row>
    <row r="21" spans="2:7" s="76" customFormat="1" ht="24.75" customHeight="1" x14ac:dyDescent="0.25">
      <c r="B21" s="137"/>
      <c r="C21" s="129" t="s">
        <v>314</v>
      </c>
      <c r="D21" s="130">
        <f>D22+D31</f>
        <v>83820867</v>
      </c>
      <c r="E21" s="130">
        <f>E22+E31</f>
        <v>91104777</v>
      </c>
      <c r="F21" s="130">
        <f>F22+F31-1</f>
        <v>9781610.6900000013</v>
      </c>
    </row>
    <row r="22" spans="2:7" s="1" customFormat="1" ht="25.5" customHeight="1" x14ac:dyDescent="0.2">
      <c r="B22" s="138">
        <v>710</v>
      </c>
      <c r="C22" s="113" t="s">
        <v>332</v>
      </c>
      <c r="D22" s="132">
        <f>SUM(D23:D30)</f>
        <v>83704867</v>
      </c>
      <c r="E22" s="132">
        <f>SUM(E23:E30)</f>
        <v>90978777</v>
      </c>
      <c r="F22" s="132">
        <f>SUM(F23:F30)</f>
        <v>9655611.6900000013</v>
      </c>
      <c r="G22" s="35"/>
    </row>
    <row r="23" spans="2:7" s="1" customFormat="1" ht="14.25" x14ac:dyDescent="0.2">
      <c r="B23" s="134">
        <v>711</v>
      </c>
      <c r="C23" s="135" t="s">
        <v>333</v>
      </c>
      <c r="D23" s="136">
        <v>782291</v>
      </c>
      <c r="E23" s="136">
        <v>729291</v>
      </c>
      <c r="F23" s="136">
        <v>300458.52</v>
      </c>
      <c r="G23" s="35"/>
    </row>
    <row r="24" spans="2:7" s="1" customFormat="1" ht="14.25" x14ac:dyDescent="0.2">
      <c r="B24" s="134">
        <v>712</v>
      </c>
      <c r="C24" s="135" t="s">
        <v>334</v>
      </c>
      <c r="D24" s="136">
        <v>150100</v>
      </c>
      <c r="E24" s="136">
        <v>150100</v>
      </c>
      <c r="F24" s="136">
        <v>182.7</v>
      </c>
      <c r="G24" s="35"/>
    </row>
    <row r="25" spans="2:7" s="1" customFormat="1" ht="25.5" x14ac:dyDescent="0.2">
      <c r="B25" s="134">
        <v>713</v>
      </c>
      <c r="C25" s="135" t="s">
        <v>335</v>
      </c>
      <c r="D25" s="136">
        <v>226860</v>
      </c>
      <c r="E25" s="136">
        <v>779137</v>
      </c>
      <c r="F25" s="136">
        <v>525517.81999999995</v>
      </c>
      <c r="G25" s="35"/>
    </row>
    <row r="26" spans="2:7" s="1" customFormat="1" ht="14.25" x14ac:dyDescent="0.2">
      <c r="B26" s="134">
        <v>714</v>
      </c>
      <c r="C26" s="135" t="s">
        <v>336</v>
      </c>
      <c r="D26" s="136">
        <v>55000</v>
      </c>
      <c r="E26" s="136">
        <v>190900</v>
      </c>
      <c r="F26" s="136">
        <v>172040</v>
      </c>
      <c r="G26" s="35"/>
    </row>
    <row r="27" spans="2:7" s="1" customFormat="1" ht="14.25" x14ac:dyDescent="0.2">
      <c r="B27" s="134">
        <v>716</v>
      </c>
      <c r="C27" s="135" t="s">
        <v>337</v>
      </c>
      <c r="D27" s="136">
        <v>2590000</v>
      </c>
      <c r="E27" s="136">
        <v>2941596</v>
      </c>
      <c r="F27" s="136">
        <v>668360.89</v>
      </c>
      <c r="G27" s="35"/>
    </row>
    <row r="28" spans="2:7" s="1" customFormat="1" ht="25.5" x14ac:dyDescent="0.2">
      <c r="B28" s="134">
        <v>717</v>
      </c>
      <c r="C28" s="135" t="s">
        <v>338</v>
      </c>
      <c r="D28" s="136">
        <v>79881616</v>
      </c>
      <c r="E28" s="136">
        <v>86148165</v>
      </c>
      <c r="F28" s="136">
        <v>7950064.5599999996</v>
      </c>
      <c r="G28" s="35"/>
    </row>
    <row r="29" spans="2:7" s="1" customFormat="1" ht="14.25" x14ac:dyDescent="0.2">
      <c r="B29" s="134">
        <v>718</v>
      </c>
      <c r="C29" s="135" t="s">
        <v>959</v>
      </c>
      <c r="D29" s="136">
        <v>19000</v>
      </c>
      <c r="E29" s="136">
        <v>36000</v>
      </c>
      <c r="F29" s="136">
        <v>35399.56</v>
      </c>
      <c r="G29" s="35"/>
    </row>
    <row r="30" spans="2:7" s="1" customFormat="1" ht="14.25" x14ac:dyDescent="0.2">
      <c r="B30" s="134">
        <v>719</v>
      </c>
      <c r="C30" s="135" t="s">
        <v>424</v>
      </c>
      <c r="D30" s="136">
        <v>0</v>
      </c>
      <c r="E30" s="136">
        <v>3588</v>
      </c>
      <c r="F30" s="136">
        <v>3587.64</v>
      </c>
      <c r="G30" s="35"/>
    </row>
    <row r="31" spans="2:7" s="1" customFormat="1" ht="14.25" x14ac:dyDescent="0.2">
      <c r="B31" s="139">
        <v>720</v>
      </c>
      <c r="C31" s="140" t="s">
        <v>339</v>
      </c>
      <c r="D31" s="141">
        <v>116000</v>
      </c>
      <c r="E31" s="141">
        <v>126000</v>
      </c>
      <c r="F31" s="141">
        <v>126000</v>
      </c>
    </row>
    <row r="32" spans="2:7" s="1" customFormat="1" ht="14.25" x14ac:dyDescent="0.2">
      <c r="B32" s="35"/>
      <c r="C32" s="35"/>
      <c r="D32" s="35"/>
      <c r="E32" s="35"/>
      <c r="F32" s="99"/>
    </row>
    <row r="33" spans="2:6" s="1" customFormat="1" ht="14.25" x14ac:dyDescent="0.2">
      <c r="B33" s="35"/>
      <c r="C33" s="35"/>
      <c r="D33" s="99"/>
      <c r="E33" s="99"/>
      <c r="F33" s="99"/>
    </row>
    <row r="34" spans="2:6" s="1" customFormat="1" ht="14.25" x14ac:dyDescent="0.2">
      <c r="B34" s="35"/>
      <c r="C34" s="35"/>
      <c r="D34" s="35"/>
      <c r="E34" s="35"/>
      <c r="F34" s="142"/>
    </row>
    <row r="35" spans="2:6" s="1" customFormat="1" ht="14.25" x14ac:dyDescent="0.2">
      <c r="B35" s="35"/>
      <c r="C35" s="35"/>
      <c r="D35" s="35"/>
      <c r="E35" s="35"/>
      <c r="F35" s="74"/>
    </row>
    <row r="36" spans="2:6" s="1" customFormat="1" ht="14.25" x14ac:dyDescent="0.2">
      <c r="B36" s="35"/>
      <c r="C36" s="35"/>
      <c r="D36" s="35"/>
      <c r="E36" s="35"/>
      <c r="F36" s="74"/>
    </row>
    <row r="37" spans="2:6" s="1" customFormat="1" ht="14.25" x14ac:dyDescent="0.2">
      <c r="B37" s="35"/>
      <c r="C37" s="35"/>
      <c r="D37" s="35"/>
      <c r="E37" s="35"/>
      <c r="F37" s="74"/>
    </row>
    <row r="38" spans="2:6" s="1" customFormat="1" ht="14.25" x14ac:dyDescent="0.2">
      <c r="B38" s="35"/>
      <c r="C38" s="35"/>
      <c r="D38" s="35"/>
      <c r="E38" s="35"/>
      <c r="F38" s="74"/>
    </row>
    <row r="39" spans="2:6" s="1" customFormat="1" ht="14.25" x14ac:dyDescent="0.2">
      <c r="B39" s="35"/>
      <c r="C39" s="35"/>
      <c r="D39" s="35"/>
      <c r="E39" s="35"/>
      <c r="F39" s="74"/>
    </row>
    <row r="40" spans="2:6" s="1" customFormat="1" ht="14.25" x14ac:dyDescent="0.2">
      <c r="B40" s="35"/>
      <c r="C40" s="35"/>
      <c r="D40" s="35"/>
      <c r="E40" s="35"/>
      <c r="F40" s="7"/>
    </row>
    <row r="50" spans="2:6" s="1" customFormat="1" ht="14.25" x14ac:dyDescent="0.2">
      <c r="B50" s="35"/>
      <c r="C50" s="35"/>
      <c r="D50" s="35"/>
      <c r="E50" s="35"/>
      <c r="F50" s="51"/>
    </row>
  </sheetData>
  <mergeCells count="2">
    <mergeCell ref="B4:F4"/>
    <mergeCell ref="B6:C6"/>
  </mergeCells>
  <pageMargins left="0.70000000000000007" right="0.30000000000000004" top="0.75" bottom="0.75" header="0.30000000000000004" footer="0.30000000000000004"/>
  <pageSetup paperSize="9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K23"/>
  <sheetViews>
    <sheetView workbookViewId="0"/>
  </sheetViews>
  <sheetFormatPr defaultRowHeight="12.75" x14ac:dyDescent="0.2"/>
  <cols>
    <col min="1" max="1" width="9.140625" style="35" customWidth="1"/>
    <col min="2" max="2" width="9.85546875" style="35" customWidth="1"/>
    <col min="3" max="3" width="41.7109375" style="35" customWidth="1"/>
    <col min="4" max="4" width="13.5703125" style="35" customWidth="1"/>
    <col min="5" max="5" width="12.7109375" style="35" customWidth="1"/>
    <col min="6" max="6" width="13.7109375" style="35" customWidth="1"/>
    <col min="7" max="7" width="9.140625" style="35" customWidth="1"/>
    <col min="8" max="8" width="10.140625" style="35" bestFit="1" customWidth="1"/>
    <col min="9" max="16384" width="9.140625" style="35"/>
  </cols>
  <sheetData>
    <row r="2" spans="2:11" x14ac:dyDescent="0.2">
      <c r="F2" s="126" t="s">
        <v>340</v>
      </c>
    </row>
    <row r="4" spans="2:11" ht="42.75" customHeight="1" x14ac:dyDescent="0.2">
      <c r="B4" s="656" t="s">
        <v>960</v>
      </c>
      <c r="C4" s="656"/>
      <c r="D4" s="656"/>
      <c r="E4" s="656"/>
      <c r="F4" s="656"/>
      <c r="G4" s="306"/>
      <c r="H4" s="306"/>
    </row>
    <row r="6" spans="2:11" ht="36" customHeight="1" x14ac:dyDescent="0.2">
      <c r="B6" s="658" t="s">
        <v>0</v>
      </c>
      <c r="C6" s="658"/>
      <c r="D6" s="307" t="s">
        <v>224</v>
      </c>
      <c r="E6" s="307" t="s">
        <v>225</v>
      </c>
      <c r="F6" s="307" t="s">
        <v>226</v>
      </c>
    </row>
    <row r="7" spans="2:11" ht="18" customHeight="1" x14ac:dyDescent="0.2">
      <c r="B7" s="308"/>
      <c r="C7" s="309" t="s">
        <v>341</v>
      </c>
      <c r="D7" s="310">
        <f>SUM(D8:D11)</f>
        <v>29801969</v>
      </c>
      <c r="E7" s="310">
        <f t="shared" ref="E7" si="0">SUM(E8:E11)</f>
        <v>30642574</v>
      </c>
      <c r="F7" s="310">
        <f>SUM(F8:F11)+1</f>
        <v>8955118.1600000001</v>
      </c>
      <c r="H7" s="99"/>
      <c r="J7" s="99"/>
    </row>
    <row r="8" spans="2:11" ht="18" customHeight="1" x14ac:dyDescent="0.2">
      <c r="B8" s="133">
        <v>453</v>
      </c>
      <c r="C8" s="89" t="s">
        <v>414</v>
      </c>
      <c r="D8" s="93">
        <v>2824800</v>
      </c>
      <c r="E8" s="93">
        <v>1422152</v>
      </c>
      <c r="F8" s="93">
        <v>1422112.78</v>
      </c>
      <c r="J8" s="99"/>
    </row>
    <row r="9" spans="2:11" x14ac:dyDescent="0.2">
      <c r="B9" s="311">
        <v>454</v>
      </c>
      <c r="C9" s="91" t="s">
        <v>426</v>
      </c>
      <c r="D9" s="93">
        <v>381000</v>
      </c>
      <c r="E9" s="93">
        <v>4624253</v>
      </c>
      <c r="F9" s="93">
        <v>3507302.52</v>
      </c>
    </row>
    <row r="10" spans="2:11" s="1" customFormat="1" ht="14.25" x14ac:dyDescent="0.2">
      <c r="B10" s="311">
        <v>513</v>
      </c>
      <c r="C10" s="89" t="s">
        <v>425</v>
      </c>
      <c r="D10" s="93">
        <f>14146169-2500000</f>
        <v>11646169</v>
      </c>
      <c r="E10" s="93">
        <f>12146169-2500000</f>
        <v>9646169</v>
      </c>
      <c r="F10" s="93">
        <v>4025701.86</v>
      </c>
      <c r="G10" s="35"/>
      <c r="H10" s="35"/>
      <c r="I10" s="35"/>
      <c r="J10" s="35"/>
      <c r="K10" s="35"/>
    </row>
    <row r="11" spans="2:11" s="1" customFormat="1" ht="25.5" x14ac:dyDescent="0.2">
      <c r="B11" s="311">
        <v>514</v>
      </c>
      <c r="C11" s="561" t="s">
        <v>998</v>
      </c>
      <c r="D11" s="93">
        <v>14950000</v>
      </c>
      <c r="E11" s="93">
        <v>14950000</v>
      </c>
      <c r="F11" s="93">
        <v>0</v>
      </c>
      <c r="G11" s="35"/>
      <c r="H11" s="35"/>
      <c r="I11" s="35"/>
      <c r="J11" s="35"/>
      <c r="K11" s="35"/>
    </row>
    <row r="12" spans="2:11" s="1" customFormat="1" ht="18" customHeight="1" x14ac:dyDescent="0.2">
      <c r="B12" s="308"/>
      <c r="C12" s="309" t="s">
        <v>342</v>
      </c>
      <c r="D12" s="310">
        <f>SUM(D13:D15)</f>
        <v>2610000</v>
      </c>
      <c r="E12" s="310">
        <f>SUM(E13:E15)</f>
        <v>3947424</v>
      </c>
      <c r="F12" s="310">
        <f>SUM(F13:F15)</f>
        <v>3440196.92</v>
      </c>
      <c r="G12" s="35"/>
      <c r="H12" s="35"/>
      <c r="I12" s="35"/>
      <c r="J12" s="35"/>
      <c r="K12" s="35"/>
    </row>
    <row r="13" spans="2:11" s="1" customFormat="1" ht="18" customHeight="1" x14ac:dyDescent="0.2">
      <c r="B13" s="311">
        <v>814</v>
      </c>
      <c r="C13" s="88" t="s">
        <v>587</v>
      </c>
      <c r="D13" s="93">
        <v>0</v>
      </c>
      <c r="E13" s="93">
        <v>1337424</v>
      </c>
      <c r="F13" s="93">
        <v>1337424</v>
      </c>
      <c r="G13" s="35"/>
      <c r="H13" s="35"/>
      <c r="I13" s="35"/>
      <c r="J13" s="35"/>
      <c r="K13" s="35"/>
    </row>
    <row r="14" spans="2:11" s="1" customFormat="1" ht="25.5" x14ac:dyDescent="0.2">
      <c r="B14" s="311">
        <v>821005</v>
      </c>
      <c r="C14" s="88" t="s">
        <v>343</v>
      </c>
      <c r="D14" s="93">
        <v>2505000</v>
      </c>
      <c r="E14" s="93">
        <v>2505000</v>
      </c>
      <c r="F14" s="93">
        <v>1999823.18</v>
      </c>
      <c r="G14" s="35"/>
      <c r="H14" s="35"/>
      <c r="I14" s="35"/>
      <c r="J14" s="35"/>
      <c r="K14" s="35"/>
    </row>
    <row r="15" spans="2:11" s="1" customFormat="1" ht="38.25" x14ac:dyDescent="0.2">
      <c r="B15" s="311">
        <v>821007</v>
      </c>
      <c r="C15" s="88" t="s">
        <v>344</v>
      </c>
      <c r="D15" s="93">
        <v>105000</v>
      </c>
      <c r="E15" s="93">
        <v>105000</v>
      </c>
      <c r="F15" s="93">
        <v>102949.74</v>
      </c>
      <c r="G15" s="35"/>
      <c r="H15" s="35"/>
      <c r="I15" s="35"/>
      <c r="J15" s="35"/>
      <c r="K15" s="35"/>
    </row>
    <row r="23" spans="2:11" s="1" customFormat="1" ht="14.25" x14ac:dyDescent="0.2">
      <c r="B23" s="35"/>
      <c r="C23" s="35"/>
      <c r="D23" s="35"/>
      <c r="E23" s="35"/>
      <c r="F23" s="35"/>
      <c r="G23" s="35"/>
      <c r="H23" s="35"/>
      <c r="I23" s="35"/>
      <c r="J23" s="35"/>
      <c r="K23" s="51"/>
    </row>
  </sheetData>
  <mergeCells count="2">
    <mergeCell ref="B4:F4"/>
    <mergeCell ref="B6:C6"/>
  </mergeCells>
  <pageMargins left="0.46" right="0.25" top="0.75" bottom="0.75" header="0.30000000000000004" footer="0.30000000000000004"/>
  <pageSetup paperSize="9" fitToWidth="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L32"/>
  <sheetViews>
    <sheetView workbookViewId="0"/>
  </sheetViews>
  <sheetFormatPr defaultColWidth="9.140625" defaultRowHeight="14.25" x14ac:dyDescent="0.2"/>
  <cols>
    <col min="1" max="1" width="4" style="1" customWidth="1"/>
    <col min="2" max="2" width="18" style="1" customWidth="1"/>
    <col min="3" max="3" width="11.85546875" style="1" customWidth="1"/>
    <col min="4" max="5" width="11.42578125" style="1" customWidth="1"/>
    <col min="6" max="6" width="13.28515625" style="1" customWidth="1"/>
    <col min="7" max="7" width="13.42578125" style="1" customWidth="1"/>
    <col min="8" max="8" width="11.85546875" style="1" customWidth="1"/>
    <col min="9" max="9" width="13.7109375" style="1" customWidth="1"/>
    <col min="10" max="10" width="6.85546875" style="1" customWidth="1"/>
    <col min="11" max="11" width="4.7109375" style="1" customWidth="1"/>
    <col min="12" max="16384" width="9.140625" style="1"/>
  </cols>
  <sheetData>
    <row r="1" spans="2:9" x14ac:dyDescent="0.2">
      <c r="B1" s="399"/>
      <c r="C1" s="399"/>
      <c r="D1" s="399"/>
      <c r="E1" s="399"/>
      <c r="F1" s="399"/>
      <c r="G1" s="399"/>
      <c r="H1" s="399"/>
      <c r="I1" s="399"/>
    </row>
    <row r="2" spans="2:9" x14ac:dyDescent="0.2">
      <c r="B2" s="399"/>
      <c r="C2" s="399"/>
      <c r="D2" s="399"/>
      <c r="E2" s="399"/>
      <c r="F2" s="399"/>
      <c r="G2" s="399"/>
      <c r="H2" s="399"/>
      <c r="I2" s="399" t="s">
        <v>345</v>
      </c>
    </row>
    <row r="3" spans="2:9" x14ac:dyDescent="0.2">
      <c r="B3" s="399"/>
      <c r="C3" s="399"/>
      <c r="D3" s="399"/>
      <c r="E3" s="399"/>
      <c r="F3" s="399"/>
      <c r="G3" s="399"/>
      <c r="H3" s="399"/>
      <c r="I3" s="399"/>
    </row>
    <row r="4" spans="2:9" ht="18" x14ac:dyDescent="0.25">
      <c r="B4" s="660" t="s">
        <v>982</v>
      </c>
      <c r="C4" s="660"/>
      <c r="D4" s="660"/>
      <c r="E4" s="660"/>
      <c r="F4" s="660"/>
      <c r="G4" s="660"/>
      <c r="H4" s="660"/>
      <c r="I4" s="660"/>
    </row>
    <row r="5" spans="2:9" x14ac:dyDescent="0.2">
      <c r="B5" s="399"/>
      <c r="C5" s="399"/>
      <c r="D5" s="399"/>
      <c r="E5" s="399"/>
      <c r="F5" s="399"/>
      <c r="G5" s="399"/>
      <c r="H5" s="399"/>
      <c r="I5" s="399"/>
    </row>
    <row r="6" spans="2:9" x14ac:dyDescent="0.2">
      <c r="B6" s="399"/>
      <c r="C6" s="399"/>
      <c r="D6" s="399"/>
      <c r="E6" s="399"/>
      <c r="F6" s="399"/>
      <c r="G6" s="399"/>
      <c r="H6" s="399"/>
      <c r="I6" s="400" t="s">
        <v>649</v>
      </c>
    </row>
    <row r="7" spans="2:9" x14ac:dyDescent="0.2">
      <c r="B7" s="661"/>
      <c r="C7" s="662" t="s">
        <v>346</v>
      </c>
      <c r="D7" s="662" t="s">
        <v>347</v>
      </c>
      <c r="E7" s="663" t="s">
        <v>983</v>
      </c>
      <c r="F7" s="662" t="s">
        <v>348</v>
      </c>
      <c r="G7" s="662" t="s">
        <v>349</v>
      </c>
      <c r="H7" s="662" t="s">
        <v>350</v>
      </c>
      <c r="I7" s="664" t="s">
        <v>351</v>
      </c>
    </row>
    <row r="8" spans="2:9" x14ac:dyDescent="0.2">
      <c r="B8" s="661"/>
      <c r="C8" s="662"/>
      <c r="D8" s="662"/>
      <c r="E8" s="663"/>
      <c r="F8" s="662"/>
      <c r="G8" s="662"/>
      <c r="H8" s="662"/>
      <c r="I8" s="664"/>
    </row>
    <row r="9" spans="2:9" x14ac:dyDescent="0.2">
      <c r="B9" s="661"/>
      <c r="C9" s="662"/>
      <c r="D9" s="662"/>
      <c r="E9" s="663"/>
      <c r="F9" s="662"/>
      <c r="G9" s="662"/>
      <c r="H9" s="662"/>
      <c r="I9" s="664"/>
    </row>
    <row r="10" spans="2:9" x14ac:dyDescent="0.2">
      <c r="B10" s="467" t="s">
        <v>352</v>
      </c>
      <c r="C10" s="468">
        <v>31.8</v>
      </c>
      <c r="D10" s="469">
        <v>3</v>
      </c>
      <c r="E10" s="469">
        <v>3</v>
      </c>
      <c r="F10" s="470">
        <v>7</v>
      </c>
      <c r="G10" s="470">
        <v>6</v>
      </c>
      <c r="H10" s="470">
        <v>7</v>
      </c>
      <c r="I10" s="471">
        <f t="shared" ref="I10:I19" si="0">SUM(C10:H10)</f>
        <v>57.8</v>
      </c>
    </row>
    <row r="11" spans="2:9" x14ac:dyDescent="0.2">
      <c r="B11" s="467" t="s">
        <v>353</v>
      </c>
      <c r="C11" s="468">
        <v>38.5</v>
      </c>
      <c r="D11" s="469">
        <v>6.31</v>
      </c>
      <c r="E11" s="469">
        <v>2.2599999999999998</v>
      </c>
      <c r="F11" s="470">
        <v>8.66</v>
      </c>
      <c r="G11" s="470">
        <v>7</v>
      </c>
      <c r="H11" s="470">
        <v>11</v>
      </c>
      <c r="I11" s="471">
        <f t="shared" si="0"/>
        <v>73.73</v>
      </c>
    </row>
    <row r="12" spans="2:9" x14ac:dyDescent="0.2">
      <c r="B12" s="467" t="s">
        <v>354</v>
      </c>
      <c r="C12" s="468">
        <v>55</v>
      </c>
      <c r="D12" s="469">
        <v>4</v>
      </c>
      <c r="E12" s="469">
        <v>5</v>
      </c>
      <c r="F12" s="470">
        <v>14</v>
      </c>
      <c r="G12" s="470">
        <v>11.53</v>
      </c>
      <c r="H12" s="472">
        <v>0</v>
      </c>
      <c r="I12" s="471">
        <f t="shared" si="0"/>
        <v>89.53</v>
      </c>
    </row>
    <row r="13" spans="2:9" x14ac:dyDescent="0.2">
      <c r="B13" s="467" t="s">
        <v>355</v>
      </c>
      <c r="C13" s="468">
        <v>38</v>
      </c>
      <c r="D13" s="469">
        <v>7</v>
      </c>
      <c r="E13" s="469">
        <v>11.02</v>
      </c>
      <c r="F13" s="470">
        <v>10.4</v>
      </c>
      <c r="G13" s="472">
        <v>8</v>
      </c>
      <c r="H13" s="472">
        <v>8</v>
      </c>
      <c r="I13" s="471">
        <f t="shared" si="0"/>
        <v>82.42</v>
      </c>
    </row>
    <row r="14" spans="2:9" x14ac:dyDescent="0.2">
      <c r="B14" s="467" t="s">
        <v>356</v>
      </c>
      <c r="C14" s="468">
        <v>26.7</v>
      </c>
      <c r="D14" s="469">
        <v>2</v>
      </c>
      <c r="E14" s="469">
        <v>8.5</v>
      </c>
      <c r="F14" s="470">
        <v>6</v>
      </c>
      <c r="G14" s="472">
        <v>7</v>
      </c>
      <c r="H14" s="472">
        <v>8.5</v>
      </c>
      <c r="I14" s="471">
        <f t="shared" si="0"/>
        <v>58.7</v>
      </c>
    </row>
    <row r="15" spans="2:9" x14ac:dyDescent="0.2">
      <c r="B15" s="467" t="s">
        <v>357</v>
      </c>
      <c r="C15" s="468">
        <v>47.71</v>
      </c>
      <c r="D15" s="469">
        <v>4</v>
      </c>
      <c r="E15" s="469">
        <v>8</v>
      </c>
      <c r="F15" s="470">
        <v>11</v>
      </c>
      <c r="G15" s="472">
        <v>13.5</v>
      </c>
      <c r="H15" s="472">
        <v>12</v>
      </c>
      <c r="I15" s="471">
        <f t="shared" si="0"/>
        <v>96.210000000000008</v>
      </c>
    </row>
    <row r="16" spans="2:9" x14ac:dyDescent="0.2">
      <c r="B16" s="467" t="s">
        <v>358</v>
      </c>
      <c r="C16" s="468">
        <v>18.899999999999999</v>
      </c>
      <c r="D16" s="469">
        <v>1.5</v>
      </c>
      <c r="E16" s="469">
        <v>2</v>
      </c>
      <c r="F16" s="470">
        <v>4</v>
      </c>
      <c r="G16" s="472">
        <v>6</v>
      </c>
      <c r="H16" s="472">
        <v>6</v>
      </c>
      <c r="I16" s="471">
        <f t="shared" si="0"/>
        <v>38.4</v>
      </c>
    </row>
    <row r="17" spans="2:12" x14ac:dyDescent="0.2">
      <c r="B17" s="467" t="s">
        <v>359</v>
      </c>
      <c r="C17" s="468">
        <v>47.2</v>
      </c>
      <c r="D17" s="469">
        <v>2.4</v>
      </c>
      <c r="E17" s="469">
        <v>6.5</v>
      </c>
      <c r="F17" s="470">
        <v>12.58</v>
      </c>
      <c r="G17" s="472">
        <v>12</v>
      </c>
      <c r="H17" s="472">
        <v>11</v>
      </c>
      <c r="I17" s="471">
        <f t="shared" si="0"/>
        <v>91.68</v>
      </c>
    </row>
    <row r="18" spans="2:12" x14ac:dyDescent="0.2">
      <c r="B18" s="467" t="s">
        <v>360</v>
      </c>
      <c r="C18" s="468">
        <v>45.9</v>
      </c>
      <c r="D18" s="469">
        <v>0</v>
      </c>
      <c r="E18" s="469">
        <v>0</v>
      </c>
      <c r="F18" s="470">
        <v>0</v>
      </c>
      <c r="G18" s="472">
        <v>8</v>
      </c>
      <c r="H18" s="472">
        <v>0</v>
      </c>
      <c r="I18" s="471">
        <f t="shared" si="0"/>
        <v>53.9</v>
      </c>
      <c r="J18" s="399"/>
      <c r="K18" s="399"/>
      <c r="L18" s="399"/>
    </row>
    <row r="19" spans="2:12" ht="16.5" customHeight="1" x14ac:dyDescent="0.2">
      <c r="B19" s="467" t="s">
        <v>361</v>
      </c>
      <c r="C19" s="468">
        <v>6</v>
      </c>
      <c r="D19" s="469">
        <v>0</v>
      </c>
      <c r="E19" s="469">
        <v>0</v>
      </c>
      <c r="F19" s="470">
        <v>0</v>
      </c>
      <c r="G19" s="472">
        <v>1.5</v>
      </c>
      <c r="H19" s="472">
        <v>0</v>
      </c>
      <c r="I19" s="471">
        <f t="shared" si="0"/>
        <v>7.5</v>
      </c>
      <c r="J19" s="401"/>
      <c r="K19" s="399"/>
      <c r="L19" s="399"/>
    </row>
    <row r="20" spans="2:12" x14ac:dyDescent="0.2">
      <c r="B20" s="473" t="s">
        <v>126</v>
      </c>
      <c r="C20" s="474">
        <f t="shared" ref="C20:I20" si="1">SUM(C10:C19)</f>
        <v>355.71</v>
      </c>
      <c r="D20" s="474">
        <f t="shared" si="1"/>
        <v>30.209999999999997</v>
      </c>
      <c r="E20" s="475">
        <f t="shared" si="1"/>
        <v>46.28</v>
      </c>
      <c r="F20" s="474">
        <f t="shared" si="1"/>
        <v>73.64</v>
      </c>
      <c r="G20" s="474">
        <f t="shared" si="1"/>
        <v>80.53</v>
      </c>
      <c r="H20" s="474">
        <f t="shared" si="1"/>
        <v>63.5</v>
      </c>
      <c r="I20" s="476">
        <f t="shared" si="1"/>
        <v>649.87</v>
      </c>
      <c r="J20" s="399"/>
      <c r="K20" s="399"/>
      <c r="L20" s="399"/>
    </row>
    <row r="21" spans="2:12" x14ac:dyDescent="0.2">
      <c r="B21" s="399"/>
      <c r="C21" s="399"/>
      <c r="D21" s="399"/>
      <c r="E21" s="399"/>
      <c r="F21" s="399"/>
      <c r="G21" s="399"/>
      <c r="H21" s="399"/>
      <c r="I21" s="402"/>
      <c r="J21" s="399"/>
      <c r="K21" s="399"/>
      <c r="L21" s="399"/>
    </row>
    <row r="28" spans="2:12" x14ac:dyDescent="0.2">
      <c r="B28" s="399"/>
      <c r="C28" s="399"/>
      <c r="D28" s="399"/>
      <c r="E28" s="399"/>
      <c r="F28" s="399"/>
      <c r="G28" s="399"/>
      <c r="H28" s="399"/>
      <c r="I28" s="399"/>
      <c r="J28" s="399"/>
      <c r="K28" s="399"/>
      <c r="L28" s="659"/>
    </row>
    <row r="29" spans="2:12" x14ac:dyDescent="0.2">
      <c r="B29" s="399"/>
      <c r="C29" s="399"/>
      <c r="D29" s="399"/>
      <c r="E29" s="399"/>
      <c r="F29" s="399"/>
      <c r="G29" s="399"/>
      <c r="H29" s="399"/>
      <c r="I29" s="399"/>
      <c r="J29" s="399"/>
      <c r="K29" s="399"/>
      <c r="L29" s="659"/>
    </row>
    <row r="30" spans="2:12" x14ac:dyDescent="0.2">
      <c r="B30" s="399"/>
      <c r="C30" s="399"/>
      <c r="D30" s="399"/>
      <c r="E30" s="399"/>
      <c r="F30" s="399"/>
      <c r="G30" s="399"/>
      <c r="H30" s="399"/>
      <c r="I30" s="399"/>
      <c r="J30" s="399"/>
      <c r="K30" s="399"/>
      <c r="L30" s="659"/>
    </row>
    <row r="31" spans="2:12" x14ac:dyDescent="0.2"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659"/>
    </row>
    <row r="32" spans="2:12" x14ac:dyDescent="0.2">
      <c r="B32" s="399"/>
      <c r="C32" s="399"/>
      <c r="D32" s="399"/>
      <c r="E32" s="399"/>
      <c r="F32" s="399"/>
      <c r="G32" s="399"/>
      <c r="H32" s="399"/>
      <c r="I32" s="399"/>
      <c r="J32" s="399"/>
      <c r="K32" s="399"/>
      <c r="L32" s="659"/>
    </row>
  </sheetData>
  <mergeCells count="10">
    <mergeCell ref="L28:L32"/>
    <mergeCell ref="B4:I4"/>
    <mergeCell ref="B7:B9"/>
    <mergeCell ref="C7:C9"/>
    <mergeCell ref="D7:D9"/>
    <mergeCell ref="E7:E9"/>
    <mergeCell ref="F7:F9"/>
    <mergeCell ref="G7:G9"/>
    <mergeCell ref="H7:H9"/>
    <mergeCell ref="I7:I9"/>
  </mergeCells>
  <pageMargins left="0.51181102362204722" right="0.11811023622047245" top="0.74803149606299213" bottom="0.74803149606299213" header="0.31496062992125984" footer="0.31496062992125984"/>
  <pageSetup paperSize="9" scale="90" fitToWidth="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V27"/>
  <sheetViews>
    <sheetView workbookViewId="0"/>
  </sheetViews>
  <sheetFormatPr defaultColWidth="9.140625" defaultRowHeight="14.25" x14ac:dyDescent="0.2"/>
  <cols>
    <col min="1" max="1" width="9.140625" style="1"/>
    <col min="2" max="2" width="14" style="1" customWidth="1"/>
    <col min="3" max="3" width="7.85546875" style="1" customWidth="1"/>
    <col min="4" max="4" width="5.42578125" style="1" customWidth="1"/>
    <col min="5" max="5" width="5.7109375" style="1" customWidth="1"/>
    <col min="6" max="6" width="5.42578125" style="1" customWidth="1"/>
    <col min="7" max="7" width="6" style="1" customWidth="1"/>
    <col min="8" max="8" width="7.7109375" style="1" customWidth="1"/>
    <col min="9" max="10" width="5.42578125" style="1" customWidth="1"/>
    <col min="11" max="11" width="5" style="1" customWidth="1"/>
    <col min="12" max="12" width="5.7109375" style="1" customWidth="1"/>
    <col min="13" max="13" width="6.7109375" style="1" customWidth="1"/>
    <col min="14" max="15" width="8" style="1" customWidth="1"/>
    <col min="16" max="16" width="7.7109375" style="1" customWidth="1"/>
    <col min="17" max="17" width="6.42578125" style="1" customWidth="1"/>
    <col min="18" max="18" width="6.7109375" style="1" customWidth="1"/>
    <col min="19" max="19" width="7" style="1" customWidth="1"/>
    <col min="20" max="20" width="6.7109375" style="1" customWidth="1"/>
    <col min="21" max="16384" width="9.140625" style="1"/>
  </cols>
  <sheetData>
    <row r="1" spans="2:22" x14ac:dyDescent="0.2"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</row>
    <row r="2" spans="2:22" x14ac:dyDescent="0.2"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T2" s="395" t="s">
        <v>362</v>
      </c>
      <c r="U2" s="394"/>
      <c r="V2" s="394"/>
    </row>
    <row r="3" spans="2:22" x14ac:dyDescent="0.2"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  <c r="S3" s="665"/>
      <c r="T3" s="394"/>
      <c r="U3" s="394"/>
      <c r="V3" s="394"/>
    </row>
    <row r="4" spans="2:22" ht="15" x14ac:dyDescent="0.25">
      <c r="B4" s="673" t="s">
        <v>648</v>
      </c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  <c r="S4" s="673"/>
      <c r="T4" s="673"/>
      <c r="U4" s="396"/>
      <c r="V4" s="396"/>
    </row>
    <row r="5" spans="2:22" ht="15.75" x14ac:dyDescent="0.25">
      <c r="B5" s="666" t="s">
        <v>647</v>
      </c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666"/>
      <c r="O5" s="666"/>
      <c r="P5" s="666"/>
      <c r="Q5" s="666"/>
      <c r="R5" s="666"/>
      <c r="S5" s="666"/>
      <c r="T5" s="666"/>
      <c r="U5" s="396"/>
      <c r="V5" s="396"/>
    </row>
    <row r="6" spans="2:22" x14ac:dyDescent="0.2"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5"/>
      <c r="R6" s="665"/>
      <c r="S6" s="665"/>
      <c r="T6" s="665"/>
      <c r="U6" s="396"/>
      <c r="V6" s="396"/>
    </row>
    <row r="7" spans="2:22" s="8" customFormat="1" ht="45" x14ac:dyDescent="0.25">
      <c r="B7" s="488" t="s">
        <v>363</v>
      </c>
      <c r="C7" s="477" t="s">
        <v>973</v>
      </c>
      <c r="D7" s="478" t="s">
        <v>10</v>
      </c>
      <c r="E7" s="478" t="s">
        <v>12</v>
      </c>
      <c r="F7" s="478" t="s">
        <v>14</v>
      </c>
      <c r="G7" s="478" t="s">
        <v>16</v>
      </c>
      <c r="H7" s="477" t="s">
        <v>974</v>
      </c>
      <c r="I7" s="478" t="s">
        <v>18</v>
      </c>
      <c r="J7" s="478" t="s">
        <v>20</v>
      </c>
      <c r="K7" s="478" t="s">
        <v>22</v>
      </c>
      <c r="L7" s="478" t="s">
        <v>24</v>
      </c>
      <c r="M7" s="478" t="s">
        <v>27</v>
      </c>
      <c r="N7" s="478" t="s">
        <v>364</v>
      </c>
      <c r="O7" s="477" t="s">
        <v>365</v>
      </c>
      <c r="P7" s="477" t="s">
        <v>975</v>
      </c>
      <c r="Q7" s="477" t="s">
        <v>366</v>
      </c>
      <c r="R7" s="477" t="s">
        <v>367</v>
      </c>
      <c r="S7" s="477" t="s">
        <v>368</v>
      </c>
      <c r="T7" s="477" t="s">
        <v>369</v>
      </c>
      <c r="U7" s="397"/>
      <c r="V7" s="397"/>
    </row>
    <row r="8" spans="2:22" x14ac:dyDescent="0.2">
      <c r="B8" s="488" t="s">
        <v>370</v>
      </c>
      <c r="C8" s="479"/>
      <c r="D8" s="479">
        <v>58</v>
      </c>
      <c r="E8" s="479">
        <v>51</v>
      </c>
      <c r="F8" s="479">
        <v>41</v>
      </c>
      <c r="G8" s="479">
        <v>48</v>
      </c>
      <c r="H8" s="480">
        <f>SUM(C8:G8)</f>
        <v>198</v>
      </c>
      <c r="I8" s="479">
        <v>69</v>
      </c>
      <c r="J8" s="479">
        <v>61</v>
      </c>
      <c r="K8" s="479">
        <v>69</v>
      </c>
      <c r="L8" s="479">
        <v>48</v>
      </c>
      <c r="M8" s="479">
        <v>55</v>
      </c>
      <c r="N8" s="480">
        <f>SUM(I8:M8)</f>
        <v>302</v>
      </c>
      <c r="O8" s="480">
        <f>H8+N8</f>
        <v>500</v>
      </c>
      <c r="P8" s="481">
        <v>13</v>
      </c>
      <c r="Q8" s="479">
        <v>22</v>
      </c>
      <c r="R8" s="479">
        <v>184</v>
      </c>
      <c r="S8" s="479">
        <v>11</v>
      </c>
      <c r="T8" s="489"/>
      <c r="U8" s="396"/>
      <c r="V8" s="396"/>
    </row>
    <row r="9" spans="2:22" x14ac:dyDescent="0.2">
      <c r="B9" s="488" t="s">
        <v>371</v>
      </c>
      <c r="C9" s="479"/>
      <c r="D9" s="479">
        <v>70</v>
      </c>
      <c r="E9" s="479">
        <v>74</v>
      </c>
      <c r="F9" s="479">
        <v>70</v>
      </c>
      <c r="G9" s="479">
        <v>69</v>
      </c>
      <c r="H9" s="480">
        <f t="shared" ref="H9:H18" si="0">SUM(C9:G9)</f>
        <v>283</v>
      </c>
      <c r="I9" s="479">
        <v>71</v>
      </c>
      <c r="J9" s="479">
        <v>73</v>
      </c>
      <c r="K9" s="479">
        <v>67</v>
      </c>
      <c r="L9" s="479">
        <v>72</v>
      </c>
      <c r="M9" s="479">
        <v>59</v>
      </c>
      <c r="N9" s="480">
        <f t="shared" ref="N9:N18" si="1">SUM(I9:M9)</f>
        <v>342</v>
      </c>
      <c r="O9" s="480">
        <f t="shared" ref="O9:O18" si="2">H9+N9</f>
        <v>625</v>
      </c>
      <c r="P9" s="481">
        <v>-16</v>
      </c>
      <c r="Q9" s="479">
        <v>27</v>
      </c>
      <c r="R9" s="479">
        <v>256</v>
      </c>
      <c r="S9" s="479">
        <v>29</v>
      </c>
      <c r="T9" s="489"/>
      <c r="U9" s="396"/>
      <c r="V9" s="396"/>
    </row>
    <row r="10" spans="2:22" x14ac:dyDescent="0.2">
      <c r="B10" s="488" t="s">
        <v>372</v>
      </c>
      <c r="C10" s="479"/>
      <c r="D10" s="479">
        <v>91</v>
      </c>
      <c r="E10" s="479">
        <v>97</v>
      </c>
      <c r="F10" s="479">
        <v>89</v>
      </c>
      <c r="G10" s="479">
        <v>92</v>
      </c>
      <c r="H10" s="480">
        <f t="shared" si="0"/>
        <v>369</v>
      </c>
      <c r="I10" s="479">
        <v>105</v>
      </c>
      <c r="J10" s="479">
        <v>101</v>
      </c>
      <c r="K10" s="479">
        <v>90</v>
      </c>
      <c r="L10" s="479">
        <v>111</v>
      </c>
      <c r="M10" s="479">
        <v>77</v>
      </c>
      <c r="N10" s="480">
        <f t="shared" si="1"/>
        <v>484</v>
      </c>
      <c r="O10" s="480">
        <f t="shared" si="2"/>
        <v>853</v>
      </c>
      <c r="P10" s="481">
        <v>12</v>
      </c>
      <c r="Q10" s="479">
        <v>37</v>
      </c>
      <c r="R10" s="479">
        <v>355</v>
      </c>
      <c r="S10" s="479">
        <v>50</v>
      </c>
      <c r="T10" s="489"/>
      <c r="U10" s="396"/>
      <c r="V10" s="396"/>
    </row>
    <row r="11" spans="2:22" x14ac:dyDescent="0.2">
      <c r="B11" s="488" t="s">
        <v>373</v>
      </c>
      <c r="C11" s="479"/>
      <c r="D11" s="479">
        <v>58</v>
      </c>
      <c r="E11" s="479">
        <v>62</v>
      </c>
      <c r="F11" s="479">
        <v>68</v>
      </c>
      <c r="G11" s="479">
        <v>61</v>
      </c>
      <c r="H11" s="480">
        <f t="shared" si="0"/>
        <v>249</v>
      </c>
      <c r="I11" s="479">
        <v>53</v>
      </c>
      <c r="J11" s="479">
        <v>59</v>
      </c>
      <c r="K11" s="479">
        <v>57</v>
      </c>
      <c r="L11" s="479">
        <v>52</v>
      </c>
      <c r="M11" s="479">
        <v>45</v>
      </c>
      <c r="N11" s="480">
        <f t="shared" si="1"/>
        <v>266</v>
      </c>
      <c r="O11" s="480">
        <f t="shared" si="2"/>
        <v>515</v>
      </c>
      <c r="P11" s="668">
        <v>15</v>
      </c>
      <c r="Q11" s="479">
        <v>21</v>
      </c>
      <c r="R11" s="479">
        <v>257</v>
      </c>
      <c r="S11" s="479">
        <v>43</v>
      </c>
      <c r="T11" s="489"/>
      <c r="U11" s="396"/>
      <c r="V11" s="396"/>
    </row>
    <row r="12" spans="2:22" ht="24" x14ac:dyDescent="0.2">
      <c r="B12" s="490" t="s">
        <v>418</v>
      </c>
      <c r="C12" s="479"/>
      <c r="D12" s="479">
        <v>10</v>
      </c>
      <c r="E12" s="479">
        <v>16</v>
      </c>
      <c r="F12" s="479">
        <v>11</v>
      </c>
      <c r="G12" s="479">
        <v>25</v>
      </c>
      <c r="H12" s="480">
        <f t="shared" si="0"/>
        <v>62</v>
      </c>
      <c r="I12" s="479">
        <v>14</v>
      </c>
      <c r="J12" s="479"/>
      <c r="K12" s="479"/>
      <c r="L12" s="479"/>
      <c r="M12" s="479">
        <v>10</v>
      </c>
      <c r="N12" s="480">
        <f t="shared" si="1"/>
        <v>24</v>
      </c>
      <c r="O12" s="480">
        <f t="shared" si="2"/>
        <v>86</v>
      </c>
      <c r="P12" s="668"/>
      <c r="Q12" s="479">
        <v>8</v>
      </c>
      <c r="R12" s="479">
        <v>70</v>
      </c>
      <c r="S12" s="479"/>
      <c r="T12" s="489"/>
      <c r="U12" s="396"/>
      <c r="V12" s="396"/>
    </row>
    <row r="13" spans="2:22" ht="36" x14ac:dyDescent="0.2">
      <c r="B13" s="490" t="s">
        <v>596</v>
      </c>
      <c r="C13" s="479"/>
      <c r="D13" s="479">
        <v>6</v>
      </c>
      <c r="E13" s="482"/>
      <c r="F13" s="483">
        <v>4</v>
      </c>
      <c r="G13" s="479">
        <v>2</v>
      </c>
      <c r="H13" s="480">
        <f t="shared" si="0"/>
        <v>12</v>
      </c>
      <c r="I13" s="479"/>
      <c r="J13" s="479"/>
      <c r="K13" s="479"/>
      <c r="L13" s="479"/>
      <c r="M13" s="479"/>
      <c r="N13" s="480">
        <f t="shared" si="1"/>
        <v>0</v>
      </c>
      <c r="O13" s="480">
        <f t="shared" si="2"/>
        <v>12</v>
      </c>
      <c r="P13" s="669"/>
      <c r="Q13" s="479">
        <v>2</v>
      </c>
      <c r="R13" s="479"/>
      <c r="S13" s="479"/>
      <c r="T13" s="489"/>
      <c r="U13" s="396"/>
      <c r="V13" s="396"/>
    </row>
    <row r="14" spans="2:22" x14ac:dyDescent="0.2">
      <c r="B14" s="488" t="s">
        <v>374</v>
      </c>
      <c r="C14" s="484"/>
      <c r="D14" s="484">
        <v>45</v>
      </c>
      <c r="E14" s="484">
        <v>51</v>
      </c>
      <c r="F14" s="484">
        <v>47</v>
      </c>
      <c r="G14" s="484">
        <v>49</v>
      </c>
      <c r="H14" s="480">
        <f t="shared" si="0"/>
        <v>192</v>
      </c>
      <c r="I14" s="479">
        <v>51</v>
      </c>
      <c r="J14" s="479">
        <v>51</v>
      </c>
      <c r="K14" s="479">
        <v>51</v>
      </c>
      <c r="L14" s="479">
        <v>52</v>
      </c>
      <c r="M14" s="479">
        <v>27</v>
      </c>
      <c r="N14" s="480">
        <f t="shared" si="1"/>
        <v>232</v>
      </c>
      <c r="O14" s="480">
        <f t="shared" si="2"/>
        <v>424</v>
      </c>
      <c r="P14" s="481">
        <v>27</v>
      </c>
      <c r="Q14" s="479">
        <v>19</v>
      </c>
      <c r="R14" s="479">
        <v>167</v>
      </c>
      <c r="S14" s="479">
        <v>50</v>
      </c>
      <c r="T14" s="489">
        <v>2</v>
      </c>
      <c r="U14" s="396"/>
      <c r="V14" s="396"/>
    </row>
    <row r="15" spans="2:22" x14ac:dyDescent="0.2">
      <c r="B15" s="488" t="s">
        <v>375</v>
      </c>
      <c r="C15" s="479"/>
      <c r="D15" s="479">
        <v>71</v>
      </c>
      <c r="E15" s="479">
        <v>90</v>
      </c>
      <c r="F15" s="479">
        <v>90</v>
      </c>
      <c r="G15" s="479">
        <v>86</v>
      </c>
      <c r="H15" s="480">
        <f t="shared" si="0"/>
        <v>337</v>
      </c>
      <c r="I15" s="479">
        <v>99</v>
      </c>
      <c r="J15" s="479">
        <v>77</v>
      </c>
      <c r="K15" s="479">
        <v>103</v>
      </c>
      <c r="L15" s="479">
        <v>95</v>
      </c>
      <c r="M15" s="479">
        <v>87</v>
      </c>
      <c r="N15" s="480">
        <f t="shared" si="1"/>
        <v>461</v>
      </c>
      <c r="O15" s="480">
        <f t="shared" si="2"/>
        <v>798</v>
      </c>
      <c r="P15" s="481">
        <v>-33</v>
      </c>
      <c r="Q15" s="479">
        <v>35</v>
      </c>
      <c r="R15" s="479">
        <v>284</v>
      </c>
      <c r="S15" s="479">
        <v>37</v>
      </c>
      <c r="T15" s="489">
        <v>2</v>
      </c>
      <c r="U15" s="396"/>
      <c r="V15" s="396"/>
    </row>
    <row r="16" spans="2:22" x14ac:dyDescent="0.2">
      <c r="B16" s="488" t="s">
        <v>376</v>
      </c>
      <c r="C16" s="479"/>
      <c r="D16" s="479">
        <v>85</v>
      </c>
      <c r="E16" s="479">
        <v>85</v>
      </c>
      <c r="F16" s="479">
        <v>80</v>
      </c>
      <c r="G16" s="479">
        <v>89</v>
      </c>
      <c r="H16" s="480">
        <f t="shared" si="0"/>
        <v>339</v>
      </c>
      <c r="I16" s="479">
        <v>91</v>
      </c>
      <c r="J16" s="479">
        <v>87</v>
      </c>
      <c r="K16" s="479">
        <v>88</v>
      </c>
      <c r="L16" s="479">
        <v>85</v>
      </c>
      <c r="M16" s="479">
        <v>87</v>
      </c>
      <c r="N16" s="480">
        <f t="shared" si="1"/>
        <v>438</v>
      </c>
      <c r="O16" s="480">
        <f t="shared" si="2"/>
        <v>777</v>
      </c>
      <c r="P16" s="481">
        <v>-13</v>
      </c>
      <c r="Q16" s="479">
        <v>32</v>
      </c>
      <c r="R16" s="479">
        <v>295</v>
      </c>
      <c r="S16" s="479">
        <v>47</v>
      </c>
      <c r="T16" s="489"/>
      <c r="U16" s="396"/>
      <c r="V16" s="396"/>
    </row>
    <row r="17" spans="2:22" x14ac:dyDescent="0.2">
      <c r="B17" s="488" t="s">
        <v>377</v>
      </c>
      <c r="C17" s="479"/>
      <c r="D17" s="479">
        <v>28</v>
      </c>
      <c r="E17" s="479">
        <v>38</v>
      </c>
      <c r="F17" s="479">
        <v>20</v>
      </c>
      <c r="G17" s="479">
        <v>26</v>
      </c>
      <c r="H17" s="480">
        <f t="shared" si="0"/>
        <v>112</v>
      </c>
      <c r="I17" s="479">
        <v>25</v>
      </c>
      <c r="J17" s="479">
        <v>28</v>
      </c>
      <c r="K17" s="479">
        <v>30</v>
      </c>
      <c r="L17" s="479">
        <v>25</v>
      </c>
      <c r="M17" s="479">
        <v>30</v>
      </c>
      <c r="N17" s="480">
        <f t="shared" si="1"/>
        <v>138</v>
      </c>
      <c r="O17" s="480">
        <f t="shared" si="2"/>
        <v>250</v>
      </c>
      <c r="P17" s="668">
        <v>20</v>
      </c>
      <c r="Q17" s="479">
        <v>10</v>
      </c>
      <c r="R17" s="479">
        <v>123</v>
      </c>
      <c r="S17" s="479">
        <v>22</v>
      </c>
      <c r="T17" s="489"/>
      <c r="U17" s="396"/>
      <c r="V17" s="396"/>
    </row>
    <row r="18" spans="2:22" x14ac:dyDescent="0.2">
      <c r="B18" s="488" t="s">
        <v>976</v>
      </c>
      <c r="C18" s="479">
        <v>7</v>
      </c>
      <c r="D18" s="479"/>
      <c r="E18" s="479"/>
      <c r="F18" s="479">
        <v>8</v>
      </c>
      <c r="G18" s="479">
        <v>10</v>
      </c>
      <c r="H18" s="480">
        <f t="shared" si="0"/>
        <v>25</v>
      </c>
      <c r="I18" s="479"/>
      <c r="J18" s="479"/>
      <c r="K18" s="479"/>
      <c r="L18" s="479"/>
      <c r="M18" s="479"/>
      <c r="N18" s="480">
        <f t="shared" si="1"/>
        <v>0</v>
      </c>
      <c r="O18" s="480">
        <f t="shared" si="2"/>
        <v>25</v>
      </c>
      <c r="P18" s="669"/>
      <c r="Q18" s="479">
        <v>3</v>
      </c>
      <c r="R18" s="479"/>
      <c r="S18" s="479"/>
      <c r="T18" s="489"/>
    </row>
    <row r="19" spans="2:22" ht="24" x14ac:dyDescent="0.2">
      <c r="B19" s="490" t="s">
        <v>378</v>
      </c>
      <c r="C19" s="480">
        <f t="shared" ref="C19:O19" si="3">SUM(C8:C18)</f>
        <v>7</v>
      </c>
      <c r="D19" s="480">
        <f t="shared" si="3"/>
        <v>522</v>
      </c>
      <c r="E19" s="480">
        <f t="shared" si="3"/>
        <v>564</v>
      </c>
      <c r="F19" s="485">
        <f t="shared" si="3"/>
        <v>528</v>
      </c>
      <c r="G19" s="480">
        <f t="shared" si="3"/>
        <v>557</v>
      </c>
      <c r="H19" s="480">
        <f>SUM(H8:H18)</f>
        <v>2178</v>
      </c>
      <c r="I19" s="480">
        <f t="shared" si="3"/>
        <v>578</v>
      </c>
      <c r="J19" s="480">
        <f t="shared" si="3"/>
        <v>537</v>
      </c>
      <c r="K19" s="480">
        <f t="shared" si="3"/>
        <v>555</v>
      </c>
      <c r="L19" s="480">
        <f t="shared" si="3"/>
        <v>540</v>
      </c>
      <c r="M19" s="480">
        <f t="shared" si="3"/>
        <v>477</v>
      </c>
      <c r="N19" s="480">
        <f t="shared" si="3"/>
        <v>2687</v>
      </c>
      <c r="O19" s="480">
        <f t="shared" si="3"/>
        <v>4865</v>
      </c>
      <c r="P19" s="480">
        <f>SUM(P8:P18)</f>
        <v>25</v>
      </c>
      <c r="Q19" s="480">
        <f>SUM(Q8:Q18)</f>
        <v>216</v>
      </c>
      <c r="R19" s="480">
        <f>SUM(R8:R18)</f>
        <v>1991</v>
      </c>
      <c r="S19" s="480">
        <f>SUM(S8:S18)</f>
        <v>289</v>
      </c>
      <c r="T19" s="491">
        <f>SUM(T8:T18)</f>
        <v>4</v>
      </c>
    </row>
    <row r="20" spans="2:22" x14ac:dyDescent="0.2">
      <c r="B20" s="488" t="s">
        <v>379</v>
      </c>
      <c r="C20" s="479">
        <v>1</v>
      </c>
      <c r="D20" s="479">
        <v>24</v>
      </c>
      <c r="E20" s="479">
        <v>26</v>
      </c>
      <c r="F20" s="479">
        <v>26</v>
      </c>
      <c r="G20" s="479">
        <v>28</v>
      </c>
      <c r="H20" s="480">
        <f>SUM(C20:G20)</f>
        <v>105</v>
      </c>
      <c r="I20" s="479">
        <v>24</v>
      </c>
      <c r="J20" s="479">
        <v>22</v>
      </c>
      <c r="K20" s="479">
        <v>22</v>
      </c>
      <c r="L20" s="479">
        <v>22</v>
      </c>
      <c r="M20" s="479">
        <v>21</v>
      </c>
      <c r="N20" s="480">
        <f>SUM(I20:M20)</f>
        <v>111</v>
      </c>
      <c r="O20" s="480"/>
      <c r="P20" s="486"/>
      <c r="Q20" s="487">
        <f>H20+N20</f>
        <v>216</v>
      </c>
      <c r="R20" s="479"/>
      <c r="S20" s="479"/>
      <c r="T20" s="489"/>
    </row>
    <row r="21" spans="2:22" x14ac:dyDescent="0.2"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</row>
    <row r="22" spans="2:22" x14ac:dyDescent="0.2">
      <c r="B22" s="670" t="s">
        <v>977</v>
      </c>
      <c r="C22" s="670"/>
      <c r="D22" s="670"/>
      <c r="E22" s="670"/>
      <c r="F22" s="670"/>
      <c r="G22" s="670"/>
      <c r="H22" s="670"/>
      <c r="I22" s="670"/>
      <c r="J22" s="670"/>
      <c r="K22" s="670"/>
      <c r="L22" s="670"/>
      <c r="M22" s="670"/>
      <c r="N22" s="670"/>
      <c r="O22" s="670"/>
      <c r="P22" s="670"/>
      <c r="Q22" s="670"/>
      <c r="R22" s="670"/>
      <c r="S22" s="670"/>
      <c r="T22" s="670"/>
    </row>
    <row r="23" spans="2:22" ht="15" x14ac:dyDescent="0.25">
      <c r="B23" s="667" t="s">
        <v>978</v>
      </c>
      <c r="C23" s="667"/>
      <c r="D23" s="667"/>
      <c r="E23" s="667"/>
      <c r="F23" s="667"/>
      <c r="G23" s="667"/>
      <c r="H23" s="667"/>
      <c r="I23" s="671"/>
      <c r="J23" s="671"/>
      <c r="K23" s="671"/>
      <c r="L23" s="671"/>
      <c r="M23" s="671"/>
      <c r="N23" s="671"/>
      <c r="O23" s="671"/>
      <c r="P23" s="671"/>
      <c r="Q23" s="671"/>
      <c r="R23" s="671"/>
      <c r="S23" s="671"/>
      <c r="T23" s="465"/>
    </row>
    <row r="24" spans="2:22" x14ac:dyDescent="0.2">
      <c r="B24" s="465" t="s">
        <v>979</v>
      </c>
      <c r="C24" s="465"/>
      <c r="D24" s="465"/>
      <c r="E24" s="465"/>
      <c r="F24" s="465"/>
      <c r="G24" s="465"/>
      <c r="H24" s="465"/>
      <c r="I24" s="465"/>
      <c r="J24" s="465"/>
      <c r="K24" s="465"/>
      <c r="L24" s="465"/>
      <c r="M24" s="465"/>
      <c r="N24" s="465"/>
      <c r="O24" s="465"/>
      <c r="P24" s="465"/>
      <c r="Q24" s="465"/>
      <c r="R24" s="465"/>
      <c r="S24" s="465"/>
      <c r="T24" s="465"/>
    </row>
    <row r="25" spans="2:22" x14ac:dyDescent="0.2">
      <c r="B25" s="672" t="s">
        <v>597</v>
      </c>
      <c r="C25" s="672"/>
      <c r="D25" s="672"/>
      <c r="E25" s="672"/>
      <c r="F25" s="672"/>
      <c r="G25" s="672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</row>
    <row r="26" spans="2:22" x14ac:dyDescent="0.2">
      <c r="B26" s="667" t="s">
        <v>980</v>
      </c>
      <c r="C26" s="667"/>
      <c r="D26" s="667"/>
      <c r="E26" s="667"/>
      <c r="F26" s="667"/>
      <c r="G26" s="667"/>
      <c r="H26" s="667"/>
      <c r="I26" s="667"/>
      <c r="J26" s="667"/>
      <c r="K26" s="667"/>
      <c r="L26" s="667"/>
      <c r="M26" s="667"/>
      <c r="N26" s="667"/>
      <c r="O26" s="667"/>
      <c r="P26" s="667"/>
      <c r="Q26" s="667"/>
      <c r="R26" s="667"/>
      <c r="S26" s="667"/>
      <c r="T26" s="667"/>
    </row>
    <row r="27" spans="2:22" ht="15" x14ac:dyDescent="0.25">
      <c r="B27" s="466" t="s">
        <v>981</v>
      </c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</row>
  </sheetData>
  <mergeCells count="10">
    <mergeCell ref="B3:S3"/>
    <mergeCell ref="B5:T5"/>
    <mergeCell ref="B6:T6"/>
    <mergeCell ref="B26:T26"/>
    <mergeCell ref="P11:P13"/>
    <mergeCell ref="P17:P18"/>
    <mergeCell ref="B22:T22"/>
    <mergeCell ref="B23:S23"/>
    <mergeCell ref="B25:G25"/>
    <mergeCell ref="B4:T4"/>
  </mergeCells>
  <pageMargins left="0.70866141732283472" right="0.31496062992125984" top="0.74803149606299213" bottom="0.74803149606299213" header="0.31496062992125984" footer="0.31496062992125984"/>
  <pageSetup paperSize="9" scale="95" fitToWidth="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M21"/>
  <sheetViews>
    <sheetView workbookViewId="0"/>
  </sheetViews>
  <sheetFormatPr defaultRowHeight="14.25" x14ac:dyDescent="0.2"/>
  <cols>
    <col min="1" max="1" width="9.140625" style="1" customWidth="1"/>
    <col min="2" max="2" width="3.42578125" style="2" customWidth="1"/>
    <col min="3" max="3" width="56.7109375" style="1" customWidth="1"/>
    <col min="4" max="4" width="15.85546875" style="284" customWidth="1"/>
    <col min="5" max="5" width="9.140625" style="1" customWidth="1"/>
    <col min="6" max="6" width="13" style="1" customWidth="1"/>
    <col min="7" max="7" width="11.7109375" style="1" customWidth="1"/>
    <col min="8" max="8" width="11.85546875" style="1" customWidth="1"/>
    <col min="9" max="9" width="12.42578125" style="1" customWidth="1"/>
    <col min="10" max="10" width="9.140625" style="1" customWidth="1"/>
    <col min="11" max="16384" width="9.140625" style="1"/>
  </cols>
  <sheetData>
    <row r="2" spans="2:13" x14ac:dyDescent="0.2">
      <c r="D2" s="284" t="s">
        <v>380</v>
      </c>
    </row>
    <row r="4" spans="2:13" ht="15" x14ac:dyDescent="0.25">
      <c r="B4" s="674" t="s">
        <v>381</v>
      </c>
      <c r="C4" s="674"/>
      <c r="D4" s="674"/>
    </row>
    <row r="5" spans="2:13" ht="15" x14ac:dyDescent="0.25">
      <c r="B5" s="134"/>
      <c r="C5" s="25"/>
      <c r="D5" s="420" t="s">
        <v>382</v>
      </c>
      <c r="M5" s="389"/>
    </row>
    <row r="6" spans="2:13" x14ac:dyDescent="0.2">
      <c r="B6" s="134">
        <v>1</v>
      </c>
      <c r="C6" s="181" t="s">
        <v>383</v>
      </c>
      <c r="D6" s="421">
        <v>38353</v>
      </c>
    </row>
    <row r="7" spans="2:13" x14ac:dyDescent="0.2">
      <c r="B7" s="134">
        <v>2</v>
      </c>
      <c r="C7" s="181" t="s">
        <v>384</v>
      </c>
      <c r="D7" s="421">
        <v>37257</v>
      </c>
      <c r="F7" s="422"/>
    </row>
    <row r="8" spans="2:13" x14ac:dyDescent="0.2">
      <c r="B8" s="134">
        <v>3</v>
      </c>
      <c r="C8" s="181" t="s">
        <v>660</v>
      </c>
      <c r="D8" s="421">
        <v>37438</v>
      </c>
    </row>
    <row r="9" spans="2:13" x14ac:dyDescent="0.2">
      <c r="B9" s="134">
        <v>4</v>
      </c>
      <c r="C9" s="181" t="s">
        <v>385</v>
      </c>
      <c r="D9" s="421">
        <v>37438</v>
      </c>
    </row>
    <row r="10" spans="2:13" x14ac:dyDescent="0.2">
      <c r="B10" s="134">
        <v>5</v>
      </c>
      <c r="C10" s="181" t="s">
        <v>658</v>
      </c>
      <c r="D10" s="421">
        <v>37438</v>
      </c>
      <c r="F10" s="422"/>
    </row>
    <row r="11" spans="2:13" x14ac:dyDescent="0.2">
      <c r="B11" s="134">
        <v>6</v>
      </c>
      <c r="C11" s="181" t="s">
        <v>651</v>
      </c>
      <c r="D11" s="421">
        <v>37438</v>
      </c>
      <c r="F11" s="422"/>
    </row>
    <row r="12" spans="2:13" x14ac:dyDescent="0.2">
      <c r="B12" s="134">
        <v>7</v>
      </c>
      <c r="C12" s="181" t="s">
        <v>650</v>
      </c>
      <c r="D12" s="421">
        <v>37438</v>
      </c>
      <c r="H12" s="422"/>
    </row>
    <row r="13" spans="2:13" x14ac:dyDescent="0.2">
      <c r="B13" s="134">
        <v>8</v>
      </c>
      <c r="C13" s="181" t="s">
        <v>652</v>
      </c>
      <c r="D13" s="421">
        <v>37438</v>
      </c>
      <c r="H13" s="422"/>
    </row>
    <row r="14" spans="2:13" x14ac:dyDescent="0.2">
      <c r="B14" s="134">
        <v>9</v>
      </c>
      <c r="C14" s="181" t="s">
        <v>653</v>
      </c>
      <c r="D14" s="421">
        <v>37438</v>
      </c>
      <c r="H14" s="422"/>
    </row>
    <row r="15" spans="2:13" x14ac:dyDescent="0.2">
      <c r="B15" s="134">
        <v>10</v>
      </c>
      <c r="C15" s="181" t="s">
        <v>659</v>
      </c>
      <c r="D15" s="421">
        <v>37438</v>
      </c>
      <c r="F15" s="422"/>
    </row>
    <row r="16" spans="2:13" x14ac:dyDescent="0.2">
      <c r="B16" s="134">
        <v>11</v>
      </c>
      <c r="C16" s="181" t="s">
        <v>654</v>
      </c>
      <c r="D16" s="421">
        <v>37438</v>
      </c>
      <c r="H16" s="422"/>
    </row>
    <row r="17" spans="2:9" x14ac:dyDescent="0.2">
      <c r="B17" s="134">
        <v>12</v>
      </c>
      <c r="C17" s="181" t="s">
        <v>655</v>
      </c>
      <c r="D17" s="421">
        <v>37438</v>
      </c>
      <c r="G17" s="422"/>
    </row>
    <row r="18" spans="2:9" x14ac:dyDescent="0.2">
      <c r="B18" s="134">
        <v>13</v>
      </c>
      <c r="C18" s="181" t="s">
        <v>656</v>
      </c>
      <c r="D18" s="421">
        <v>37438</v>
      </c>
      <c r="I18" s="422"/>
    </row>
    <row r="19" spans="2:9" x14ac:dyDescent="0.2">
      <c r="B19" s="134">
        <v>14</v>
      </c>
      <c r="C19" s="181" t="s">
        <v>657</v>
      </c>
      <c r="D19" s="421">
        <v>41640</v>
      </c>
      <c r="H19" s="422"/>
    </row>
    <row r="20" spans="2:9" x14ac:dyDescent="0.2">
      <c r="B20" s="134"/>
      <c r="C20" s="423"/>
      <c r="D20" s="420"/>
      <c r="H20" s="422"/>
    </row>
    <row r="21" spans="2:9" x14ac:dyDescent="0.2">
      <c r="B21" s="424"/>
      <c r="C21" s="425" t="s">
        <v>606</v>
      </c>
      <c r="D21" s="426"/>
      <c r="H21" s="422"/>
    </row>
  </sheetData>
  <mergeCells count="1">
    <mergeCell ref="B4:D4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D2:H31"/>
  <sheetViews>
    <sheetView workbookViewId="0"/>
  </sheetViews>
  <sheetFormatPr defaultRowHeight="14.25" x14ac:dyDescent="0.2"/>
  <cols>
    <col min="1" max="2" width="9.140625" style="1" customWidth="1"/>
    <col min="3" max="4" width="9.140625" style="1"/>
    <col min="5" max="5" width="62" style="1" customWidth="1"/>
    <col min="6" max="6" width="14.28515625" style="1" customWidth="1"/>
    <col min="7" max="7" width="13.42578125" style="1" customWidth="1"/>
    <col min="8" max="16384" width="9.140625" style="1"/>
  </cols>
  <sheetData>
    <row r="2" spans="4:8" x14ac:dyDescent="0.2">
      <c r="F2" s="257" t="s">
        <v>386</v>
      </c>
    </row>
    <row r="3" spans="4:8" ht="37.5" customHeight="1" x14ac:dyDescent="0.2">
      <c r="D3" s="675" t="s">
        <v>964</v>
      </c>
      <c r="E3" s="675"/>
      <c r="F3" s="675"/>
    </row>
    <row r="4" spans="4:8" x14ac:dyDescent="0.2">
      <c r="D4" s="403"/>
      <c r="F4" s="284"/>
    </row>
    <row r="5" spans="4:8" ht="25.5" x14ac:dyDescent="0.2">
      <c r="D5" s="404" t="s">
        <v>387</v>
      </c>
      <c r="E5" s="405" t="s">
        <v>388</v>
      </c>
      <c r="F5" s="405" t="s">
        <v>963</v>
      </c>
    </row>
    <row r="6" spans="4:8" x14ac:dyDescent="0.2">
      <c r="D6" s="406">
        <v>1</v>
      </c>
      <c r="E6" s="407" t="s">
        <v>389</v>
      </c>
      <c r="F6" s="408">
        <f>F7+F8+F9+F10</f>
        <v>90065000</v>
      </c>
    </row>
    <row r="7" spans="4:8" x14ac:dyDescent="0.2">
      <c r="D7" s="134">
        <v>2</v>
      </c>
      <c r="E7" s="409" t="s">
        <v>390</v>
      </c>
      <c r="F7" s="136">
        <v>42587298</v>
      </c>
    </row>
    <row r="8" spans="4:8" x14ac:dyDescent="0.2">
      <c r="D8" s="134">
        <v>3</v>
      </c>
      <c r="E8" s="409" t="s">
        <v>391</v>
      </c>
      <c r="F8" s="136">
        <v>11114511</v>
      </c>
    </row>
    <row r="9" spans="4:8" ht="15" x14ac:dyDescent="0.25">
      <c r="D9" s="134">
        <v>4</v>
      </c>
      <c r="E9" s="409" t="s">
        <v>392</v>
      </c>
      <c r="F9" s="136">
        <v>27408073</v>
      </c>
      <c r="H9" s="393"/>
    </row>
    <row r="10" spans="4:8" x14ac:dyDescent="0.2">
      <c r="D10" s="134">
        <v>5</v>
      </c>
      <c r="E10" s="409" t="s">
        <v>393</v>
      </c>
      <c r="F10" s="136">
        <f>F11+F12</f>
        <v>8955118</v>
      </c>
    </row>
    <row r="11" spans="4:8" x14ac:dyDescent="0.2">
      <c r="D11" s="134">
        <v>6</v>
      </c>
      <c r="E11" s="409" t="s">
        <v>394</v>
      </c>
      <c r="F11" s="136">
        <v>4929416</v>
      </c>
    </row>
    <row r="12" spans="4:8" x14ac:dyDescent="0.2">
      <c r="D12" s="134">
        <v>7</v>
      </c>
      <c r="E12" s="409" t="s">
        <v>395</v>
      </c>
      <c r="F12" s="136">
        <v>4025702</v>
      </c>
    </row>
    <row r="13" spans="4:8" x14ac:dyDescent="0.2">
      <c r="D13" s="406">
        <v>8</v>
      </c>
      <c r="E13" s="407" t="s">
        <v>396</v>
      </c>
      <c r="F13" s="408">
        <f>F14+F15+F16</f>
        <v>83092347</v>
      </c>
    </row>
    <row r="14" spans="4:8" x14ac:dyDescent="0.2">
      <c r="D14" s="134">
        <v>9</v>
      </c>
      <c r="E14" s="409" t="s">
        <v>397</v>
      </c>
      <c r="F14" s="136">
        <v>69870539</v>
      </c>
    </row>
    <row r="15" spans="4:8" x14ac:dyDescent="0.2">
      <c r="D15" s="134">
        <v>10</v>
      </c>
      <c r="E15" s="409" t="s">
        <v>398</v>
      </c>
      <c r="F15" s="136">
        <v>9781611</v>
      </c>
    </row>
    <row r="16" spans="4:8" x14ac:dyDescent="0.2">
      <c r="D16" s="134">
        <v>11</v>
      </c>
      <c r="E16" s="409" t="s">
        <v>399</v>
      </c>
      <c r="F16" s="136">
        <v>3440197</v>
      </c>
    </row>
    <row r="17" spans="4:6" x14ac:dyDescent="0.2">
      <c r="D17" s="410">
        <v>12</v>
      </c>
      <c r="E17" s="411" t="s">
        <v>400</v>
      </c>
      <c r="F17" s="412">
        <f>F6-F13</f>
        <v>6972653</v>
      </c>
    </row>
    <row r="18" spans="4:6" ht="25.5" x14ac:dyDescent="0.2">
      <c r="D18" s="410">
        <v>13</v>
      </c>
      <c r="E18" s="413" t="s">
        <v>401</v>
      </c>
      <c r="F18" s="412">
        <f>F6-F10-F13+F16</f>
        <v>1457732</v>
      </c>
    </row>
    <row r="19" spans="4:6" x14ac:dyDescent="0.2">
      <c r="D19" s="134"/>
      <c r="E19" s="414"/>
      <c r="F19" s="415"/>
    </row>
    <row r="20" spans="4:6" x14ac:dyDescent="0.2">
      <c r="D20" s="406">
        <v>14</v>
      </c>
      <c r="E20" s="416" t="s">
        <v>402</v>
      </c>
      <c r="F20" s="417">
        <f>F21-F22</f>
        <v>-3710035.39</v>
      </c>
    </row>
    <row r="21" spans="4:6" x14ac:dyDescent="0.2">
      <c r="D21" s="134">
        <v>15</v>
      </c>
      <c r="E21" s="409" t="s">
        <v>598</v>
      </c>
      <c r="F21" s="136">
        <v>2243746.61</v>
      </c>
    </row>
    <row r="22" spans="4:6" x14ac:dyDescent="0.2">
      <c r="D22" s="134">
        <v>16</v>
      </c>
      <c r="E22" s="409" t="s">
        <v>599</v>
      </c>
      <c r="F22" s="136">
        <v>5953782</v>
      </c>
    </row>
    <row r="23" spans="4:6" x14ac:dyDescent="0.2">
      <c r="D23" s="406">
        <v>17</v>
      </c>
      <c r="E23" s="416" t="s">
        <v>403</v>
      </c>
      <c r="F23" s="417">
        <f>F25-F24</f>
        <v>-2167137</v>
      </c>
    </row>
    <row r="24" spans="4:6" x14ac:dyDescent="0.2">
      <c r="D24" s="134">
        <v>18</v>
      </c>
      <c r="E24" s="409" t="s">
        <v>600</v>
      </c>
      <c r="F24" s="136">
        <v>4467755</v>
      </c>
    </row>
    <row r="25" spans="4:6" x14ac:dyDescent="0.2">
      <c r="D25" s="134">
        <v>19</v>
      </c>
      <c r="E25" s="409" t="s">
        <v>601</v>
      </c>
      <c r="F25" s="136">
        <v>2300618</v>
      </c>
    </row>
    <row r="26" spans="4:6" x14ac:dyDescent="0.2">
      <c r="D26" s="406">
        <v>20</v>
      </c>
      <c r="E26" s="407" t="s">
        <v>404</v>
      </c>
      <c r="F26" s="408">
        <f>F20+F23</f>
        <v>-5877172.3900000006</v>
      </c>
    </row>
    <row r="27" spans="4:6" ht="15" x14ac:dyDescent="0.2">
      <c r="D27" s="418">
        <v>21</v>
      </c>
      <c r="E27" s="418" t="s">
        <v>405</v>
      </c>
      <c r="F27" s="419">
        <f>F18+F26</f>
        <v>-4419440.3900000006</v>
      </c>
    </row>
    <row r="29" spans="4:6" ht="48" customHeight="1" x14ac:dyDescent="0.2">
      <c r="D29" s="676" t="s">
        <v>406</v>
      </c>
      <c r="E29" s="676"/>
      <c r="F29" s="676"/>
    </row>
    <row r="30" spans="4:6" ht="107.25" customHeight="1" x14ac:dyDescent="0.2">
      <c r="D30" s="676" t="s">
        <v>407</v>
      </c>
      <c r="E30" s="676"/>
      <c r="F30" s="676"/>
    </row>
    <row r="31" spans="4:6" ht="29.25" customHeight="1" x14ac:dyDescent="0.2">
      <c r="D31" s="676" t="s">
        <v>408</v>
      </c>
      <c r="E31" s="676"/>
      <c r="F31" s="676"/>
    </row>
  </sheetData>
  <mergeCells count="4">
    <mergeCell ref="D3:F3"/>
    <mergeCell ref="D29:F29"/>
    <mergeCell ref="D30:F30"/>
    <mergeCell ref="D31:F31"/>
  </mergeCells>
  <phoneticPr fontId="22" type="noConversion"/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80"/>
  <sheetViews>
    <sheetView workbookViewId="0"/>
  </sheetViews>
  <sheetFormatPr defaultRowHeight="14.25" x14ac:dyDescent="0.2"/>
  <cols>
    <col min="1" max="1" width="9.140625" style="1" customWidth="1"/>
    <col min="2" max="2" width="22.7109375" style="1" customWidth="1"/>
    <col min="3" max="3" width="12.42578125" style="1" customWidth="1"/>
    <col min="4" max="4" width="13.28515625" style="1" customWidth="1"/>
    <col min="5" max="5" width="13.5703125" style="1" customWidth="1"/>
    <col min="6" max="6" width="13.28515625" style="1" customWidth="1"/>
    <col min="7" max="7" width="13.140625" style="1" customWidth="1"/>
    <col min="8" max="8" width="13" style="1" customWidth="1"/>
    <col min="9" max="9" width="11.5703125" style="1" customWidth="1"/>
    <col min="10" max="10" width="13.42578125" style="1" customWidth="1"/>
    <col min="11" max="11" width="10.28515625" style="1" customWidth="1"/>
    <col min="12" max="12" width="9.140625" style="1" customWidth="1"/>
    <col min="13" max="16384" width="9.140625" style="1"/>
  </cols>
  <sheetData>
    <row r="2" spans="2:11" x14ac:dyDescent="0.2">
      <c r="G2" s="35" t="s">
        <v>68</v>
      </c>
    </row>
    <row r="3" spans="2:11" ht="23.25" customHeight="1" x14ac:dyDescent="0.2">
      <c r="B3" s="572" t="s">
        <v>69</v>
      </c>
      <c r="C3" s="572"/>
      <c r="D3" s="572"/>
      <c r="E3" s="572"/>
      <c r="F3" s="572"/>
      <c r="G3" s="572"/>
      <c r="H3" s="14"/>
      <c r="I3" s="14"/>
      <c r="J3" s="14"/>
      <c r="K3" s="14"/>
    </row>
    <row r="4" spans="2:11" ht="21.75" customHeight="1" x14ac:dyDescent="0.2"/>
    <row r="5" spans="2:11" s="15" customFormat="1" ht="18.75" customHeight="1" x14ac:dyDescent="0.2">
      <c r="B5" s="573" t="s">
        <v>70</v>
      </c>
      <c r="C5" s="573"/>
      <c r="D5" s="573"/>
      <c r="E5" s="179">
        <f>E6+E13+E17+E19+E24+E30+E22+E12+E21</f>
        <v>2101847.88</v>
      </c>
      <c r="F5" s="35"/>
      <c r="G5" s="99"/>
    </row>
    <row r="6" spans="2:11" x14ac:dyDescent="0.2">
      <c r="B6" s="567" t="s">
        <v>71</v>
      </c>
      <c r="C6" s="567"/>
      <c r="D6" s="567"/>
      <c r="E6" s="180">
        <f>SUM(E7:E11)</f>
        <v>101951.15</v>
      </c>
      <c r="F6" s="35"/>
      <c r="G6" s="35"/>
    </row>
    <row r="7" spans="2:11" x14ac:dyDescent="0.2">
      <c r="B7" s="566" t="s">
        <v>419</v>
      </c>
      <c r="C7" s="566"/>
      <c r="D7" s="566"/>
      <c r="E7" s="48">
        <v>17875.599999999999</v>
      </c>
      <c r="F7" s="35"/>
      <c r="G7" s="35"/>
    </row>
    <row r="8" spans="2:11" x14ac:dyDescent="0.2">
      <c r="B8" s="566" t="s">
        <v>72</v>
      </c>
      <c r="C8" s="566"/>
      <c r="D8" s="566"/>
      <c r="E8" s="48">
        <v>57858.5</v>
      </c>
      <c r="F8" s="35"/>
      <c r="G8" s="35"/>
    </row>
    <row r="9" spans="2:11" x14ac:dyDescent="0.2">
      <c r="B9" s="566" t="s">
        <v>73</v>
      </c>
      <c r="C9" s="566"/>
      <c r="D9" s="566"/>
      <c r="E9" s="48">
        <v>7459</v>
      </c>
      <c r="F9" s="35"/>
      <c r="G9" s="35"/>
    </row>
    <row r="10" spans="2:11" x14ac:dyDescent="0.2">
      <c r="B10" s="566" t="s">
        <v>74</v>
      </c>
      <c r="C10" s="566"/>
      <c r="D10" s="566"/>
      <c r="E10" s="48">
        <v>17467.650000000001</v>
      </c>
      <c r="F10" s="35"/>
      <c r="G10" s="35"/>
    </row>
    <row r="11" spans="2:11" x14ac:dyDescent="0.2">
      <c r="B11" s="566" t="s">
        <v>75</v>
      </c>
      <c r="C11" s="566"/>
      <c r="D11" s="566"/>
      <c r="E11" s="48">
        <v>1290.4000000000001</v>
      </c>
      <c r="F11" s="35"/>
      <c r="G11" s="35"/>
    </row>
    <row r="12" spans="2:11" x14ac:dyDescent="0.2">
      <c r="B12" s="567" t="s">
        <v>497</v>
      </c>
      <c r="C12" s="567"/>
      <c r="D12" s="567"/>
      <c r="E12" s="180">
        <v>3025.72</v>
      </c>
      <c r="F12" s="35"/>
      <c r="G12" s="35"/>
    </row>
    <row r="13" spans="2:11" x14ac:dyDescent="0.2">
      <c r="B13" s="567" t="s">
        <v>76</v>
      </c>
      <c r="C13" s="567"/>
      <c r="D13" s="567"/>
      <c r="E13" s="180">
        <f>SUM(E14:E16)</f>
        <v>680649.84000000008</v>
      </c>
      <c r="F13" s="35"/>
      <c r="G13" s="35"/>
    </row>
    <row r="14" spans="2:11" x14ac:dyDescent="0.2">
      <c r="B14" s="566" t="s">
        <v>77</v>
      </c>
      <c r="C14" s="566"/>
      <c r="D14" s="566"/>
      <c r="E14" s="48">
        <f>396036.65-70</f>
        <v>395966.65</v>
      </c>
      <c r="F14" s="35"/>
      <c r="G14" s="35"/>
    </row>
    <row r="15" spans="2:11" x14ac:dyDescent="0.2">
      <c r="B15" s="566" t="s">
        <v>78</v>
      </c>
      <c r="C15" s="566"/>
      <c r="D15" s="566"/>
      <c r="E15" s="48">
        <v>284613.19</v>
      </c>
      <c r="F15" s="35"/>
      <c r="G15" s="35"/>
    </row>
    <row r="16" spans="2:11" x14ac:dyDescent="0.2">
      <c r="B16" s="566" t="s">
        <v>79</v>
      </c>
      <c r="C16" s="566"/>
      <c r="D16" s="566"/>
      <c r="E16" s="48">
        <v>70</v>
      </c>
      <c r="F16" s="35"/>
      <c r="G16" s="35"/>
    </row>
    <row r="17" spans="2:7" x14ac:dyDescent="0.2">
      <c r="B17" s="567" t="s">
        <v>80</v>
      </c>
      <c r="C17" s="567"/>
      <c r="D17" s="567"/>
      <c r="E17" s="180">
        <f>E18</f>
        <v>199747.97</v>
      </c>
      <c r="F17" s="35"/>
      <c r="G17" s="35"/>
    </row>
    <row r="18" spans="2:7" ht="31.5" customHeight="1" x14ac:dyDescent="0.2">
      <c r="B18" s="566" t="s">
        <v>81</v>
      </c>
      <c r="C18" s="566"/>
      <c r="D18" s="566"/>
      <c r="E18" s="136">
        <v>199747.97</v>
      </c>
      <c r="F18" s="35"/>
      <c r="G18" s="35"/>
    </row>
    <row r="19" spans="2:7" x14ac:dyDescent="0.2">
      <c r="B19" s="567" t="s">
        <v>82</v>
      </c>
      <c r="C19" s="567"/>
      <c r="D19" s="567"/>
      <c r="E19" s="180">
        <f>E20</f>
        <v>2039.8</v>
      </c>
      <c r="F19" s="35"/>
      <c r="G19" s="35"/>
    </row>
    <row r="20" spans="2:7" x14ac:dyDescent="0.2">
      <c r="B20" s="568" t="s">
        <v>83</v>
      </c>
      <c r="C20" s="568"/>
      <c r="D20" s="568"/>
      <c r="E20" s="48">
        <v>2039.8</v>
      </c>
      <c r="F20" s="35"/>
      <c r="G20" s="35"/>
    </row>
    <row r="21" spans="2:7" x14ac:dyDescent="0.2">
      <c r="B21" s="567" t="s">
        <v>537</v>
      </c>
      <c r="C21" s="567"/>
      <c r="D21" s="567"/>
      <c r="E21" s="180">
        <v>15443.65</v>
      </c>
      <c r="F21" s="35"/>
      <c r="G21" s="35"/>
    </row>
    <row r="22" spans="2:7" x14ac:dyDescent="0.2">
      <c r="B22" s="567" t="s">
        <v>84</v>
      </c>
      <c r="C22" s="567"/>
      <c r="D22" s="567"/>
      <c r="E22" s="180">
        <f>E23</f>
        <v>5629.5</v>
      </c>
      <c r="F22" s="35"/>
      <c r="G22" s="35"/>
    </row>
    <row r="23" spans="2:7" x14ac:dyDescent="0.2">
      <c r="B23" s="568" t="s">
        <v>85</v>
      </c>
      <c r="C23" s="568"/>
      <c r="D23" s="568"/>
      <c r="E23" s="48">
        <v>5629.5</v>
      </c>
      <c r="F23" s="35"/>
      <c r="G23" s="35"/>
    </row>
    <row r="24" spans="2:7" x14ac:dyDescent="0.2">
      <c r="B24" s="567" t="s">
        <v>86</v>
      </c>
      <c r="C24" s="567"/>
      <c r="D24" s="567"/>
      <c r="E24" s="180">
        <f>SUM(E25:E29)</f>
        <v>375669.26</v>
      </c>
      <c r="F24" s="35"/>
      <c r="G24" s="35"/>
    </row>
    <row r="25" spans="2:7" x14ac:dyDescent="0.2">
      <c r="B25" s="566" t="s">
        <v>87</v>
      </c>
      <c r="C25" s="566"/>
      <c r="D25" s="566"/>
      <c r="E25" s="48">
        <v>151344.94</v>
      </c>
      <c r="F25" s="35"/>
      <c r="G25" s="35"/>
    </row>
    <row r="26" spans="2:7" x14ac:dyDescent="0.2">
      <c r="B26" s="566" t="s">
        <v>88</v>
      </c>
      <c r="C26" s="566"/>
      <c r="D26" s="566"/>
      <c r="E26" s="48">
        <v>152437.13</v>
      </c>
      <c r="F26" s="35"/>
      <c r="G26" s="35"/>
    </row>
    <row r="27" spans="2:7" x14ac:dyDescent="0.2">
      <c r="B27" s="566" t="s">
        <v>420</v>
      </c>
      <c r="C27" s="566"/>
      <c r="D27" s="566"/>
      <c r="E27" s="48">
        <v>60870.879999999997</v>
      </c>
      <c r="F27" s="35"/>
      <c r="G27" s="35"/>
    </row>
    <row r="28" spans="2:7" ht="15.75" customHeight="1" x14ac:dyDescent="0.2">
      <c r="B28" s="566" t="s">
        <v>536</v>
      </c>
      <c r="C28" s="566"/>
      <c r="D28" s="566"/>
      <c r="E28" s="48">
        <v>10976.89</v>
      </c>
      <c r="F28" s="35"/>
      <c r="G28" s="35"/>
    </row>
    <row r="29" spans="2:7" x14ac:dyDescent="0.2">
      <c r="B29" s="566" t="s">
        <v>89</v>
      </c>
      <c r="C29" s="566"/>
      <c r="D29" s="566"/>
      <c r="E29" s="48">
        <v>39.42</v>
      </c>
      <c r="F29" s="35"/>
      <c r="G29" s="35"/>
    </row>
    <row r="30" spans="2:7" x14ac:dyDescent="0.2">
      <c r="B30" s="567" t="s">
        <v>90</v>
      </c>
      <c r="C30" s="567"/>
      <c r="D30" s="567"/>
      <c r="E30" s="180">
        <f>SUM(E31:E35)</f>
        <v>717690.99</v>
      </c>
      <c r="F30" s="35"/>
      <c r="G30" s="35"/>
    </row>
    <row r="31" spans="2:7" x14ac:dyDescent="0.2">
      <c r="B31" s="566" t="s">
        <v>496</v>
      </c>
      <c r="C31" s="566"/>
      <c r="D31" s="566"/>
      <c r="E31" s="48">
        <v>4408.67</v>
      </c>
      <c r="F31" s="35"/>
      <c r="G31" s="35"/>
    </row>
    <row r="32" spans="2:7" x14ac:dyDescent="0.2">
      <c r="B32" s="570" t="s">
        <v>91</v>
      </c>
      <c r="C32" s="570"/>
      <c r="D32" s="570"/>
      <c r="E32" s="48">
        <v>58121.38</v>
      </c>
      <c r="F32" s="35"/>
      <c r="G32" s="35"/>
    </row>
    <row r="33" spans="2:12" x14ac:dyDescent="0.2">
      <c r="B33" s="570" t="s">
        <v>92</v>
      </c>
      <c r="C33" s="570"/>
      <c r="D33" s="570"/>
      <c r="E33" s="48">
        <v>5900</v>
      </c>
      <c r="F33" s="35"/>
      <c r="G33" s="35"/>
    </row>
    <row r="34" spans="2:12" x14ac:dyDescent="0.2">
      <c r="B34" s="571" t="s">
        <v>409</v>
      </c>
      <c r="C34" s="571"/>
      <c r="D34" s="571"/>
      <c r="E34" s="182">
        <f>608466.54+40794.4</f>
        <v>649260.94000000006</v>
      </c>
      <c r="F34" s="35"/>
      <c r="G34" s="35"/>
    </row>
    <row r="35" spans="2:12" x14ac:dyDescent="0.2">
      <c r="B35" s="569"/>
      <c r="C35" s="569"/>
      <c r="D35" s="569"/>
      <c r="E35" s="183"/>
      <c r="F35" s="35"/>
      <c r="G35" s="35"/>
    </row>
    <row r="36" spans="2:12" x14ac:dyDescent="0.2">
      <c r="B36" s="35"/>
      <c r="C36" s="35"/>
      <c r="D36" s="35"/>
      <c r="E36" s="35"/>
      <c r="F36" s="35"/>
      <c r="G36" s="35"/>
    </row>
    <row r="37" spans="2:12" x14ac:dyDescent="0.2">
      <c r="B37" s="35"/>
      <c r="C37" s="35"/>
      <c r="D37" s="35"/>
      <c r="E37" s="35"/>
      <c r="F37" s="35"/>
      <c r="G37" s="35"/>
    </row>
    <row r="38" spans="2:12" s="2" customFormat="1" ht="76.5" x14ac:dyDescent="0.25">
      <c r="B38" s="52" t="s">
        <v>52</v>
      </c>
      <c r="C38" s="37" t="s">
        <v>499</v>
      </c>
      <c r="D38" s="37" t="s">
        <v>473</v>
      </c>
      <c r="E38" s="37" t="s">
        <v>474</v>
      </c>
      <c r="F38" s="37" t="s">
        <v>475</v>
      </c>
      <c r="G38" s="37" t="s">
        <v>498</v>
      </c>
    </row>
    <row r="39" spans="2:12" ht="17.25" customHeight="1" x14ac:dyDescent="0.2">
      <c r="B39" s="184" t="s">
        <v>53</v>
      </c>
      <c r="C39" s="185">
        <v>133101.96</v>
      </c>
      <c r="D39" s="185">
        <v>35019.879999999997</v>
      </c>
      <c r="E39" s="185">
        <v>52643.61</v>
      </c>
      <c r="F39" s="185">
        <v>519338.06</v>
      </c>
      <c r="G39" s="185">
        <v>10707.48</v>
      </c>
    </row>
    <row r="40" spans="2:12" x14ac:dyDescent="0.2">
      <c r="B40" s="184" t="s">
        <v>54</v>
      </c>
      <c r="C40" s="185">
        <v>48650.42</v>
      </c>
      <c r="D40" s="185">
        <v>12517.73</v>
      </c>
      <c r="E40" s="185">
        <v>20100.060000000001</v>
      </c>
      <c r="F40" s="185">
        <v>197188.7</v>
      </c>
      <c r="G40" s="185">
        <v>4226.33</v>
      </c>
    </row>
    <row r="41" spans="2:12" x14ac:dyDescent="0.2">
      <c r="B41" s="184" t="s">
        <v>55</v>
      </c>
      <c r="C41" s="185">
        <f>SUM(C42:C48)</f>
        <v>73655.87</v>
      </c>
      <c r="D41" s="185">
        <f>SUM(D42:D48)</f>
        <v>31169.22</v>
      </c>
      <c r="E41" s="185">
        <f>SUM(E42:E48)</f>
        <v>8591.42</v>
      </c>
      <c r="F41" s="185">
        <f>SUM(F42:F48)</f>
        <v>369865.28</v>
      </c>
      <c r="G41" s="185">
        <f>SUM(G42:G48)</f>
        <v>140.19999999999999</v>
      </c>
    </row>
    <row r="42" spans="2:12" s="8" customFormat="1" x14ac:dyDescent="0.25">
      <c r="B42" s="57" t="s">
        <v>93</v>
      </c>
      <c r="C42" s="42">
        <v>0</v>
      </c>
      <c r="D42" s="42">
        <v>0</v>
      </c>
      <c r="E42" s="42">
        <v>140.63999999999999</v>
      </c>
      <c r="F42" s="42">
        <v>21.18</v>
      </c>
      <c r="G42" s="42">
        <v>0</v>
      </c>
    </row>
    <row r="43" spans="2:12" s="8" customFormat="1" ht="25.5" x14ac:dyDescent="0.25">
      <c r="B43" s="57" t="s">
        <v>56</v>
      </c>
      <c r="C43" s="42">
        <v>38058.26</v>
      </c>
      <c r="D43" s="42">
        <v>11528.15</v>
      </c>
      <c r="E43" s="42">
        <v>2482.1999999999998</v>
      </c>
      <c r="F43" s="42">
        <v>115382.07</v>
      </c>
      <c r="G43" s="42">
        <v>0</v>
      </c>
    </row>
    <row r="44" spans="2:12" s="8" customFormat="1" x14ac:dyDescent="0.25">
      <c r="B44" s="57" t="s">
        <v>57</v>
      </c>
      <c r="C44" s="42">
        <v>27304.04</v>
      </c>
      <c r="D44" s="42">
        <v>3300.12</v>
      </c>
      <c r="E44" s="42">
        <v>3024.17</v>
      </c>
      <c r="F44" s="42">
        <v>22830.85</v>
      </c>
      <c r="G44" s="42">
        <v>0</v>
      </c>
    </row>
    <row r="45" spans="2:12" s="8" customFormat="1" x14ac:dyDescent="0.25">
      <c r="B45" s="57" t="s">
        <v>58</v>
      </c>
      <c r="C45" s="42">
        <v>0</v>
      </c>
      <c r="D45" s="42">
        <v>1399.42</v>
      </c>
      <c r="E45" s="42">
        <v>0</v>
      </c>
      <c r="F45" s="42">
        <v>1917.59</v>
      </c>
      <c r="G45" s="42">
        <v>0</v>
      </c>
      <c r="L45" s="84"/>
    </row>
    <row r="46" spans="2:12" s="8" customFormat="1" ht="24" customHeight="1" x14ac:dyDescent="0.25">
      <c r="B46" s="57" t="s">
        <v>59</v>
      </c>
      <c r="C46" s="42">
        <v>2931.89</v>
      </c>
      <c r="D46" s="42">
        <v>4252.0600000000004</v>
      </c>
      <c r="E46" s="42">
        <v>84.8</v>
      </c>
      <c r="F46" s="42">
        <v>28128.47</v>
      </c>
      <c r="G46" s="42">
        <v>0</v>
      </c>
    </row>
    <row r="47" spans="2:12" s="8" customFormat="1" ht="15.75" customHeight="1" x14ac:dyDescent="0.25">
      <c r="B47" s="57" t="s">
        <v>60</v>
      </c>
      <c r="C47" s="42">
        <v>0</v>
      </c>
      <c r="D47" s="42">
        <v>0</v>
      </c>
      <c r="E47" s="42">
        <v>0</v>
      </c>
      <c r="F47" s="42">
        <v>345.96</v>
      </c>
      <c r="G47" s="42">
        <v>0</v>
      </c>
    </row>
    <row r="48" spans="2:12" x14ac:dyDescent="0.2">
      <c r="B48" s="57" t="s">
        <v>61</v>
      </c>
      <c r="C48" s="26">
        <f>4053.05+1308.63</f>
        <v>5361.68</v>
      </c>
      <c r="D48" s="26">
        <v>10689.47</v>
      </c>
      <c r="E48" s="26">
        <f>2584.61+275</f>
        <v>2859.61</v>
      </c>
      <c r="F48" s="26">
        <f>198449.81+2789.35</f>
        <v>201239.16</v>
      </c>
      <c r="G48" s="26">
        <v>140.19999999999999</v>
      </c>
    </row>
    <row r="49" spans="2:7" x14ac:dyDescent="0.2">
      <c r="B49" s="186" t="s">
        <v>62</v>
      </c>
      <c r="C49" s="187">
        <v>6432.41</v>
      </c>
      <c r="D49" s="187">
        <v>2459.89</v>
      </c>
      <c r="E49" s="187">
        <v>2229.86</v>
      </c>
      <c r="F49" s="187">
        <v>19373.11</v>
      </c>
      <c r="G49" s="187">
        <v>533.49</v>
      </c>
    </row>
    <row r="50" spans="2:7" x14ac:dyDescent="0.2">
      <c r="B50" s="63" t="s">
        <v>94</v>
      </c>
      <c r="C50" s="65">
        <f>C39+C40+C41+C49</f>
        <v>261840.66</v>
      </c>
      <c r="D50" s="65">
        <f>D39+D40+D41+D49</f>
        <v>81166.720000000001</v>
      </c>
      <c r="E50" s="65">
        <f>E39+E40+E41+E49</f>
        <v>83564.95</v>
      </c>
      <c r="F50" s="65">
        <f>F39+F40+F41+F49</f>
        <v>1105765.1500000001</v>
      </c>
      <c r="G50" s="65">
        <f>G39+G40+G41+G49</f>
        <v>15607.5</v>
      </c>
    </row>
    <row r="51" spans="2:7" x14ac:dyDescent="0.2">
      <c r="B51" s="63" t="s">
        <v>96</v>
      </c>
      <c r="C51" s="65">
        <v>0</v>
      </c>
      <c r="D51" s="65">
        <v>6710</v>
      </c>
      <c r="E51" s="65">
        <v>0</v>
      </c>
      <c r="F51" s="65">
        <f>3998.99+19997.12+12400+7751.91</f>
        <v>44148.020000000004</v>
      </c>
      <c r="G51" s="65">
        <v>0</v>
      </c>
    </row>
    <row r="52" spans="2:7" x14ac:dyDescent="0.2">
      <c r="B52" s="35"/>
      <c r="C52" s="35"/>
      <c r="D52" s="35"/>
      <c r="E52" s="35"/>
      <c r="F52" s="35"/>
      <c r="G52" s="35"/>
    </row>
    <row r="53" spans="2:7" x14ac:dyDescent="0.2">
      <c r="B53" s="35"/>
      <c r="C53" s="35"/>
      <c r="D53" s="35"/>
      <c r="E53" s="35"/>
      <c r="F53" s="35"/>
      <c r="G53" s="35"/>
    </row>
    <row r="54" spans="2:7" x14ac:dyDescent="0.2">
      <c r="B54" s="35"/>
      <c r="C54" s="35"/>
      <c r="D54" s="35"/>
      <c r="E54" s="35"/>
      <c r="F54" s="35"/>
      <c r="G54" s="35"/>
    </row>
    <row r="55" spans="2:7" x14ac:dyDescent="0.2">
      <c r="B55" s="35"/>
      <c r="C55" s="35"/>
      <c r="D55" s="35"/>
      <c r="E55" s="35"/>
      <c r="F55" s="35"/>
      <c r="G55" s="35"/>
    </row>
    <row r="56" spans="2:7" x14ac:dyDescent="0.2">
      <c r="B56" s="35"/>
      <c r="C56" s="35"/>
      <c r="D56" s="35"/>
      <c r="E56" s="35"/>
      <c r="F56" s="35"/>
      <c r="G56" s="35"/>
    </row>
    <row r="57" spans="2:7" x14ac:dyDescent="0.2">
      <c r="B57" s="35"/>
      <c r="C57" s="35"/>
      <c r="D57" s="35"/>
      <c r="E57" s="35"/>
      <c r="F57" s="35"/>
      <c r="G57" s="35"/>
    </row>
    <row r="58" spans="2:7" x14ac:dyDescent="0.2">
      <c r="B58" s="35"/>
      <c r="C58" s="35"/>
      <c r="D58" s="35"/>
      <c r="E58" s="35"/>
      <c r="F58" s="35"/>
      <c r="G58" s="35"/>
    </row>
    <row r="59" spans="2:7" x14ac:dyDescent="0.2">
      <c r="B59" s="35"/>
      <c r="C59" s="35"/>
      <c r="D59" s="35"/>
      <c r="E59" s="35"/>
      <c r="F59" s="35"/>
      <c r="G59" s="35"/>
    </row>
    <row r="60" spans="2:7" ht="63.75" x14ac:dyDescent="0.2">
      <c r="B60" s="52" t="s">
        <v>52</v>
      </c>
      <c r="C60" s="37" t="s">
        <v>479</v>
      </c>
      <c r="D60" s="37" t="s">
        <v>476</v>
      </c>
      <c r="E60" s="37" t="s">
        <v>477</v>
      </c>
      <c r="F60" s="37" t="s">
        <v>478</v>
      </c>
      <c r="G60" s="188" t="s">
        <v>95</v>
      </c>
    </row>
    <row r="61" spans="2:7" ht="25.5" x14ac:dyDescent="0.2">
      <c r="B61" s="184" t="s">
        <v>53</v>
      </c>
      <c r="C61" s="185">
        <v>1068649.6499999999</v>
      </c>
      <c r="D61" s="185">
        <v>697109.09</v>
      </c>
      <c r="E61" s="185">
        <v>16201.11</v>
      </c>
      <c r="F61" s="185">
        <v>157512.82</v>
      </c>
      <c r="G61" s="189">
        <f t="shared" ref="G61:G73" si="0">C39+D39+E39+F39+C61+D61+E61+F61+G39</f>
        <v>2690283.6599999997</v>
      </c>
    </row>
    <row r="62" spans="2:7" x14ac:dyDescent="0.2">
      <c r="B62" s="184" t="s">
        <v>54</v>
      </c>
      <c r="C62" s="185">
        <v>388998.11</v>
      </c>
      <c r="D62" s="185">
        <v>253902.64</v>
      </c>
      <c r="E62" s="185">
        <v>6935.34</v>
      </c>
      <c r="F62" s="185">
        <v>61229.45</v>
      </c>
      <c r="G62" s="189">
        <f t="shared" si="0"/>
        <v>993748.77999999991</v>
      </c>
    </row>
    <row r="63" spans="2:7" x14ac:dyDescent="0.2">
      <c r="B63" s="184" t="s">
        <v>55</v>
      </c>
      <c r="C63" s="185">
        <f>SUM(C64:C70)</f>
        <v>643231.32000000007</v>
      </c>
      <c r="D63" s="185">
        <f>SUM(D64:D70)</f>
        <v>32363.37</v>
      </c>
      <c r="E63" s="185">
        <f>SUM(E64:E70)</f>
        <v>5868.06</v>
      </c>
      <c r="F63" s="185">
        <f>SUM(F64:F70)</f>
        <v>27164.379999999997</v>
      </c>
      <c r="G63" s="189">
        <f t="shared" si="0"/>
        <v>1192049.1200000001</v>
      </c>
    </row>
    <row r="64" spans="2:7" s="8" customFormat="1" x14ac:dyDescent="0.25">
      <c r="B64" s="57" t="s">
        <v>93</v>
      </c>
      <c r="C64" s="42">
        <v>85.26</v>
      </c>
      <c r="D64" s="42">
        <v>214.2</v>
      </c>
      <c r="E64" s="42">
        <v>0</v>
      </c>
      <c r="F64" s="42">
        <v>0</v>
      </c>
      <c r="G64" s="493">
        <f t="shared" si="0"/>
        <v>461.28</v>
      </c>
    </row>
    <row r="65" spans="2:9" s="8" customFormat="1" ht="25.5" x14ac:dyDescent="0.25">
      <c r="B65" s="57" t="s">
        <v>56</v>
      </c>
      <c r="C65" s="42">
        <v>157258.45000000001</v>
      </c>
      <c r="D65" s="42">
        <v>649.26</v>
      </c>
      <c r="E65" s="42">
        <v>14.8</v>
      </c>
      <c r="F65" s="42">
        <v>1586.86</v>
      </c>
      <c r="G65" s="493">
        <f t="shared" si="0"/>
        <v>326960.05</v>
      </c>
    </row>
    <row r="66" spans="2:9" s="8" customFormat="1" x14ac:dyDescent="0.25">
      <c r="B66" s="57" t="s">
        <v>57</v>
      </c>
      <c r="C66" s="42">
        <v>69043.429999999993</v>
      </c>
      <c r="D66" s="42">
        <v>4491.6099999999997</v>
      </c>
      <c r="E66" s="42">
        <v>74.05</v>
      </c>
      <c r="F66" s="42">
        <v>2563.41</v>
      </c>
      <c r="G66" s="493">
        <f t="shared" si="0"/>
        <v>132631.67999999999</v>
      </c>
    </row>
    <row r="67" spans="2:9" s="8" customFormat="1" x14ac:dyDescent="0.25">
      <c r="B67" s="57" t="s">
        <v>58</v>
      </c>
      <c r="C67" s="42">
        <v>1200</v>
      </c>
      <c r="D67" s="42">
        <v>7009.66</v>
      </c>
      <c r="E67" s="42">
        <v>4424.3900000000003</v>
      </c>
      <c r="F67" s="42">
        <v>1292.67</v>
      </c>
      <c r="G67" s="493">
        <f t="shared" si="0"/>
        <v>17243.730000000003</v>
      </c>
    </row>
    <row r="68" spans="2:9" s="8" customFormat="1" ht="22.5" customHeight="1" x14ac:dyDescent="0.25">
      <c r="B68" s="57" t="s">
        <v>59</v>
      </c>
      <c r="C68" s="42">
        <v>80013.63</v>
      </c>
      <c r="D68" s="42">
        <v>0</v>
      </c>
      <c r="E68" s="42">
        <v>0</v>
      </c>
      <c r="F68" s="42">
        <v>0</v>
      </c>
      <c r="G68" s="493">
        <f t="shared" si="0"/>
        <v>115410.85</v>
      </c>
    </row>
    <row r="69" spans="2:9" s="8" customFormat="1" ht="15.75" customHeight="1" x14ac:dyDescent="0.25">
      <c r="B69" s="57" t="s">
        <v>60</v>
      </c>
      <c r="C69" s="42">
        <v>741.92</v>
      </c>
      <c r="D69" s="42">
        <v>0</v>
      </c>
      <c r="E69" s="42">
        <v>0</v>
      </c>
      <c r="F69" s="42">
        <v>0</v>
      </c>
      <c r="G69" s="493">
        <f t="shared" si="0"/>
        <v>1087.8799999999999</v>
      </c>
    </row>
    <row r="70" spans="2:9" s="8" customFormat="1" x14ac:dyDescent="0.25">
      <c r="B70" s="57" t="s">
        <v>61</v>
      </c>
      <c r="C70" s="42">
        <f>330958.37+3930.26</f>
        <v>334888.63</v>
      </c>
      <c r="D70" s="42">
        <f>15982.94+4015.7</f>
        <v>19998.64</v>
      </c>
      <c r="E70" s="42">
        <v>1354.82</v>
      </c>
      <c r="F70" s="42">
        <f>20896.44+825</f>
        <v>21721.439999999999</v>
      </c>
      <c r="G70" s="493">
        <f t="shared" si="0"/>
        <v>598253.64999999991</v>
      </c>
    </row>
    <row r="71" spans="2:9" x14ac:dyDescent="0.2">
      <c r="B71" s="186" t="s">
        <v>62</v>
      </c>
      <c r="C71" s="187">
        <v>54847.93</v>
      </c>
      <c r="D71" s="187">
        <v>51398.04</v>
      </c>
      <c r="E71" s="187">
        <v>2200</v>
      </c>
      <c r="F71" s="187">
        <v>4675.97</v>
      </c>
      <c r="G71" s="191">
        <f t="shared" si="0"/>
        <v>144150.69999999998</v>
      </c>
    </row>
    <row r="72" spans="2:9" x14ac:dyDescent="0.2">
      <c r="B72" s="63" t="s">
        <v>94</v>
      </c>
      <c r="C72" s="65">
        <f>C61+C62+C63+C71</f>
        <v>2155727.0100000002</v>
      </c>
      <c r="D72" s="65">
        <f>D61+D62+D63+D71</f>
        <v>1034773.14</v>
      </c>
      <c r="E72" s="65">
        <f>E61+E62+E63+E71</f>
        <v>31204.510000000002</v>
      </c>
      <c r="F72" s="65">
        <f>F61+F62+F63+F71</f>
        <v>250582.62000000002</v>
      </c>
      <c r="G72" s="75">
        <f t="shared" si="0"/>
        <v>5020232.26</v>
      </c>
      <c r="I72" s="4"/>
    </row>
    <row r="73" spans="2:9" x14ac:dyDescent="0.2">
      <c r="B73" s="63" t="s">
        <v>96</v>
      </c>
      <c r="C73" s="65">
        <f>3998.99+99987</f>
        <v>103985.99</v>
      </c>
      <c r="D73" s="65">
        <v>0</v>
      </c>
      <c r="E73" s="65">
        <f>50400+4866.6</f>
        <v>55266.6</v>
      </c>
      <c r="F73" s="65">
        <v>0</v>
      </c>
      <c r="G73" s="75">
        <f t="shared" si="0"/>
        <v>210110.61000000002</v>
      </c>
      <c r="I73" s="4"/>
    </row>
    <row r="74" spans="2:9" x14ac:dyDescent="0.2">
      <c r="B74" s="16"/>
      <c r="C74" s="16"/>
      <c r="D74" s="16"/>
      <c r="E74" s="16"/>
      <c r="F74" s="16"/>
      <c r="G74" s="16"/>
    </row>
    <row r="75" spans="2:9" x14ac:dyDescent="0.2">
      <c r="B75" s="16"/>
      <c r="C75" s="16"/>
      <c r="D75" s="16"/>
      <c r="E75" s="16"/>
      <c r="F75" s="16"/>
      <c r="G75" s="16"/>
    </row>
    <row r="76" spans="2:9" x14ac:dyDescent="0.2">
      <c r="B76" s="16"/>
      <c r="C76" s="16"/>
      <c r="D76" s="16"/>
      <c r="E76" s="16"/>
      <c r="F76" s="16"/>
      <c r="G76" s="17"/>
    </row>
    <row r="77" spans="2:9" x14ac:dyDescent="0.2">
      <c r="B77" s="16"/>
      <c r="C77" s="16"/>
      <c r="D77" s="16"/>
      <c r="E77" s="16"/>
      <c r="F77" s="16"/>
      <c r="G77" s="17"/>
    </row>
    <row r="78" spans="2:9" x14ac:dyDescent="0.2">
      <c r="B78" s="16"/>
      <c r="C78" s="16"/>
      <c r="D78" s="16"/>
      <c r="E78" s="16"/>
      <c r="F78" s="16"/>
      <c r="G78" s="16"/>
    </row>
    <row r="79" spans="2:9" x14ac:dyDescent="0.2">
      <c r="B79" s="16"/>
      <c r="C79" s="16"/>
      <c r="D79" s="16"/>
      <c r="E79" s="16"/>
      <c r="F79" s="16"/>
      <c r="G79" s="16"/>
    </row>
    <row r="80" spans="2:9" x14ac:dyDescent="0.2">
      <c r="B80" s="16"/>
      <c r="C80" s="16"/>
      <c r="D80" s="16"/>
      <c r="E80" s="16"/>
      <c r="F80" s="16"/>
      <c r="G80" s="16"/>
    </row>
  </sheetData>
  <mergeCells count="32">
    <mergeCell ref="B16:D16"/>
    <mergeCell ref="B3:G3"/>
    <mergeCell ref="B5:D5"/>
    <mergeCell ref="B6:D6"/>
    <mergeCell ref="B8:D8"/>
    <mergeCell ref="B9:D9"/>
    <mergeCell ref="B10:D10"/>
    <mergeCell ref="B11:D11"/>
    <mergeCell ref="B13:D13"/>
    <mergeCell ref="B14:D14"/>
    <mergeCell ref="B15:D15"/>
    <mergeCell ref="B7:D7"/>
    <mergeCell ref="B12:D12"/>
    <mergeCell ref="B17:D17"/>
    <mergeCell ref="B18:D18"/>
    <mergeCell ref="B19:D19"/>
    <mergeCell ref="B20:D20"/>
    <mergeCell ref="B22:D22"/>
    <mergeCell ref="B21:D21"/>
    <mergeCell ref="B35:D35"/>
    <mergeCell ref="B31:D31"/>
    <mergeCell ref="B32:D32"/>
    <mergeCell ref="B33:D33"/>
    <mergeCell ref="B34:D34"/>
    <mergeCell ref="B30:D30"/>
    <mergeCell ref="B23:D23"/>
    <mergeCell ref="B24:D24"/>
    <mergeCell ref="B25:D25"/>
    <mergeCell ref="B28:D28"/>
    <mergeCell ref="B26:D26"/>
    <mergeCell ref="B29:D29"/>
    <mergeCell ref="B27:D27"/>
  </mergeCells>
  <phoneticPr fontId="22" type="noConversion"/>
  <pageMargins left="0.86614173228346458" right="0.59055118110236227" top="0.51181102362204722" bottom="0.55118110236220474" header="0.11811023622047245" footer="0.15748031496062992"/>
  <pageSetup paperSize="9" scale="8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2"/>
  <sheetViews>
    <sheetView workbookViewId="0"/>
  </sheetViews>
  <sheetFormatPr defaultRowHeight="12.75" x14ac:dyDescent="0.2"/>
  <cols>
    <col min="1" max="1" width="5.140625" style="35" customWidth="1"/>
    <col min="2" max="2" width="23.7109375" style="35" customWidth="1"/>
    <col min="3" max="3" width="14.140625" style="35" customWidth="1"/>
    <col min="4" max="4" width="13.140625" style="35" customWidth="1"/>
    <col min="5" max="5" width="12.28515625" style="35" customWidth="1"/>
    <col min="6" max="6" width="10.7109375" style="35" customWidth="1"/>
    <col min="7" max="7" width="11.7109375" style="35" customWidth="1"/>
    <col min="8" max="8" width="10.140625" style="35" bestFit="1" customWidth="1"/>
    <col min="9" max="9" width="9.140625" style="35" customWidth="1"/>
    <col min="10" max="16384" width="9.140625" style="35"/>
  </cols>
  <sheetData>
    <row r="1" spans="2:11" ht="27.75" customHeight="1" x14ac:dyDescent="0.2">
      <c r="E1" s="126" t="s">
        <v>97</v>
      </c>
    </row>
    <row r="2" spans="2:11" ht="18.75" customHeight="1" x14ac:dyDescent="0.25">
      <c r="B2" s="574" t="s">
        <v>98</v>
      </c>
      <c r="C2" s="574"/>
      <c r="D2" s="574"/>
      <c r="E2" s="574"/>
      <c r="F2" s="199"/>
      <c r="G2" s="199"/>
      <c r="H2" s="199"/>
    </row>
    <row r="3" spans="2:11" ht="22.5" customHeight="1" x14ac:dyDescent="0.2"/>
    <row r="4" spans="2:11" ht="21" customHeight="1" x14ac:dyDescent="0.2">
      <c r="B4" s="576" t="s">
        <v>99</v>
      </c>
      <c r="C4" s="576"/>
      <c r="D4" s="576"/>
      <c r="E4" s="576"/>
      <c r="I4" s="16"/>
      <c r="J4" s="16"/>
      <c r="K4" s="16"/>
    </row>
    <row r="5" spans="2:11" x14ac:dyDescent="0.2">
      <c r="B5" s="566" t="s">
        <v>100</v>
      </c>
      <c r="C5" s="566"/>
      <c r="D5" s="566"/>
      <c r="E5" s="42">
        <v>9823.1200000000008</v>
      </c>
      <c r="I5" s="16"/>
      <c r="J5" s="16"/>
      <c r="K5" s="16"/>
    </row>
    <row r="6" spans="2:11" ht="28.5" customHeight="1" x14ac:dyDescent="0.2">
      <c r="B6" s="566" t="s">
        <v>538</v>
      </c>
      <c r="C6" s="566"/>
      <c r="D6" s="566"/>
      <c r="E6" s="42">
        <v>2400</v>
      </c>
      <c r="I6" s="16"/>
      <c r="J6" s="16"/>
      <c r="K6" s="16"/>
    </row>
    <row r="7" spans="2:11" ht="14.25" customHeight="1" x14ac:dyDescent="0.2">
      <c r="B7" s="566" t="s">
        <v>101</v>
      </c>
      <c r="C7" s="566"/>
      <c r="D7" s="566"/>
      <c r="E7" s="42">
        <v>91036</v>
      </c>
      <c r="I7" s="16"/>
      <c r="J7" s="16"/>
      <c r="K7" s="16"/>
    </row>
    <row r="8" spans="2:11" x14ac:dyDescent="0.2">
      <c r="B8" s="570" t="s">
        <v>102</v>
      </c>
      <c r="C8" s="570"/>
      <c r="D8" s="570"/>
      <c r="E8" s="42">
        <v>310958.13</v>
      </c>
      <c r="I8" s="16"/>
      <c r="J8" s="16"/>
      <c r="K8" s="16"/>
    </row>
    <row r="9" spans="2:11" x14ac:dyDescent="0.2">
      <c r="B9" s="570" t="s">
        <v>103</v>
      </c>
      <c r="C9" s="570"/>
      <c r="D9" s="570"/>
      <c r="E9" s="42">
        <v>398992.5</v>
      </c>
      <c r="I9" s="16"/>
      <c r="J9" s="16"/>
      <c r="K9" s="16"/>
    </row>
    <row r="10" spans="2:11" s="192" customFormat="1" x14ac:dyDescent="0.2">
      <c r="B10" s="565" t="s">
        <v>49</v>
      </c>
      <c r="C10" s="565"/>
      <c r="D10" s="565"/>
      <c r="E10" s="136">
        <v>76028.570000000007</v>
      </c>
      <c r="I10" s="193"/>
      <c r="J10" s="193"/>
      <c r="K10" s="193"/>
    </row>
    <row r="11" spans="2:11" x14ac:dyDescent="0.2">
      <c r="B11" s="565" t="s">
        <v>104</v>
      </c>
      <c r="C11" s="565"/>
      <c r="D11" s="565"/>
      <c r="E11" s="136">
        <v>3525.24</v>
      </c>
      <c r="I11" s="16"/>
      <c r="J11" s="16"/>
      <c r="K11" s="16"/>
    </row>
    <row r="12" spans="2:11" s="76" customFormat="1" ht="21.75" customHeight="1" x14ac:dyDescent="0.25">
      <c r="B12" s="575" t="s">
        <v>95</v>
      </c>
      <c r="C12" s="575"/>
      <c r="D12" s="575"/>
      <c r="E12" s="45">
        <f>SUM(E5:E11)</f>
        <v>892763.56</v>
      </c>
      <c r="G12" s="80"/>
      <c r="I12" s="194"/>
      <c r="J12" s="194"/>
      <c r="K12" s="194"/>
    </row>
    <row r="13" spans="2:11" x14ac:dyDescent="0.2">
      <c r="I13" s="16"/>
      <c r="J13" s="16"/>
      <c r="K13" s="16"/>
    </row>
    <row r="14" spans="2:11" ht="13.5" customHeight="1" x14ac:dyDescent="0.2">
      <c r="I14" s="16"/>
      <c r="J14" s="16"/>
      <c r="K14" s="16"/>
    </row>
    <row r="15" spans="2:11" x14ac:dyDescent="0.2">
      <c r="I15" s="16"/>
      <c r="J15" s="16"/>
      <c r="K15" s="16"/>
    </row>
    <row r="16" spans="2:11" s="69" customFormat="1" ht="38.25" x14ac:dyDescent="0.25">
      <c r="B16" s="52" t="s">
        <v>52</v>
      </c>
      <c r="C16" s="37" t="s">
        <v>480</v>
      </c>
      <c r="D16" s="37" t="s">
        <v>481</v>
      </c>
      <c r="E16" s="195" t="s">
        <v>95</v>
      </c>
      <c r="F16" s="196"/>
      <c r="G16" s="196"/>
      <c r="H16" s="196"/>
    </row>
    <row r="17" spans="2:11" s="76" customFormat="1" x14ac:dyDescent="0.25">
      <c r="B17" s="184" t="s">
        <v>53</v>
      </c>
      <c r="C17" s="197">
        <v>3477030.83</v>
      </c>
      <c r="D17" s="197">
        <v>520960.69</v>
      </c>
      <c r="E17" s="197">
        <f>C17+D17</f>
        <v>3997991.52</v>
      </c>
      <c r="F17" s="194"/>
      <c r="G17" s="194"/>
      <c r="H17" s="194"/>
    </row>
    <row r="18" spans="2:11" s="76" customFormat="1" x14ac:dyDescent="0.25">
      <c r="B18" s="184" t="s">
        <v>54</v>
      </c>
      <c r="C18" s="197">
        <v>1291913.81</v>
      </c>
      <c r="D18" s="197">
        <v>192040.31</v>
      </c>
      <c r="E18" s="197">
        <f t="shared" ref="E18:E29" si="0">C18+D18</f>
        <v>1483954.12</v>
      </c>
      <c r="F18" s="194"/>
      <c r="G18" s="194"/>
      <c r="H18" s="194"/>
    </row>
    <row r="19" spans="2:11" s="76" customFormat="1" x14ac:dyDescent="0.25">
      <c r="B19" s="184" t="s">
        <v>55</v>
      </c>
      <c r="C19" s="197">
        <f>SUM(C20:C26)</f>
        <v>1297069.28</v>
      </c>
      <c r="D19" s="197">
        <f t="shared" ref="D19" si="1">SUM(D20:D26)</f>
        <v>618822.71</v>
      </c>
      <c r="E19" s="197">
        <f t="shared" si="0"/>
        <v>1915891.99</v>
      </c>
      <c r="F19" s="194"/>
      <c r="G19" s="194"/>
      <c r="H19" s="194"/>
    </row>
    <row r="20" spans="2:11" s="76" customFormat="1" x14ac:dyDescent="0.25">
      <c r="B20" s="57" t="s">
        <v>93</v>
      </c>
      <c r="C20" s="42">
        <v>17.149999999999999</v>
      </c>
      <c r="D20" s="42">
        <v>0</v>
      </c>
      <c r="E20" s="198">
        <f t="shared" si="0"/>
        <v>17.149999999999999</v>
      </c>
      <c r="F20" s="194"/>
      <c r="G20" s="194"/>
      <c r="H20" s="194"/>
    </row>
    <row r="21" spans="2:11" s="76" customFormat="1" ht="25.5" x14ac:dyDescent="0.25">
      <c r="B21" s="57" t="s">
        <v>56</v>
      </c>
      <c r="C21" s="42">
        <v>422630.5</v>
      </c>
      <c r="D21" s="42">
        <v>648.72</v>
      </c>
      <c r="E21" s="198">
        <f t="shared" si="0"/>
        <v>423279.22</v>
      </c>
      <c r="F21" s="194"/>
      <c r="G21" s="194"/>
      <c r="H21" s="194"/>
    </row>
    <row r="22" spans="2:11" s="76" customFormat="1" x14ac:dyDescent="0.25">
      <c r="B22" s="57" t="s">
        <v>57</v>
      </c>
      <c r="C22" s="42">
        <v>461749.22</v>
      </c>
      <c r="D22" s="42">
        <v>571485.99</v>
      </c>
      <c r="E22" s="198">
        <f t="shared" si="0"/>
        <v>1033235.21</v>
      </c>
      <c r="F22" s="194"/>
      <c r="G22" s="194"/>
      <c r="H22" s="194"/>
    </row>
    <row r="23" spans="2:11" s="76" customFormat="1" x14ac:dyDescent="0.25">
      <c r="B23" s="57" t="s">
        <v>58</v>
      </c>
      <c r="C23" s="42">
        <v>5175.8599999999997</v>
      </c>
      <c r="D23" s="42">
        <v>0</v>
      </c>
      <c r="E23" s="198">
        <f t="shared" si="0"/>
        <v>5175.8599999999997</v>
      </c>
      <c r="F23" s="194"/>
      <c r="G23" s="194"/>
      <c r="H23" s="194"/>
    </row>
    <row r="24" spans="2:11" s="76" customFormat="1" ht="25.5" x14ac:dyDescent="0.25">
      <c r="B24" s="57" t="s">
        <v>59</v>
      </c>
      <c r="C24" s="42">
        <v>202657.52</v>
      </c>
      <c r="D24" s="42">
        <v>22867.82</v>
      </c>
      <c r="E24" s="198">
        <f t="shared" si="0"/>
        <v>225525.34</v>
      </c>
      <c r="F24" s="194"/>
      <c r="G24" s="194"/>
      <c r="H24" s="194"/>
    </row>
    <row r="25" spans="2:11" s="76" customFormat="1" x14ac:dyDescent="0.25">
      <c r="B25" s="57" t="s">
        <v>60</v>
      </c>
      <c r="C25" s="42">
        <v>34729.980000000003</v>
      </c>
      <c r="D25" s="42">
        <v>0</v>
      </c>
      <c r="E25" s="198">
        <f t="shared" si="0"/>
        <v>34729.980000000003</v>
      </c>
      <c r="F25" s="194"/>
      <c r="G25" s="194"/>
      <c r="H25" s="194"/>
    </row>
    <row r="26" spans="2:11" s="76" customFormat="1" x14ac:dyDescent="0.25">
      <c r="B26" s="57" t="s">
        <v>61</v>
      </c>
      <c r="C26" s="42">
        <v>170109.05</v>
      </c>
      <c r="D26" s="42">
        <v>23820.18</v>
      </c>
      <c r="E26" s="198">
        <f t="shared" si="0"/>
        <v>193929.22999999998</v>
      </c>
      <c r="F26" s="194"/>
      <c r="G26" s="194"/>
      <c r="H26" s="194"/>
    </row>
    <row r="27" spans="2:11" x14ac:dyDescent="0.2">
      <c r="B27" s="186" t="s">
        <v>62</v>
      </c>
      <c r="C27" s="187">
        <v>61199.040000000001</v>
      </c>
      <c r="D27" s="187">
        <v>13065.78</v>
      </c>
      <c r="E27" s="187">
        <f t="shared" si="0"/>
        <v>74264.820000000007</v>
      </c>
      <c r="F27" s="16"/>
      <c r="G27" s="16"/>
      <c r="H27" s="16"/>
    </row>
    <row r="28" spans="2:11" x14ac:dyDescent="0.2">
      <c r="B28" s="63" t="s">
        <v>63</v>
      </c>
      <c r="C28" s="65">
        <f>C17+C18+C19+C27</f>
        <v>6127212.9600000009</v>
      </c>
      <c r="D28" s="65">
        <f>D17+D18+D19+D27</f>
        <v>1344889.49</v>
      </c>
      <c r="E28" s="65">
        <f t="shared" si="0"/>
        <v>7472102.4500000011</v>
      </c>
      <c r="F28" s="16"/>
      <c r="G28" s="17"/>
      <c r="H28" s="16"/>
    </row>
    <row r="29" spans="2:11" ht="25.5" x14ac:dyDescent="0.2">
      <c r="B29" s="63" t="s">
        <v>64</v>
      </c>
      <c r="C29" s="65">
        <v>35994.46</v>
      </c>
      <c r="D29" s="65">
        <v>39657</v>
      </c>
      <c r="E29" s="65">
        <f t="shared" si="0"/>
        <v>75651.459999999992</v>
      </c>
      <c r="F29" s="16"/>
      <c r="G29" s="16"/>
      <c r="H29" s="16"/>
    </row>
    <row r="30" spans="2:11" x14ac:dyDescent="0.2">
      <c r="I30" s="16"/>
      <c r="J30" s="16"/>
      <c r="K30" s="16"/>
    </row>
    <row r="31" spans="2:11" x14ac:dyDescent="0.2">
      <c r="H31" s="99"/>
      <c r="I31" s="16"/>
      <c r="J31" s="16"/>
      <c r="K31" s="16"/>
    </row>
    <row r="32" spans="2:11" x14ac:dyDescent="0.2">
      <c r="H32" s="99"/>
      <c r="I32" s="16"/>
      <c r="J32" s="16"/>
      <c r="K32" s="16"/>
    </row>
  </sheetData>
  <mergeCells count="10">
    <mergeCell ref="B2:E2"/>
    <mergeCell ref="B10:D10"/>
    <mergeCell ref="B12:D12"/>
    <mergeCell ref="B4:E4"/>
    <mergeCell ref="B5:D5"/>
    <mergeCell ref="B7:D7"/>
    <mergeCell ref="B8:D8"/>
    <mergeCell ref="B9:D9"/>
    <mergeCell ref="B11:D11"/>
    <mergeCell ref="B6:D6"/>
  </mergeCells>
  <pageMargins left="0.98425196850393704" right="0.6692913385826772" top="0.98425196850393704" bottom="0.98425196850393704" header="0.51181102362204722" footer="0.51181102362204722"/>
  <pageSetup paperSize="9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0"/>
  <sheetViews>
    <sheetView workbookViewId="0"/>
  </sheetViews>
  <sheetFormatPr defaultRowHeight="12.75" x14ac:dyDescent="0.2"/>
  <cols>
    <col min="1" max="1" width="9.42578125" style="143" customWidth="1"/>
    <col min="2" max="2" width="18.28515625" style="143" customWidth="1"/>
    <col min="3" max="3" width="10.140625" style="143" customWidth="1"/>
    <col min="4" max="4" width="11.140625" style="143" customWidth="1"/>
    <col min="5" max="5" width="11" style="143" customWidth="1"/>
    <col min="6" max="6" width="9.140625" style="143"/>
    <col min="7" max="7" width="11" style="143" customWidth="1"/>
    <col min="8" max="8" width="9.85546875" style="143" customWidth="1"/>
    <col min="9" max="9" width="11" style="143" customWidth="1"/>
    <col min="10" max="10" width="10" style="143" customWidth="1"/>
    <col min="11" max="248" width="9.42578125" style="143" customWidth="1"/>
    <col min="249" max="249" width="16.42578125" style="143" customWidth="1"/>
    <col min="250" max="250" width="10.140625" style="143" customWidth="1"/>
    <col min="251" max="251" width="8.42578125" style="143" customWidth="1"/>
    <col min="252" max="252" width="10" style="143" customWidth="1"/>
    <col min="253" max="253" width="8.42578125" style="143" customWidth="1"/>
    <col min="254" max="254" width="11" style="143" customWidth="1"/>
    <col min="255" max="255" width="9" style="143" customWidth="1"/>
    <col min="256" max="256" width="11.42578125" style="143" customWidth="1"/>
    <col min="257" max="257" width="12" style="143" customWidth="1"/>
    <col min="258" max="504" width="9.42578125" style="143" customWidth="1"/>
    <col min="505" max="505" width="16.42578125" style="143" customWidth="1"/>
    <col min="506" max="506" width="10.140625" style="143" customWidth="1"/>
    <col min="507" max="507" width="8.42578125" style="143" customWidth="1"/>
    <col min="508" max="508" width="10" style="143" customWidth="1"/>
    <col min="509" max="509" width="8.42578125" style="143" customWidth="1"/>
    <col min="510" max="510" width="11" style="143" customWidth="1"/>
    <col min="511" max="511" width="9" style="143" customWidth="1"/>
    <col min="512" max="512" width="11.42578125" style="143" customWidth="1"/>
    <col min="513" max="513" width="12" style="143" customWidth="1"/>
    <col min="514" max="760" width="9.42578125" style="143" customWidth="1"/>
    <col min="761" max="761" width="16.42578125" style="143" customWidth="1"/>
    <col min="762" max="762" width="10.140625" style="143" customWidth="1"/>
    <col min="763" max="763" width="8.42578125" style="143" customWidth="1"/>
    <col min="764" max="764" width="10" style="143" customWidth="1"/>
    <col min="765" max="765" width="8.42578125" style="143" customWidth="1"/>
    <col min="766" max="766" width="11" style="143" customWidth="1"/>
    <col min="767" max="767" width="9" style="143" customWidth="1"/>
    <col min="768" max="768" width="11.42578125" style="143" customWidth="1"/>
    <col min="769" max="769" width="12" style="143" customWidth="1"/>
    <col min="770" max="1016" width="9.42578125" style="143" customWidth="1"/>
    <col min="1017" max="1017" width="16.42578125" style="143" customWidth="1"/>
    <col min="1018" max="1018" width="10.140625" style="143" customWidth="1"/>
    <col min="1019" max="1019" width="8.42578125" style="143" customWidth="1"/>
    <col min="1020" max="1020" width="10" style="143" customWidth="1"/>
    <col min="1021" max="1021" width="8.42578125" style="143" customWidth="1"/>
    <col min="1022" max="1022" width="11" style="143" customWidth="1"/>
    <col min="1023" max="1023" width="9" style="143" customWidth="1"/>
    <col min="1024" max="1024" width="11.42578125" style="143" customWidth="1"/>
    <col min="1025" max="1025" width="12" style="143" customWidth="1"/>
    <col min="1026" max="1272" width="9.42578125" style="143" customWidth="1"/>
    <col min="1273" max="1273" width="16.42578125" style="143" customWidth="1"/>
    <col min="1274" max="1274" width="10.140625" style="143" customWidth="1"/>
    <col min="1275" max="1275" width="8.42578125" style="143" customWidth="1"/>
    <col min="1276" max="1276" width="10" style="143" customWidth="1"/>
    <col min="1277" max="1277" width="8.42578125" style="143" customWidth="1"/>
    <col min="1278" max="1278" width="11" style="143" customWidth="1"/>
    <col min="1279" max="1279" width="9" style="143" customWidth="1"/>
    <col min="1280" max="1280" width="11.42578125" style="143" customWidth="1"/>
    <col min="1281" max="1281" width="12" style="143" customWidth="1"/>
    <col min="1282" max="1528" width="9.42578125" style="143" customWidth="1"/>
    <col min="1529" max="1529" width="16.42578125" style="143" customWidth="1"/>
    <col min="1530" max="1530" width="10.140625" style="143" customWidth="1"/>
    <col min="1531" max="1531" width="8.42578125" style="143" customWidth="1"/>
    <col min="1532" max="1532" width="10" style="143" customWidth="1"/>
    <col min="1533" max="1533" width="8.42578125" style="143" customWidth="1"/>
    <col min="1534" max="1534" width="11" style="143" customWidth="1"/>
    <col min="1535" max="1535" width="9" style="143" customWidth="1"/>
    <col min="1536" max="1536" width="11.42578125" style="143" customWidth="1"/>
    <col min="1537" max="1537" width="12" style="143" customWidth="1"/>
    <col min="1538" max="1784" width="9.42578125" style="143" customWidth="1"/>
    <col min="1785" max="1785" width="16.42578125" style="143" customWidth="1"/>
    <col min="1786" max="1786" width="10.140625" style="143" customWidth="1"/>
    <col min="1787" max="1787" width="8.42578125" style="143" customWidth="1"/>
    <col min="1788" max="1788" width="10" style="143" customWidth="1"/>
    <col min="1789" max="1789" width="8.42578125" style="143" customWidth="1"/>
    <col min="1790" max="1790" width="11" style="143" customWidth="1"/>
    <col min="1791" max="1791" width="9" style="143" customWidth="1"/>
    <col min="1792" max="1792" width="11.42578125" style="143" customWidth="1"/>
    <col min="1793" max="1793" width="12" style="143" customWidth="1"/>
    <col min="1794" max="2040" width="9.42578125" style="143" customWidth="1"/>
    <col min="2041" max="2041" width="16.42578125" style="143" customWidth="1"/>
    <col min="2042" max="2042" width="10.140625" style="143" customWidth="1"/>
    <col min="2043" max="2043" width="8.42578125" style="143" customWidth="1"/>
    <col min="2044" max="2044" width="10" style="143" customWidth="1"/>
    <col min="2045" max="2045" width="8.42578125" style="143" customWidth="1"/>
    <col min="2046" max="2046" width="11" style="143" customWidth="1"/>
    <col min="2047" max="2047" width="9" style="143" customWidth="1"/>
    <col min="2048" max="2048" width="11.42578125" style="143" customWidth="1"/>
    <col min="2049" max="2049" width="12" style="143" customWidth="1"/>
    <col min="2050" max="2296" width="9.42578125" style="143" customWidth="1"/>
    <col min="2297" max="2297" width="16.42578125" style="143" customWidth="1"/>
    <col min="2298" max="2298" width="10.140625" style="143" customWidth="1"/>
    <col min="2299" max="2299" width="8.42578125" style="143" customWidth="1"/>
    <col min="2300" max="2300" width="10" style="143" customWidth="1"/>
    <col min="2301" max="2301" width="8.42578125" style="143" customWidth="1"/>
    <col min="2302" max="2302" width="11" style="143" customWidth="1"/>
    <col min="2303" max="2303" width="9" style="143" customWidth="1"/>
    <col min="2304" max="2304" width="11.42578125" style="143" customWidth="1"/>
    <col min="2305" max="2305" width="12" style="143" customWidth="1"/>
    <col min="2306" max="2552" width="9.42578125" style="143" customWidth="1"/>
    <col min="2553" max="2553" width="16.42578125" style="143" customWidth="1"/>
    <col min="2554" max="2554" width="10.140625" style="143" customWidth="1"/>
    <col min="2555" max="2555" width="8.42578125" style="143" customWidth="1"/>
    <col min="2556" max="2556" width="10" style="143" customWidth="1"/>
    <col min="2557" max="2557" width="8.42578125" style="143" customWidth="1"/>
    <col min="2558" max="2558" width="11" style="143" customWidth="1"/>
    <col min="2559" max="2559" width="9" style="143" customWidth="1"/>
    <col min="2560" max="2560" width="11.42578125" style="143" customWidth="1"/>
    <col min="2561" max="2561" width="12" style="143" customWidth="1"/>
    <col min="2562" max="2808" width="9.42578125" style="143" customWidth="1"/>
    <col min="2809" max="2809" width="16.42578125" style="143" customWidth="1"/>
    <col min="2810" max="2810" width="10.140625" style="143" customWidth="1"/>
    <col min="2811" max="2811" width="8.42578125" style="143" customWidth="1"/>
    <col min="2812" max="2812" width="10" style="143" customWidth="1"/>
    <col min="2813" max="2813" width="8.42578125" style="143" customWidth="1"/>
    <col min="2814" max="2814" width="11" style="143" customWidth="1"/>
    <col min="2815" max="2815" width="9" style="143" customWidth="1"/>
    <col min="2816" max="2816" width="11.42578125" style="143" customWidth="1"/>
    <col min="2817" max="2817" width="12" style="143" customWidth="1"/>
    <col min="2818" max="3064" width="9.42578125" style="143" customWidth="1"/>
    <col min="3065" max="3065" width="16.42578125" style="143" customWidth="1"/>
    <col min="3066" max="3066" width="10.140625" style="143" customWidth="1"/>
    <col min="3067" max="3067" width="8.42578125" style="143" customWidth="1"/>
    <col min="3068" max="3068" width="10" style="143" customWidth="1"/>
    <col min="3069" max="3069" width="8.42578125" style="143" customWidth="1"/>
    <col min="3070" max="3070" width="11" style="143" customWidth="1"/>
    <col min="3071" max="3071" width="9" style="143" customWidth="1"/>
    <col min="3072" max="3072" width="11.42578125" style="143" customWidth="1"/>
    <col min="3073" max="3073" width="12" style="143" customWidth="1"/>
    <col min="3074" max="3320" width="9.42578125" style="143" customWidth="1"/>
    <col min="3321" max="3321" width="16.42578125" style="143" customWidth="1"/>
    <col min="3322" max="3322" width="10.140625" style="143" customWidth="1"/>
    <col min="3323" max="3323" width="8.42578125" style="143" customWidth="1"/>
    <col min="3324" max="3324" width="10" style="143" customWidth="1"/>
    <col min="3325" max="3325" width="8.42578125" style="143" customWidth="1"/>
    <col min="3326" max="3326" width="11" style="143" customWidth="1"/>
    <col min="3327" max="3327" width="9" style="143" customWidth="1"/>
    <col min="3328" max="3328" width="11.42578125" style="143" customWidth="1"/>
    <col min="3329" max="3329" width="12" style="143" customWidth="1"/>
    <col min="3330" max="3576" width="9.42578125" style="143" customWidth="1"/>
    <col min="3577" max="3577" width="16.42578125" style="143" customWidth="1"/>
    <col min="3578" max="3578" width="10.140625" style="143" customWidth="1"/>
    <col min="3579" max="3579" width="8.42578125" style="143" customWidth="1"/>
    <col min="3580" max="3580" width="10" style="143" customWidth="1"/>
    <col min="3581" max="3581" width="8.42578125" style="143" customWidth="1"/>
    <col min="3582" max="3582" width="11" style="143" customWidth="1"/>
    <col min="3583" max="3583" width="9" style="143" customWidth="1"/>
    <col min="3584" max="3584" width="11.42578125" style="143" customWidth="1"/>
    <col min="3585" max="3585" width="12" style="143" customWidth="1"/>
    <col min="3586" max="3832" width="9.42578125" style="143" customWidth="1"/>
    <col min="3833" max="3833" width="16.42578125" style="143" customWidth="1"/>
    <col min="3834" max="3834" width="10.140625" style="143" customWidth="1"/>
    <col min="3835" max="3835" width="8.42578125" style="143" customWidth="1"/>
    <col min="3836" max="3836" width="10" style="143" customWidth="1"/>
    <col min="3837" max="3837" width="8.42578125" style="143" customWidth="1"/>
    <col min="3838" max="3838" width="11" style="143" customWidth="1"/>
    <col min="3839" max="3839" width="9" style="143" customWidth="1"/>
    <col min="3840" max="3840" width="11.42578125" style="143" customWidth="1"/>
    <col min="3841" max="3841" width="12" style="143" customWidth="1"/>
    <col min="3842" max="4088" width="9.42578125" style="143" customWidth="1"/>
    <col min="4089" max="4089" width="16.42578125" style="143" customWidth="1"/>
    <col min="4090" max="4090" width="10.140625" style="143" customWidth="1"/>
    <col min="4091" max="4091" width="8.42578125" style="143" customWidth="1"/>
    <col min="4092" max="4092" width="10" style="143" customWidth="1"/>
    <col min="4093" max="4093" width="8.42578125" style="143" customWidth="1"/>
    <col min="4094" max="4094" width="11" style="143" customWidth="1"/>
    <col min="4095" max="4095" width="9" style="143" customWidth="1"/>
    <col min="4096" max="4096" width="11.42578125" style="143" customWidth="1"/>
    <col min="4097" max="4097" width="12" style="143" customWidth="1"/>
    <col min="4098" max="4344" width="9.42578125" style="143" customWidth="1"/>
    <col min="4345" max="4345" width="16.42578125" style="143" customWidth="1"/>
    <col min="4346" max="4346" width="10.140625" style="143" customWidth="1"/>
    <col min="4347" max="4347" width="8.42578125" style="143" customWidth="1"/>
    <col min="4348" max="4348" width="10" style="143" customWidth="1"/>
    <col min="4349" max="4349" width="8.42578125" style="143" customWidth="1"/>
    <col min="4350" max="4350" width="11" style="143" customWidth="1"/>
    <col min="4351" max="4351" width="9" style="143" customWidth="1"/>
    <col min="4352" max="4352" width="11.42578125" style="143" customWidth="1"/>
    <col min="4353" max="4353" width="12" style="143" customWidth="1"/>
    <col min="4354" max="4600" width="9.42578125" style="143" customWidth="1"/>
    <col min="4601" max="4601" width="16.42578125" style="143" customWidth="1"/>
    <col min="4602" max="4602" width="10.140625" style="143" customWidth="1"/>
    <col min="4603" max="4603" width="8.42578125" style="143" customWidth="1"/>
    <col min="4604" max="4604" width="10" style="143" customWidth="1"/>
    <col min="4605" max="4605" width="8.42578125" style="143" customWidth="1"/>
    <col min="4606" max="4606" width="11" style="143" customWidth="1"/>
    <col min="4607" max="4607" width="9" style="143" customWidth="1"/>
    <col min="4608" max="4608" width="11.42578125" style="143" customWidth="1"/>
    <col min="4609" max="4609" width="12" style="143" customWidth="1"/>
    <col min="4610" max="4856" width="9.42578125" style="143" customWidth="1"/>
    <col min="4857" max="4857" width="16.42578125" style="143" customWidth="1"/>
    <col min="4858" max="4858" width="10.140625" style="143" customWidth="1"/>
    <col min="4859" max="4859" width="8.42578125" style="143" customWidth="1"/>
    <col min="4860" max="4860" width="10" style="143" customWidth="1"/>
    <col min="4861" max="4861" width="8.42578125" style="143" customWidth="1"/>
    <col min="4862" max="4862" width="11" style="143" customWidth="1"/>
    <col min="4863" max="4863" width="9" style="143" customWidth="1"/>
    <col min="4864" max="4864" width="11.42578125" style="143" customWidth="1"/>
    <col min="4865" max="4865" width="12" style="143" customWidth="1"/>
    <col min="4866" max="5112" width="9.42578125" style="143" customWidth="1"/>
    <col min="5113" max="5113" width="16.42578125" style="143" customWidth="1"/>
    <col min="5114" max="5114" width="10.140625" style="143" customWidth="1"/>
    <col min="5115" max="5115" width="8.42578125" style="143" customWidth="1"/>
    <col min="5116" max="5116" width="10" style="143" customWidth="1"/>
    <col min="5117" max="5117" width="8.42578125" style="143" customWidth="1"/>
    <col min="5118" max="5118" width="11" style="143" customWidth="1"/>
    <col min="5119" max="5119" width="9" style="143" customWidth="1"/>
    <col min="5120" max="5120" width="11.42578125" style="143" customWidth="1"/>
    <col min="5121" max="5121" width="12" style="143" customWidth="1"/>
    <col min="5122" max="5368" width="9.42578125" style="143" customWidth="1"/>
    <col min="5369" max="5369" width="16.42578125" style="143" customWidth="1"/>
    <col min="5370" max="5370" width="10.140625" style="143" customWidth="1"/>
    <col min="5371" max="5371" width="8.42578125" style="143" customWidth="1"/>
    <col min="5372" max="5372" width="10" style="143" customWidth="1"/>
    <col min="5373" max="5373" width="8.42578125" style="143" customWidth="1"/>
    <col min="5374" max="5374" width="11" style="143" customWidth="1"/>
    <col min="5375" max="5375" width="9" style="143" customWidth="1"/>
    <col min="5376" max="5376" width="11.42578125" style="143" customWidth="1"/>
    <col min="5377" max="5377" width="12" style="143" customWidth="1"/>
    <col min="5378" max="5624" width="9.42578125" style="143" customWidth="1"/>
    <col min="5625" max="5625" width="16.42578125" style="143" customWidth="1"/>
    <col min="5626" max="5626" width="10.140625" style="143" customWidth="1"/>
    <col min="5627" max="5627" width="8.42578125" style="143" customWidth="1"/>
    <col min="5628" max="5628" width="10" style="143" customWidth="1"/>
    <col min="5629" max="5629" width="8.42578125" style="143" customWidth="1"/>
    <col min="5630" max="5630" width="11" style="143" customWidth="1"/>
    <col min="5631" max="5631" width="9" style="143" customWidth="1"/>
    <col min="5632" max="5632" width="11.42578125" style="143" customWidth="1"/>
    <col min="5633" max="5633" width="12" style="143" customWidth="1"/>
    <col min="5634" max="5880" width="9.42578125" style="143" customWidth="1"/>
    <col min="5881" max="5881" width="16.42578125" style="143" customWidth="1"/>
    <col min="5882" max="5882" width="10.140625" style="143" customWidth="1"/>
    <col min="5883" max="5883" width="8.42578125" style="143" customWidth="1"/>
    <col min="5884" max="5884" width="10" style="143" customWidth="1"/>
    <col min="5885" max="5885" width="8.42578125" style="143" customWidth="1"/>
    <col min="5886" max="5886" width="11" style="143" customWidth="1"/>
    <col min="5887" max="5887" width="9" style="143" customWidth="1"/>
    <col min="5888" max="5888" width="11.42578125" style="143" customWidth="1"/>
    <col min="5889" max="5889" width="12" style="143" customWidth="1"/>
    <col min="5890" max="6136" width="9.42578125" style="143" customWidth="1"/>
    <col min="6137" max="6137" width="16.42578125" style="143" customWidth="1"/>
    <col min="6138" max="6138" width="10.140625" style="143" customWidth="1"/>
    <col min="6139" max="6139" width="8.42578125" style="143" customWidth="1"/>
    <col min="6140" max="6140" width="10" style="143" customWidth="1"/>
    <col min="6141" max="6141" width="8.42578125" style="143" customWidth="1"/>
    <col min="6142" max="6142" width="11" style="143" customWidth="1"/>
    <col min="6143" max="6143" width="9" style="143" customWidth="1"/>
    <col min="6144" max="6144" width="11.42578125" style="143" customWidth="1"/>
    <col min="6145" max="6145" width="12" style="143" customWidth="1"/>
    <col min="6146" max="6392" width="9.42578125" style="143" customWidth="1"/>
    <col min="6393" max="6393" width="16.42578125" style="143" customWidth="1"/>
    <col min="6394" max="6394" width="10.140625" style="143" customWidth="1"/>
    <col min="6395" max="6395" width="8.42578125" style="143" customWidth="1"/>
    <col min="6396" max="6396" width="10" style="143" customWidth="1"/>
    <col min="6397" max="6397" width="8.42578125" style="143" customWidth="1"/>
    <col min="6398" max="6398" width="11" style="143" customWidth="1"/>
    <col min="6399" max="6399" width="9" style="143" customWidth="1"/>
    <col min="6400" max="6400" width="11.42578125" style="143" customWidth="1"/>
    <col min="6401" max="6401" width="12" style="143" customWidth="1"/>
    <col min="6402" max="6648" width="9.42578125" style="143" customWidth="1"/>
    <col min="6649" max="6649" width="16.42578125" style="143" customWidth="1"/>
    <col min="6650" max="6650" width="10.140625" style="143" customWidth="1"/>
    <col min="6651" max="6651" width="8.42578125" style="143" customWidth="1"/>
    <col min="6652" max="6652" width="10" style="143" customWidth="1"/>
    <col min="6653" max="6653" width="8.42578125" style="143" customWidth="1"/>
    <col min="6654" max="6654" width="11" style="143" customWidth="1"/>
    <col min="6655" max="6655" width="9" style="143" customWidth="1"/>
    <col min="6656" max="6656" width="11.42578125" style="143" customWidth="1"/>
    <col min="6657" max="6657" width="12" style="143" customWidth="1"/>
    <col min="6658" max="6904" width="9.42578125" style="143" customWidth="1"/>
    <col min="6905" max="6905" width="16.42578125" style="143" customWidth="1"/>
    <col min="6906" max="6906" width="10.140625" style="143" customWidth="1"/>
    <col min="6907" max="6907" width="8.42578125" style="143" customWidth="1"/>
    <col min="6908" max="6908" width="10" style="143" customWidth="1"/>
    <col min="6909" max="6909" width="8.42578125" style="143" customWidth="1"/>
    <col min="6910" max="6910" width="11" style="143" customWidth="1"/>
    <col min="6911" max="6911" width="9" style="143" customWidth="1"/>
    <col min="6912" max="6912" width="11.42578125" style="143" customWidth="1"/>
    <col min="6913" max="6913" width="12" style="143" customWidth="1"/>
    <col min="6914" max="7160" width="9.42578125" style="143" customWidth="1"/>
    <col min="7161" max="7161" width="16.42578125" style="143" customWidth="1"/>
    <col min="7162" max="7162" width="10.140625" style="143" customWidth="1"/>
    <col min="7163" max="7163" width="8.42578125" style="143" customWidth="1"/>
    <col min="7164" max="7164" width="10" style="143" customWidth="1"/>
    <col min="7165" max="7165" width="8.42578125" style="143" customWidth="1"/>
    <col min="7166" max="7166" width="11" style="143" customWidth="1"/>
    <col min="7167" max="7167" width="9" style="143" customWidth="1"/>
    <col min="7168" max="7168" width="11.42578125" style="143" customWidth="1"/>
    <col min="7169" max="7169" width="12" style="143" customWidth="1"/>
    <col min="7170" max="7416" width="9.42578125" style="143" customWidth="1"/>
    <col min="7417" max="7417" width="16.42578125" style="143" customWidth="1"/>
    <col min="7418" max="7418" width="10.140625" style="143" customWidth="1"/>
    <col min="7419" max="7419" width="8.42578125" style="143" customWidth="1"/>
    <col min="7420" max="7420" width="10" style="143" customWidth="1"/>
    <col min="7421" max="7421" width="8.42578125" style="143" customWidth="1"/>
    <col min="7422" max="7422" width="11" style="143" customWidth="1"/>
    <col min="7423" max="7423" width="9" style="143" customWidth="1"/>
    <col min="7424" max="7424" width="11.42578125" style="143" customWidth="1"/>
    <col min="7425" max="7425" width="12" style="143" customWidth="1"/>
    <col min="7426" max="7672" width="9.42578125" style="143" customWidth="1"/>
    <col min="7673" max="7673" width="16.42578125" style="143" customWidth="1"/>
    <col min="7674" max="7674" width="10.140625" style="143" customWidth="1"/>
    <col min="7675" max="7675" width="8.42578125" style="143" customWidth="1"/>
    <col min="7676" max="7676" width="10" style="143" customWidth="1"/>
    <col min="7677" max="7677" width="8.42578125" style="143" customWidth="1"/>
    <col min="7678" max="7678" width="11" style="143" customWidth="1"/>
    <col min="7679" max="7679" width="9" style="143" customWidth="1"/>
    <col min="7680" max="7680" width="11.42578125" style="143" customWidth="1"/>
    <col min="7681" max="7681" width="12" style="143" customWidth="1"/>
    <col min="7682" max="7928" width="9.42578125" style="143" customWidth="1"/>
    <col min="7929" max="7929" width="16.42578125" style="143" customWidth="1"/>
    <col min="7930" max="7930" width="10.140625" style="143" customWidth="1"/>
    <col min="7931" max="7931" width="8.42578125" style="143" customWidth="1"/>
    <col min="7932" max="7932" width="10" style="143" customWidth="1"/>
    <col min="7933" max="7933" width="8.42578125" style="143" customWidth="1"/>
    <col min="7934" max="7934" width="11" style="143" customWidth="1"/>
    <col min="7935" max="7935" width="9" style="143" customWidth="1"/>
    <col min="7936" max="7936" width="11.42578125" style="143" customWidth="1"/>
    <col min="7937" max="7937" width="12" style="143" customWidth="1"/>
    <col min="7938" max="8184" width="9.42578125" style="143" customWidth="1"/>
    <col min="8185" max="8185" width="16.42578125" style="143" customWidth="1"/>
    <col min="8186" max="8186" width="10.140625" style="143" customWidth="1"/>
    <col min="8187" max="8187" width="8.42578125" style="143" customWidth="1"/>
    <col min="8188" max="8188" width="10" style="143" customWidth="1"/>
    <col min="8189" max="8189" width="8.42578125" style="143" customWidth="1"/>
    <col min="8190" max="8190" width="11" style="143" customWidth="1"/>
    <col min="8191" max="8191" width="9" style="143" customWidth="1"/>
    <col min="8192" max="8192" width="11.42578125" style="143" customWidth="1"/>
    <col min="8193" max="8193" width="12" style="143" customWidth="1"/>
    <col min="8194" max="8440" width="9.42578125" style="143" customWidth="1"/>
    <col min="8441" max="8441" width="16.42578125" style="143" customWidth="1"/>
    <col min="8442" max="8442" width="10.140625" style="143" customWidth="1"/>
    <col min="8443" max="8443" width="8.42578125" style="143" customWidth="1"/>
    <col min="8444" max="8444" width="10" style="143" customWidth="1"/>
    <col min="8445" max="8445" width="8.42578125" style="143" customWidth="1"/>
    <col min="8446" max="8446" width="11" style="143" customWidth="1"/>
    <col min="8447" max="8447" width="9" style="143" customWidth="1"/>
    <col min="8448" max="8448" width="11.42578125" style="143" customWidth="1"/>
    <col min="8449" max="8449" width="12" style="143" customWidth="1"/>
    <col min="8450" max="8696" width="9.42578125" style="143" customWidth="1"/>
    <col min="8697" max="8697" width="16.42578125" style="143" customWidth="1"/>
    <col min="8698" max="8698" width="10.140625" style="143" customWidth="1"/>
    <col min="8699" max="8699" width="8.42578125" style="143" customWidth="1"/>
    <col min="8700" max="8700" width="10" style="143" customWidth="1"/>
    <col min="8701" max="8701" width="8.42578125" style="143" customWidth="1"/>
    <col min="8702" max="8702" width="11" style="143" customWidth="1"/>
    <col min="8703" max="8703" width="9" style="143" customWidth="1"/>
    <col min="8704" max="8704" width="11.42578125" style="143" customWidth="1"/>
    <col min="8705" max="8705" width="12" style="143" customWidth="1"/>
    <col min="8706" max="8952" width="9.42578125" style="143" customWidth="1"/>
    <col min="8953" max="8953" width="16.42578125" style="143" customWidth="1"/>
    <col min="8954" max="8954" width="10.140625" style="143" customWidth="1"/>
    <col min="8955" max="8955" width="8.42578125" style="143" customWidth="1"/>
    <col min="8956" max="8956" width="10" style="143" customWidth="1"/>
    <col min="8957" max="8957" width="8.42578125" style="143" customWidth="1"/>
    <col min="8958" max="8958" width="11" style="143" customWidth="1"/>
    <col min="8959" max="8959" width="9" style="143" customWidth="1"/>
    <col min="8960" max="8960" width="11.42578125" style="143" customWidth="1"/>
    <col min="8961" max="8961" width="12" style="143" customWidth="1"/>
    <col min="8962" max="9208" width="9.42578125" style="143" customWidth="1"/>
    <col min="9209" max="9209" width="16.42578125" style="143" customWidth="1"/>
    <col min="9210" max="9210" width="10.140625" style="143" customWidth="1"/>
    <col min="9211" max="9211" width="8.42578125" style="143" customWidth="1"/>
    <col min="9212" max="9212" width="10" style="143" customWidth="1"/>
    <col min="9213" max="9213" width="8.42578125" style="143" customWidth="1"/>
    <col min="9214" max="9214" width="11" style="143" customWidth="1"/>
    <col min="9215" max="9215" width="9" style="143" customWidth="1"/>
    <col min="9216" max="9216" width="11.42578125" style="143" customWidth="1"/>
    <col min="9217" max="9217" width="12" style="143" customWidth="1"/>
    <col min="9218" max="9464" width="9.42578125" style="143" customWidth="1"/>
    <col min="9465" max="9465" width="16.42578125" style="143" customWidth="1"/>
    <col min="9466" max="9466" width="10.140625" style="143" customWidth="1"/>
    <col min="9467" max="9467" width="8.42578125" style="143" customWidth="1"/>
    <col min="9468" max="9468" width="10" style="143" customWidth="1"/>
    <col min="9469" max="9469" width="8.42578125" style="143" customWidth="1"/>
    <col min="9470" max="9470" width="11" style="143" customWidth="1"/>
    <col min="9471" max="9471" width="9" style="143" customWidth="1"/>
    <col min="9472" max="9472" width="11.42578125" style="143" customWidth="1"/>
    <col min="9473" max="9473" width="12" style="143" customWidth="1"/>
    <col min="9474" max="9720" width="9.42578125" style="143" customWidth="1"/>
    <col min="9721" max="9721" width="16.42578125" style="143" customWidth="1"/>
    <col min="9722" max="9722" width="10.140625" style="143" customWidth="1"/>
    <col min="9723" max="9723" width="8.42578125" style="143" customWidth="1"/>
    <col min="9724" max="9724" width="10" style="143" customWidth="1"/>
    <col min="9725" max="9725" width="8.42578125" style="143" customWidth="1"/>
    <col min="9726" max="9726" width="11" style="143" customWidth="1"/>
    <col min="9727" max="9727" width="9" style="143" customWidth="1"/>
    <col min="9728" max="9728" width="11.42578125" style="143" customWidth="1"/>
    <col min="9729" max="9729" width="12" style="143" customWidth="1"/>
    <col min="9730" max="9976" width="9.42578125" style="143" customWidth="1"/>
    <col min="9977" max="9977" width="16.42578125" style="143" customWidth="1"/>
    <col min="9978" max="9978" width="10.140625" style="143" customWidth="1"/>
    <col min="9979" max="9979" width="8.42578125" style="143" customWidth="1"/>
    <col min="9980" max="9980" width="10" style="143" customWidth="1"/>
    <col min="9981" max="9981" width="8.42578125" style="143" customWidth="1"/>
    <col min="9982" max="9982" width="11" style="143" customWidth="1"/>
    <col min="9983" max="9983" width="9" style="143" customWidth="1"/>
    <col min="9984" max="9984" width="11.42578125" style="143" customWidth="1"/>
    <col min="9985" max="9985" width="12" style="143" customWidth="1"/>
    <col min="9986" max="10232" width="9.42578125" style="143" customWidth="1"/>
    <col min="10233" max="10233" width="16.42578125" style="143" customWidth="1"/>
    <col min="10234" max="10234" width="10.140625" style="143" customWidth="1"/>
    <col min="10235" max="10235" width="8.42578125" style="143" customWidth="1"/>
    <col min="10236" max="10236" width="10" style="143" customWidth="1"/>
    <col min="10237" max="10237" width="8.42578125" style="143" customWidth="1"/>
    <col min="10238" max="10238" width="11" style="143" customWidth="1"/>
    <col min="10239" max="10239" width="9" style="143" customWidth="1"/>
    <col min="10240" max="10240" width="11.42578125" style="143" customWidth="1"/>
    <col min="10241" max="10241" width="12" style="143" customWidth="1"/>
    <col min="10242" max="10488" width="9.42578125" style="143" customWidth="1"/>
    <col min="10489" max="10489" width="16.42578125" style="143" customWidth="1"/>
    <col min="10490" max="10490" width="10.140625" style="143" customWidth="1"/>
    <col min="10491" max="10491" width="8.42578125" style="143" customWidth="1"/>
    <col min="10492" max="10492" width="10" style="143" customWidth="1"/>
    <col min="10493" max="10493" width="8.42578125" style="143" customWidth="1"/>
    <col min="10494" max="10494" width="11" style="143" customWidth="1"/>
    <col min="10495" max="10495" width="9" style="143" customWidth="1"/>
    <col min="10496" max="10496" width="11.42578125" style="143" customWidth="1"/>
    <col min="10497" max="10497" width="12" style="143" customWidth="1"/>
    <col min="10498" max="10744" width="9.42578125" style="143" customWidth="1"/>
    <col min="10745" max="10745" width="16.42578125" style="143" customWidth="1"/>
    <col min="10746" max="10746" width="10.140625" style="143" customWidth="1"/>
    <col min="10747" max="10747" width="8.42578125" style="143" customWidth="1"/>
    <col min="10748" max="10748" width="10" style="143" customWidth="1"/>
    <col min="10749" max="10749" width="8.42578125" style="143" customWidth="1"/>
    <col min="10750" max="10750" width="11" style="143" customWidth="1"/>
    <col min="10751" max="10751" width="9" style="143" customWidth="1"/>
    <col min="10752" max="10752" width="11.42578125" style="143" customWidth="1"/>
    <col min="10753" max="10753" width="12" style="143" customWidth="1"/>
    <col min="10754" max="11000" width="9.42578125" style="143" customWidth="1"/>
    <col min="11001" max="11001" width="16.42578125" style="143" customWidth="1"/>
    <col min="11002" max="11002" width="10.140625" style="143" customWidth="1"/>
    <col min="11003" max="11003" width="8.42578125" style="143" customWidth="1"/>
    <col min="11004" max="11004" width="10" style="143" customWidth="1"/>
    <col min="11005" max="11005" width="8.42578125" style="143" customWidth="1"/>
    <col min="11006" max="11006" width="11" style="143" customWidth="1"/>
    <col min="11007" max="11007" width="9" style="143" customWidth="1"/>
    <col min="11008" max="11008" width="11.42578125" style="143" customWidth="1"/>
    <col min="11009" max="11009" width="12" style="143" customWidth="1"/>
    <col min="11010" max="11256" width="9.42578125" style="143" customWidth="1"/>
    <col min="11257" max="11257" width="16.42578125" style="143" customWidth="1"/>
    <col min="11258" max="11258" width="10.140625" style="143" customWidth="1"/>
    <col min="11259" max="11259" width="8.42578125" style="143" customWidth="1"/>
    <col min="11260" max="11260" width="10" style="143" customWidth="1"/>
    <col min="11261" max="11261" width="8.42578125" style="143" customWidth="1"/>
    <col min="11262" max="11262" width="11" style="143" customWidth="1"/>
    <col min="11263" max="11263" width="9" style="143" customWidth="1"/>
    <col min="11264" max="11264" width="11.42578125" style="143" customWidth="1"/>
    <col min="11265" max="11265" width="12" style="143" customWidth="1"/>
    <col min="11266" max="11512" width="9.42578125" style="143" customWidth="1"/>
    <col min="11513" max="11513" width="16.42578125" style="143" customWidth="1"/>
    <col min="11514" max="11514" width="10.140625" style="143" customWidth="1"/>
    <col min="11515" max="11515" width="8.42578125" style="143" customWidth="1"/>
    <col min="11516" max="11516" width="10" style="143" customWidth="1"/>
    <col min="11517" max="11517" width="8.42578125" style="143" customWidth="1"/>
    <col min="11518" max="11518" width="11" style="143" customWidth="1"/>
    <col min="11519" max="11519" width="9" style="143" customWidth="1"/>
    <col min="11520" max="11520" width="11.42578125" style="143" customWidth="1"/>
    <col min="11521" max="11521" width="12" style="143" customWidth="1"/>
    <col min="11522" max="11768" width="9.42578125" style="143" customWidth="1"/>
    <col min="11769" max="11769" width="16.42578125" style="143" customWidth="1"/>
    <col min="11770" max="11770" width="10.140625" style="143" customWidth="1"/>
    <col min="11771" max="11771" width="8.42578125" style="143" customWidth="1"/>
    <col min="11772" max="11772" width="10" style="143" customWidth="1"/>
    <col min="11773" max="11773" width="8.42578125" style="143" customWidth="1"/>
    <col min="11774" max="11774" width="11" style="143" customWidth="1"/>
    <col min="11775" max="11775" width="9" style="143" customWidth="1"/>
    <col min="11776" max="11776" width="11.42578125" style="143" customWidth="1"/>
    <col min="11777" max="11777" width="12" style="143" customWidth="1"/>
    <col min="11778" max="12024" width="9.42578125" style="143" customWidth="1"/>
    <col min="12025" max="12025" width="16.42578125" style="143" customWidth="1"/>
    <col min="12026" max="12026" width="10.140625" style="143" customWidth="1"/>
    <col min="12027" max="12027" width="8.42578125" style="143" customWidth="1"/>
    <col min="12028" max="12028" width="10" style="143" customWidth="1"/>
    <col min="12029" max="12029" width="8.42578125" style="143" customWidth="1"/>
    <col min="12030" max="12030" width="11" style="143" customWidth="1"/>
    <col min="12031" max="12031" width="9" style="143" customWidth="1"/>
    <col min="12032" max="12032" width="11.42578125" style="143" customWidth="1"/>
    <col min="12033" max="12033" width="12" style="143" customWidth="1"/>
    <col min="12034" max="12280" width="9.42578125" style="143" customWidth="1"/>
    <col min="12281" max="12281" width="16.42578125" style="143" customWidth="1"/>
    <col min="12282" max="12282" width="10.140625" style="143" customWidth="1"/>
    <col min="12283" max="12283" width="8.42578125" style="143" customWidth="1"/>
    <col min="12284" max="12284" width="10" style="143" customWidth="1"/>
    <col min="12285" max="12285" width="8.42578125" style="143" customWidth="1"/>
    <col min="12286" max="12286" width="11" style="143" customWidth="1"/>
    <col min="12287" max="12287" width="9" style="143" customWidth="1"/>
    <col min="12288" max="12288" width="11.42578125" style="143" customWidth="1"/>
    <col min="12289" max="12289" width="12" style="143" customWidth="1"/>
    <col min="12290" max="12536" width="9.42578125" style="143" customWidth="1"/>
    <col min="12537" max="12537" width="16.42578125" style="143" customWidth="1"/>
    <col min="12538" max="12538" width="10.140625" style="143" customWidth="1"/>
    <col min="12539" max="12539" width="8.42578125" style="143" customWidth="1"/>
    <col min="12540" max="12540" width="10" style="143" customWidth="1"/>
    <col min="12541" max="12541" width="8.42578125" style="143" customWidth="1"/>
    <col min="12542" max="12542" width="11" style="143" customWidth="1"/>
    <col min="12543" max="12543" width="9" style="143" customWidth="1"/>
    <col min="12544" max="12544" width="11.42578125" style="143" customWidth="1"/>
    <col min="12545" max="12545" width="12" style="143" customWidth="1"/>
    <col min="12546" max="12792" width="9.42578125" style="143" customWidth="1"/>
    <col min="12793" max="12793" width="16.42578125" style="143" customWidth="1"/>
    <col min="12794" max="12794" width="10.140625" style="143" customWidth="1"/>
    <col min="12795" max="12795" width="8.42578125" style="143" customWidth="1"/>
    <col min="12796" max="12796" width="10" style="143" customWidth="1"/>
    <col min="12797" max="12797" width="8.42578125" style="143" customWidth="1"/>
    <col min="12798" max="12798" width="11" style="143" customWidth="1"/>
    <col min="12799" max="12799" width="9" style="143" customWidth="1"/>
    <col min="12800" max="12800" width="11.42578125" style="143" customWidth="1"/>
    <col min="12801" max="12801" width="12" style="143" customWidth="1"/>
    <col min="12802" max="13048" width="9.42578125" style="143" customWidth="1"/>
    <col min="13049" max="13049" width="16.42578125" style="143" customWidth="1"/>
    <col min="13050" max="13050" width="10.140625" style="143" customWidth="1"/>
    <col min="13051" max="13051" width="8.42578125" style="143" customWidth="1"/>
    <col min="13052" max="13052" width="10" style="143" customWidth="1"/>
    <col min="13053" max="13053" width="8.42578125" style="143" customWidth="1"/>
    <col min="13054" max="13054" width="11" style="143" customWidth="1"/>
    <col min="13055" max="13055" width="9" style="143" customWidth="1"/>
    <col min="13056" max="13056" width="11.42578125" style="143" customWidth="1"/>
    <col min="13057" max="13057" width="12" style="143" customWidth="1"/>
    <col min="13058" max="13304" width="9.42578125" style="143" customWidth="1"/>
    <col min="13305" max="13305" width="16.42578125" style="143" customWidth="1"/>
    <col min="13306" max="13306" width="10.140625" style="143" customWidth="1"/>
    <col min="13307" max="13307" width="8.42578125" style="143" customWidth="1"/>
    <col min="13308" max="13308" width="10" style="143" customWidth="1"/>
    <col min="13309" max="13309" width="8.42578125" style="143" customWidth="1"/>
    <col min="13310" max="13310" width="11" style="143" customWidth="1"/>
    <col min="13311" max="13311" width="9" style="143" customWidth="1"/>
    <col min="13312" max="13312" width="11.42578125" style="143" customWidth="1"/>
    <col min="13313" max="13313" width="12" style="143" customWidth="1"/>
    <col min="13314" max="13560" width="9.42578125" style="143" customWidth="1"/>
    <col min="13561" max="13561" width="16.42578125" style="143" customWidth="1"/>
    <col min="13562" max="13562" width="10.140625" style="143" customWidth="1"/>
    <col min="13563" max="13563" width="8.42578125" style="143" customWidth="1"/>
    <col min="13564" max="13564" width="10" style="143" customWidth="1"/>
    <col min="13565" max="13565" width="8.42578125" style="143" customWidth="1"/>
    <col min="13566" max="13566" width="11" style="143" customWidth="1"/>
    <col min="13567" max="13567" width="9" style="143" customWidth="1"/>
    <col min="13568" max="13568" width="11.42578125" style="143" customWidth="1"/>
    <col min="13569" max="13569" width="12" style="143" customWidth="1"/>
    <col min="13570" max="13816" width="9.42578125" style="143" customWidth="1"/>
    <col min="13817" max="13817" width="16.42578125" style="143" customWidth="1"/>
    <col min="13818" max="13818" width="10.140625" style="143" customWidth="1"/>
    <col min="13819" max="13819" width="8.42578125" style="143" customWidth="1"/>
    <col min="13820" max="13820" width="10" style="143" customWidth="1"/>
    <col min="13821" max="13821" width="8.42578125" style="143" customWidth="1"/>
    <col min="13822" max="13822" width="11" style="143" customWidth="1"/>
    <col min="13823" max="13823" width="9" style="143" customWidth="1"/>
    <col min="13824" max="13824" width="11.42578125" style="143" customWidth="1"/>
    <col min="13825" max="13825" width="12" style="143" customWidth="1"/>
    <col min="13826" max="14072" width="9.42578125" style="143" customWidth="1"/>
    <col min="14073" max="14073" width="16.42578125" style="143" customWidth="1"/>
    <col min="14074" max="14074" width="10.140625" style="143" customWidth="1"/>
    <col min="14075" max="14075" width="8.42578125" style="143" customWidth="1"/>
    <col min="14076" max="14076" width="10" style="143" customWidth="1"/>
    <col min="14077" max="14077" width="8.42578125" style="143" customWidth="1"/>
    <col min="14078" max="14078" width="11" style="143" customWidth="1"/>
    <col min="14079" max="14079" width="9" style="143" customWidth="1"/>
    <col min="14080" max="14080" width="11.42578125" style="143" customWidth="1"/>
    <col min="14081" max="14081" width="12" style="143" customWidth="1"/>
    <col min="14082" max="14328" width="9.42578125" style="143" customWidth="1"/>
    <col min="14329" max="14329" width="16.42578125" style="143" customWidth="1"/>
    <col min="14330" max="14330" width="10.140625" style="143" customWidth="1"/>
    <col min="14331" max="14331" width="8.42578125" style="143" customWidth="1"/>
    <col min="14332" max="14332" width="10" style="143" customWidth="1"/>
    <col min="14333" max="14333" width="8.42578125" style="143" customWidth="1"/>
    <col min="14334" max="14334" width="11" style="143" customWidth="1"/>
    <col min="14335" max="14335" width="9" style="143" customWidth="1"/>
    <col min="14336" max="14336" width="11.42578125" style="143" customWidth="1"/>
    <col min="14337" max="14337" width="12" style="143" customWidth="1"/>
    <col min="14338" max="14584" width="9.42578125" style="143" customWidth="1"/>
    <col min="14585" max="14585" width="16.42578125" style="143" customWidth="1"/>
    <col min="14586" max="14586" width="10.140625" style="143" customWidth="1"/>
    <col min="14587" max="14587" width="8.42578125" style="143" customWidth="1"/>
    <col min="14588" max="14588" width="10" style="143" customWidth="1"/>
    <col min="14589" max="14589" width="8.42578125" style="143" customWidth="1"/>
    <col min="14590" max="14590" width="11" style="143" customWidth="1"/>
    <col min="14591" max="14591" width="9" style="143" customWidth="1"/>
    <col min="14592" max="14592" width="11.42578125" style="143" customWidth="1"/>
    <col min="14593" max="14593" width="12" style="143" customWidth="1"/>
    <col min="14594" max="14840" width="9.42578125" style="143" customWidth="1"/>
    <col min="14841" max="14841" width="16.42578125" style="143" customWidth="1"/>
    <col min="14842" max="14842" width="10.140625" style="143" customWidth="1"/>
    <col min="14843" max="14843" width="8.42578125" style="143" customWidth="1"/>
    <col min="14844" max="14844" width="10" style="143" customWidth="1"/>
    <col min="14845" max="14845" width="8.42578125" style="143" customWidth="1"/>
    <col min="14846" max="14846" width="11" style="143" customWidth="1"/>
    <col min="14847" max="14847" width="9" style="143" customWidth="1"/>
    <col min="14848" max="14848" width="11.42578125" style="143" customWidth="1"/>
    <col min="14849" max="14849" width="12" style="143" customWidth="1"/>
    <col min="14850" max="15096" width="9.42578125" style="143" customWidth="1"/>
    <col min="15097" max="15097" width="16.42578125" style="143" customWidth="1"/>
    <col min="15098" max="15098" width="10.140625" style="143" customWidth="1"/>
    <col min="15099" max="15099" width="8.42578125" style="143" customWidth="1"/>
    <col min="15100" max="15100" width="10" style="143" customWidth="1"/>
    <col min="15101" max="15101" width="8.42578125" style="143" customWidth="1"/>
    <col min="15102" max="15102" width="11" style="143" customWidth="1"/>
    <col min="15103" max="15103" width="9" style="143" customWidth="1"/>
    <col min="15104" max="15104" width="11.42578125" style="143" customWidth="1"/>
    <col min="15105" max="15105" width="12" style="143" customWidth="1"/>
    <col min="15106" max="15352" width="9.42578125" style="143" customWidth="1"/>
    <col min="15353" max="15353" width="16.42578125" style="143" customWidth="1"/>
    <col min="15354" max="15354" width="10.140625" style="143" customWidth="1"/>
    <col min="15355" max="15355" width="8.42578125" style="143" customWidth="1"/>
    <col min="15356" max="15356" width="10" style="143" customWidth="1"/>
    <col min="15357" max="15357" width="8.42578125" style="143" customWidth="1"/>
    <col min="15358" max="15358" width="11" style="143" customWidth="1"/>
    <col min="15359" max="15359" width="9" style="143" customWidth="1"/>
    <col min="15360" max="15360" width="11.42578125" style="143" customWidth="1"/>
    <col min="15361" max="15361" width="12" style="143" customWidth="1"/>
    <col min="15362" max="15608" width="9.42578125" style="143" customWidth="1"/>
    <col min="15609" max="15609" width="16.42578125" style="143" customWidth="1"/>
    <col min="15610" max="15610" width="10.140625" style="143" customWidth="1"/>
    <col min="15611" max="15611" width="8.42578125" style="143" customWidth="1"/>
    <col min="15612" max="15612" width="10" style="143" customWidth="1"/>
    <col min="15613" max="15613" width="8.42578125" style="143" customWidth="1"/>
    <col min="15614" max="15614" width="11" style="143" customWidth="1"/>
    <col min="15615" max="15615" width="9" style="143" customWidth="1"/>
    <col min="15616" max="15616" width="11.42578125" style="143" customWidth="1"/>
    <col min="15617" max="15617" width="12" style="143" customWidth="1"/>
    <col min="15618" max="15864" width="9.42578125" style="143" customWidth="1"/>
    <col min="15865" max="15865" width="16.42578125" style="143" customWidth="1"/>
    <col min="15866" max="15866" width="10.140625" style="143" customWidth="1"/>
    <col min="15867" max="15867" width="8.42578125" style="143" customWidth="1"/>
    <col min="15868" max="15868" width="10" style="143" customWidth="1"/>
    <col min="15869" max="15869" width="8.42578125" style="143" customWidth="1"/>
    <col min="15870" max="15870" width="11" style="143" customWidth="1"/>
    <col min="15871" max="15871" width="9" style="143" customWidth="1"/>
    <col min="15872" max="15872" width="11.42578125" style="143" customWidth="1"/>
    <col min="15873" max="15873" width="12" style="143" customWidth="1"/>
    <col min="15874" max="16120" width="9.42578125" style="143" customWidth="1"/>
    <col min="16121" max="16121" width="16.42578125" style="143" customWidth="1"/>
    <col min="16122" max="16122" width="10.140625" style="143" customWidth="1"/>
    <col min="16123" max="16123" width="8.42578125" style="143" customWidth="1"/>
    <col min="16124" max="16124" width="10" style="143" customWidth="1"/>
    <col min="16125" max="16125" width="8.42578125" style="143" customWidth="1"/>
    <col min="16126" max="16126" width="11" style="143" customWidth="1"/>
    <col min="16127" max="16127" width="9" style="143" customWidth="1"/>
    <col min="16128" max="16128" width="11.42578125" style="143" customWidth="1"/>
    <col min="16129" max="16129" width="12" style="143" customWidth="1"/>
    <col min="16130" max="16384" width="9.42578125" style="143" customWidth="1"/>
  </cols>
  <sheetData>
    <row r="1" spans="2:11" s="1" customFormat="1" ht="14.25" x14ac:dyDescent="0.2"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2:11" s="1" customFormat="1" ht="14.25" x14ac:dyDescent="0.2">
      <c r="B2" s="143"/>
      <c r="C2" s="143"/>
      <c r="D2" s="143"/>
      <c r="E2" s="143"/>
      <c r="F2" s="143"/>
      <c r="G2" s="143"/>
      <c r="H2" s="143"/>
      <c r="I2" s="145" t="s">
        <v>105</v>
      </c>
      <c r="J2" s="143"/>
      <c r="K2" s="144"/>
    </row>
    <row r="3" spans="2:11" s="1" customFormat="1" ht="20.25" x14ac:dyDescent="0.3">
      <c r="B3" s="581" t="s">
        <v>106</v>
      </c>
      <c r="C3" s="581"/>
      <c r="D3" s="581"/>
      <c r="E3" s="581"/>
      <c r="F3" s="581"/>
      <c r="G3" s="581"/>
      <c r="H3" s="581"/>
      <c r="I3" s="581"/>
      <c r="J3" s="146"/>
      <c r="K3" s="144"/>
    </row>
    <row r="4" spans="2:11" s="1" customFormat="1" ht="9.75" customHeight="1" x14ac:dyDescent="0.2">
      <c r="B4" s="143"/>
      <c r="C4" s="143"/>
      <c r="D4" s="143"/>
      <c r="E4" s="143"/>
      <c r="F4" s="143"/>
      <c r="G4" s="143"/>
      <c r="H4" s="143"/>
      <c r="I4" s="143"/>
      <c r="J4" s="143"/>
      <c r="K4" s="144"/>
    </row>
    <row r="5" spans="2:11" s="1" customFormat="1" ht="18" customHeight="1" x14ac:dyDescent="0.2">
      <c r="B5" s="147" t="s">
        <v>107</v>
      </c>
      <c r="C5" s="148"/>
      <c r="D5" s="148"/>
      <c r="E5" s="143"/>
      <c r="F5" s="143"/>
      <c r="G5" s="143"/>
      <c r="H5" s="143"/>
      <c r="I5" s="143"/>
      <c r="J5" s="143"/>
      <c r="K5" s="144"/>
    </row>
    <row r="6" spans="2:11" s="1" customFormat="1" ht="14.25" x14ac:dyDescent="0.2">
      <c r="B6" s="143"/>
      <c r="C6" s="143"/>
      <c r="D6" s="143"/>
      <c r="E6" s="143"/>
      <c r="F6" s="143"/>
      <c r="G6" s="143"/>
      <c r="H6" s="146"/>
      <c r="I6" s="146"/>
      <c r="J6" s="145"/>
      <c r="K6" s="144"/>
    </row>
    <row r="7" spans="2:11" s="1" customFormat="1" ht="14.25" x14ac:dyDescent="0.2">
      <c r="B7" s="582" t="s">
        <v>108</v>
      </c>
      <c r="C7" s="584" t="s">
        <v>109</v>
      </c>
      <c r="D7" s="584" t="s">
        <v>110</v>
      </c>
      <c r="E7" s="586" t="s">
        <v>52</v>
      </c>
      <c r="F7" s="586"/>
      <c r="G7" s="586"/>
      <c r="H7" s="586"/>
      <c r="I7" s="586"/>
      <c r="J7" s="149"/>
      <c r="K7" s="144"/>
    </row>
    <row r="8" spans="2:11" s="1" customFormat="1" ht="12.95" customHeight="1" x14ac:dyDescent="0.2">
      <c r="B8" s="583"/>
      <c r="C8" s="585"/>
      <c r="D8" s="585"/>
      <c r="E8" s="587">
        <v>610</v>
      </c>
      <c r="F8" s="587">
        <v>620</v>
      </c>
      <c r="G8" s="587">
        <v>630</v>
      </c>
      <c r="H8" s="587">
        <v>640</v>
      </c>
      <c r="I8" s="587" t="s">
        <v>95</v>
      </c>
      <c r="J8" s="144"/>
      <c r="K8" s="150"/>
    </row>
    <row r="9" spans="2:11" s="1" customFormat="1" ht="5.25" customHeight="1" x14ac:dyDescent="0.2">
      <c r="B9" s="583"/>
      <c r="C9" s="585"/>
      <c r="D9" s="585"/>
      <c r="E9" s="587"/>
      <c r="F9" s="587"/>
      <c r="G9" s="587"/>
      <c r="H9" s="587"/>
      <c r="I9" s="587"/>
      <c r="J9" s="144"/>
      <c r="K9" s="150"/>
    </row>
    <row r="10" spans="2:11" s="1" customFormat="1" ht="14.25" x14ac:dyDescent="0.2">
      <c r="B10" s="151" t="s">
        <v>111</v>
      </c>
      <c r="C10" s="152">
        <v>61</v>
      </c>
      <c r="D10" s="153">
        <v>34782</v>
      </c>
      <c r="E10" s="444">
        <v>154984</v>
      </c>
      <c r="F10" s="444">
        <v>56082</v>
      </c>
      <c r="G10" s="444">
        <v>71535</v>
      </c>
      <c r="H10" s="154">
        <v>2047</v>
      </c>
      <c r="I10" s="155">
        <f>SUM(E10:H10)</f>
        <v>284648</v>
      </c>
      <c r="J10" s="144"/>
      <c r="K10" s="150"/>
    </row>
    <row r="11" spans="2:11" s="1" customFormat="1" ht="14.25" x14ac:dyDescent="0.2">
      <c r="B11" s="151" t="s">
        <v>112</v>
      </c>
      <c r="C11" s="152">
        <v>137</v>
      </c>
      <c r="D11" s="153">
        <v>83040</v>
      </c>
      <c r="E11" s="154">
        <v>286564</v>
      </c>
      <c r="F11" s="154">
        <v>107376</v>
      </c>
      <c r="G11" s="154">
        <v>92031</v>
      </c>
      <c r="H11" s="154">
        <v>3821</v>
      </c>
      <c r="I11" s="155">
        <f t="shared" ref="I11:I25" si="0">SUM(E11:H11)</f>
        <v>489792</v>
      </c>
      <c r="J11" s="144"/>
      <c r="K11" s="150"/>
    </row>
    <row r="12" spans="2:11" s="1" customFormat="1" ht="14.25" x14ac:dyDescent="0.2">
      <c r="B12" s="151" t="s">
        <v>113</v>
      </c>
      <c r="C12" s="152">
        <v>71</v>
      </c>
      <c r="D12" s="153">
        <v>41277</v>
      </c>
      <c r="E12" s="154">
        <v>153510</v>
      </c>
      <c r="F12" s="154">
        <v>58241</v>
      </c>
      <c r="G12" s="154">
        <v>61895</v>
      </c>
      <c r="H12" s="154">
        <v>907</v>
      </c>
      <c r="I12" s="155">
        <f t="shared" si="0"/>
        <v>274553</v>
      </c>
      <c r="J12" s="144"/>
      <c r="K12" s="150"/>
    </row>
    <row r="13" spans="2:11" s="1" customFormat="1" ht="14.25" x14ac:dyDescent="0.2">
      <c r="B13" s="151" t="s">
        <v>114</v>
      </c>
      <c r="C13" s="152">
        <v>89</v>
      </c>
      <c r="D13" s="153">
        <v>53401</v>
      </c>
      <c r="E13" s="154">
        <v>193625</v>
      </c>
      <c r="F13" s="154">
        <v>71911</v>
      </c>
      <c r="G13" s="154">
        <v>84223</v>
      </c>
      <c r="H13" s="154">
        <v>1381</v>
      </c>
      <c r="I13" s="155">
        <f t="shared" si="0"/>
        <v>351140</v>
      </c>
      <c r="J13" s="144"/>
      <c r="K13" s="150"/>
    </row>
    <row r="14" spans="2:11" s="1" customFormat="1" ht="14.25" x14ac:dyDescent="0.2">
      <c r="B14" s="151" t="s">
        <v>115</v>
      </c>
      <c r="C14" s="152">
        <v>71</v>
      </c>
      <c r="D14" s="153">
        <v>42840</v>
      </c>
      <c r="E14" s="154">
        <v>199558</v>
      </c>
      <c r="F14" s="154">
        <v>75102</v>
      </c>
      <c r="G14" s="154">
        <v>77927</v>
      </c>
      <c r="H14" s="154">
        <v>5772</v>
      </c>
      <c r="I14" s="155">
        <f t="shared" si="0"/>
        <v>358359</v>
      </c>
      <c r="J14" s="144"/>
      <c r="K14" s="150"/>
    </row>
    <row r="15" spans="2:11" s="1" customFormat="1" ht="14.25" x14ac:dyDescent="0.2">
      <c r="B15" s="151" t="s">
        <v>116</v>
      </c>
      <c r="C15" s="152">
        <v>129</v>
      </c>
      <c r="D15" s="153">
        <v>76618</v>
      </c>
      <c r="E15" s="154">
        <v>317855</v>
      </c>
      <c r="F15" s="154">
        <v>112696</v>
      </c>
      <c r="G15" s="154">
        <v>108000</v>
      </c>
      <c r="H15" s="154">
        <v>4344</v>
      </c>
      <c r="I15" s="155">
        <f t="shared" si="0"/>
        <v>542895</v>
      </c>
      <c r="J15" s="144"/>
      <c r="K15" s="150"/>
    </row>
    <row r="16" spans="2:11" s="1" customFormat="1" ht="14.25" x14ac:dyDescent="0.2">
      <c r="B16" s="151" t="s">
        <v>117</v>
      </c>
      <c r="C16" s="152">
        <v>138</v>
      </c>
      <c r="D16" s="153">
        <v>80634</v>
      </c>
      <c r="E16" s="154">
        <v>294571</v>
      </c>
      <c r="F16" s="154">
        <v>111972</v>
      </c>
      <c r="G16" s="154">
        <v>112684</v>
      </c>
      <c r="H16" s="154">
        <v>10897</v>
      </c>
      <c r="I16" s="155">
        <f t="shared" si="0"/>
        <v>530124</v>
      </c>
      <c r="J16" s="144"/>
      <c r="K16" s="150"/>
    </row>
    <row r="17" spans="1:14" s="1" customFormat="1" ht="14.25" x14ac:dyDescent="0.2">
      <c r="B17" s="151" t="s">
        <v>118</v>
      </c>
      <c r="C17" s="152">
        <v>68</v>
      </c>
      <c r="D17" s="153">
        <v>42924</v>
      </c>
      <c r="E17" s="154">
        <v>209214</v>
      </c>
      <c r="F17" s="154">
        <v>78795</v>
      </c>
      <c r="G17" s="154">
        <v>54886</v>
      </c>
      <c r="H17" s="154">
        <v>5351</v>
      </c>
      <c r="I17" s="155">
        <f t="shared" si="0"/>
        <v>348246</v>
      </c>
      <c r="J17" s="144"/>
      <c r="K17" s="150"/>
      <c r="L17" s="150"/>
      <c r="M17" s="150"/>
    </row>
    <row r="18" spans="1:14" s="1" customFormat="1" ht="14.25" x14ac:dyDescent="0.2">
      <c r="B18" s="151" t="s">
        <v>119</v>
      </c>
      <c r="C18" s="152">
        <v>118</v>
      </c>
      <c r="D18" s="153">
        <v>72366</v>
      </c>
      <c r="E18" s="154">
        <v>273737</v>
      </c>
      <c r="F18" s="154">
        <v>100098</v>
      </c>
      <c r="G18" s="154">
        <v>98269</v>
      </c>
      <c r="H18" s="154">
        <v>1105</v>
      </c>
      <c r="I18" s="155">
        <f t="shared" si="0"/>
        <v>473209</v>
      </c>
      <c r="J18" s="156"/>
      <c r="K18" s="150"/>
      <c r="L18" s="150"/>
      <c r="M18" s="150"/>
    </row>
    <row r="19" spans="1:14" s="1" customFormat="1" ht="14.25" x14ac:dyDescent="0.2">
      <c r="B19" s="151" t="s">
        <v>120</v>
      </c>
      <c r="C19" s="152">
        <v>120</v>
      </c>
      <c r="D19" s="153">
        <v>72043</v>
      </c>
      <c r="E19" s="154">
        <v>287743</v>
      </c>
      <c r="F19" s="154">
        <v>109013</v>
      </c>
      <c r="G19" s="154">
        <v>87341</v>
      </c>
      <c r="H19" s="154">
        <v>7048</v>
      </c>
      <c r="I19" s="155">
        <f t="shared" si="0"/>
        <v>491145</v>
      </c>
      <c r="J19" s="156"/>
      <c r="K19" s="150"/>
      <c r="L19" s="150"/>
      <c r="M19" s="150"/>
    </row>
    <row r="20" spans="1:14" s="1" customFormat="1" ht="14.25" x14ac:dyDescent="0.2">
      <c r="B20" s="151" t="s">
        <v>121</v>
      </c>
      <c r="C20" s="152">
        <v>101</v>
      </c>
      <c r="D20" s="153">
        <v>62405</v>
      </c>
      <c r="E20" s="154">
        <v>258931</v>
      </c>
      <c r="F20" s="154">
        <v>94937</v>
      </c>
      <c r="G20" s="154">
        <v>70678</v>
      </c>
      <c r="H20" s="154">
        <v>2290</v>
      </c>
      <c r="I20" s="155">
        <f t="shared" si="0"/>
        <v>426836</v>
      </c>
      <c r="J20" s="156"/>
      <c r="K20" s="150"/>
      <c r="L20" s="150"/>
      <c r="M20" s="150"/>
    </row>
    <row r="21" spans="1:14" s="1" customFormat="1" ht="14.25" x14ac:dyDescent="0.2">
      <c r="B21" s="151" t="s">
        <v>122</v>
      </c>
      <c r="C21" s="152">
        <v>35</v>
      </c>
      <c r="D21" s="153">
        <v>20534</v>
      </c>
      <c r="E21" s="154">
        <v>94168</v>
      </c>
      <c r="F21" s="154">
        <v>35269</v>
      </c>
      <c r="G21" s="154">
        <v>30680</v>
      </c>
      <c r="H21" s="154">
        <v>3048</v>
      </c>
      <c r="I21" s="155">
        <f t="shared" si="0"/>
        <v>163165</v>
      </c>
      <c r="J21" s="156"/>
      <c r="K21" s="150"/>
      <c r="L21" s="150"/>
      <c r="M21" s="150"/>
    </row>
    <row r="22" spans="1:14" s="1" customFormat="1" ht="14.25" x14ac:dyDescent="0.2">
      <c r="B22" s="151" t="s">
        <v>123</v>
      </c>
      <c r="C22" s="152">
        <v>40</v>
      </c>
      <c r="D22" s="153">
        <v>22651</v>
      </c>
      <c r="E22" s="154">
        <v>116899</v>
      </c>
      <c r="F22" s="154">
        <v>44216</v>
      </c>
      <c r="G22" s="154">
        <v>32774</v>
      </c>
      <c r="H22" s="154">
        <v>499</v>
      </c>
      <c r="I22" s="155">
        <f t="shared" si="0"/>
        <v>194388</v>
      </c>
      <c r="J22" s="156"/>
      <c r="K22" s="150"/>
      <c r="L22" s="150"/>
      <c r="M22" s="150"/>
    </row>
    <row r="23" spans="1:14" s="1" customFormat="1" ht="14.25" x14ac:dyDescent="0.2">
      <c r="B23" s="151" t="s">
        <v>124</v>
      </c>
      <c r="C23" s="152">
        <v>42</v>
      </c>
      <c r="D23" s="153">
        <v>9644</v>
      </c>
      <c r="E23" s="154">
        <v>121236</v>
      </c>
      <c r="F23" s="154">
        <v>45809</v>
      </c>
      <c r="G23" s="154">
        <v>42950</v>
      </c>
      <c r="H23" s="154">
        <v>1925</v>
      </c>
      <c r="I23" s="155">
        <f t="shared" si="0"/>
        <v>211920</v>
      </c>
      <c r="J23" s="156"/>
      <c r="K23" s="150"/>
      <c r="L23" s="150"/>
      <c r="M23" s="150"/>
    </row>
    <row r="24" spans="1:14" s="1" customFormat="1" ht="14.25" x14ac:dyDescent="0.2">
      <c r="B24" s="151" t="s">
        <v>125</v>
      </c>
      <c r="C24" s="152">
        <v>154</v>
      </c>
      <c r="D24" s="153">
        <v>35099</v>
      </c>
      <c r="E24" s="154">
        <v>376496</v>
      </c>
      <c r="F24" s="154">
        <v>139613</v>
      </c>
      <c r="G24" s="154">
        <v>115678</v>
      </c>
      <c r="H24" s="154">
        <v>4049</v>
      </c>
      <c r="I24" s="155">
        <f t="shared" si="0"/>
        <v>635836</v>
      </c>
      <c r="J24" s="156"/>
      <c r="K24" s="150"/>
      <c r="L24" s="150"/>
      <c r="M24" s="150"/>
    </row>
    <row r="25" spans="1:14" s="1" customFormat="1" ht="14.25" x14ac:dyDescent="0.2">
      <c r="B25" s="157" t="s">
        <v>495</v>
      </c>
      <c r="C25" s="158"/>
      <c r="D25" s="159"/>
      <c r="E25" s="160"/>
      <c r="F25" s="160"/>
      <c r="G25" s="444">
        <v>14083</v>
      </c>
      <c r="H25" s="160"/>
      <c r="I25" s="155">
        <f t="shared" si="0"/>
        <v>14083</v>
      </c>
      <c r="J25" s="156"/>
      <c r="K25" s="150"/>
      <c r="L25" s="150"/>
      <c r="M25" s="150"/>
    </row>
    <row r="26" spans="1:14" s="161" customFormat="1" ht="17.25" customHeight="1" x14ac:dyDescent="0.25">
      <c r="B26" s="162" t="s">
        <v>126</v>
      </c>
      <c r="C26" s="163">
        <f>SUM(C10:C25)</f>
        <v>1374</v>
      </c>
      <c r="D26" s="163">
        <f t="shared" ref="D26:I26" si="1">SUM(D10:D25)</f>
        <v>750258</v>
      </c>
      <c r="E26" s="163">
        <f t="shared" si="1"/>
        <v>3339091</v>
      </c>
      <c r="F26" s="163">
        <f t="shared" si="1"/>
        <v>1241130</v>
      </c>
      <c r="G26" s="163">
        <f t="shared" si="1"/>
        <v>1155634</v>
      </c>
      <c r="H26" s="163">
        <f t="shared" si="1"/>
        <v>54484</v>
      </c>
      <c r="I26" s="163">
        <f t="shared" si="1"/>
        <v>5790339</v>
      </c>
      <c r="L26" s="178"/>
    </row>
    <row r="27" spans="1:14" s="1" customFormat="1" ht="3.75" customHeight="1" x14ac:dyDescent="0.2">
      <c r="B27" s="164"/>
      <c r="C27" s="164"/>
      <c r="D27" s="164"/>
      <c r="E27" s="164"/>
      <c r="F27" s="164"/>
      <c r="G27" s="164"/>
      <c r="H27" s="164"/>
      <c r="I27" s="164"/>
      <c r="J27" s="156"/>
      <c r="K27" s="150"/>
      <c r="L27" s="150"/>
      <c r="M27" s="150"/>
    </row>
    <row r="28" spans="1:14" s="1" customFormat="1" ht="19.5" customHeight="1" x14ac:dyDescent="0.2">
      <c r="B28" s="151" t="s">
        <v>5</v>
      </c>
      <c r="C28" s="152">
        <v>198</v>
      </c>
      <c r="D28" s="153">
        <v>46283</v>
      </c>
      <c r="E28" s="176">
        <v>461880</v>
      </c>
      <c r="F28" s="176">
        <v>174710</v>
      </c>
      <c r="G28" s="176">
        <v>147065</v>
      </c>
      <c r="H28" s="176">
        <v>13694</v>
      </c>
      <c r="I28" s="155">
        <f t="shared" ref="I28:I29" si="2">SUM(E28:H28)</f>
        <v>797349</v>
      </c>
      <c r="J28" s="156"/>
      <c r="K28" s="150"/>
      <c r="L28" s="150"/>
      <c r="M28" s="150"/>
      <c r="N28" s="4"/>
    </row>
    <row r="29" spans="1:14" s="1" customFormat="1" ht="19.5" customHeight="1" x14ac:dyDescent="0.2">
      <c r="B29" s="494" t="s">
        <v>495</v>
      </c>
      <c r="C29" s="495"/>
      <c r="D29" s="496"/>
      <c r="E29" s="497"/>
      <c r="F29" s="497"/>
      <c r="G29" s="498">
        <v>1281</v>
      </c>
      <c r="H29" s="497"/>
      <c r="I29" s="499">
        <f t="shared" si="2"/>
        <v>1281</v>
      </c>
      <c r="J29" s="156"/>
      <c r="K29" s="150"/>
      <c r="L29" s="150"/>
      <c r="M29" s="150"/>
      <c r="N29" s="4"/>
    </row>
    <row r="30" spans="1:14" s="1" customFormat="1" ht="14.25" x14ac:dyDescent="0.2">
      <c r="B30" s="162" t="s">
        <v>126</v>
      </c>
      <c r="C30" s="163">
        <f t="shared" ref="C30" si="3">SUM(C28:C28)</f>
        <v>198</v>
      </c>
      <c r="D30" s="163">
        <f t="shared" ref="D30:H30" si="4">SUM(D28:D29)</f>
        <v>46283</v>
      </c>
      <c r="E30" s="163">
        <f t="shared" si="4"/>
        <v>461880</v>
      </c>
      <c r="F30" s="163">
        <f t="shared" si="4"/>
        <v>174710</v>
      </c>
      <c r="G30" s="163">
        <f t="shared" si="4"/>
        <v>148346</v>
      </c>
      <c r="H30" s="163">
        <f t="shared" si="4"/>
        <v>13694</v>
      </c>
      <c r="I30" s="163">
        <f>SUM(I28:I29)</f>
        <v>798630</v>
      </c>
      <c r="J30" s="165"/>
      <c r="K30" s="156"/>
      <c r="L30" s="150"/>
      <c r="M30" s="150"/>
    </row>
    <row r="31" spans="1:14" s="1" customFormat="1" ht="14.25" x14ac:dyDescent="0.2">
      <c r="A31" s="165"/>
      <c r="B31" s="165"/>
      <c r="C31" s="165"/>
      <c r="D31" s="165"/>
      <c r="E31" s="165"/>
      <c r="F31" s="165"/>
      <c r="G31" s="165"/>
      <c r="H31" s="165"/>
      <c r="I31" s="165"/>
      <c r="J31" s="165"/>
      <c r="K31" s="156"/>
      <c r="L31" s="150"/>
      <c r="M31" s="150"/>
    </row>
    <row r="32" spans="1:14" s="1" customFormat="1" ht="14.25" x14ac:dyDescent="0.2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56"/>
      <c r="L32" s="150"/>
      <c r="M32" s="150"/>
    </row>
    <row r="33" spans="2:14" s="1" customFormat="1" ht="18.75" customHeight="1" x14ac:dyDescent="0.2">
      <c r="B33" s="147" t="s">
        <v>127</v>
      </c>
      <c r="C33" s="148"/>
      <c r="D33" s="148"/>
      <c r="E33" s="143"/>
      <c r="F33" s="143"/>
      <c r="G33" s="143"/>
      <c r="H33" s="143"/>
      <c r="I33" s="143"/>
      <c r="J33" s="143"/>
      <c r="K33" s="156"/>
      <c r="L33" s="150"/>
      <c r="M33" s="150"/>
      <c r="N33" s="4"/>
    </row>
    <row r="34" spans="2:14" s="1" customFormat="1" ht="14.25" x14ac:dyDescent="0.2">
      <c r="B34" s="143"/>
      <c r="C34" s="143"/>
      <c r="D34" s="143"/>
      <c r="E34" s="143"/>
      <c r="F34" s="143"/>
      <c r="G34" s="143"/>
      <c r="H34" s="145"/>
      <c r="I34" s="146"/>
      <c r="J34" s="143"/>
      <c r="K34" s="156"/>
      <c r="L34" s="150"/>
      <c r="M34" s="150"/>
    </row>
    <row r="35" spans="2:14" s="1" customFormat="1" ht="14.25" x14ac:dyDescent="0.2">
      <c r="B35" s="579" t="s">
        <v>108</v>
      </c>
      <c r="C35" s="577" t="s">
        <v>52</v>
      </c>
      <c r="D35" s="577"/>
      <c r="E35" s="577"/>
      <c r="F35" s="577"/>
      <c r="G35" s="577"/>
      <c r="H35" s="166"/>
      <c r="I35" s="167"/>
      <c r="J35" s="168"/>
      <c r="K35" s="168"/>
      <c r="L35" s="168"/>
      <c r="M35" s="168"/>
    </row>
    <row r="36" spans="2:14" s="1" customFormat="1" ht="14.25" x14ac:dyDescent="0.2">
      <c r="B36" s="580"/>
      <c r="C36" s="169">
        <v>610</v>
      </c>
      <c r="D36" s="169">
        <v>620</v>
      </c>
      <c r="E36" s="169">
        <v>630</v>
      </c>
      <c r="F36" s="169">
        <v>640</v>
      </c>
      <c r="G36" s="169" t="s">
        <v>95</v>
      </c>
      <c r="H36" s="167"/>
      <c r="I36" s="167"/>
      <c r="J36" s="168"/>
      <c r="K36" s="168"/>
      <c r="L36" s="168"/>
      <c r="M36" s="168"/>
    </row>
    <row r="37" spans="2:14" s="1" customFormat="1" ht="14.25" x14ac:dyDescent="0.2">
      <c r="B37" s="151" t="s">
        <v>111</v>
      </c>
      <c r="C37" s="154">
        <v>28456</v>
      </c>
      <c r="D37" s="154">
        <v>10556</v>
      </c>
      <c r="E37" s="154">
        <v>31169</v>
      </c>
      <c r="F37" s="154">
        <v>28</v>
      </c>
      <c r="G37" s="155">
        <f>SUM(C37:F37)</f>
        <v>70209</v>
      </c>
      <c r="H37" s="167"/>
      <c r="I37" s="170"/>
      <c r="J37" s="168"/>
      <c r="K37" s="168"/>
      <c r="L37" s="168"/>
      <c r="M37" s="168"/>
    </row>
    <row r="38" spans="2:14" s="1" customFormat="1" ht="14.25" x14ac:dyDescent="0.2">
      <c r="B38" s="151" t="s">
        <v>112</v>
      </c>
      <c r="C38" s="154">
        <v>44185</v>
      </c>
      <c r="D38" s="154">
        <v>15275</v>
      </c>
      <c r="E38" s="154">
        <v>61520</v>
      </c>
      <c r="F38" s="154">
        <v>358</v>
      </c>
      <c r="G38" s="155">
        <f t="shared" ref="G38:G50" si="5">SUM(C38:F38)</f>
        <v>121338</v>
      </c>
      <c r="H38" s="167"/>
      <c r="I38" s="170"/>
      <c r="J38" s="168"/>
      <c r="K38" s="168"/>
      <c r="L38" s="168"/>
      <c r="M38" s="168"/>
    </row>
    <row r="39" spans="2:14" s="1" customFormat="1" ht="14.25" x14ac:dyDescent="0.2">
      <c r="B39" s="151" t="s">
        <v>113</v>
      </c>
      <c r="C39" s="154">
        <v>28415</v>
      </c>
      <c r="D39" s="154">
        <v>10241</v>
      </c>
      <c r="E39" s="154">
        <v>35627</v>
      </c>
      <c r="F39" s="154">
        <v>536</v>
      </c>
      <c r="G39" s="155">
        <f t="shared" si="5"/>
        <v>74819</v>
      </c>
      <c r="H39" s="167"/>
      <c r="I39" s="170"/>
      <c r="J39" s="168"/>
      <c r="K39" s="168"/>
      <c r="L39" s="171"/>
      <c r="M39" s="168"/>
    </row>
    <row r="40" spans="2:14" s="1" customFormat="1" ht="14.25" x14ac:dyDescent="0.2">
      <c r="B40" s="151" t="s">
        <v>114</v>
      </c>
      <c r="C40" s="154">
        <v>30865</v>
      </c>
      <c r="D40" s="154">
        <v>11440</v>
      </c>
      <c r="E40" s="154">
        <v>44190</v>
      </c>
      <c r="F40" s="154">
        <v>197</v>
      </c>
      <c r="G40" s="155">
        <f t="shared" si="5"/>
        <v>86692</v>
      </c>
      <c r="H40" s="167"/>
      <c r="I40" s="170"/>
      <c r="J40" s="168"/>
      <c r="K40" s="168"/>
      <c r="L40" s="168"/>
      <c r="M40" s="168"/>
    </row>
    <row r="41" spans="2:14" s="1" customFormat="1" ht="14.25" x14ac:dyDescent="0.2">
      <c r="B41" s="151" t="s">
        <v>115</v>
      </c>
      <c r="C41" s="154">
        <v>32234</v>
      </c>
      <c r="D41" s="154">
        <v>11653</v>
      </c>
      <c r="E41" s="154">
        <v>33421</v>
      </c>
      <c r="F41" s="154">
        <v>155</v>
      </c>
      <c r="G41" s="155">
        <f t="shared" si="5"/>
        <v>77463</v>
      </c>
      <c r="H41" s="167"/>
      <c r="I41" s="170"/>
      <c r="J41" s="168"/>
      <c r="K41" s="168"/>
      <c r="L41" s="168"/>
      <c r="M41" s="168"/>
    </row>
    <row r="42" spans="2:14" s="1" customFormat="1" ht="14.25" x14ac:dyDescent="0.2">
      <c r="B42" s="151" t="s">
        <v>116</v>
      </c>
      <c r="C42" s="154">
        <v>49645</v>
      </c>
      <c r="D42" s="154">
        <v>18484</v>
      </c>
      <c r="E42" s="154">
        <v>56849</v>
      </c>
      <c r="F42" s="154">
        <v>2623</v>
      </c>
      <c r="G42" s="155">
        <f t="shared" si="5"/>
        <v>127601</v>
      </c>
      <c r="H42" s="167"/>
      <c r="I42" s="170"/>
      <c r="J42" s="168"/>
      <c r="K42" s="168"/>
      <c r="L42" s="168"/>
      <c r="M42" s="168"/>
    </row>
    <row r="43" spans="2:14" s="1" customFormat="1" ht="14.25" x14ac:dyDescent="0.2">
      <c r="B43" s="151" t="s">
        <v>5</v>
      </c>
      <c r="C43" s="154">
        <v>51095</v>
      </c>
      <c r="D43" s="154">
        <v>20116</v>
      </c>
      <c r="E43" s="154">
        <v>62808</v>
      </c>
      <c r="F43" s="154">
        <v>1859</v>
      </c>
      <c r="G43" s="155">
        <f t="shared" si="5"/>
        <v>135878</v>
      </c>
      <c r="H43" s="167"/>
      <c r="I43" s="170"/>
      <c r="J43" s="168"/>
      <c r="K43" s="168"/>
      <c r="L43" s="168"/>
      <c r="M43" s="168"/>
    </row>
    <row r="44" spans="2:14" s="1" customFormat="1" ht="14.25" x14ac:dyDescent="0.2">
      <c r="B44" s="151" t="s">
        <v>117</v>
      </c>
      <c r="C44" s="154">
        <v>51957</v>
      </c>
      <c r="D44" s="154">
        <v>18361</v>
      </c>
      <c r="E44" s="154">
        <v>61971</v>
      </c>
      <c r="F44" s="154">
        <v>1493</v>
      </c>
      <c r="G44" s="155">
        <f t="shared" si="5"/>
        <v>133782</v>
      </c>
      <c r="H44" s="167"/>
      <c r="I44" s="170"/>
      <c r="J44" s="168"/>
      <c r="K44" s="168"/>
      <c r="L44" s="168"/>
      <c r="M44" s="168"/>
    </row>
    <row r="45" spans="2:14" s="1" customFormat="1" ht="14.25" x14ac:dyDescent="0.2">
      <c r="B45" s="151" t="s">
        <v>118</v>
      </c>
      <c r="C45" s="154">
        <v>30545</v>
      </c>
      <c r="D45" s="154">
        <v>11354</v>
      </c>
      <c r="E45" s="154">
        <v>32169</v>
      </c>
      <c r="F45" s="154">
        <v>449</v>
      </c>
      <c r="G45" s="155">
        <f t="shared" si="5"/>
        <v>74517</v>
      </c>
      <c r="H45" s="167"/>
      <c r="I45" s="170"/>
      <c r="J45" s="168"/>
      <c r="K45" s="168"/>
      <c r="L45" s="168"/>
      <c r="M45" s="168"/>
    </row>
    <row r="46" spans="2:14" s="1" customFormat="1" ht="14.25" x14ac:dyDescent="0.2">
      <c r="B46" s="151" t="s">
        <v>119</v>
      </c>
      <c r="C46" s="154">
        <v>41918</v>
      </c>
      <c r="D46" s="154">
        <v>14835</v>
      </c>
      <c r="E46" s="154">
        <v>54180</v>
      </c>
      <c r="F46" s="154">
        <v>210</v>
      </c>
      <c r="G46" s="155">
        <f t="shared" si="5"/>
        <v>111143</v>
      </c>
      <c r="H46" s="167"/>
      <c r="I46" s="170"/>
      <c r="J46" s="168"/>
      <c r="K46" s="168"/>
      <c r="L46" s="168"/>
      <c r="M46" s="168"/>
    </row>
    <row r="47" spans="2:14" s="1" customFormat="1" ht="14.25" x14ac:dyDescent="0.2">
      <c r="B47" s="151" t="s">
        <v>120</v>
      </c>
      <c r="C47" s="154">
        <v>42789</v>
      </c>
      <c r="D47" s="154">
        <v>16080</v>
      </c>
      <c r="E47" s="154">
        <v>57934</v>
      </c>
      <c r="F47" s="154">
        <v>2557</v>
      </c>
      <c r="G47" s="155">
        <f t="shared" si="5"/>
        <v>119360</v>
      </c>
      <c r="H47" s="167"/>
      <c r="I47" s="170"/>
      <c r="J47" s="168"/>
      <c r="K47" s="168"/>
      <c r="L47" s="168"/>
      <c r="M47" s="168"/>
    </row>
    <row r="48" spans="2:14" s="1" customFormat="1" ht="14.25" x14ac:dyDescent="0.2">
      <c r="B48" s="151" t="s">
        <v>121</v>
      </c>
      <c r="C48" s="154">
        <v>44022</v>
      </c>
      <c r="D48" s="154">
        <v>16336</v>
      </c>
      <c r="E48" s="154">
        <v>45937</v>
      </c>
      <c r="F48" s="154">
        <v>375</v>
      </c>
      <c r="G48" s="155">
        <f t="shared" si="5"/>
        <v>106670</v>
      </c>
      <c r="H48" s="167"/>
      <c r="I48" s="170"/>
      <c r="J48" s="168"/>
      <c r="K48" s="168"/>
      <c r="L48" s="168"/>
      <c r="M48" s="168"/>
    </row>
    <row r="49" spans="2:13" s="1" customFormat="1" ht="14.25" x14ac:dyDescent="0.2">
      <c r="B49" s="151" t="s">
        <v>122</v>
      </c>
      <c r="C49" s="154">
        <v>20278</v>
      </c>
      <c r="D49" s="154">
        <v>8193</v>
      </c>
      <c r="E49" s="154">
        <v>18555</v>
      </c>
      <c r="F49" s="154">
        <v>379</v>
      </c>
      <c r="G49" s="155">
        <f t="shared" si="5"/>
        <v>47405</v>
      </c>
      <c r="H49" s="167"/>
      <c r="I49" s="170"/>
      <c r="J49" s="168"/>
      <c r="K49" s="168"/>
      <c r="L49" s="168"/>
      <c r="M49" s="168"/>
    </row>
    <row r="50" spans="2:13" s="1" customFormat="1" ht="14.25" x14ac:dyDescent="0.2">
      <c r="B50" s="157" t="s">
        <v>123</v>
      </c>
      <c r="C50" s="160">
        <v>24557</v>
      </c>
      <c r="D50" s="160">
        <v>9115</v>
      </c>
      <c r="E50" s="160">
        <v>22493</v>
      </c>
      <c r="F50" s="160">
        <v>1847</v>
      </c>
      <c r="G50" s="155">
        <f t="shared" si="5"/>
        <v>58012</v>
      </c>
      <c r="H50" s="167"/>
      <c r="I50" s="170"/>
      <c r="J50" s="168"/>
      <c r="K50" s="168"/>
      <c r="L50" s="168"/>
      <c r="M50" s="168"/>
    </row>
    <row r="51" spans="2:13" s="1" customFormat="1" ht="20.25" customHeight="1" x14ac:dyDescent="0.2">
      <c r="B51" s="162" t="s">
        <v>126</v>
      </c>
      <c r="C51" s="172">
        <f>SUM(C36:C50)</f>
        <v>521571</v>
      </c>
      <c r="D51" s="172">
        <f t="shared" ref="D51:F51" si="6">SUM(D36:D50)</f>
        <v>192659</v>
      </c>
      <c r="E51" s="172">
        <f t="shared" si="6"/>
        <v>619453</v>
      </c>
      <c r="F51" s="172">
        <f t="shared" si="6"/>
        <v>13706</v>
      </c>
      <c r="G51" s="172">
        <f>SUM(G36:G50)</f>
        <v>1344889</v>
      </c>
      <c r="H51" s="143"/>
      <c r="I51" s="170"/>
      <c r="J51" s="168"/>
      <c r="K51" s="168"/>
      <c r="L51" s="168"/>
      <c r="M51" s="168"/>
    </row>
    <row r="52" spans="2:13" s="1" customFormat="1" ht="14.25" x14ac:dyDescent="0.2">
      <c r="B52" s="173"/>
      <c r="C52" s="174"/>
      <c r="D52" s="174"/>
      <c r="E52" s="174"/>
      <c r="F52" s="174"/>
      <c r="G52" s="174"/>
      <c r="H52" s="174"/>
      <c r="I52" s="143"/>
      <c r="J52" s="168"/>
      <c r="K52" s="168"/>
      <c r="L52" s="168"/>
      <c r="M52" s="168"/>
    </row>
    <row r="53" spans="2:13" s="1" customFormat="1" ht="14.25" x14ac:dyDescent="0.2">
      <c r="B53" s="173"/>
      <c r="C53" s="174"/>
      <c r="D53" s="174"/>
      <c r="E53" s="174"/>
      <c r="F53" s="174"/>
      <c r="G53" s="174"/>
      <c r="H53" s="174"/>
      <c r="I53" s="143"/>
      <c r="J53" s="168"/>
      <c r="K53" s="168"/>
      <c r="L53" s="168"/>
      <c r="M53" s="168"/>
    </row>
    <row r="54" spans="2:13" s="1" customFormat="1" ht="14.25" x14ac:dyDescent="0.2">
      <c r="B54" s="173"/>
      <c r="C54" s="174"/>
      <c r="D54" s="174"/>
      <c r="E54" s="174"/>
      <c r="F54" s="174"/>
      <c r="G54" s="174"/>
      <c r="H54" s="174"/>
      <c r="I54" s="143"/>
      <c r="J54" s="168"/>
      <c r="K54" s="168"/>
      <c r="L54" s="168"/>
      <c r="M54" s="168"/>
    </row>
    <row r="55" spans="2:13" s="1" customFormat="1" ht="14.25" x14ac:dyDescent="0.2">
      <c r="B55" s="173"/>
      <c r="C55" s="174"/>
      <c r="D55" s="174"/>
      <c r="E55" s="174"/>
      <c r="F55" s="174"/>
      <c r="G55" s="174"/>
      <c r="H55" s="174"/>
      <c r="I55" s="143"/>
      <c r="J55" s="168"/>
      <c r="K55" s="168"/>
      <c r="L55" s="168"/>
      <c r="M55" s="168"/>
    </row>
    <row r="56" spans="2:13" s="1" customFormat="1" ht="14.25" x14ac:dyDescent="0.2">
      <c r="B56" s="173"/>
      <c r="C56" s="174"/>
      <c r="D56" s="174"/>
      <c r="E56" s="174"/>
      <c r="F56" s="174"/>
      <c r="G56" s="174"/>
      <c r="H56" s="174"/>
      <c r="I56" s="143"/>
      <c r="J56" s="168"/>
      <c r="K56" s="168"/>
      <c r="L56" s="168"/>
      <c r="M56" s="168"/>
    </row>
    <row r="57" spans="2:13" s="1" customFormat="1" ht="14.25" x14ac:dyDescent="0.2">
      <c r="B57" s="143"/>
      <c r="C57" s="143"/>
      <c r="D57" s="143"/>
      <c r="E57" s="143"/>
      <c r="F57" s="143"/>
      <c r="G57" s="143"/>
      <c r="H57" s="143"/>
      <c r="I57" s="143"/>
      <c r="J57" s="165"/>
      <c r="K57" s="144"/>
      <c r="L57" s="150"/>
      <c r="M57" s="150"/>
    </row>
    <row r="58" spans="2:13" s="1" customFormat="1" ht="21.75" customHeight="1" x14ac:dyDescent="0.2">
      <c r="B58" s="578" t="s">
        <v>128</v>
      </c>
      <c r="C58" s="578"/>
      <c r="D58" s="578"/>
      <c r="E58" s="578"/>
      <c r="F58" s="578"/>
      <c r="G58" s="578"/>
      <c r="H58" s="578"/>
      <c r="I58" s="143"/>
      <c r="J58" s="165"/>
      <c r="K58" s="144"/>
      <c r="L58" s="150"/>
      <c r="M58" s="150"/>
    </row>
    <row r="59" spans="2:13" s="1" customFormat="1" ht="14.25" x14ac:dyDescent="0.2">
      <c r="B59" s="143"/>
      <c r="C59" s="143"/>
      <c r="D59" s="143"/>
      <c r="E59" s="143"/>
      <c r="F59" s="143"/>
      <c r="G59" s="143"/>
      <c r="H59" s="145"/>
      <c r="I59" s="143"/>
      <c r="J59" s="143"/>
      <c r="K59" s="144"/>
      <c r="L59" s="150"/>
      <c r="M59" s="150"/>
    </row>
    <row r="60" spans="2:13" s="1" customFormat="1" ht="14.25" x14ac:dyDescent="0.2">
      <c r="B60" s="579" t="s">
        <v>108</v>
      </c>
      <c r="C60" s="577" t="s">
        <v>52</v>
      </c>
      <c r="D60" s="577"/>
      <c r="E60" s="577"/>
      <c r="F60" s="577"/>
      <c r="G60" s="577"/>
      <c r="H60" s="166"/>
      <c r="I60" s="143"/>
      <c r="J60" s="143"/>
      <c r="K60" s="175"/>
      <c r="L60" s="150"/>
      <c r="M60" s="150"/>
    </row>
    <row r="61" spans="2:13" s="1" customFormat="1" ht="14.25" x14ac:dyDescent="0.2">
      <c r="B61" s="580"/>
      <c r="C61" s="169">
        <v>610</v>
      </c>
      <c r="D61" s="169">
        <v>620</v>
      </c>
      <c r="E61" s="169">
        <v>630</v>
      </c>
      <c r="F61" s="169">
        <v>640</v>
      </c>
      <c r="G61" s="169" t="s">
        <v>95</v>
      </c>
      <c r="H61" s="143"/>
      <c r="I61" s="143"/>
      <c r="J61" s="144"/>
      <c r="K61" s="150"/>
      <c r="L61" s="150"/>
      <c r="M61" s="150"/>
    </row>
    <row r="62" spans="2:13" s="1" customFormat="1" ht="14.25" x14ac:dyDescent="0.2">
      <c r="B62" s="151" t="s">
        <v>111</v>
      </c>
      <c r="C62" s="176">
        <f t="shared" ref="C62:F67" si="7">C37+E10</f>
        <v>183440</v>
      </c>
      <c r="D62" s="176">
        <f t="shared" si="7"/>
        <v>66638</v>
      </c>
      <c r="E62" s="176">
        <f t="shared" si="7"/>
        <v>102704</v>
      </c>
      <c r="F62" s="176">
        <f t="shared" si="7"/>
        <v>2075</v>
      </c>
      <c r="G62" s="177">
        <f>SUM(C62:F62)</f>
        <v>354857</v>
      </c>
      <c r="H62" s="143"/>
      <c r="I62" s="143"/>
      <c r="J62" s="144"/>
      <c r="K62" s="150"/>
      <c r="L62" s="150"/>
      <c r="M62" s="150"/>
    </row>
    <row r="63" spans="2:13" s="1" customFormat="1" ht="14.25" x14ac:dyDescent="0.2">
      <c r="B63" s="151" t="s">
        <v>112</v>
      </c>
      <c r="C63" s="176">
        <f t="shared" si="7"/>
        <v>330749</v>
      </c>
      <c r="D63" s="176">
        <f t="shared" si="7"/>
        <v>122651</v>
      </c>
      <c r="E63" s="176">
        <f t="shared" si="7"/>
        <v>153551</v>
      </c>
      <c r="F63" s="176">
        <f t="shared" si="7"/>
        <v>4179</v>
      </c>
      <c r="G63" s="177">
        <f t="shared" ref="G63:G77" si="8">SUM(C63:F63)</f>
        <v>611130</v>
      </c>
      <c r="H63" s="143"/>
      <c r="I63" s="143"/>
      <c r="J63" s="144"/>
      <c r="K63" s="150"/>
      <c r="L63" s="150"/>
      <c r="M63" s="150"/>
    </row>
    <row r="64" spans="2:13" s="1" customFormat="1" ht="14.25" x14ac:dyDescent="0.2">
      <c r="B64" s="151" t="s">
        <v>113</v>
      </c>
      <c r="C64" s="176">
        <f t="shared" si="7"/>
        <v>181925</v>
      </c>
      <c r="D64" s="176">
        <f t="shared" si="7"/>
        <v>68482</v>
      </c>
      <c r="E64" s="176">
        <f t="shared" si="7"/>
        <v>97522</v>
      </c>
      <c r="F64" s="176">
        <f t="shared" si="7"/>
        <v>1443</v>
      </c>
      <c r="G64" s="177">
        <f t="shared" si="8"/>
        <v>349372</v>
      </c>
      <c r="H64" s="143"/>
      <c r="I64" s="143"/>
      <c r="J64" s="144"/>
      <c r="K64" s="150"/>
      <c r="L64" s="150"/>
      <c r="M64" s="150"/>
    </row>
    <row r="65" spans="2:13" s="1" customFormat="1" ht="14.25" x14ac:dyDescent="0.2">
      <c r="B65" s="151" t="s">
        <v>114</v>
      </c>
      <c r="C65" s="176">
        <f t="shared" si="7"/>
        <v>224490</v>
      </c>
      <c r="D65" s="176">
        <f t="shared" si="7"/>
        <v>83351</v>
      </c>
      <c r="E65" s="176">
        <f t="shared" si="7"/>
        <v>128413</v>
      </c>
      <c r="F65" s="176">
        <f t="shared" si="7"/>
        <v>1578</v>
      </c>
      <c r="G65" s="177">
        <f t="shared" si="8"/>
        <v>437832</v>
      </c>
      <c r="H65" s="143"/>
      <c r="I65" s="143"/>
      <c r="J65" s="144"/>
      <c r="K65" s="150"/>
      <c r="L65" s="150"/>
      <c r="M65" s="150"/>
    </row>
    <row r="66" spans="2:13" s="1" customFormat="1" ht="14.25" x14ac:dyDescent="0.2">
      <c r="B66" s="151" t="s">
        <v>115</v>
      </c>
      <c r="C66" s="176">
        <f t="shared" si="7"/>
        <v>231792</v>
      </c>
      <c r="D66" s="176">
        <f t="shared" si="7"/>
        <v>86755</v>
      </c>
      <c r="E66" s="176">
        <f t="shared" si="7"/>
        <v>111348</v>
      </c>
      <c r="F66" s="176">
        <f t="shared" si="7"/>
        <v>5927</v>
      </c>
      <c r="G66" s="177">
        <f t="shared" si="8"/>
        <v>435822</v>
      </c>
      <c r="H66" s="143"/>
      <c r="I66" s="143"/>
      <c r="J66" s="144"/>
      <c r="K66" s="150"/>
      <c r="L66" s="150"/>
      <c r="M66" s="150"/>
    </row>
    <row r="67" spans="2:13" s="1" customFormat="1" ht="14.25" x14ac:dyDescent="0.2">
      <c r="B67" s="151" t="s">
        <v>116</v>
      </c>
      <c r="C67" s="176">
        <f t="shared" si="7"/>
        <v>367500</v>
      </c>
      <c r="D67" s="176">
        <f t="shared" si="7"/>
        <v>131180</v>
      </c>
      <c r="E67" s="176">
        <f t="shared" si="7"/>
        <v>164849</v>
      </c>
      <c r="F67" s="176">
        <f t="shared" si="7"/>
        <v>6967</v>
      </c>
      <c r="G67" s="177">
        <f t="shared" si="8"/>
        <v>670496</v>
      </c>
      <c r="H67" s="143"/>
      <c r="I67" s="143"/>
      <c r="J67" s="144"/>
      <c r="K67" s="150"/>
      <c r="L67" s="150"/>
      <c r="M67" s="150"/>
    </row>
    <row r="68" spans="2:13" s="1" customFormat="1" ht="14.25" x14ac:dyDescent="0.2">
      <c r="B68" s="151" t="s">
        <v>5</v>
      </c>
      <c r="C68" s="176">
        <f>E28+C43</f>
        <v>512975</v>
      </c>
      <c r="D68" s="176">
        <f>F28+D43</f>
        <v>194826</v>
      </c>
      <c r="E68" s="176">
        <f>G28+E43</f>
        <v>209873</v>
      </c>
      <c r="F68" s="176">
        <f>H28+F43</f>
        <v>15553</v>
      </c>
      <c r="G68" s="177">
        <f t="shared" si="8"/>
        <v>933227</v>
      </c>
      <c r="H68" s="143"/>
      <c r="I68" s="143"/>
      <c r="J68" s="144"/>
      <c r="K68" s="150"/>
      <c r="L68" s="150"/>
      <c r="M68" s="150"/>
    </row>
    <row r="69" spans="2:13" s="1" customFormat="1" ht="14.25" x14ac:dyDescent="0.2">
      <c r="B69" s="151" t="s">
        <v>117</v>
      </c>
      <c r="C69" s="176">
        <f t="shared" ref="C69:F75" si="9">E16+C44</f>
        <v>346528</v>
      </c>
      <c r="D69" s="176">
        <f t="shared" si="9"/>
        <v>130333</v>
      </c>
      <c r="E69" s="176">
        <f t="shared" si="9"/>
        <v>174655</v>
      </c>
      <c r="F69" s="176">
        <f t="shared" si="9"/>
        <v>12390</v>
      </c>
      <c r="G69" s="177">
        <f t="shared" si="8"/>
        <v>663906</v>
      </c>
      <c r="H69" s="143"/>
      <c r="I69" s="143"/>
      <c r="J69" s="144"/>
      <c r="K69" s="150"/>
      <c r="L69" s="150"/>
      <c r="M69" s="150"/>
    </row>
    <row r="70" spans="2:13" s="1" customFormat="1" ht="14.25" x14ac:dyDescent="0.2">
      <c r="B70" s="151" t="s">
        <v>118</v>
      </c>
      <c r="C70" s="176">
        <f t="shared" si="9"/>
        <v>239759</v>
      </c>
      <c r="D70" s="176">
        <f t="shared" si="9"/>
        <v>90149</v>
      </c>
      <c r="E70" s="176">
        <f t="shared" si="9"/>
        <v>87055</v>
      </c>
      <c r="F70" s="176">
        <f t="shared" si="9"/>
        <v>5800</v>
      </c>
      <c r="G70" s="177">
        <f t="shared" si="8"/>
        <v>422763</v>
      </c>
      <c r="H70" s="143"/>
      <c r="I70" s="143"/>
      <c r="J70" s="144"/>
      <c r="K70" s="150"/>
      <c r="L70" s="150"/>
      <c r="M70" s="150"/>
    </row>
    <row r="71" spans="2:13" s="1" customFormat="1" ht="14.25" x14ac:dyDescent="0.2">
      <c r="B71" s="151" t="s">
        <v>119</v>
      </c>
      <c r="C71" s="176">
        <f t="shared" si="9"/>
        <v>315655</v>
      </c>
      <c r="D71" s="176">
        <f t="shared" si="9"/>
        <v>114933</v>
      </c>
      <c r="E71" s="176">
        <f t="shared" si="9"/>
        <v>152449</v>
      </c>
      <c r="F71" s="176">
        <f t="shared" si="9"/>
        <v>1315</v>
      </c>
      <c r="G71" s="177">
        <f t="shared" si="8"/>
        <v>584352</v>
      </c>
      <c r="H71" s="143"/>
      <c r="I71" s="143"/>
      <c r="J71" s="150"/>
      <c r="K71" s="150"/>
    </row>
    <row r="72" spans="2:13" s="1" customFormat="1" ht="14.25" x14ac:dyDescent="0.2">
      <c r="B72" s="151" t="s">
        <v>120</v>
      </c>
      <c r="C72" s="176">
        <f t="shared" si="9"/>
        <v>330532</v>
      </c>
      <c r="D72" s="176">
        <f t="shared" si="9"/>
        <v>125093</v>
      </c>
      <c r="E72" s="176">
        <f t="shared" si="9"/>
        <v>145275</v>
      </c>
      <c r="F72" s="176">
        <f t="shared" si="9"/>
        <v>9605</v>
      </c>
      <c r="G72" s="177">
        <f t="shared" si="8"/>
        <v>610505</v>
      </c>
      <c r="H72" s="143"/>
      <c r="I72" s="143"/>
      <c r="J72" s="150"/>
      <c r="K72" s="150"/>
    </row>
    <row r="73" spans="2:13" s="1" customFormat="1" ht="14.25" x14ac:dyDescent="0.2">
      <c r="B73" s="151" t="s">
        <v>121</v>
      </c>
      <c r="C73" s="176">
        <f t="shared" si="9"/>
        <v>302953</v>
      </c>
      <c r="D73" s="176">
        <f t="shared" si="9"/>
        <v>111273</v>
      </c>
      <c r="E73" s="176">
        <f t="shared" si="9"/>
        <v>116615</v>
      </c>
      <c r="F73" s="176">
        <f t="shared" si="9"/>
        <v>2665</v>
      </c>
      <c r="G73" s="177">
        <f t="shared" si="8"/>
        <v>533506</v>
      </c>
      <c r="H73" s="143"/>
      <c r="I73" s="143"/>
      <c r="J73" s="150"/>
      <c r="K73" s="150"/>
    </row>
    <row r="74" spans="2:13" s="1" customFormat="1" ht="14.25" x14ac:dyDescent="0.2">
      <c r="B74" s="151" t="s">
        <v>122</v>
      </c>
      <c r="C74" s="176">
        <f t="shared" si="9"/>
        <v>114446</v>
      </c>
      <c r="D74" s="176">
        <f t="shared" si="9"/>
        <v>43462</v>
      </c>
      <c r="E74" s="176">
        <f t="shared" si="9"/>
        <v>49235</v>
      </c>
      <c r="F74" s="176">
        <f t="shared" si="9"/>
        <v>3427</v>
      </c>
      <c r="G74" s="177">
        <f t="shared" si="8"/>
        <v>210570</v>
      </c>
      <c r="H74" s="143"/>
      <c r="I74" s="143"/>
      <c r="J74" s="150"/>
      <c r="K74" s="150"/>
    </row>
    <row r="75" spans="2:13" s="1" customFormat="1" ht="14.25" x14ac:dyDescent="0.2">
      <c r="B75" s="151" t="s">
        <v>123</v>
      </c>
      <c r="C75" s="176">
        <f t="shared" si="9"/>
        <v>141456</v>
      </c>
      <c r="D75" s="176">
        <f t="shared" si="9"/>
        <v>53331</v>
      </c>
      <c r="E75" s="176">
        <f t="shared" si="9"/>
        <v>55267</v>
      </c>
      <c r="F75" s="176">
        <f t="shared" si="9"/>
        <v>2346</v>
      </c>
      <c r="G75" s="177">
        <f t="shared" si="8"/>
        <v>252400</v>
      </c>
      <c r="H75" s="143"/>
      <c r="I75" s="143"/>
      <c r="J75" s="150"/>
      <c r="K75" s="150"/>
    </row>
    <row r="76" spans="2:13" s="1" customFormat="1" ht="14.25" x14ac:dyDescent="0.2">
      <c r="B76" s="151" t="s">
        <v>124</v>
      </c>
      <c r="C76" s="176">
        <f t="shared" ref="C76:F77" si="10">E23</f>
        <v>121236</v>
      </c>
      <c r="D76" s="176">
        <f t="shared" si="10"/>
        <v>45809</v>
      </c>
      <c r="E76" s="176">
        <f t="shared" si="10"/>
        <v>42950</v>
      </c>
      <c r="F76" s="176">
        <f t="shared" si="10"/>
        <v>1925</v>
      </c>
      <c r="G76" s="177">
        <f t="shared" si="8"/>
        <v>211920</v>
      </c>
      <c r="H76" s="143"/>
      <c r="I76" s="143"/>
      <c r="J76" s="150"/>
      <c r="K76" s="150"/>
    </row>
    <row r="77" spans="2:13" s="1" customFormat="1" ht="14.25" x14ac:dyDescent="0.2">
      <c r="B77" s="157" t="s">
        <v>125</v>
      </c>
      <c r="C77" s="176">
        <f t="shared" si="10"/>
        <v>376496</v>
      </c>
      <c r="D77" s="176">
        <f t="shared" si="10"/>
        <v>139613</v>
      </c>
      <c r="E77" s="176">
        <f t="shared" si="10"/>
        <v>115678</v>
      </c>
      <c r="F77" s="176">
        <f t="shared" si="10"/>
        <v>4049</v>
      </c>
      <c r="G77" s="177">
        <f t="shared" si="8"/>
        <v>635836</v>
      </c>
      <c r="H77" s="143"/>
      <c r="I77" s="143"/>
      <c r="J77" s="150"/>
      <c r="K77" s="150"/>
    </row>
    <row r="78" spans="2:13" s="161" customFormat="1" ht="21.75" customHeight="1" x14ac:dyDescent="0.25">
      <c r="B78" s="162" t="s">
        <v>126</v>
      </c>
      <c r="C78" s="172">
        <f>SUM(C62:C77)</f>
        <v>4321932</v>
      </c>
      <c r="D78" s="172">
        <f t="shared" ref="D78:G78" si="11">SUM(D62:D77)</f>
        <v>1607879</v>
      </c>
      <c r="E78" s="172">
        <f t="shared" si="11"/>
        <v>1907439</v>
      </c>
      <c r="F78" s="172">
        <f t="shared" si="11"/>
        <v>81244</v>
      </c>
      <c r="G78" s="172">
        <f t="shared" si="11"/>
        <v>7918494</v>
      </c>
      <c r="I78" s="178"/>
      <c r="J78" s="178"/>
      <c r="K78" s="178"/>
    </row>
    <row r="79" spans="2:13" s="1" customFormat="1" ht="14.25" x14ac:dyDescent="0.2">
      <c r="B79" s="143"/>
      <c r="C79" s="143"/>
      <c r="D79" s="143"/>
      <c r="E79" s="143"/>
      <c r="F79" s="143"/>
      <c r="G79" s="143"/>
      <c r="H79" s="143"/>
      <c r="I79" s="165"/>
      <c r="J79" s="143"/>
      <c r="K79" s="150"/>
    </row>
    <row r="80" spans="2:13" s="1" customFormat="1" ht="12" customHeight="1" x14ac:dyDescent="0.2">
      <c r="B80" s="143"/>
      <c r="C80" s="165"/>
      <c r="D80" s="165"/>
      <c r="E80" s="165"/>
      <c r="F80" s="165"/>
      <c r="G80" s="165"/>
      <c r="H80" s="165"/>
      <c r="I80" s="143"/>
      <c r="J80" s="143"/>
      <c r="K80" s="150"/>
    </row>
    <row r="81" spans="2:11" s="1" customFormat="1" ht="14.25" x14ac:dyDescent="0.2">
      <c r="B81" s="143"/>
      <c r="C81" s="143"/>
      <c r="D81" s="143"/>
      <c r="E81" s="143"/>
      <c r="F81" s="165"/>
      <c r="G81" s="165"/>
      <c r="H81" s="143"/>
      <c r="I81" s="143"/>
      <c r="J81" s="143"/>
      <c r="K81" s="150"/>
    </row>
    <row r="82" spans="2:11" s="1" customFormat="1" ht="14.25" x14ac:dyDescent="0.2">
      <c r="B82" s="143"/>
      <c r="C82" s="143"/>
      <c r="D82" s="143"/>
      <c r="E82" s="143"/>
      <c r="F82" s="143"/>
      <c r="G82" s="165"/>
      <c r="H82" s="143"/>
      <c r="I82" s="143"/>
      <c r="J82" s="143"/>
      <c r="K82" s="150"/>
    </row>
    <row r="90" spans="2:11" x14ac:dyDescent="0.2">
      <c r="D90" s="165"/>
    </row>
  </sheetData>
  <mergeCells count="15">
    <mergeCell ref="C35:G35"/>
    <mergeCell ref="B58:H58"/>
    <mergeCell ref="B60:B61"/>
    <mergeCell ref="C60:G60"/>
    <mergeCell ref="B3:I3"/>
    <mergeCell ref="B7:B9"/>
    <mergeCell ref="C7:C9"/>
    <mergeCell ref="D7:D9"/>
    <mergeCell ref="E7:I7"/>
    <mergeCell ref="E8:E9"/>
    <mergeCell ref="F8:F9"/>
    <mergeCell ref="G8:G9"/>
    <mergeCell ref="H8:H9"/>
    <mergeCell ref="I8:I9"/>
    <mergeCell ref="B35:B36"/>
  </mergeCells>
  <pageMargins left="0.43307086614173229" right="0.23622047244094491" top="0.55118110236220474" bottom="0.55118110236220474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P421"/>
  <sheetViews>
    <sheetView workbookViewId="0"/>
  </sheetViews>
  <sheetFormatPr defaultRowHeight="12.75" x14ac:dyDescent="0.2"/>
  <cols>
    <col min="1" max="1" width="5.42578125" style="35" customWidth="1"/>
    <col min="2" max="2" width="24" style="35" customWidth="1"/>
    <col min="3" max="4" width="13" style="35" customWidth="1"/>
    <col min="5" max="5" width="11" style="35" customWidth="1"/>
    <col min="6" max="6" width="12" style="35" bestFit="1" customWidth="1"/>
    <col min="7" max="8" width="13.140625" style="35" customWidth="1"/>
    <col min="9" max="9" width="11.42578125" style="35" customWidth="1"/>
    <col min="10" max="10" width="10.85546875" style="35" customWidth="1"/>
    <col min="11" max="11" width="10.28515625" style="35" customWidth="1"/>
    <col min="12" max="12" width="11.5703125" style="35" customWidth="1"/>
    <col min="13" max="13" width="12" style="35" customWidth="1"/>
    <col min="14" max="14" width="12.5703125" style="35" customWidth="1"/>
    <col min="15" max="15" width="13.5703125" style="35" customWidth="1"/>
    <col min="16" max="16" width="9.140625" style="35" customWidth="1"/>
    <col min="17" max="16384" width="9.140625" style="35"/>
  </cols>
  <sheetData>
    <row r="7" spans="2:15" ht="18" x14ac:dyDescent="0.25">
      <c r="B7" s="199" t="s">
        <v>129</v>
      </c>
      <c r="J7" s="35" t="s">
        <v>130</v>
      </c>
    </row>
    <row r="8" spans="2:15" ht="14.25" customHeight="1" x14ac:dyDescent="0.2"/>
    <row r="9" spans="2:15" s="76" customFormat="1" ht="22.5" customHeight="1" x14ac:dyDescent="0.25">
      <c r="B9" s="576" t="s">
        <v>99</v>
      </c>
      <c r="C9" s="576"/>
      <c r="D9" s="576"/>
      <c r="E9" s="576"/>
      <c r="F9" s="200"/>
    </row>
    <row r="10" spans="2:15" x14ac:dyDescent="0.2">
      <c r="B10" s="566" t="s">
        <v>131</v>
      </c>
      <c r="C10" s="566"/>
      <c r="D10" s="566"/>
      <c r="E10" s="26">
        <v>74550.83</v>
      </c>
      <c r="F10" s="58"/>
    </row>
    <row r="11" spans="2:15" ht="29.25" customHeight="1" x14ac:dyDescent="0.2">
      <c r="B11" s="566" t="s">
        <v>538</v>
      </c>
      <c r="C11" s="566"/>
      <c r="D11" s="566"/>
      <c r="E11" s="26">
        <v>1500</v>
      </c>
      <c r="F11" s="58"/>
    </row>
    <row r="12" spans="2:15" x14ac:dyDescent="0.2">
      <c r="B12" s="566" t="s">
        <v>132</v>
      </c>
      <c r="C12" s="566"/>
      <c r="D12" s="566"/>
      <c r="E12" s="26">
        <v>86188.3</v>
      </c>
      <c r="F12" s="58"/>
    </row>
    <row r="13" spans="2:15" x14ac:dyDescent="0.2">
      <c r="B13" s="566" t="s">
        <v>133</v>
      </c>
      <c r="C13" s="566"/>
      <c r="D13" s="566"/>
      <c r="E13" s="26">
        <v>45363.31</v>
      </c>
      <c r="F13" s="58"/>
    </row>
    <row r="14" spans="2:15" s="192" customFormat="1" x14ac:dyDescent="0.25">
      <c r="B14" s="593" t="s">
        <v>103</v>
      </c>
      <c r="C14" s="593"/>
      <c r="D14" s="593"/>
      <c r="E14" s="41">
        <v>81120.759999999995</v>
      </c>
      <c r="F14" s="201"/>
    </row>
    <row r="15" spans="2:15" s="76" customFormat="1" ht="16.5" customHeight="1" x14ac:dyDescent="0.25">
      <c r="B15" s="575" t="s">
        <v>95</v>
      </c>
      <c r="C15" s="575"/>
      <c r="D15" s="575"/>
      <c r="E15" s="45">
        <f>SUM(E10:E14)</f>
        <v>288723.20000000001</v>
      </c>
      <c r="F15" s="66"/>
    </row>
    <row r="16" spans="2:15" s="1" customFormat="1" ht="15" customHeight="1" x14ac:dyDescent="0.2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2:13" s="69" customFormat="1" ht="38.25" x14ac:dyDescent="0.25">
      <c r="B17" s="52" t="s">
        <v>52</v>
      </c>
      <c r="C17" s="592" t="s">
        <v>482</v>
      </c>
      <c r="D17" s="592"/>
      <c r="E17" s="592" t="s">
        <v>483</v>
      </c>
      <c r="F17" s="592"/>
      <c r="G17" s="202" t="s">
        <v>484</v>
      </c>
      <c r="H17" s="37" t="s">
        <v>485</v>
      </c>
      <c r="I17" s="188" t="s">
        <v>95</v>
      </c>
    </row>
    <row r="18" spans="2:13" s="69" customFormat="1" x14ac:dyDescent="0.25">
      <c r="B18" s="203"/>
      <c r="C18" s="102" t="s">
        <v>287</v>
      </c>
      <c r="D18" s="102" t="s">
        <v>289</v>
      </c>
      <c r="E18" s="102" t="s">
        <v>296</v>
      </c>
      <c r="F18" s="102" t="s">
        <v>298</v>
      </c>
      <c r="G18" s="102" t="s">
        <v>291</v>
      </c>
      <c r="H18" s="102" t="s">
        <v>307</v>
      </c>
      <c r="I18" s="204"/>
    </row>
    <row r="19" spans="2:13" s="1" customFormat="1" ht="14.25" x14ac:dyDescent="0.2">
      <c r="B19" s="205" t="s">
        <v>53</v>
      </c>
      <c r="C19" s="27">
        <v>581992</v>
      </c>
      <c r="D19" s="27">
        <v>1108643.3899999999</v>
      </c>
      <c r="E19" s="27">
        <v>74100</v>
      </c>
      <c r="F19" s="27">
        <v>100380</v>
      </c>
      <c r="G19" s="27">
        <v>255970</v>
      </c>
      <c r="H19" s="27">
        <v>0</v>
      </c>
      <c r="I19" s="206">
        <f t="shared" ref="I19:I31" si="0">C19+D19+E19+F19+G19+H19</f>
        <v>2121085.3899999997</v>
      </c>
      <c r="J19" s="35"/>
      <c r="K19" s="35"/>
      <c r="L19" s="35"/>
      <c r="M19" s="35"/>
    </row>
    <row r="20" spans="2:13" s="1" customFormat="1" ht="14.25" x14ac:dyDescent="0.2">
      <c r="B20" s="205" t="s">
        <v>54</v>
      </c>
      <c r="C20" s="27">
        <v>207418</v>
      </c>
      <c r="D20" s="27">
        <v>407572.52</v>
      </c>
      <c r="E20" s="27">
        <v>26645</v>
      </c>
      <c r="F20" s="27">
        <v>36805</v>
      </c>
      <c r="G20" s="27">
        <v>92435</v>
      </c>
      <c r="H20" s="27">
        <v>0</v>
      </c>
      <c r="I20" s="206">
        <f t="shared" si="0"/>
        <v>770875.52</v>
      </c>
      <c r="J20" s="35"/>
      <c r="K20" s="35"/>
      <c r="L20" s="35"/>
      <c r="M20" s="35"/>
    </row>
    <row r="21" spans="2:13" s="1" customFormat="1" ht="14.25" x14ac:dyDescent="0.2">
      <c r="B21" s="205" t="s">
        <v>55</v>
      </c>
      <c r="C21" s="27">
        <f t="shared" ref="C21:H21" si="1">SUM(C22:C28)</f>
        <v>70030.39</v>
      </c>
      <c r="D21" s="27">
        <f t="shared" si="1"/>
        <v>397945.97000000003</v>
      </c>
      <c r="E21" s="27">
        <f t="shared" si="1"/>
        <v>31880</v>
      </c>
      <c r="F21" s="27">
        <f t="shared" si="1"/>
        <v>329128</v>
      </c>
      <c r="G21" s="27">
        <f t="shared" si="1"/>
        <v>34162</v>
      </c>
      <c r="H21" s="27">
        <f t="shared" si="1"/>
        <v>0</v>
      </c>
      <c r="I21" s="206">
        <f t="shared" si="0"/>
        <v>863146.3600000001</v>
      </c>
      <c r="J21" s="35"/>
      <c r="K21" s="35"/>
      <c r="L21" s="35"/>
      <c r="M21" s="35"/>
    </row>
    <row r="22" spans="2:13" s="1" customFormat="1" ht="14.25" x14ac:dyDescent="0.2">
      <c r="B22" s="57" t="s">
        <v>66</v>
      </c>
      <c r="C22" s="26">
        <v>21.75</v>
      </c>
      <c r="D22" s="26">
        <v>240</v>
      </c>
      <c r="E22" s="26">
        <v>0</v>
      </c>
      <c r="F22" s="26">
        <v>0</v>
      </c>
      <c r="G22" s="26">
        <v>0</v>
      </c>
      <c r="H22" s="26">
        <v>0</v>
      </c>
      <c r="I22" s="190">
        <f t="shared" si="0"/>
        <v>261.75</v>
      </c>
      <c r="J22" s="35"/>
      <c r="K22" s="35"/>
      <c r="L22" s="35"/>
      <c r="M22" s="35"/>
    </row>
    <row r="23" spans="2:13" s="1" customFormat="1" ht="14.25" x14ac:dyDescent="0.2">
      <c r="B23" s="57" t="s">
        <v>56</v>
      </c>
      <c r="C23" s="26">
        <v>8496.5499999999993</v>
      </c>
      <c r="D23" s="26">
        <v>184674.08</v>
      </c>
      <c r="E23" s="26">
        <v>15270</v>
      </c>
      <c r="F23" s="26">
        <v>18160</v>
      </c>
      <c r="G23" s="26">
        <v>14500</v>
      </c>
      <c r="H23" s="26">
        <v>0</v>
      </c>
      <c r="I23" s="190">
        <f t="shared" si="0"/>
        <v>241100.62999999998</v>
      </c>
      <c r="J23" s="35"/>
      <c r="K23" s="35"/>
      <c r="L23" s="35"/>
      <c r="M23" s="35"/>
    </row>
    <row r="24" spans="2:13" s="1" customFormat="1" ht="14.25" x14ac:dyDescent="0.2">
      <c r="B24" s="57" t="s">
        <v>57</v>
      </c>
      <c r="C24" s="26">
        <v>24041</v>
      </c>
      <c r="D24" s="26">
        <v>81735.990000000005</v>
      </c>
      <c r="E24" s="26">
        <v>7270</v>
      </c>
      <c r="F24" s="26">
        <v>294118</v>
      </c>
      <c r="G24" s="26">
        <v>8062</v>
      </c>
      <c r="H24" s="26">
        <v>0</v>
      </c>
      <c r="I24" s="190">
        <f t="shared" si="0"/>
        <v>415226.99</v>
      </c>
      <c r="J24" s="35"/>
      <c r="K24" s="35"/>
      <c r="L24" s="35"/>
      <c r="M24" s="35"/>
    </row>
    <row r="25" spans="2:13" s="1" customFormat="1" ht="14.25" x14ac:dyDescent="0.2">
      <c r="B25" s="57" t="s">
        <v>58</v>
      </c>
      <c r="C25" s="26">
        <v>0</v>
      </c>
      <c r="D25" s="26">
        <v>1610</v>
      </c>
      <c r="E25" s="26">
        <v>0</v>
      </c>
      <c r="F25" s="26">
        <v>0</v>
      </c>
      <c r="G25" s="26">
        <v>0</v>
      </c>
      <c r="H25" s="26">
        <v>0</v>
      </c>
      <c r="I25" s="190">
        <f t="shared" si="0"/>
        <v>1610</v>
      </c>
      <c r="J25" s="35"/>
      <c r="K25" s="35"/>
      <c r="L25" s="35"/>
      <c r="M25" s="35"/>
    </row>
    <row r="26" spans="2:13" s="1" customFormat="1" ht="17.25" customHeight="1" x14ac:dyDescent="0.2">
      <c r="B26" s="57" t="s">
        <v>59</v>
      </c>
      <c r="C26" s="26">
        <v>6542.09</v>
      </c>
      <c r="D26" s="26">
        <v>45710.9</v>
      </c>
      <c r="E26" s="26">
        <v>3300</v>
      </c>
      <c r="F26" s="26">
        <v>5600</v>
      </c>
      <c r="G26" s="26">
        <v>3000</v>
      </c>
      <c r="H26" s="26">
        <v>0</v>
      </c>
      <c r="I26" s="190">
        <f t="shared" si="0"/>
        <v>64152.990000000005</v>
      </c>
      <c r="J26" s="35"/>
      <c r="K26" s="35"/>
      <c r="L26" s="35"/>
      <c r="M26" s="35"/>
    </row>
    <row r="27" spans="2:13" s="1" customFormat="1" ht="14.25" x14ac:dyDescent="0.2">
      <c r="B27" s="57" t="s">
        <v>60</v>
      </c>
      <c r="C27" s="26">
        <v>2500</v>
      </c>
      <c r="D27" s="26">
        <v>3500</v>
      </c>
      <c r="E27" s="26">
        <v>0</v>
      </c>
      <c r="F27" s="26"/>
      <c r="G27" s="26">
        <v>0</v>
      </c>
      <c r="H27" s="26">
        <v>0</v>
      </c>
      <c r="I27" s="190">
        <f t="shared" si="0"/>
        <v>6000</v>
      </c>
      <c r="J27" s="35"/>
      <c r="K27" s="35"/>
      <c r="L27" s="35"/>
      <c r="M27" s="35"/>
    </row>
    <row r="28" spans="2:13" s="1" customFormat="1" ht="14.25" x14ac:dyDescent="0.2">
      <c r="B28" s="57" t="s">
        <v>61</v>
      </c>
      <c r="C28" s="26">
        <v>28429</v>
      </c>
      <c r="D28" s="26">
        <v>80475</v>
      </c>
      <c r="E28" s="26">
        <v>6040</v>
      </c>
      <c r="F28" s="26">
        <f>871.2+10378.8</f>
        <v>11250</v>
      </c>
      <c r="G28" s="26">
        <v>8600</v>
      </c>
      <c r="H28" s="26">
        <v>0</v>
      </c>
      <c r="I28" s="190">
        <f t="shared" si="0"/>
        <v>134794</v>
      </c>
      <c r="J28" s="35"/>
      <c r="K28" s="35"/>
      <c r="L28" s="35"/>
      <c r="M28" s="35"/>
    </row>
    <row r="29" spans="2:13" s="1" customFormat="1" ht="14.25" x14ac:dyDescent="0.2">
      <c r="B29" s="205" t="s">
        <v>62</v>
      </c>
      <c r="C29" s="27">
        <v>12805</v>
      </c>
      <c r="D29" s="27">
        <v>11809</v>
      </c>
      <c r="E29" s="27">
        <v>3502</v>
      </c>
      <c r="F29" s="27">
        <v>6800</v>
      </c>
      <c r="G29" s="27">
        <v>2500</v>
      </c>
      <c r="H29" s="27">
        <v>66.400000000000006</v>
      </c>
      <c r="I29" s="206">
        <f t="shared" si="0"/>
        <v>37482.400000000001</v>
      </c>
      <c r="J29" s="35"/>
      <c r="K29" s="35"/>
      <c r="L29" s="35"/>
      <c r="M29" s="35"/>
    </row>
    <row r="30" spans="2:13" s="1" customFormat="1" ht="14.25" x14ac:dyDescent="0.2">
      <c r="B30" s="205" t="s">
        <v>663</v>
      </c>
      <c r="C30" s="27">
        <v>3636</v>
      </c>
      <c r="D30" s="27">
        <v>0</v>
      </c>
      <c r="E30" s="27">
        <v>0</v>
      </c>
      <c r="F30" s="27">
        <v>41178</v>
      </c>
      <c r="G30" s="27">
        <v>0</v>
      </c>
      <c r="H30" s="27">
        <v>0</v>
      </c>
      <c r="I30" s="206">
        <f t="shared" si="0"/>
        <v>44814</v>
      </c>
      <c r="J30" s="35"/>
      <c r="K30" s="35"/>
      <c r="L30" s="35"/>
      <c r="M30" s="35"/>
    </row>
    <row r="31" spans="2:13" s="1" customFormat="1" ht="14.25" x14ac:dyDescent="0.2">
      <c r="B31" s="205" t="s">
        <v>437</v>
      </c>
      <c r="C31" s="27"/>
      <c r="D31" s="27"/>
      <c r="E31" s="27"/>
      <c r="F31" s="27"/>
      <c r="G31" s="27"/>
      <c r="H31" s="27"/>
      <c r="I31" s="206">
        <f t="shared" si="0"/>
        <v>0</v>
      </c>
      <c r="J31" s="35"/>
      <c r="K31" s="35"/>
      <c r="L31" s="35"/>
      <c r="M31" s="35"/>
    </row>
    <row r="32" spans="2:13" s="1" customFormat="1" ht="18.75" customHeight="1" x14ac:dyDescent="0.2">
      <c r="B32" s="207" t="s">
        <v>95</v>
      </c>
      <c r="C32" s="45">
        <f>C19+C20+C21+C29+C30+C31</f>
        <v>875881.39</v>
      </c>
      <c r="D32" s="45">
        <f t="shared" ref="D32:H32" si="2">D19+D20+D21+D29+D30+D31</f>
        <v>1925970.88</v>
      </c>
      <c r="E32" s="45">
        <f t="shared" si="2"/>
        <v>136127</v>
      </c>
      <c r="F32" s="45">
        <f t="shared" si="2"/>
        <v>514291</v>
      </c>
      <c r="G32" s="45">
        <f t="shared" si="2"/>
        <v>385067</v>
      </c>
      <c r="H32" s="45">
        <f t="shared" si="2"/>
        <v>66.400000000000006</v>
      </c>
      <c r="I32" s="208">
        <f>C32+D32+E32+F32+G32+H32</f>
        <v>3837403.67</v>
      </c>
      <c r="J32" s="35"/>
      <c r="K32" s="35"/>
      <c r="L32" s="35"/>
      <c r="M32" s="35"/>
    </row>
    <row r="33" spans="2:16" s="1" customFormat="1" ht="18.75" customHeight="1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2:16" s="1" customFormat="1" ht="18.75" customHeight="1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2:16" s="1" customFormat="1" ht="18.75" customHeight="1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2:16" s="1" customFormat="1" ht="18.75" customHeight="1" x14ac:dyDescent="0.2">
      <c r="B36" s="35"/>
      <c r="C36" s="35"/>
      <c r="D36" s="35"/>
      <c r="E36" s="35"/>
      <c r="F36" s="35"/>
      <c r="G36" s="35"/>
      <c r="H36" s="36"/>
      <c r="I36" s="35"/>
      <c r="J36" s="35"/>
      <c r="K36" s="35"/>
      <c r="L36" s="35"/>
      <c r="M36" s="35"/>
      <c r="N36" s="35"/>
      <c r="O36" s="35"/>
      <c r="P36" s="35"/>
    </row>
    <row r="37" spans="2:16" s="1" customFormat="1" ht="18.75" customHeight="1" x14ac:dyDescent="0.2">
      <c r="B37" s="35"/>
      <c r="C37" s="35"/>
      <c r="D37" s="35"/>
      <c r="E37" s="35"/>
      <c r="F37" s="35"/>
      <c r="G37" s="35"/>
      <c r="H37" s="36"/>
      <c r="I37" s="35"/>
      <c r="J37" s="35"/>
      <c r="K37" s="35"/>
      <c r="L37" s="35"/>
      <c r="M37" s="35"/>
      <c r="N37" s="35"/>
      <c r="O37" s="35"/>
      <c r="P37" s="35"/>
    </row>
    <row r="38" spans="2:16" s="1" customFormat="1" ht="18" x14ac:dyDescent="0.25">
      <c r="B38" s="199" t="s">
        <v>136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2:16" s="1" customFormat="1" ht="14.25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2:16" s="76" customFormat="1" ht="16.5" customHeight="1" x14ac:dyDescent="0.25">
      <c r="B40" s="576" t="s">
        <v>99</v>
      </c>
      <c r="C40" s="576"/>
      <c r="D40" s="576"/>
      <c r="E40" s="576"/>
      <c r="F40" s="200"/>
    </row>
    <row r="41" spans="2:16" s="1" customFormat="1" ht="14.25" x14ac:dyDescent="0.2">
      <c r="B41" s="566" t="s">
        <v>131</v>
      </c>
      <c r="C41" s="566"/>
      <c r="D41" s="566"/>
      <c r="E41" s="26">
        <v>7851.8</v>
      </c>
      <c r="F41" s="58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2:16" s="1" customFormat="1" ht="14.25" x14ac:dyDescent="0.2">
      <c r="B42" s="566" t="s">
        <v>132</v>
      </c>
      <c r="C42" s="566"/>
      <c r="D42" s="566"/>
      <c r="E42" s="26">
        <v>56882.2</v>
      </c>
      <c r="F42" s="58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2:16" s="1" customFormat="1" ht="14.25" x14ac:dyDescent="0.2">
      <c r="B43" s="566" t="s">
        <v>133</v>
      </c>
      <c r="C43" s="566"/>
      <c r="D43" s="566"/>
      <c r="E43" s="26">
        <v>42378</v>
      </c>
      <c r="F43" s="58"/>
      <c r="G43" s="35"/>
      <c r="H43" s="35"/>
      <c r="I43" s="35"/>
      <c r="J43" s="35"/>
      <c r="K43" s="35"/>
      <c r="L43" s="35"/>
      <c r="M43" s="35"/>
      <c r="N43" s="35"/>
      <c r="O43" s="35"/>
      <c r="P43" s="35"/>
    </row>
    <row r="44" spans="2:16" s="1" customFormat="1" ht="14.25" x14ac:dyDescent="0.2">
      <c r="B44" s="566" t="s">
        <v>103</v>
      </c>
      <c r="C44" s="566"/>
      <c r="D44" s="566"/>
      <c r="E44" s="26">
        <v>36164.31</v>
      </c>
      <c r="F44" s="58"/>
      <c r="G44" s="35"/>
      <c r="H44" s="35"/>
      <c r="I44" s="35"/>
      <c r="J44" s="35"/>
      <c r="K44" s="35"/>
      <c r="L44" s="35"/>
      <c r="M44" s="35"/>
      <c r="N44" s="35"/>
      <c r="O44" s="35"/>
      <c r="P44" s="35"/>
    </row>
    <row r="45" spans="2:16" s="1" customFormat="1" ht="15" customHeight="1" x14ac:dyDescent="0.2">
      <c r="B45" s="566" t="s">
        <v>49</v>
      </c>
      <c r="C45" s="566"/>
      <c r="D45" s="566"/>
      <c r="E45" s="26">
        <v>16794.11</v>
      </c>
      <c r="F45" s="58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2:16" s="1" customFormat="1" ht="15" customHeight="1" x14ac:dyDescent="0.2">
      <c r="B46" s="566" t="s">
        <v>661</v>
      </c>
      <c r="C46" s="566"/>
      <c r="D46" s="566"/>
      <c r="E46" s="26">
        <v>32232.880000000001</v>
      </c>
      <c r="F46" s="58"/>
      <c r="G46" s="35"/>
      <c r="H46" s="35"/>
      <c r="I46" s="35"/>
      <c r="J46" s="35"/>
      <c r="K46" s="35"/>
      <c r="L46" s="35"/>
      <c r="M46" s="35"/>
      <c r="N46" s="35"/>
      <c r="O46" s="35"/>
      <c r="P46" s="35"/>
    </row>
    <row r="47" spans="2:16" s="1" customFormat="1" ht="15" customHeight="1" x14ac:dyDescent="0.2">
      <c r="B47" s="566" t="s">
        <v>134</v>
      </c>
      <c r="C47" s="566"/>
      <c r="D47" s="566"/>
      <c r="E47" s="26">
        <v>62416</v>
      </c>
      <c r="F47" s="58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 spans="2:16" s="76" customFormat="1" ht="18.75" customHeight="1" x14ac:dyDescent="0.25">
      <c r="B48" s="575" t="s">
        <v>95</v>
      </c>
      <c r="C48" s="575"/>
      <c r="D48" s="575"/>
      <c r="E48" s="45">
        <f>SUM(E41:E47)</f>
        <v>254719.3</v>
      </c>
      <c r="F48" s="66"/>
    </row>
    <row r="49" spans="2:16" s="1" customFormat="1" ht="14.25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2:16" s="69" customFormat="1" ht="38.25" x14ac:dyDescent="0.25">
      <c r="B50" s="52" t="s">
        <v>52</v>
      </c>
      <c r="C50" s="592" t="s">
        <v>482</v>
      </c>
      <c r="D50" s="592"/>
      <c r="E50" s="592" t="s">
        <v>483</v>
      </c>
      <c r="F50" s="592"/>
      <c r="G50" s="202" t="s">
        <v>484</v>
      </c>
      <c r="H50" s="37" t="s">
        <v>485</v>
      </c>
      <c r="I50" s="188" t="s">
        <v>95</v>
      </c>
    </row>
    <row r="51" spans="2:16" s="69" customFormat="1" x14ac:dyDescent="0.25">
      <c r="B51" s="203"/>
      <c r="C51" s="102" t="s">
        <v>287</v>
      </c>
      <c r="D51" s="102" t="s">
        <v>289</v>
      </c>
      <c r="E51" s="102" t="s">
        <v>296</v>
      </c>
      <c r="F51" s="102" t="s">
        <v>298</v>
      </c>
      <c r="G51" s="102" t="s">
        <v>291</v>
      </c>
      <c r="H51" s="102" t="s">
        <v>307</v>
      </c>
      <c r="I51" s="204"/>
    </row>
    <row r="52" spans="2:16" s="1" customFormat="1" ht="14.25" x14ac:dyDescent="0.2">
      <c r="B52" s="205" t="s">
        <v>53</v>
      </c>
      <c r="C52" s="27">
        <v>455000</v>
      </c>
      <c r="D52" s="27">
        <v>833264</v>
      </c>
      <c r="E52" s="27">
        <v>56488</v>
      </c>
      <c r="F52" s="27">
        <v>56488</v>
      </c>
      <c r="G52" s="27">
        <v>200373</v>
      </c>
      <c r="H52" s="27">
        <v>0</v>
      </c>
      <c r="I52" s="206">
        <f t="shared" ref="I52:I64" si="3">C52+D52+E52+F52+G52+H52</f>
        <v>1601613</v>
      </c>
      <c r="J52" s="35"/>
      <c r="K52" s="35"/>
      <c r="L52" s="35"/>
      <c r="M52" s="35"/>
    </row>
    <row r="53" spans="2:16" s="1" customFormat="1" ht="14.25" x14ac:dyDescent="0.2">
      <c r="B53" s="205" t="s">
        <v>54</v>
      </c>
      <c r="C53" s="27">
        <v>164225</v>
      </c>
      <c r="D53" s="27">
        <v>295395</v>
      </c>
      <c r="E53" s="27">
        <v>20590</v>
      </c>
      <c r="F53" s="27">
        <v>20590</v>
      </c>
      <c r="G53" s="27">
        <v>71635</v>
      </c>
      <c r="H53" s="27">
        <v>0</v>
      </c>
      <c r="I53" s="206">
        <f t="shared" si="3"/>
        <v>572435</v>
      </c>
      <c r="J53" s="35"/>
      <c r="K53" s="35"/>
      <c r="L53" s="35"/>
      <c r="M53" s="35"/>
    </row>
    <row r="54" spans="2:16" s="1" customFormat="1" ht="14.25" x14ac:dyDescent="0.2">
      <c r="B54" s="205" t="s">
        <v>55</v>
      </c>
      <c r="C54" s="27">
        <f t="shared" ref="C54:H54" si="4">SUM(C55:C61)</f>
        <v>144085.19</v>
      </c>
      <c r="D54" s="27">
        <f t="shared" si="4"/>
        <v>275343.43</v>
      </c>
      <c r="E54" s="27">
        <f t="shared" si="4"/>
        <v>119201.51000000001</v>
      </c>
      <c r="F54" s="27">
        <f t="shared" si="4"/>
        <v>139439.54</v>
      </c>
      <c r="G54" s="27">
        <f t="shared" si="4"/>
        <v>25790.260000000002</v>
      </c>
      <c r="H54" s="27">
        <f t="shared" si="4"/>
        <v>16.600000000000001</v>
      </c>
      <c r="I54" s="206">
        <f t="shared" si="3"/>
        <v>703876.53</v>
      </c>
      <c r="J54" s="35"/>
      <c r="K54" s="35"/>
      <c r="L54" s="35"/>
      <c r="M54" s="35"/>
    </row>
    <row r="55" spans="2:16" s="1" customFormat="1" ht="14.25" x14ac:dyDescent="0.2">
      <c r="B55" s="57" t="s">
        <v>66</v>
      </c>
      <c r="C55" s="26">
        <v>454.97</v>
      </c>
      <c r="D55" s="26">
        <v>4102</v>
      </c>
      <c r="E55" s="26">
        <v>0</v>
      </c>
      <c r="F55" s="26">
        <v>0</v>
      </c>
      <c r="G55" s="26">
        <v>0</v>
      </c>
      <c r="H55" s="26">
        <v>0</v>
      </c>
      <c r="I55" s="190">
        <f t="shared" si="3"/>
        <v>4556.97</v>
      </c>
      <c r="J55" s="35"/>
      <c r="K55" s="35"/>
      <c r="L55" s="35"/>
      <c r="M55" s="35"/>
    </row>
    <row r="56" spans="2:16" s="1" customFormat="1" ht="14.25" x14ac:dyDescent="0.2">
      <c r="B56" s="57" t="s">
        <v>56</v>
      </c>
      <c r="C56" s="26">
        <v>22161.599999999999</v>
      </c>
      <c r="D56" s="26">
        <v>45266.97</v>
      </c>
      <c r="E56" s="26">
        <v>10391.790000000001</v>
      </c>
      <c r="F56" s="26">
        <v>10391.799999999999</v>
      </c>
      <c r="G56" s="26">
        <v>9249.26</v>
      </c>
      <c r="H56" s="26">
        <v>0</v>
      </c>
      <c r="I56" s="190">
        <f t="shared" si="3"/>
        <v>97461.420000000013</v>
      </c>
      <c r="J56" s="35"/>
      <c r="K56" s="35"/>
      <c r="L56" s="35"/>
      <c r="M56" s="35"/>
    </row>
    <row r="57" spans="2:16" s="1" customFormat="1" ht="14.25" x14ac:dyDescent="0.2">
      <c r="B57" s="57" t="s">
        <v>57</v>
      </c>
      <c r="C57" s="26">
        <v>42522.77</v>
      </c>
      <c r="D57" s="26">
        <v>72674.899999999994</v>
      </c>
      <c r="E57" s="26">
        <v>88084.72</v>
      </c>
      <c r="F57" s="26">
        <v>108580.54</v>
      </c>
      <c r="G57" s="26">
        <v>2600</v>
      </c>
      <c r="H57" s="26">
        <v>16.600000000000001</v>
      </c>
      <c r="I57" s="190">
        <f t="shared" si="3"/>
        <v>314479.52999999997</v>
      </c>
      <c r="J57" s="35"/>
      <c r="K57" s="35"/>
      <c r="L57" s="35"/>
      <c r="M57" s="35"/>
    </row>
    <row r="58" spans="2:16" s="1" customFormat="1" ht="14.25" x14ac:dyDescent="0.2">
      <c r="B58" s="57" t="s">
        <v>58</v>
      </c>
      <c r="C58" s="26">
        <v>1641.6</v>
      </c>
      <c r="D58" s="26">
        <v>500</v>
      </c>
      <c r="E58" s="26">
        <v>0</v>
      </c>
      <c r="F58" s="26">
        <v>0</v>
      </c>
      <c r="G58" s="26">
        <v>0</v>
      </c>
      <c r="H58" s="26">
        <v>0</v>
      </c>
      <c r="I58" s="190">
        <f t="shared" si="3"/>
        <v>2141.6</v>
      </c>
      <c r="J58" s="35"/>
      <c r="K58" s="35"/>
      <c r="L58" s="35"/>
      <c r="M58" s="35"/>
    </row>
    <row r="59" spans="2:16" s="1" customFormat="1" ht="16.5" customHeight="1" x14ac:dyDescent="0.2">
      <c r="B59" s="57" t="s">
        <v>59</v>
      </c>
      <c r="C59" s="26">
        <v>9202.09</v>
      </c>
      <c r="D59" s="26">
        <v>45724.56</v>
      </c>
      <c r="E59" s="26">
        <v>11000</v>
      </c>
      <c r="F59" s="26">
        <v>11000</v>
      </c>
      <c r="G59" s="26">
        <v>8441.1</v>
      </c>
      <c r="H59" s="26">
        <v>0</v>
      </c>
      <c r="I59" s="190">
        <f t="shared" si="3"/>
        <v>85367.75</v>
      </c>
      <c r="J59" s="35"/>
      <c r="K59" s="35"/>
      <c r="L59" s="35"/>
      <c r="M59" s="35"/>
    </row>
    <row r="60" spans="2:16" s="1" customFormat="1" ht="14.25" x14ac:dyDescent="0.2">
      <c r="B60" s="57" t="s">
        <v>60</v>
      </c>
      <c r="C60" s="26">
        <v>848.4</v>
      </c>
      <c r="D60" s="26">
        <v>1196.4000000000001</v>
      </c>
      <c r="E60" s="26">
        <v>0</v>
      </c>
      <c r="F60" s="26">
        <v>0</v>
      </c>
      <c r="G60" s="26">
        <v>0</v>
      </c>
      <c r="H60" s="26">
        <v>0</v>
      </c>
      <c r="I60" s="190">
        <f t="shared" si="3"/>
        <v>2044.8000000000002</v>
      </c>
      <c r="J60" s="35"/>
      <c r="K60" s="35"/>
      <c r="L60" s="35"/>
      <c r="M60" s="35"/>
    </row>
    <row r="61" spans="2:16" s="1" customFormat="1" ht="14.25" x14ac:dyDescent="0.2">
      <c r="B61" s="57" t="s">
        <v>61</v>
      </c>
      <c r="C61" s="26">
        <v>67253.759999999995</v>
      </c>
      <c r="D61" s="26">
        <v>105878.6</v>
      </c>
      <c r="E61" s="26">
        <v>9725</v>
      </c>
      <c r="F61" s="26">
        <v>9467.2000000000007</v>
      </c>
      <c r="G61" s="26">
        <v>5499.9</v>
      </c>
      <c r="H61" s="26">
        <v>0</v>
      </c>
      <c r="I61" s="190">
        <f t="shared" si="3"/>
        <v>197824.46</v>
      </c>
      <c r="J61" s="35"/>
      <c r="K61" s="35"/>
      <c r="L61" s="35"/>
      <c r="M61" s="35"/>
    </row>
    <row r="62" spans="2:16" s="1" customFormat="1" ht="14.25" x14ac:dyDescent="0.2">
      <c r="B62" s="205" t="s">
        <v>62</v>
      </c>
      <c r="C62" s="27">
        <v>3945.82</v>
      </c>
      <c r="D62" s="27">
        <v>29056.959999999999</v>
      </c>
      <c r="E62" s="27">
        <v>1302.1199999999999</v>
      </c>
      <c r="F62" s="27">
        <v>2603.73</v>
      </c>
      <c r="G62" s="27">
        <v>4644.1000000000004</v>
      </c>
      <c r="H62" s="27">
        <v>0</v>
      </c>
      <c r="I62" s="206">
        <f t="shared" si="3"/>
        <v>41552.730000000003</v>
      </c>
      <c r="J62" s="35"/>
      <c r="K62" s="35"/>
      <c r="L62" s="35"/>
      <c r="M62" s="35"/>
    </row>
    <row r="63" spans="2:16" s="1" customFormat="1" ht="14.25" x14ac:dyDescent="0.2">
      <c r="B63" s="205" t="s">
        <v>437</v>
      </c>
      <c r="C63" s="27">
        <v>0</v>
      </c>
      <c r="D63" s="27">
        <v>12996</v>
      </c>
      <c r="E63" s="27">
        <v>0</v>
      </c>
      <c r="F63" s="27">
        <v>0</v>
      </c>
      <c r="G63" s="27">
        <v>0</v>
      </c>
      <c r="H63" s="27">
        <v>0</v>
      </c>
      <c r="I63" s="206">
        <f t="shared" si="3"/>
        <v>12996</v>
      </c>
      <c r="J63" s="35"/>
      <c r="K63" s="35"/>
      <c r="L63" s="35"/>
      <c r="M63" s="35"/>
    </row>
    <row r="64" spans="2:16" s="8" customFormat="1" ht="14.25" x14ac:dyDescent="0.25">
      <c r="B64" s="205" t="s">
        <v>487</v>
      </c>
      <c r="C64" s="209">
        <v>0</v>
      </c>
      <c r="D64" s="209">
        <v>0</v>
      </c>
      <c r="E64" s="209">
        <v>0</v>
      </c>
      <c r="F64" s="209">
        <v>26980.799999999999</v>
      </c>
      <c r="G64" s="209">
        <v>0</v>
      </c>
      <c r="H64" s="209">
        <v>0</v>
      </c>
      <c r="I64" s="210">
        <f t="shared" si="3"/>
        <v>26980.799999999999</v>
      </c>
      <c r="J64" s="76"/>
      <c r="K64" s="76"/>
      <c r="L64" s="76"/>
      <c r="M64" s="76"/>
    </row>
    <row r="65" spans="2:16" s="1" customFormat="1" ht="22.5" customHeight="1" x14ac:dyDescent="0.2">
      <c r="B65" s="207" t="s">
        <v>95</v>
      </c>
      <c r="C65" s="45">
        <f t="shared" ref="C65:I65" si="5">C52+C53+C54+C62+C64+C63</f>
        <v>767256.00999999989</v>
      </c>
      <c r="D65" s="45">
        <f t="shared" si="5"/>
        <v>1446055.39</v>
      </c>
      <c r="E65" s="45">
        <f t="shared" si="5"/>
        <v>197581.63</v>
      </c>
      <c r="F65" s="45">
        <f t="shared" si="5"/>
        <v>246102.07</v>
      </c>
      <c r="G65" s="45">
        <f t="shared" si="5"/>
        <v>302442.36</v>
      </c>
      <c r="H65" s="45">
        <f t="shared" si="5"/>
        <v>16.600000000000001</v>
      </c>
      <c r="I65" s="45">
        <f t="shared" si="5"/>
        <v>2959454.06</v>
      </c>
      <c r="J65" s="35"/>
      <c r="K65" s="99"/>
      <c r="L65" s="35"/>
      <c r="M65" s="35"/>
    </row>
    <row r="66" spans="2:16" s="1" customFormat="1" ht="14.25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2:16" s="1" customFormat="1" ht="14.25" x14ac:dyDescent="0.2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8" spans="2:16" s="1" customFormat="1" ht="14.25" x14ac:dyDescent="0.2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</row>
    <row r="69" spans="2:16" s="1" customFormat="1" ht="14.25" x14ac:dyDescent="0.2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2:16" s="1" customFormat="1" ht="14.25" x14ac:dyDescent="0.2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2:16" s="1" customFormat="1" ht="14.25" x14ac:dyDescent="0.2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2:16" s="1" customFormat="1" ht="14.25" x14ac:dyDescent="0.2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2:16" s="1" customFormat="1" ht="14.25" x14ac:dyDescent="0.2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</row>
    <row r="74" spans="2:16" s="1" customFormat="1" ht="14.25" x14ac:dyDescent="0.2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2:16" s="1" customFormat="1" ht="14.25" x14ac:dyDescent="0.2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2:16" s="1" customFormat="1" ht="14.25" x14ac:dyDescent="0.2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 spans="2:16" s="1" customFormat="1" ht="14.25" x14ac:dyDescent="0.2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2:16" s="1" customFormat="1" ht="14.25" x14ac:dyDescent="0.2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 spans="2:16" s="1" customFormat="1" ht="14.25" x14ac:dyDescent="0.2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</row>
    <row r="80" spans="2:16" s="1" customFormat="1" ht="14.25" x14ac:dyDescent="0.2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</row>
    <row r="81" spans="2:16" s="1" customFormat="1" ht="14.25" x14ac:dyDescent="0.2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2:16" s="1" customFormat="1" ht="14.25" x14ac:dyDescent="0.2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2:16" s="1" customFormat="1" ht="14.25" x14ac:dyDescent="0.2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2:16" s="1" customFormat="1" ht="18" x14ac:dyDescent="0.25">
      <c r="B84" s="199" t="s">
        <v>137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2:16" s="1" customFormat="1" ht="14.25" x14ac:dyDescent="0.2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2:16" s="76" customFormat="1" ht="17.25" customHeight="1" x14ac:dyDescent="0.25">
      <c r="B86" s="576" t="s">
        <v>99</v>
      </c>
      <c r="C86" s="576"/>
      <c r="D86" s="576"/>
      <c r="E86" s="576"/>
      <c r="F86" s="200"/>
    </row>
    <row r="87" spans="2:16" s="1" customFormat="1" ht="14.25" x14ac:dyDescent="0.2">
      <c r="B87" s="566" t="s">
        <v>131</v>
      </c>
      <c r="C87" s="566"/>
      <c r="D87" s="566"/>
      <c r="E87" s="26">
        <v>25856.09</v>
      </c>
      <c r="F87" s="58"/>
      <c r="G87" s="35"/>
      <c r="H87" s="35"/>
      <c r="I87" s="35"/>
      <c r="J87" s="35"/>
      <c r="K87" s="35"/>
      <c r="L87" s="35"/>
      <c r="M87" s="35"/>
      <c r="N87" s="35"/>
      <c r="O87" s="35"/>
      <c r="P87" s="35"/>
    </row>
    <row r="88" spans="2:16" s="1" customFormat="1" ht="29.25" customHeight="1" x14ac:dyDescent="0.2">
      <c r="B88" s="566" t="s">
        <v>538</v>
      </c>
      <c r="C88" s="566"/>
      <c r="D88" s="566"/>
      <c r="E88" s="26">
        <v>400</v>
      </c>
      <c r="F88" s="58"/>
      <c r="G88" s="35"/>
      <c r="H88" s="35"/>
      <c r="I88" s="35"/>
      <c r="J88" s="35"/>
      <c r="K88" s="35"/>
      <c r="L88" s="35"/>
      <c r="M88" s="35"/>
      <c r="N88" s="35"/>
      <c r="O88" s="35"/>
      <c r="P88" s="35"/>
    </row>
    <row r="89" spans="2:16" s="1" customFormat="1" ht="14.25" x14ac:dyDescent="0.2">
      <c r="B89" s="566" t="s">
        <v>132</v>
      </c>
      <c r="C89" s="566"/>
      <c r="D89" s="566"/>
      <c r="E89" s="26">
        <v>66600.899999999994</v>
      </c>
      <c r="F89" s="58"/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2:16" s="1" customFormat="1" ht="14.25" x14ac:dyDescent="0.2">
      <c r="B90" s="566" t="s">
        <v>133</v>
      </c>
      <c r="C90" s="566"/>
      <c r="D90" s="566"/>
      <c r="E90" s="26">
        <v>27384</v>
      </c>
      <c r="F90" s="58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2:16" s="192" customFormat="1" x14ac:dyDescent="0.25">
      <c r="B91" s="593" t="s">
        <v>103</v>
      </c>
      <c r="C91" s="593"/>
      <c r="D91" s="593"/>
      <c r="E91" s="41">
        <v>88562.94</v>
      </c>
      <c r="F91" s="201"/>
    </row>
    <row r="92" spans="2:16" s="192" customFormat="1" x14ac:dyDescent="0.25">
      <c r="B92" s="57" t="s">
        <v>540</v>
      </c>
      <c r="C92" s="57"/>
      <c r="D92" s="57"/>
      <c r="E92" s="41">
        <v>0</v>
      </c>
      <c r="F92" s="201"/>
    </row>
    <row r="93" spans="2:16" s="192" customFormat="1" x14ac:dyDescent="0.25">
      <c r="B93" s="57" t="s">
        <v>661</v>
      </c>
      <c r="C93" s="57"/>
      <c r="D93" s="57"/>
      <c r="E93" s="41">
        <v>100</v>
      </c>
      <c r="F93" s="201"/>
    </row>
    <row r="94" spans="2:16" s="192" customFormat="1" x14ac:dyDescent="0.25">
      <c r="B94" s="57" t="s">
        <v>134</v>
      </c>
      <c r="C94" s="57"/>
      <c r="D94" s="57"/>
      <c r="E94" s="41">
        <v>2038.5</v>
      </c>
      <c r="F94" s="201"/>
    </row>
    <row r="95" spans="2:16" s="192" customFormat="1" x14ac:dyDescent="0.25">
      <c r="B95" s="57" t="s">
        <v>541</v>
      </c>
      <c r="C95" s="57"/>
      <c r="D95" s="57"/>
      <c r="E95" s="41">
        <v>1000</v>
      </c>
      <c r="F95" s="201"/>
    </row>
    <row r="96" spans="2:16" s="1" customFormat="1" ht="18.75" customHeight="1" x14ac:dyDescent="0.2">
      <c r="B96" s="575" t="s">
        <v>95</v>
      </c>
      <c r="C96" s="575"/>
      <c r="D96" s="575"/>
      <c r="E96" s="45">
        <f>SUM(E87:E95)</f>
        <v>211942.43</v>
      </c>
      <c r="F96" s="66"/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2:16" s="1" customFormat="1" ht="14.25" x14ac:dyDescent="0.2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</row>
    <row r="98" spans="2:16" s="69" customFormat="1" ht="60.75" customHeight="1" x14ac:dyDescent="0.25">
      <c r="B98" s="52" t="s">
        <v>52</v>
      </c>
      <c r="C98" s="592" t="s">
        <v>482</v>
      </c>
      <c r="D98" s="592"/>
      <c r="E98" s="588" t="s">
        <v>483</v>
      </c>
      <c r="F98" s="589"/>
      <c r="G98" s="590"/>
      <c r="H98" s="202" t="s">
        <v>484</v>
      </c>
      <c r="I98" s="37" t="s">
        <v>662</v>
      </c>
      <c r="J98" s="188" t="s">
        <v>95</v>
      </c>
    </row>
    <row r="99" spans="2:16" s="69" customFormat="1" x14ac:dyDescent="0.25">
      <c r="B99" s="203"/>
      <c r="C99" s="102" t="s">
        <v>287</v>
      </c>
      <c r="D99" s="102" t="s">
        <v>289</v>
      </c>
      <c r="E99" s="102" t="s">
        <v>295</v>
      </c>
      <c r="F99" s="102" t="s">
        <v>296</v>
      </c>
      <c r="G99" s="102" t="s">
        <v>298</v>
      </c>
      <c r="H99" s="102" t="s">
        <v>291</v>
      </c>
      <c r="I99" s="102" t="s">
        <v>307</v>
      </c>
      <c r="J99" s="204"/>
    </row>
    <row r="100" spans="2:16" s="1" customFormat="1" ht="14.25" x14ac:dyDescent="0.2">
      <c r="B100" s="205" t="s">
        <v>53</v>
      </c>
      <c r="C100" s="27">
        <v>307014</v>
      </c>
      <c r="D100" s="27">
        <v>602396</v>
      </c>
      <c r="E100" s="27">
        <v>0</v>
      </c>
      <c r="F100" s="27">
        <v>54193</v>
      </c>
      <c r="G100" s="27">
        <v>53437.01</v>
      </c>
      <c r="H100" s="27">
        <v>115233</v>
      </c>
      <c r="I100" s="27">
        <v>0</v>
      </c>
      <c r="J100" s="206">
        <f>D100+E100+G100+H100+F100+C100</f>
        <v>1132273.01</v>
      </c>
      <c r="K100" s="35"/>
      <c r="L100" s="35"/>
      <c r="M100" s="35"/>
    </row>
    <row r="101" spans="2:16" s="1" customFormat="1" ht="14.25" x14ac:dyDescent="0.2">
      <c r="B101" s="205" t="s">
        <v>54</v>
      </c>
      <c r="C101" s="27">
        <v>118979</v>
      </c>
      <c r="D101" s="27">
        <v>227279</v>
      </c>
      <c r="E101" s="27">
        <v>0</v>
      </c>
      <c r="F101" s="27">
        <v>19484.07</v>
      </c>
      <c r="G101" s="27">
        <v>19410.990000000002</v>
      </c>
      <c r="H101" s="27">
        <v>41420.050000000003</v>
      </c>
      <c r="I101" s="27">
        <v>0</v>
      </c>
      <c r="J101" s="206">
        <f>D101+E101+G101+H101+F101+C101</f>
        <v>426573.11</v>
      </c>
      <c r="K101" s="35"/>
      <c r="L101" s="35"/>
      <c r="M101" s="35"/>
    </row>
    <row r="102" spans="2:16" s="1" customFormat="1" ht="14.25" x14ac:dyDescent="0.2">
      <c r="B102" s="205" t="s">
        <v>55</v>
      </c>
      <c r="C102" s="27">
        <f t="shared" ref="C102:E102" si="6">SUM(C103:C109)</f>
        <v>82432.009999999995</v>
      </c>
      <c r="D102" s="27">
        <f t="shared" si="6"/>
        <v>247638.08</v>
      </c>
      <c r="E102" s="27">
        <f t="shared" si="6"/>
        <v>41978.3</v>
      </c>
      <c r="F102" s="27">
        <f t="shared" ref="F102:I102" si="7">SUM(F103:F109)</f>
        <v>69906.02</v>
      </c>
      <c r="G102" s="27">
        <f t="shared" si="7"/>
        <v>161919.78000000003</v>
      </c>
      <c r="H102" s="27">
        <f t="shared" si="7"/>
        <v>15376.060000000001</v>
      </c>
      <c r="I102" s="27">
        <f t="shared" si="7"/>
        <v>49.8</v>
      </c>
      <c r="J102" s="206">
        <f>D102+E102+G102+H102+F102+C102</f>
        <v>619250.25</v>
      </c>
      <c r="K102" s="35"/>
      <c r="L102" s="35"/>
      <c r="M102" s="35"/>
    </row>
    <row r="103" spans="2:16" s="1" customFormat="1" ht="14.25" x14ac:dyDescent="0.2">
      <c r="B103" s="57" t="s">
        <v>66</v>
      </c>
      <c r="C103" s="26">
        <v>20.149999999999999</v>
      </c>
      <c r="D103" s="26">
        <v>20.149999999999999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190">
        <f>D103+E103+G103+H103+F103+C103</f>
        <v>40.299999999999997</v>
      </c>
      <c r="K103" s="35"/>
      <c r="L103" s="35"/>
      <c r="M103" s="35"/>
    </row>
    <row r="104" spans="2:16" s="1" customFormat="1" ht="14.25" x14ac:dyDescent="0.2">
      <c r="B104" s="57" t="s">
        <v>56</v>
      </c>
      <c r="C104" s="26">
        <v>27686.2</v>
      </c>
      <c r="D104" s="26">
        <v>80445.960000000006</v>
      </c>
      <c r="E104" s="26">
        <v>0</v>
      </c>
      <c r="F104" s="26">
        <v>7925.25</v>
      </c>
      <c r="G104" s="26">
        <v>7928.42</v>
      </c>
      <c r="H104" s="26">
        <v>3800</v>
      </c>
      <c r="I104" s="26">
        <v>0</v>
      </c>
      <c r="J104" s="190">
        <f>D104+E104+G104+H104+F104+C104</f>
        <v>127785.83</v>
      </c>
      <c r="K104" s="35"/>
      <c r="L104" s="35"/>
      <c r="M104" s="35"/>
    </row>
    <row r="105" spans="2:16" s="1" customFormat="1" ht="14.25" x14ac:dyDescent="0.2">
      <c r="B105" s="57" t="s">
        <v>57</v>
      </c>
      <c r="C105" s="26">
        <v>14582.41</v>
      </c>
      <c r="D105" s="26">
        <v>92201.44</v>
      </c>
      <c r="E105" s="26">
        <v>41978.3</v>
      </c>
      <c r="F105" s="26">
        <v>57305.5</v>
      </c>
      <c r="G105" s="26">
        <v>117895.57</v>
      </c>
      <c r="H105" s="26">
        <v>3956</v>
      </c>
      <c r="I105" s="26">
        <v>49.8</v>
      </c>
      <c r="J105" s="190">
        <f>D105+E105+G105+H105+F105+C105+I105</f>
        <v>327969.01999999996</v>
      </c>
      <c r="K105" s="35"/>
      <c r="L105" s="35"/>
      <c r="M105" s="35"/>
    </row>
    <row r="106" spans="2:16" s="1" customFormat="1" ht="14.25" x14ac:dyDescent="0.2">
      <c r="B106" s="57" t="s">
        <v>58</v>
      </c>
      <c r="C106" s="26">
        <v>1379</v>
      </c>
      <c r="D106" s="26">
        <v>76.25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190">
        <f t="shared" ref="J106:J112" si="8">D106+E106+G106+H106+F106+C106</f>
        <v>1455.25</v>
      </c>
      <c r="K106" s="35"/>
      <c r="L106" s="35"/>
      <c r="M106" s="35"/>
    </row>
    <row r="107" spans="2:16" s="1" customFormat="1" ht="25.5" x14ac:dyDescent="0.2">
      <c r="B107" s="57" t="s">
        <v>59</v>
      </c>
      <c r="C107" s="26">
        <v>12603.38</v>
      </c>
      <c r="D107" s="26">
        <v>27025.18</v>
      </c>
      <c r="E107" s="26">
        <v>0</v>
      </c>
      <c r="F107" s="26">
        <v>215</v>
      </c>
      <c r="G107" s="26">
        <v>31049.56</v>
      </c>
      <c r="H107" s="26">
        <v>1000</v>
      </c>
      <c r="I107" s="26">
        <v>0</v>
      </c>
      <c r="J107" s="190">
        <f t="shared" si="8"/>
        <v>71893.12000000001</v>
      </c>
      <c r="K107" s="35"/>
      <c r="L107" s="35"/>
      <c r="M107" s="35"/>
    </row>
    <row r="108" spans="2:16" s="1" customFormat="1" ht="14.25" x14ac:dyDescent="0.2">
      <c r="B108" s="57" t="s">
        <v>60</v>
      </c>
      <c r="C108" s="26">
        <v>0</v>
      </c>
      <c r="D108" s="26">
        <v>91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190">
        <f t="shared" si="8"/>
        <v>91</v>
      </c>
      <c r="K108" s="35"/>
      <c r="L108" s="35"/>
      <c r="M108" s="35"/>
    </row>
    <row r="109" spans="2:16" s="1" customFormat="1" ht="14.25" x14ac:dyDescent="0.2">
      <c r="B109" s="57" t="s">
        <v>61</v>
      </c>
      <c r="C109" s="26">
        <v>26160.87</v>
      </c>
      <c r="D109" s="26">
        <v>47778.1</v>
      </c>
      <c r="E109" s="26">
        <v>0</v>
      </c>
      <c r="F109" s="26">
        <v>4460.2700000000004</v>
      </c>
      <c r="G109" s="26">
        <v>5046.2299999999996</v>
      </c>
      <c r="H109" s="26">
        <v>6620.06</v>
      </c>
      <c r="I109" s="26">
        <v>0</v>
      </c>
      <c r="J109" s="190">
        <f t="shared" si="8"/>
        <v>90065.53</v>
      </c>
      <c r="K109" s="35"/>
      <c r="L109" s="35"/>
      <c r="M109" s="35"/>
    </row>
    <row r="110" spans="2:16" s="1" customFormat="1" ht="14.25" x14ac:dyDescent="0.2">
      <c r="B110" s="205" t="s">
        <v>62</v>
      </c>
      <c r="C110" s="27">
        <v>1166.33</v>
      </c>
      <c r="D110" s="27">
        <v>25086</v>
      </c>
      <c r="E110" s="27">
        <v>0</v>
      </c>
      <c r="F110" s="27">
        <v>1312.93</v>
      </c>
      <c r="G110" s="27">
        <v>587</v>
      </c>
      <c r="H110" s="27">
        <v>651.95000000000005</v>
      </c>
      <c r="I110" s="27">
        <v>0</v>
      </c>
      <c r="J110" s="206">
        <f t="shared" si="8"/>
        <v>28804.21</v>
      </c>
      <c r="K110" s="35"/>
      <c r="L110" s="35"/>
      <c r="M110" s="35"/>
    </row>
    <row r="111" spans="2:16" s="1" customFormat="1" ht="14.25" x14ac:dyDescent="0.2">
      <c r="B111" s="205" t="s">
        <v>487</v>
      </c>
      <c r="C111" s="27">
        <v>0</v>
      </c>
      <c r="D111" s="27">
        <v>7282.8</v>
      </c>
      <c r="E111" s="27">
        <v>0</v>
      </c>
      <c r="F111" s="27">
        <v>0</v>
      </c>
      <c r="G111" s="27">
        <v>18944.400000000001</v>
      </c>
      <c r="H111" s="27">
        <v>0</v>
      </c>
      <c r="I111" s="27">
        <v>0</v>
      </c>
      <c r="J111" s="206">
        <f t="shared" si="8"/>
        <v>26227.200000000001</v>
      </c>
      <c r="K111" s="35"/>
      <c r="L111" s="35"/>
      <c r="M111" s="35"/>
    </row>
    <row r="112" spans="2:16" s="1" customFormat="1" ht="25.5" x14ac:dyDescent="0.2">
      <c r="B112" s="245" t="s">
        <v>519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246">
        <f t="shared" si="8"/>
        <v>0</v>
      </c>
      <c r="K112" s="35"/>
      <c r="L112" s="35"/>
      <c r="M112" s="35"/>
    </row>
    <row r="113" spans="2:16" s="1" customFormat="1" ht="22.5" customHeight="1" x14ac:dyDescent="0.2">
      <c r="B113" s="212" t="s">
        <v>95</v>
      </c>
      <c r="C113" s="213">
        <f t="shared" ref="C113" si="9">C100+C101+C102+C110</f>
        <v>509591.34</v>
      </c>
      <c r="D113" s="213">
        <f>D100+D101+D102+D110+D111+D112</f>
        <v>1109681.8800000001</v>
      </c>
      <c r="E113" s="213">
        <f t="shared" ref="E113:I113" si="10">E100+E101+E102+E110+E111+E112</f>
        <v>41978.3</v>
      </c>
      <c r="F113" s="213">
        <f t="shared" si="10"/>
        <v>144896.02000000002</v>
      </c>
      <c r="G113" s="213">
        <f t="shared" si="10"/>
        <v>254299.18000000002</v>
      </c>
      <c r="H113" s="213">
        <f t="shared" si="10"/>
        <v>172681.06</v>
      </c>
      <c r="I113" s="213">
        <f t="shared" si="10"/>
        <v>49.8</v>
      </c>
      <c r="J113" s="214">
        <f>D113+E113+G113+H113+F113+C113+I113</f>
        <v>2233177.58</v>
      </c>
      <c r="K113" s="99"/>
      <c r="L113" s="35"/>
      <c r="M113" s="35"/>
    </row>
    <row r="114" spans="2:16" s="1" customFormat="1" ht="14.25" x14ac:dyDescent="0.2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</row>
    <row r="115" spans="2:16" s="1" customFormat="1" ht="14.25" x14ac:dyDescent="0.2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</row>
    <row r="116" spans="2:16" s="1" customFormat="1" ht="18" x14ac:dyDescent="0.25">
      <c r="B116" s="199" t="s">
        <v>138</v>
      </c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</row>
    <row r="117" spans="2:16" s="1" customFormat="1" ht="7.5" customHeight="1" x14ac:dyDescent="0.2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</row>
    <row r="118" spans="2:16" s="1" customFormat="1" ht="16.5" customHeight="1" x14ac:dyDescent="0.2">
      <c r="B118" s="576" t="s">
        <v>99</v>
      </c>
      <c r="C118" s="576"/>
      <c r="D118" s="576"/>
      <c r="E118" s="576"/>
      <c r="F118" s="200"/>
      <c r="G118" s="35"/>
      <c r="H118" s="35"/>
      <c r="I118" s="35"/>
      <c r="J118" s="35"/>
      <c r="K118" s="35"/>
      <c r="L118" s="35"/>
      <c r="M118" s="35"/>
      <c r="N118" s="35"/>
      <c r="O118" s="35"/>
      <c r="P118" s="35"/>
    </row>
    <row r="119" spans="2:16" s="1" customFormat="1" ht="14.25" x14ac:dyDescent="0.2">
      <c r="B119" s="566" t="s">
        <v>131</v>
      </c>
      <c r="C119" s="566"/>
      <c r="D119" s="566"/>
      <c r="E119" s="26">
        <v>1328.38</v>
      </c>
      <c r="F119" s="58"/>
      <c r="G119" s="35"/>
      <c r="H119" s="35"/>
      <c r="I119" s="35"/>
      <c r="J119" s="35"/>
      <c r="K119" s="35"/>
      <c r="L119" s="35"/>
      <c r="M119" s="35"/>
      <c r="N119" s="35"/>
      <c r="O119" s="35"/>
      <c r="P119" s="35"/>
    </row>
    <row r="120" spans="2:16" s="1" customFormat="1" ht="14.25" x14ac:dyDescent="0.2">
      <c r="B120" s="566" t="s">
        <v>132</v>
      </c>
      <c r="C120" s="566"/>
      <c r="D120" s="566"/>
      <c r="E120" s="26">
        <v>33963.69</v>
      </c>
      <c r="F120" s="58"/>
      <c r="G120" s="35"/>
      <c r="H120" s="35"/>
      <c r="I120" s="35"/>
      <c r="J120" s="35"/>
      <c r="K120" s="35"/>
      <c r="L120" s="35"/>
      <c r="M120" s="35"/>
      <c r="N120" s="35"/>
      <c r="O120" s="35"/>
      <c r="P120" s="35"/>
    </row>
    <row r="121" spans="2:16" s="1" customFormat="1" ht="14.25" x14ac:dyDescent="0.2">
      <c r="B121" s="566" t="s">
        <v>133</v>
      </c>
      <c r="C121" s="566"/>
      <c r="D121" s="566"/>
      <c r="E121" s="26">
        <v>30155</v>
      </c>
      <c r="F121" s="58"/>
      <c r="G121" s="35"/>
      <c r="H121" s="35"/>
      <c r="I121" s="35"/>
      <c r="J121" s="35"/>
      <c r="K121" s="35"/>
      <c r="L121" s="35"/>
      <c r="M121" s="35"/>
      <c r="N121" s="35"/>
      <c r="O121" s="35"/>
      <c r="P121" s="35"/>
    </row>
    <row r="122" spans="2:16" s="192" customFormat="1" x14ac:dyDescent="0.25">
      <c r="B122" s="593" t="s">
        <v>103</v>
      </c>
      <c r="C122" s="593"/>
      <c r="D122" s="593"/>
      <c r="E122" s="41">
        <v>19425.93</v>
      </c>
      <c r="F122" s="201"/>
    </row>
    <row r="123" spans="2:16" s="192" customFormat="1" ht="15" customHeight="1" x14ac:dyDescent="0.25">
      <c r="B123" s="593" t="s">
        <v>49</v>
      </c>
      <c r="C123" s="593"/>
      <c r="D123" s="593"/>
      <c r="E123" s="445">
        <v>1278.28</v>
      </c>
      <c r="F123" s="201"/>
    </row>
    <row r="124" spans="2:16" s="1" customFormat="1" ht="18" customHeight="1" x14ac:dyDescent="0.2">
      <c r="B124" s="575" t="s">
        <v>95</v>
      </c>
      <c r="C124" s="575"/>
      <c r="D124" s="575"/>
      <c r="E124" s="45">
        <f>SUM(E119:E123)</f>
        <v>86151.28</v>
      </c>
      <c r="F124" s="66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6" spans="2:16" s="69" customFormat="1" ht="38.25" x14ac:dyDescent="0.25">
      <c r="B126" s="52" t="s">
        <v>52</v>
      </c>
      <c r="C126" s="592" t="s">
        <v>482</v>
      </c>
      <c r="D126" s="592"/>
      <c r="E126" s="592" t="s">
        <v>483</v>
      </c>
      <c r="F126" s="592"/>
      <c r="G126" s="202" t="s">
        <v>484</v>
      </c>
      <c r="H126" s="37" t="s">
        <v>485</v>
      </c>
      <c r="I126" s="188" t="s">
        <v>95</v>
      </c>
    </row>
    <row r="127" spans="2:16" s="69" customFormat="1" x14ac:dyDescent="0.25">
      <c r="B127" s="203"/>
      <c r="C127" s="102" t="s">
        <v>287</v>
      </c>
      <c r="D127" s="102" t="s">
        <v>289</v>
      </c>
      <c r="E127" s="102" t="s">
        <v>296</v>
      </c>
      <c r="F127" s="102" t="s">
        <v>298</v>
      </c>
      <c r="G127" s="102" t="s">
        <v>291</v>
      </c>
      <c r="H127" s="102" t="s">
        <v>307</v>
      </c>
      <c r="I127" s="204"/>
    </row>
    <row r="128" spans="2:16" s="1" customFormat="1" ht="14.25" x14ac:dyDescent="0.2">
      <c r="B128" s="205" t="s">
        <v>53</v>
      </c>
      <c r="C128" s="27">
        <v>318762.58</v>
      </c>
      <c r="D128" s="27">
        <v>591812.31999999995</v>
      </c>
      <c r="E128" s="27">
        <v>56042.8</v>
      </c>
      <c r="F128" s="27">
        <v>48745.74</v>
      </c>
      <c r="G128" s="27">
        <v>139763.01</v>
      </c>
      <c r="H128" s="27">
        <v>0</v>
      </c>
      <c r="I128" s="27">
        <f t="shared" ref="I128:I138" si="11">C128+D128+E128+F128+G128+H128</f>
        <v>1155126.45</v>
      </c>
      <c r="J128" s="35"/>
      <c r="K128" s="35"/>
      <c r="L128" s="35"/>
      <c r="M128" s="35"/>
    </row>
    <row r="129" spans="2:16" s="1" customFormat="1" ht="14.25" x14ac:dyDescent="0.2">
      <c r="B129" s="205" t="s">
        <v>54</v>
      </c>
      <c r="C129" s="27">
        <v>115664.19</v>
      </c>
      <c r="D129" s="27">
        <v>211449.98</v>
      </c>
      <c r="E129" s="27">
        <v>20040.97</v>
      </c>
      <c r="F129" s="27">
        <v>17684.63</v>
      </c>
      <c r="G129" s="27">
        <v>49660.62</v>
      </c>
      <c r="H129" s="27">
        <v>0</v>
      </c>
      <c r="I129" s="27">
        <f t="shared" si="11"/>
        <v>414500.39</v>
      </c>
      <c r="J129" s="35"/>
      <c r="K129" s="35"/>
      <c r="L129" s="35"/>
      <c r="M129" s="35"/>
    </row>
    <row r="130" spans="2:16" s="1" customFormat="1" ht="14.25" x14ac:dyDescent="0.2">
      <c r="B130" s="205" t="s">
        <v>55</v>
      </c>
      <c r="C130" s="27">
        <f t="shared" ref="C130:H130" si="12">SUM(C131:C135)</f>
        <v>69060.060000000012</v>
      </c>
      <c r="D130" s="27">
        <f t="shared" si="12"/>
        <v>145841.85</v>
      </c>
      <c r="E130" s="27">
        <f t="shared" si="12"/>
        <v>90416.17</v>
      </c>
      <c r="F130" s="27">
        <f t="shared" si="12"/>
        <v>102787.79</v>
      </c>
      <c r="G130" s="27">
        <f t="shared" si="12"/>
        <v>58222</v>
      </c>
      <c r="H130" s="27">
        <f t="shared" si="12"/>
        <v>0</v>
      </c>
      <c r="I130" s="27">
        <f t="shared" si="11"/>
        <v>466327.87</v>
      </c>
      <c r="J130" s="35"/>
      <c r="K130" s="35"/>
      <c r="L130" s="35"/>
      <c r="M130" s="35"/>
    </row>
    <row r="131" spans="2:16" s="1" customFormat="1" ht="14.25" x14ac:dyDescent="0.2">
      <c r="B131" s="57" t="s">
        <v>56</v>
      </c>
      <c r="C131" s="26">
        <v>19079.86</v>
      </c>
      <c r="D131" s="26">
        <v>48902.59</v>
      </c>
      <c r="E131" s="26">
        <v>15609.2</v>
      </c>
      <c r="F131" s="26">
        <v>15621.15</v>
      </c>
      <c r="G131" s="26">
        <v>34454.79</v>
      </c>
      <c r="H131" s="26">
        <v>0</v>
      </c>
      <c r="I131" s="26">
        <f t="shared" si="11"/>
        <v>133667.59</v>
      </c>
      <c r="J131" s="35"/>
      <c r="K131" s="35"/>
      <c r="L131" s="35"/>
      <c r="M131" s="35"/>
    </row>
    <row r="132" spans="2:16" s="1" customFormat="1" ht="14.25" x14ac:dyDescent="0.2">
      <c r="B132" s="57" t="s">
        <v>57</v>
      </c>
      <c r="C132" s="26">
        <v>25518.99</v>
      </c>
      <c r="D132" s="26">
        <v>53013.55</v>
      </c>
      <c r="E132" s="26">
        <v>64258.38</v>
      </c>
      <c r="F132" s="26">
        <v>76527.05</v>
      </c>
      <c r="G132" s="26">
        <v>7059.37</v>
      </c>
      <c r="H132" s="26">
        <v>0</v>
      </c>
      <c r="I132" s="26">
        <f t="shared" si="11"/>
        <v>226377.34000000003</v>
      </c>
      <c r="J132" s="35"/>
      <c r="K132" s="35"/>
      <c r="L132" s="35"/>
      <c r="M132" s="35"/>
    </row>
    <row r="133" spans="2:16" s="1" customFormat="1" ht="14.25" x14ac:dyDescent="0.2">
      <c r="B133" s="57" t="s">
        <v>58</v>
      </c>
      <c r="C133" s="26">
        <v>43.47</v>
      </c>
      <c r="D133" s="26">
        <v>899.53</v>
      </c>
      <c r="E133" s="26">
        <v>0</v>
      </c>
      <c r="F133" s="26">
        <v>0</v>
      </c>
      <c r="G133" s="26">
        <v>499.2</v>
      </c>
      <c r="H133" s="26">
        <v>0</v>
      </c>
      <c r="I133" s="26">
        <f t="shared" si="11"/>
        <v>1442.2</v>
      </c>
      <c r="J133" s="35"/>
      <c r="K133" s="35"/>
      <c r="L133" s="35"/>
      <c r="M133" s="35"/>
    </row>
    <row r="134" spans="2:16" s="1" customFormat="1" ht="16.5" customHeight="1" x14ac:dyDescent="0.2">
      <c r="B134" s="57" t="s">
        <v>59</v>
      </c>
      <c r="C134" s="26">
        <v>3485.86</v>
      </c>
      <c r="D134" s="26">
        <v>16691.560000000001</v>
      </c>
      <c r="E134" s="26">
        <v>6722.59</v>
      </c>
      <c r="F134" s="26">
        <v>6722.59</v>
      </c>
      <c r="G134" s="26">
        <v>13094.4</v>
      </c>
      <c r="H134" s="26">
        <v>0</v>
      </c>
      <c r="I134" s="26">
        <f t="shared" si="11"/>
        <v>46717.000000000007</v>
      </c>
      <c r="J134" s="35"/>
      <c r="K134" s="35"/>
      <c r="L134" s="35"/>
      <c r="M134" s="35"/>
    </row>
    <row r="135" spans="2:16" s="1" customFormat="1" ht="14.25" x14ac:dyDescent="0.2">
      <c r="B135" s="57" t="s">
        <v>61</v>
      </c>
      <c r="C135" s="26">
        <v>20931.88</v>
      </c>
      <c r="D135" s="26">
        <v>26334.62</v>
      </c>
      <c r="E135" s="26">
        <v>3826</v>
      </c>
      <c r="F135" s="26">
        <v>3917</v>
      </c>
      <c r="G135" s="26">
        <v>3114.24</v>
      </c>
      <c r="H135" s="26">
        <v>0</v>
      </c>
      <c r="I135" s="26">
        <f t="shared" si="11"/>
        <v>58123.74</v>
      </c>
      <c r="J135" s="35"/>
      <c r="K135" s="35"/>
      <c r="L135" s="35"/>
      <c r="M135" s="35"/>
    </row>
    <row r="136" spans="2:16" s="1" customFormat="1" ht="14.25" x14ac:dyDescent="0.2">
      <c r="B136" s="205" t="s">
        <v>62</v>
      </c>
      <c r="C136" s="27">
        <v>2768.28</v>
      </c>
      <c r="D136" s="27">
        <v>2320.11</v>
      </c>
      <c r="E136" s="27">
        <v>260.83</v>
      </c>
      <c r="F136" s="27">
        <v>3409.43</v>
      </c>
      <c r="G136" s="27">
        <v>1183.3699999999999</v>
      </c>
      <c r="H136" s="27">
        <v>0</v>
      </c>
      <c r="I136" s="27">
        <f t="shared" si="11"/>
        <v>9942.02</v>
      </c>
      <c r="J136" s="35"/>
      <c r="K136" s="35"/>
      <c r="L136" s="35"/>
      <c r="M136" s="35"/>
    </row>
    <row r="137" spans="2:16" s="1" customFormat="1" ht="14.25" x14ac:dyDescent="0.2">
      <c r="B137" s="205" t="s">
        <v>489</v>
      </c>
      <c r="C137" s="27">
        <v>0</v>
      </c>
      <c r="D137" s="27">
        <v>0</v>
      </c>
      <c r="E137" s="27">
        <v>0</v>
      </c>
      <c r="F137" s="215">
        <v>11703.6</v>
      </c>
      <c r="G137" s="215">
        <v>0</v>
      </c>
      <c r="H137" s="215">
        <v>0</v>
      </c>
      <c r="I137" s="215">
        <f t="shared" si="11"/>
        <v>11703.6</v>
      </c>
      <c r="J137" s="35"/>
      <c r="K137" s="35"/>
      <c r="L137" s="35"/>
      <c r="M137" s="35"/>
    </row>
    <row r="138" spans="2:16" s="1" customFormat="1" ht="21" customHeight="1" x14ac:dyDescent="0.2">
      <c r="B138" s="207" t="s">
        <v>95</v>
      </c>
      <c r="C138" s="45">
        <f t="shared" ref="C138:H138" si="13">C128+C129+C130+C136+C137</f>
        <v>506255.11000000004</v>
      </c>
      <c r="D138" s="45">
        <f t="shared" si="13"/>
        <v>951424.25999999989</v>
      </c>
      <c r="E138" s="45">
        <f t="shared" si="13"/>
        <v>166760.76999999999</v>
      </c>
      <c r="F138" s="45">
        <f t="shared" si="13"/>
        <v>184331.18999999997</v>
      </c>
      <c r="G138" s="45">
        <f t="shared" si="13"/>
        <v>248829</v>
      </c>
      <c r="H138" s="45">
        <f t="shared" si="13"/>
        <v>0</v>
      </c>
      <c r="I138" s="45">
        <f t="shared" si="11"/>
        <v>2057600.3299999998</v>
      </c>
      <c r="J138" s="35"/>
      <c r="K138" s="35"/>
      <c r="L138" s="35"/>
      <c r="M138" s="35"/>
    </row>
    <row r="139" spans="2:16" s="1" customFormat="1" ht="14.25" x14ac:dyDescent="0.2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</row>
    <row r="140" spans="2:16" s="1" customFormat="1" ht="14.25" x14ac:dyDescent="0.2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</row>
    <row r="141" spans="2:16" s="1" customFormat="1" ht="14.25" x14ac:dyDescent="0.2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</row>
    <row r="142" spans="2:16" s="1" customFormat="1" ht="14.25" x14ac:dyDescent="0.2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</row>
    <row r="143" spans="2:16" s="1" customFormat="1" ht="14.25" x14ac:dyDescent="0.2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</row>
    <row r="144" spans="2:16" s="1" customFormat="1" ht="14.25" x14ac:dyDescent="0.2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</row>
    <row r="145" spans="2:16" s="1" customFormat="1" ht="14.25" x14ac:dyDescent="0.2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</row>
    <row r="146" spans="2:16" s="1" customFormat="1" ht="14.25" x14ac:dyDescent="0.2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</row>
    <row r="147" spans="2:16" s="1" customFormat="1" ht="14.25" x14ac:dyDescent="0.2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</row>
    <row r="148" spans="2:16" s="1" customFormat="1" ht="14.25" x14ac:dyDescent="0.2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</row>
    <row r="149" spans="2:16" s="1" customFormat="1" ht="14.25" x14ac:dyDescent="0.2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</row>
    <row r="150" spans="2:16" s="1" customFormat="1" ht="14.25" x14ac:dyDescent="0.2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</row>
    <row r="151" spans="2:16" s="1" customFormat="1" ht="14.25" x14ac:dyDescent="0.2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</row>
    <row r="152" spans="2:16" s="1" customFormat="1" ht="14.25" x14ac:dyDescent="0.2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</row>
    <row r="153" spans="2:16" s="1" customFormat="1" ht="14.25" x14ac:dyDescent="0.2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</row>
    <row r="154" spans="2:16" s="1" customFormat="1" ht="14.25" x14ac:dyDescent="0.2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</row>
    <row r="155" spans="2:16" s="1" customFormat="1" ht="14.25" x14ac:dyDescent="0.2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</row>
    <row r="156" spans="2:16" s="1" customFormat="1" ht="14.25" x14ac:dyDescent="0.2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</row>
    <row r="157" spans="2:16" s="1" customFormat="1" ht="14.25" x14ac:dyDescent="0.2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</row>
    <row r="158" spans="2:16" s="1" customFormat="1" ht="18" x14ac:dyDescent="0.25">
      <c r="B158" s="199" t="s">
        <v>139</v>
      </c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</row>
    <row r="159" spans="2:16" s="1" customFormat="1" ht="14.25" x14ac:dyDescent="0.2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</row>
    <row r="160" spans="2:16" s="1" customFormat="1" ht="22.5" customHeight="1" x14ac:dyDescent="0.2">
      <c r="B160" s="576" t="s">
        <v>99</v>
      </c>
      <c r="C160" s="576"/>
      <c r="D160" s="576"/>
      <c r="E160" s="576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2:16" s="1" customFormat="1" ht="14.25" x14ac:dyDescent="0.2">
      <c r="B161" s="566" t="s">
        <v>131</v>
      </c>
      <c r="C161" s="566"/>
      <c r="D161" s="566"/>
      <c r="E161" s="48">
        <v>34158.080000000002</v>
      </c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2:16" s="1" customFormat="1" ht="15" customHeight="1" x14ac:dyDescent="0.2">
      <c r="B162" s="566" t="s">
        <v>133</v>
      </c>
      <c r="C162" s="566"/>
      <c r="D162" s="566"/>
      <c r="E162" s="48">
        <v>56441.8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2:16" s="1" customFormat="1" ht="19.5" customHeight="1" x14ac:dyDescent="0.2">
      <c r="B163" s="575" t="s">
        <v>95</v>
      </c>
      <c r="C163" s="575"/>
      <c r="D163" s="575"/>
      <c r="E163" s="216">
        <f>SUM(E161:E162)</f>
        <v>90599.88</v>
      </c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2:16" s="1" customFormat="1" ht="14.25" x14ac:dyDescent="0.2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2:16" s="69" customFormat="1" ht="47.25" customHeight="1" x14ac:dyDescent="0.25">
      <c r="B165" s="52" t="s">
        <v>52</v>
      </c>
      <c r="C165" s="202" t="s">
        <v>604</v>
      </c>
      <c r="D165" s="592" t="s">
        <v>482</v>
      </c>
      <c r="E165" s="592"/>
      <c r="F165" s="202" t="s">
        <v>483</v>
      </c>
      <c r="G165" s="202" t="s">
        <v>484</v>
      </c>
      <c r="H165" s="37" t="s">
        <v>485</v>
      </c>
      <c r="I165" s="188" t="s">
        <v>95</v>
      </c>
    </row>
    <row r="166" spans="2:16" s="69" customFormat="1" x14ac:dyDescent="0.25">
      <c r="B166" s="203"/>
      <c r="C166" s="102" t="s">
        <v>275</v>
      </c>
      <c r="D166" s="102" t="s">
        <v>287</v>
      </c>
      <c r="E166" s="102" t="s">
        <v>289</v>
      </c>
      <c r="F166" s="102" t="s">
        <v>298</v>
      </c>
      <c r="G166" s="102" t="s">
        <v>291</v>
      </c>
      <c r="H166" s="102" t="s">
        <v>307</v>
      </c>
      <c r="I166" s="204"/>
    </row>
    <row r="167" spans="2:16" s="1" customFormat="1" ht="14.25" x14ac:dyDescent="0.2">
      <c r="B167" s="205" t="s">
        <v>53</v>
      </c>
      <c r="C167" s="27">
        <v>0</v>
      </c>
      <c r="D167" s="27">
        <v>541875</v>
      </c>
      <c r="E167" s="27">
        <v>1122830</v>
      </c>
      <c r="F167" s="27">
        <v>0</v>
      </c>
      <c r="G167" s="27">
        <v>283460</v>
      </c>
      <c r="H167" s="27">
        <v>0</v>
      </c>
      <c r="I167" s="206">
        <f>C167+D167+E167+F167+G167+H167</f>
        <v>1948165</v>
      </c>
      <c r="J167" s="35"/>
      <c r="K167" s="35"/>
      <c r="L167" s="35"/>
      <c r="M167" s="35"/>
    </row>
    <row r="168" spans="2:16" s="1" customFormat="1" ht="14.25" x14ac:dyDescent="0.2">
      <c r="B168" s="205" t="s">
        <v>54</v>
      </c>
      <c r="C168" s="27">
        <v>0</v>
      </c>
      <c r="D168" s="27">
        <v>201651</v>
      </c>
      <c r="E168" s="27">
        <v>420625</v>
      </c>
      <c r="F168" s="27">
        <v>0</v>
      </c>
      <c r="G168" s="27">
        <v>102665</v>
      </c>
      <c r="H168" s="27">
        <v>0</v>
      </c>
      <c r="I168" s="206">
        <f>C168+D168+E168+F168+G168+H168</f>
        <v>724941</v>
      </c>
      <c r="J168" s="35"/>
      <c r="K168" s="35"/>
      <c r="L168" s="35"/>
      <c r="M168" s="35"/>
    </row>
    <row r="169" spans="2:16" s="1" customFormat="1" ht="14.25" x14ac:dyDescent="0.2">
      <c r="B169" s="205" t="s">
        <v>55</v>
      </c>
      <c r="C169" s="27">
        <f>SUM(C170:C175)</f>
        <v>76060</v>
      </c>
      <c r="D169" s="27">
        <f>SUM(D170:D175)</f>
        <v>156139.70000000001</v>
      </c>
      <c r="E169" s="27">
        <f t="shared" ref="E169:I169" si="14">SUM(E170:E175)</f>
        <v>378604.22</v>
      </c>
      <c r="F169" s="27">
        <f t="shared" si="14"/>
        <v>0</v>
      </c>
      <c r="G169" s="27">
        <f t="shared" si="14"/>
        <v>63267</v>
      </c>
      <c r="H169" s="27">
        <f t="shared" si="14"/>
        <v>280699</v>
      </c>
      <c r="I169" s="27">
        <f t="shared" si="14"/>
        <v>954769.91999999993</v>
      </c>
      <c r="J169" s="35"/>
      <c r="K169" s="35"/>
      <c r="L169" s="35"/>
      <c r="M169" s="35"/>
    </row>
    <row r="170" spans="2:16" s="1" customFormat="1" ht="14.25" x14ac:dyDescent="0.2">
      <c r="B170" s="57" t="s">
        <v>66</v>
      </c>
      <c r="C170" s="26">
        <v>0</v>
      </c>
      <c r="D170" s="26">
        <v>100</v>
      </c>
      <c r="E170" s="26">
        <v>190</v>
      </c>
      <c r="F170" s="26">
        <v>0</v>
      </c>
      <c r="G170" s="26">
        <v>0</v>
      </c>
      <c r="H170" s="26">
        <v>0</v>
      </c>
      <c r="I170" s="190">
        <f t="shared" ref="I170:I177" si="15">C170+D170+E170+F170+G170+H170</f>
        <v>290</v>
      </c>
      <c r="J170" s="35"/>
      <c r="K170" s="35"/>
      <c r="L170" s="35"/>
      <c r="M170" s="35"/>
    </row>
    <row r="171" spans="2:16" s="1" customFormat="1" ht="14.25" x14ac:dyDescent="0.2">
      <c r="B171" s="57" t="s">
        <v>56</v>
      </c>
      <c r="C171" s="26">
        <v>0</v>
      </c>
      <c r="D171" s="26">
        <v>81910.53</v>
      </c>
      <c r="E171" s="26">
        <v>100016.54</v>
      </c>
      <c r="F171" s="26">
        <v>0</v>
      </c>
      <c r="G171" s="26">
        <v>47107</v>
      </c>
      <c r="H171" s="26">
        <v>0</v>
      </c>
      <c r="I171" s="190">
        <f t="shared" si="15"/>
        <v>229034.07</v>
      </c>
      <c r="J171" s="35"/>
      <c r="K171" s="35"/>
      <c r="L171" s="35"/>
      <c r="M171" s="35"/>
    </row>
    <row r="172" spans="2:16" s="1" customFormat="1" ht="14.25" x14ac:dyDescent="0.2">
      <c r="B172" s="57" t="s">
        <v>57</v>
      </c>
      <c r="C172" s="26">
        <v>0</v>
      </c>
      <c r="D172" s="26">
        <v>35900.660000000003</v>
      </c>
      <c r="E172" s="26">
        <v>161405.4</v>
      </c>
      <c r="F172" s="26">
        <v>0</v>
      </c>
      <c r="G172" s="26">
        <v>6850</v>
      </c>
      <c r="H172" s="26">
        <v>280699</v>
      </c>
      <c r="I172" s="190">
        <f t="shared" si="15"/>
        <v>484855.06</v>
      </c>
      <c r="J172" s="35"/>
      <c r="K172" s="35"/>
      <c r="L172" s="35"/>
      <c r="M172" s="35"/>
    </row>
    <row r="173" spans="2:16" s="1" customFormat="1" ht="14.25" customHeight="1" x14ac:dyDescent="0.2">
      <c r="B173" s="57" t="s">
        <v>59</v>
      </c>
      <c r="C173" s="26">
        <v>0</v>
      </c>
      <c r="D173" s="26">
        <v>2303.06</v>
      </c>
      <c r="E173" s="26">
        <v>43812</v>
      </c>
      <c r="F173" s="26">
        <v>0</v>
      </c>
      <c r="G173" s="26">
        <v>1000</v>
      </c>
      <c r="H173" s="26">
        <v>0</v>
      </c>
      <c r="I173" s="190">
        <f t="shared" si="15"/>
        <v>47115.06</v>
      </c>
      <c r="J173" s="35"/>
      <c r="K173" s="35"/>
      <c r="L173" s="35"/>
      <c r="M173" s="35"/>
    </row>
    <row r="174" spans="2:16" s="1" customFormat="1" ht="14.25" x14ac:dyDescent="0.2">
      <c r="B174" s="57" t="s">
        <v>140</v>
      </c>
      <c r="C174" s="26">
        <v>76060</v>
      </c>
      <c r="D174" s="26">
        <v>1600</v>
      </c>
      <c r="E174" s="26">
        <v>2437.91</v>
      </c>
      <c r="F174" s="26">
        <v>0</v>
      </c>
      <c r="G174" s="26">
        <v>0</v>
      </c>
      <c r="H174" s="26">
        <v>0</v>
      </c>
      <c r="I174" s="190">
        <f t="shared" si="15"/>
        <v>80097.91</v>
      </c>
      <c r="J174" s="35"/>
      <c r="K174" s="35"/>
      <c r="L174" s="35"/>
      <c r="M174" s="35"/>
    </row>
    <row r="175" spans="2:16" s="1" customFormat="1" ht="14.25" x14ac:dyDescent="0.2">
      <c r="B175" s="57" t="s">
        <v>61</v>
      </c>
      <c r="C175" s="26">
        <v>0</v>
      </c>
      <c r="D175" s="26">
        <v>34325.449999999997</v>
      </c>
      <c r="E175" s="26">
        <v>70742.37</v>
      </c>
      <c r="F175" s="26">
        <v>0</v>
      </c>
      <c r="G175" s="26">
        <v>8310</v>
      </c>
      <c r="H175" s="26">
        <v>0</v>
      </c>
      <c r="I175" s="190">
        <f t="shared" si="15"/>
        <v>113377.81999999999</v>
      </c>
      <c r="J175" s="35"/>
      <c r="K175" s="35"/>
      <c r="L175" s="35"/>
      <c r="M175" s="35"/>
    </row>
    <row r="176" spans="2:16" s="1" customFormat="1" ht="14.25" x14ac:dyDescent="0.2">
      <c r="B176" s="205" t="s">
        <v>62</v>
      </c>
      <c r="C176" s="27">
        <v>0</v>
      </c>
      <c r="D176" s="27">
        <v>3149.84</v>
      </c>
      <c r="E176" s="27">
        <v>9797.16</v>
      </c>
      <c r="F176" s="27">
        <v>0</v>
      </c>
      <c r="G176" s="27">
        <v>345</v>
      </c>
      <c r="H176" s="27">
        <v>0</v>
      </c>
      <c r="I176" s="206">
        <f t="shared" si="15"/>
        <v>13292</v>
      </c>
      <c r="J176" s="35"/>
      <c r="K176" s="35"/>
      <c r="L176" s="35"/>
      <c r="M176" s="35"/>
    </row>
    <row r="177" spans="2:16" s="1" customFormat="1" ht="15.75" customHeight="1" x14ac:dyDescent="0.2">
      <c r="B177" s="207" t="s">
        <v>95</v>
      </c>
      <c r="C177" s="45">
        <f t="shared" ref="C177:H177" si="16">C167+C168+C169+C176</f>
        <v>76060</v>
      </c>
      <c r="D177" s="45">
        <f t="shared" si="16"/>
        <v>902815.53999999992</v>
      </c>
      <c r="E177" s="45">
        <f t="shared" si="16"/>
        <v>1931856.38</v>
      </c>
      <c r="F177" s="45">
        <f t="shared" si="16"/>
        <v>0</v>
      </c>
      <c r="G177" s="45">
        <f t="shared" si="16"/>
        <v>449737</v>
      </c>
      <c r="H177" s="45">
        <f t="shared" si="16"/>
        <v>280699</v>
      </c>
      <c r="I177" s="208">
        <f t="shared" si="15"/>
        <v>3641167.92</v>
      </c>
      <c r="J177" s="35"/>
      <c r="K177" s="35"/>
      <c r="L177" s="35"/>
      <c r="M177" s="35"/>
    </row>
    <row r="178" spans="2:16" s="1" customFormat="1" ht="14.25" x14ac:dyDescent="0.2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2:16" s="1" customFormat="1" ht="14.25" x14ac:dyDescent="0.2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2:16" s="1" customFormat="1" ht="14.25" x14ac:dyDescent="0.2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2:16" s="1" customFormat="1" ht="17.25" customHeight="1" x14ac:dyDescent="0.25">
      <c r="B181" s="199" t="s">
        <v>141</v>
      </c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</row>
    <row r="182" spans="2:16" s="1" customFormat="1" ht="7.5" customHeight="1" x14ac:dyDescent="0.2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</row>
    <row r="183" spans="2:16" s="1" customFormat="1" ht="19.5" customHeight="1" x14ac:dyDescent="0.2">
      <c r="B183" s="576" t="s">
        <v>99</v>
      </c>
      <c r="C183" s="576"/>
      <c r="D183" s="576"/>
      <c r="E183" s="576"/>
      <c r="F183" s="200"/>
      <c r="G183" s="35"/>
      <c r="H183" s="35"/>
      <c r="I183" s="35"/>
      <c r="J183" s="35"/>
      <c r="K183" s="35"/>
      <c r="L183" s="35"/>
      <c r="M183" s="35"/>
      <c r="N183" s="35"/>
      <c r="O183" s="35"/>
      <c r="P183" s="35"/>
    </row>
    <row r="184" spans="2:16" s="1" customFormat="1" ht="14.25" x14ac:dyDescent="0.2">
      <c r="B184" s="566" t="s">
        <v>131</v>
      </c>
      <c r="C184" s="566"/>
      <c r="D184" s="566"/>
      <c r="E184" s="48">
        <v>7815.43</v>
      </c>
      <c r="F184" s="211"/>
      <c r="G184" s="35"/>
      <c r="H184" s="35"/>
      <c r="I184" s="35"/>
      <c r="J184" s="35"/>
      <c r="K184" s="35"/>
      <c r="L184" s="35"/>
      <c r="M184" s="35"/>
      <c r="N184" s="35"/>
      <c r="O184" s="35"/>
      <c r="P184" s="35"/>
    </row>
    <row r="185" spans="2:16" s="1" customFormat="1" ht="25.5" customHeight="1" x14ac:dyDescent="0.2">
      <c r="B185" s="566" t="s">
        <v>538</v>
      </c>
      <c r="C185" s="566"/>
      <c r="D185" s="566"/>
      <c r="E185" s="48">
        <v>1600</v>
      </c>
      <c r="F185" s="211"/>
      <c r="G185" s="35"/>
      <c r="H185" s="35"/>
      <c r="I185" s="35"/>
      <c r="J185" s="35"/>
      <c r="K185" s="35"/>
      <c r="L185" s="35"/>
      <c r="M185" s="35"/>
      <c r="N185" s="35"/>
      <c r="O185" s="35"/>
      <c r="P185" s="35"/>
    </row>
    <row r="186" spans="2:16" s="1" customFormat="1" ht="14.25" x14ac:dyDescent="0.2">
      <c r="B186" s="566" t="s">
        <v>132</v>
      </c>
      <c r="C186" s="566"/>
      <c r="D186" s="566"/>
      <c r="E186" s="48">
        <v>32936.9</v>
      </c>
      <c r="F186" s="211"/>
      <c r="G186" s="35"/>
      <c r="H186" s="35"/>
      <c r="I186" s="35"/>
      <c r="J186" s="35"/>
      <c r="K186" s="35"/>
      <c r="L186" s="35"/>
      <c r="M186" s="35"/>
      <c r="N186" s="35"/>
      <c r="O186" s="35"/>
      <c r="P186" s="35"/>
    </row>
    <row r="187" spans="2:16" s="1" customFormat="1" ht="14.25" x14ac:dyDescent="0.2">
      <c r="B187" s="566" t="s">
        <v>133</v>
      </c>
      <c r="C187" s="566"/>
      <c r="D187" s="566"/>
      <c r="E187" s="48">
        <v>18489.599999999999</v>
      </c>
      <c r="F187" s="211"/>
      <c r="G187" s="35"/>
      <c r="H187" s="35"/>
      <c r="I187" s="35"/>
      <c r="J187" s="35"/>
      <c r="K187" s="35"/>
      <c r="L187" s="35"/>
      <c r="M187" s="35"/>
      <c r="N187" s="35"/>
      <c r="O187" s="35"/>
      <c r="P187" s="35"/>
    </row>
    <row r="188" spans="2:16" s="192" customFormat="1" x14ac:dyDescent="0.25">
      <c r="B188" s="593" t="s">
        <v>103</v>
      </c>
      <c r="C188" s="593"/>
      <c r="D188" s="593"/>
      <c r="E188" s="41">
        <v>45254.25</v>
      </c>
      <c r="F188" s="201"/>
    </row>
    <row r="189" spans="2:16" s="192" customFormat="1" x14ac:dyDescent="0.25">
      <c r="B189" s="57" t="s">
        <v>142</v>
      </c>
      <c r="C189" s="57"/>
      <c r="D189" s="57"/>
      <c r="E189" s="41">
        <v>0</v>
      </c>
      <c r="F189" s="201"/>
    </row>
    <row r="190" spans="2:16" s="1" customFormat="1" ht="19.5" customHeight="1" x14ac:dyDescent="0.2">
      <c r="B190" s="575" t="s">
        <v>95</v>
      </c>
      <c r="C190" s="575"/>
      <c r="D190" s="575"/>
      <c r="E190" s="216">
        <f>SUM(E184:E189)</f>
        <v>106096.18</v>
      </c>
      <c r="F190" s="217"/>
      <c r="G190" s="35"/>
      <c r="H190" s="35"/>
      <c r="I190" s="35"/>
      <c r="J190" s="35"/>
      <c r="K190" s="35"/>
      <c r="L190" s="35"/>
      <c r="M190" s="35"/>
      <c r="N190" s="35"/>
      <c r="O190" s="35"/>
      <c r="P190" s="35"/>
    </row>
    <row r="191" spans="2:16" s="1" customFormat="1" ht="7.5" customHeight="1" x14ac:dyDescent="0.2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</row>
    <row r="192" spans="2:16" s="69" customFormat="1" ht="38.25" x14ac:dyDescent="0.25">
      <c r="B192" s="52" t="s">
        <v>52</v>
      </c>
      <c r="C192" s="592" t="s">
        <v>482</v>
      </c>
      <c r="D192" s="592"/>
      <c r="E192" s="592" t="s">
        <v>483</v>
      </c>
      <c r="F192" s="592"/>
      <c r="G192" s="592"/>
      <c r="H192" s="202" t="s">
        <v>484</v>
      </c>
      <c r="I192" s="37" t="s">
        <v>485</v>
      </c>
      <c r="J192" s="188" t="s">
        <v>95</v>
      </c>
    </row>
    <row r="193" spans="2:16" s="69" customFormat="1" x14ac:dyDescent="0.25">
      <c r="B193" s="203"/>
      <c r="C193" s="102" t="s">
        <v>287</v>
      </c>
      <c r="D193" s="102" t="s">
        <v>289</v>
      </c>
      <c r="E193" s="102" t="s">
        <v>295</v>
      </c>
      <c r="F193" s="102" t="s">
        <v>296</v>
      </c>
      <c r="G193" s="102" t="s">
        <v>298</v>
      </c>
      <c r="H193" s="102" t="s">
        <v>291</v>
      </c>
      <c r="I193" s="102" t="s">
        <v>307</v>
      </c>
      <c r="J193" s="204"/>
    </row>
    <row r="194" spans="2:16" s="1" customFormat="1" ht="14.25" x14ac:dyDescent="0.2">
      <c r="B194" s="205" t="s">
        <v>53</v>
      </c>
      <c r="C194" s="27">
        <v>220372.54</v>
      </c>
      <c r="D194" s="27">
        <v>354492</v>
      </c>
      <c r="E194" s="27">
        <v>0</v>
      </c>
      <c r="F194" s="27">
        <v>40900</v>
      </c>
      <c r="G194" s="27">
        <v>41600</v>
      </c>
      <c r="H194" s="27">
        <v>67540</v>
      </c>
      <c r="I194" s="27">
        <v>0</v>
      </c>
      <c r="J194" s="206">
        <f t="shared" ref="J194:J205" si="17">C194+D194+F194+G194+H194+I194+E194</f>
        <v>724904.54</v>
      </c>
      <c r="K194" s="35"/>
      <c r="L194" s="35"/>
      <c r="M194" s="35"/>
      <c r="N194" s="35"/>
    </row>
    <row r="195" spans="2:16" s="1" customFormat="1" ht="14.25" x14ac:dyDescent="0.2">
      <c r="B195" s="205" t="s">
        <v>54</v>
      </c>
      <c r="C195" s="27">
        <v>81348.81</v>
      </c>
      <c r="D195" s="27">
        <v>127893</v>
      </c>
      <c r="E195" s="27">
        <v>0</v>
      </c>
      <c r="F195" s="27">
        <v>14890</v>
      </c>
      <c r="G195" s="27">
        <v>14400</v>
      </c>
      <c r="H195" s="27">
        <v>24410</v>
      </c>
      <c r="I195" s="27">
        <v>0</v>
      </c>
      <c r="J195" s="206">
        <f t="shared" si="17"/>
        <v>262941.81</v>
      </c>
      <c r="K195" s="35"/>
      <c r="L195" s="35"/>
      <c r="M195" s="35"/>
      <c r="N195" s="35"/>
    </row>
    <row r="196" spans="2:16" s="1" customFormat="1" ht="14.25" x14ac:dyDescent="0.2">
      <c r="B196" s="205" t="s">
        <v>55</v>
      </c>
      <c r="C196" s="27">
        <f t="shared" ref="C196:I196" si="18">SUM(C197:C202)</f>
        <v>106971.65</v>
      </c>
      <c r="D196" s="27">
        <f t="shared" si="18"/>
        <v>130295.84</v>
      </c>
      <c r="E196" s="27">
        <f t="shared" si="18"/>
        <v>10381</v>
      </c>
      <c r="F196" s="27">
        <f t="shared" si="18"/>
        <v>58308.000000000007</v>
      </c>
      <c r="G196" s="27">
        <f t="shared" si="18"/>
        <v>115045.98</v>
      </c>
      <c r="H196" s="27">
        <f t="shared" si="18"/>
        <v>21226</v>
      </c>
      <c r="I196" s="27">
        <f t="shared" si="18"/>
        <v>0</v>
      </c>
      <c r="J196" s="206">
        <f t="shared" si="17"/>
        <v>442228.47</v>
      </c>
      <c r="K196" s="35"/>
      <c r="L196" s="35"/>
      <c r="M196" s="35"/>
      <c r="N196" s="35"/>
    </row>
    <row r="197" spans="2:16" s="1" customFormat="1" ht="14.25" x14ac:dyDescent="0.2">
      <c r="B197" s="57" t="s">
        <v>56</v>
      </c>
      <c r="C197" s="26">
        <v>22120</v>
      </c>
      <c r="D197" s="26">
        <v>67605.66</v>
      </c>
      <c r="E197" s="26">
        <v>0</v>
      </c>
      <c r="F197" s="26">
        <v>11015</v>
      </c>
      <c r="G197" s="26">
        <v>16600</v>
      </c>
      <c r="H197" s="26">
        <v>11900</v>
      </c>
      <c r="I197" s="26">
        <v>0</v>
      </c>
      <c r="J197" s="190">
        <f t="shared" si="17"/>
        <v>129240.66</v>
      </c>
      <c r="K197" s="35"/>
      <c r="L197" s="35"/>
      <c r="M197" s="35"/>
      <c r="N197" s="35"/>
    </row>
    <row r="198" spans="2:16" s="1" customFormat="1" ht="14.25" x14ac:dyDescent="0.2">
      <c r="B198" s="57" t="s">
        <v>57</v>
      </c>
      <c r="C198" s="26">
        <v>12515</v>
      </c>
      <c r="D198" s="26">
        <v>17050</v>
      </c>
      <c r="E198" s="26">
        <v>5000</v>
      </c>
      <c r="F198" s="26">
        <v>25835.24</v>
      </c>
      <c r="G198" s="26">
        <v>83096.92</v>
      </c>
      <c r="H198" s="26">
        <v>3396</v>
      </c>
      <c r="I198" s="26">
        <v>0</v>
      </c>
      <c r="J198" s="190">
        <f t="shared" si="17"/>
        <v>146893.16</v>
      </c>
      <c r="K198" s="35"/>
      <c r="L198" s="35"/>
      <c r="M198" s="35"/>
      <c r="N198" s="35"/>
    </row>
    <row r="199" spans="2:16" s="1" customFormat="1" ht="14.25" x14ac:dyDescent="0.2">
      <c r="B199" s="57" t="s">
        <v>58</v>
      </c>
      <c r="C199" s="26">
        <v>840</v>
      </c>
      <c r="D199" s="26">
        <v>0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190">
        <f t="shared" si="17"/>
        <v>840</v>
      </c>
      <c r="K199" s="35"/>
      <c r="L199" s="35"/>
      <c r="M199" s="35"/>
      <c r="N199" s="35"/>
    </row>
    <row r="200" spans="2:16" s="1" customFormat="1" ht="15.75" customHeight="1" x14ac:dyDescent="0.2">
      <c r="B200" s="57" t="s">
        <v>59</v>
      </c>
      <c r="C200" s="26">
        <v>57747</v>
      </c>
      <c r="D200" s="26">
        <v>26650</v>
      </c>
      <c r="E200" s="26">
        <v>0</v>
      </c>
      <c r="F200" s="26">
        <v>15682.76</v>
      </c>
      <c r="G200" s="26">
        <v>2800</v>
      </c>
      <c r="H200" s="26">
        <v>3500</v>
      </c>
      <c r="I200" s="26">
        <v>0</v>
      </c>
      <c r="J200" s="190">
        <f t="shared" si="17"/>
        <v>106379.76</v>
      </c>
      <c r="K200" s="35"/>
      <c r="L200" s="35"/>
      <c r="M200" s="35"/>
      <c r="N200" s="35"/>
    </row>
    <row r="201" spans="2:16" s="1" customFormat="1" ht="15.75" customHeight="1" x14ac:dyDescent="0.2">
      <c r="B201" s="57" t="s">
        <v>140</v>
      </c>
      <c r="C201" s="26">
        <v>100</v>
      </c>
      <c r="D201" s="26">
        <v>0</v>
      </c>
      <c r="E201" s="26">
        <v>0</v>
      </c>
      <c r="F201" s="26">
        <v>0</v>
      </c>
      <c r="G201" s="26">
        <v>0</v>
      </c>
      <c r="H201" s="26">
        <v>0</v>
      </c>
      <c r="I201" s="26">
        <v>0</v>
      </c>
      <c r="J201" s="190">
        <f t="shared" si="17"/>
        <v>100</v>
      </c>
      <c r="K201" s="35"/>
      <c r="L201" s="35"/>
      <c r="M201" s="35"/>
      <c r="N201" s="35"/>
    </row>
    <row r="202" spans="2:16" s="1" customFormat="1" ht="14.25" x14ac:dyDescent="0.2">
      <c r="B202" s="57" t="s">
        <v>61</v>
      </c>
      <c r="C202" s="26">
        <v>13649.65</v>
      </c>
      <c r="D202" s="26">
        <v>18990.18</v>
      </c>
      <c r="E202" s="26">
        <v>5381</v>
      </c>
      <c r="F202" s="26">
        <v>5775</v>
      </c>
      <c r="G202" s="26">
        <v>12549.06</v>
      </c>
      <c r="H202" s="26">
        <v>2430</v>
      </c>
      <c r="I202" s="26">
        <v>0</v>
      </c>
      <c r="J202" s="190">
        <f t="shared" si="17"/>
        <v>58774.89</v>
      </c>
      <c r="K202" s="35"/>
      <c r="L202" s="35"/>
      <c r="M202" s="35"/>
      <c r="N202" s="35"/>
    </row>
    <row r="203" spans="2:16" s="1" customFormat="1" ht="14.25" x14ac:dyDescent="0.2">
      <c r="B203" s="205" t="s">
        <v>62</v>
      </c>
      <c r="C203" s="27">
        <v>1100</v>
      </c>
      <c r="D203" s="27">
        <v>2167</v>
      </c>
      <c r="E203" s="27">
        <v>0</v>
      </c>
      <c r="F203" s="27">
        <v>2860</v>
      </c>
      <c r="G203" s="27">
        <v>0</v>
      </c>
      <c r="H203" s="27">
        <v>0</v>
      </c>
      <c r="I203" s="27">
        <v>0</v>
      </c>
      <c r="J203" s="206">
        <f t="shared" si="17"/>
        <v>6127</v>
      </c>
      <c r="K203" s="35"/>
      <c r="L203" s="35"/>
      <c r="M203" s="35"/>
      <c r="N203" s="35"/>
    </row>
    <row r="204" spans="2:16" s="1" customFormat="1" ht="14.25" x14ac:dyDescent="0.2">
      <c r="B204" s="205" t="s">
        <v>487</v>
      </c>
      <c r="C204" s="27">
        <v>0</v>
      </c>
      <c r="D204" s="27">
        <v>0</v>
      </c>
      <c r="E204" s="27">
        <v>0</v>
      </c>
      <c r="F204" s="27">
        <v>5511</v>
      </c>
      <c r="G204" s="27">
        <v>0</v>
      </c>
      <c r="H204" s="27">
        <v>0</v>
      </c>
      <c r="I204" s="27">
        <v>0</v>
      </c>
      <c r="J204" s="206">
        <f t="shared" si="17"/>
        <v>5511</v>
      </c>
      <c r="K204" s="35"/>
      <c r="L204" s="35"/>
      <c r="M204" s="35"/>
      <c r="N204" s="35"/>
    </row>
    <row r="205" spans="2:16" s="1" customFormat="1" ht="22.5" customHeight="1" x14ac:dyDescent="0.2">
      <c r="B205" s="207" t="s">
        <v>95</v>
      </c>
      <c r="C205" s="45">
        <f>C194+C195+C196+C203</f>
        <v>409793</v>
      </c>
      <c r="D205" s="45">
        <f>D194+D195+D196+D203+D204</f>
        <v>614847.84</v>
      </c>
      <c r="E205" s="45">
        <f>E194+E195+E196+E203</f>
        <v>10381</v>
      </c>
      <c r="F205" s="45">
        <f>F194+F195+F196+F203+F204</f>
        <v>122469</v>
      </c>
      <c r="G205" s="45">
        <f>G194+G195+G196+G203+G204</f>
        <v>171045.97999999998</v>
      </c>
      <c r="H205" s="45">
        <f>H194+H195+H196+H203</f>
        <v>113176</v>
      </c>
      <c r="I205" s="45">
        <f>I194+I195+I196+I203</f>
        <v>0</v>
      </c>
      <c r="J205" s="208">
        <f t="shared" si="17"/>
        <v>1441712.8199999998</v>
      </c>
      <c r="K205" s="35"/>
      <c r="L205" s="35"/>
      <c r="M205" s="35"/>
      <c r="N205" s="35"/>
    </row>
    <row r="206" spans="2:16" s="1" customFormat="1" ht="14.25" x14ac:dyDescent="0.2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</row>
    <row r="207" spans="2:16" s="1" customFormat="1" ht="14.25" x14ac:dyDescent="0.2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</row>
    <row r="208" spans="2:16" s="1" customFormat="1" ht="14.25" x14ac:dyDescent="0.2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</row>
    <row r="209" spans="2:16" s="1" customFormat="1" ht="14.25" x14ac:dyDescent="0.2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</row>
    <row r="210" spans="2:16" s="1" customFormat="1" ht="14.25" x14ac:dyDescent="0.2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</row>
    <row r="211" spans="2:16" s="1" customFormat="1" ht="14.25" x14ac:dyDescent="0.2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</row>
    <row r="212" spans="2:16" s="1" customFormat="1" ht="14.25" x14ac:dyDescent="0.2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</row>
    <row r="213" spans="2:16" s="1" customFormat="1" ht="14.25" x14ac:dyDescent="0.2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</row>
    <row r="214" spans="2:16" s="1" customFormat="1" ht="14.25" x14ac:dyDescent="0.2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</row>
    <row r="215" spans="2:16" s="1" customFormat="1" ht="14.25" x14ac:dyDescent="0.2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</row>
    <row r="216" spans="2:16" s="1" customFormat="1" ht="14.25" x14ac:dyDescent="0.2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</row>
    <row r="217" spans="2:16" s="1" customFormat="1" ht="14.25" x14ac:dyDescent="0.2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</row>
    <row r="218" spans="2:16" s="1" customFormat="1" ht="14.25" x14ac:dyDescent="0.2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</row>
    <row r="219" spans="2:16" s="1" customFormat="1" ht="14.25" x14ac:dyDescent="0.2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</row>
    <row r="220" spans="2:16" s="1" customFormat="1" ht="14.25" x14ac:dyDescent="0.2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</row>
    <row r="221" spans="2:16" s="1" customFormat="1" ht="14.25" x14ac:dyDescent="0.2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</row>
    <row r="222" spans="2:16" s="1" customFormat="1" ht="14.25" x14ac:dyDescent="0.2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</row>
    <row r="223" spans="2:16" s="1" customFormat="1" ht="14.25" x14ac:dyDescent="0.2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</row>
    <row r="224" spans="2:16" s="1" customFormat="1" ht="14.25" x14ac:dyDescent="0.2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</row>
    <row r="225" spans="2:16" s="1" customFormat="1" ht="14.25" x14ac:dyDescent="0.2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</row>
    <row r="226" spans="2:16" s="1" customFormat="1" ht="14.25" x14ac:dyDescent="0.2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</row>
    <row r="227" spans="2:16" s="1" customFormat="1" ht="14.25" x14ac:dyDescent="0.2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</row>
    <row r="228" spans="2:16" s="1" customFormat="1" ht="14.25" x14ac:dyDescent="0.2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</row>
    <row r="229" spans="2:16" s="1" customFormat="1" ht="14.25" x14ac:dyDescent="0.2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</row>
    <row r="230" spans="2:16" s="1" customFormat="1" ht="14.25" x14ac:dyDescent="0.2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</row>
    <row r="231" spans="2:16" s="1" customFormat="1" ht="18" x14ac:dyDescent="0.25">
      <c r="B231" s="199" t="s">
        <v>143</v>
      </c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</row>
    <row r="232" spans="2:16" s="1" customFormat="1" ht="7.5" customHeight="1" x14ac:dyDescent="0.2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</row>
    <row r="233" spans="2:16" s="1" customFormat="1" ht="20.25" customHeight="1" x14ac:dyDescent="0.2">
      <c r="B233" s="576" t="s">
        <v>99</v>
      </c>
      <c r="C233" s="576"/>
      <c r="D233" s="576"/>
      <c r="E233" s="576"/>
      <c r="F233" s="200"/>
      <c r="G233" s="35"/>
      <c r="H233" s="35"/>
      <c r="I233" s="35"/>
      <c r="J233" s="35"/>
      <c r="K233" s="35"/>
      <c r="L233" s="35"/>
      <c r="M233" s="35"/>
      <c r="N233" s="35"/>
      <c r="O233" s="35"/>
      <c r="P233" s="35"/>
    </row>
    <row r="234" spans="2:16" s="1" customFormat="1" ht="14.25" x14ac:dyDescent="0.2">
      <c r="B234" s="566" t="s">
        <v>131</v>
      </c>
      <c r="C234" s="566"/>
      <c r="D234" s="566"/>
      <c r="E234" s="26">
        <v>499</v>
      </c>
      <c r="F234" s="58"/>
      <c r="G234" s="35"/>
      <c r="H234" s="35"/>
      <c r="I234" s="35"/>
      <c r="J234" s="35"/>
      <c r="K234" s="35"/>
      <c r="L234" s="35"/>
      <c r="M234" s="35"/>
      <c r="N234" s="35"/>
      <c r="O234" s="35"/>
      <c r="P234" s="35"/>
    </row>
    <row r="235" spans="2:16" s="1" customFormat="1" ht="24.75" customHeight="1" x14ac:dyDescent="0.2">
      <c r="B235" s="566" t="s">
        <v>538</v>
      </c>
      <c r="C235" s="566"/>
      <c r="D235" s="566"/>
      <c r="E235" s="26">
        <v>1600</v>
      </c>
      <c r="F235" s="58"/>
      <c r="G235" s="35"/>
      <c r="H235" s="35"/>
      <c r="I235" s="35"/>
      <c r="J235" s="35"/>
      <c r="K235" s="35"/>
      <c r="L235" s="35"/>
      <c r="M235" s="35"/>
      <c r="N235" s="35"/>
      <c r="O235" s="35"/>
      <c r="P235" s="35"/>
    </row>
    <row r="236" spans="2:16" s="1" customFormat="1" ht="14.25" x14ac:dyDescent="0.2">
      <c r="B236" s="566" t="s">
        <v>47</v>
      </c>
      <c r="C236" s="566"/>
      <c r="D236" s="566"/>
      <c r="E236" s="26">
        <v>45215.66</v>
      </c>
      <c r="F236" s="58"/>
      <c r="G236" s="35"/>
      <c r="H236" s="35"/>
      <c r="I236" s="35"/>
      <c r="J236" s="35"/>
      <c r="K236" s="35"/>
      <c r="L236" s="35"/>
      <c r="M236" s="35"/>
      <c r="N236" s="35"/>
      <c r="O236" s="35"/>
      <c r="P236" s="35"/>
    </row>
    <row r="237" spans="2:16" s="1" customFormat="1" ht="14.25" x14ac:dyDescent="0.2">
      <c r="B237" s="566" t="s">
        <v>133</v>
      </c>
      <c r="C237" s="566"/>
      <c r="D237" s="566"/>
      <c r="E237" s="26">
        <v>41003</v>
      </c>
      <c r="F237" s="58"/>
      <c r="G237" s="35"/>
      <c r="H237" s="35"/>
      <c r="I237" s="35"/>
      <c r="J237" s="35"/>
      <c r="K237" s="35"/>
      <c r="L237" s="35"/>
      <c r="M237" s="35"/>
      <c r="N237" s="35"/>
      <c r="O237" s="35"/>
      <c r="P237" s="35"/>
    </row>
    <row r="238" spans="2:16" s="1" customFormat="1" ht="14.25" x14ac:dyDescent="0.2">
      <c r="B238" s="101" t="s">
        <v>103</v>
      </c>
      <c r="C238" s="101"/>
      <c r="D238" s="101"/>
      <c r="E238" s="26">
        <v>52315</v>
      </c>
      <c r="F238" s="58"/>
      <c r="G238" s="35"/>
      <c r="H238" s="35"/>
      <c r="I238" s="35"/>
      <c r="J238" s="35"/>
      <c r="K238" s="35"/>
      <c r="L238" s="35"/>
      <c r="M238" s="35"/>
      <c r="N238" s="35"/>
      <c r="O238" s="35"/>
      <c r="P238" s="35"/>
    </row>
    <row r="239" spans="2:16" s="1" customFormat="1" ht="21" customHeight="1" x14ac:dyDescent="0.2">
      <c r="B239" s="575" t="s">
        <v>95</v>
      </c>
      <c r="C239" s="575"/>
      <c r="D239" s="575"/>
      <c r="E239" s="45">
        <f>SUM(E234:E238)</f>
        <v>140632.66</v>
      </c>
      <c r="F239" s="218"/>
      <c r="G239" s="99"/>
      <c r="H239" s="35"/>
      <c r="I239" s="35"/>
      <c r="J239" s="35"/>
      <c r="K239" s="35"/>
      <c r="L239" s="35"/>
      <c r="M239" s="35"/>
      <c r="N239" s="35"/>
      <c r="O239" s="35"/>
      <c r="P239" s="35"/>
    </row>
    <row r="240" spans="2:16" s="1" customFormat="1" ht="9.75" customHeight="1" x14ac:dyDescent="0.2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</row>
    <row r="241" spans="2:16" s="69" customFormat="1" ht="38.25" x14ac:dyDescent="0.25">
      <c r="B241" s="52" t="s">
        <v>52</v>
      </c>
      <c r="C241" s="592" t="s">
        <v>482</v>
      </c>
      <c r="D241" s="592"/>
      <c r="E241" s="592" t="s">
        <v>483</v>
      </c>
      <c r="F241" s="592"/>
      <c r="G241" s="37" t="s">
        <v>484</v>
      </c>
      <c r="H241" s="188" t="s">
        <v>95</v>
      </c>
    </row>
    <row r="242" spans="2:16" s="69" customFormat="1" x14ac:dyDescent="0.25">
      <c r="B242" s="203"/>
      <c r="C242" s="102" t="s">
        <v>287</v>
      </c>
      <c r="D242" s="102" t="s">
        <v>289</v>
      </c>
      <c r="E242" s="102" t="s">
        <v>296</v>
      </c>
      <c r="F242" s="102" t="s">
        <v>298</v>
      </c>
      <c r="G242" s="102" t="s">
        <v>291</v>
      </c>
      <c r="H242" s="204"/>
    </row>
    <row r="243" spans="2:16" s="1" customFormat="1" ht="14.25" x14ac:dyDescent="0.2">
      <c r="B243" s="205" t="s">
        <v>53</v>
      </c>
      <c r="C243" s="27">
        <v>458191.19</v>
      </c>
      <c r="D243" s="27">
        <v>860510.02</v>
      </c>
      <c r="E243" s="27">
        <v>53580.06</v>
      </c>
      <c r="F243" s="27">
        <v>89199</v>
      </c>
      <c r="G243" s="27">
        <v>154390</v>
      </c>
      <c r="H243" s="206">
        <f t="shared" ref="H243:H254" si="19">C243+D243+E243+F243+G243</f>
        <v>1615870.27</v>
      </c>
      <c r="I243" s="35"/>
      <c r="J243" s="35"/>
      <c r="K243" s="35"/>
      <c r="L243" s="35"/>
    </row>
    <row r="244" spans="2:16" s="1" customFormat="1" ht="14.25" x14ac:dyDescent="0.2">
      <c r="B244" s="205" t="s">
        <v>54</v>
      </c>
      <c r="C244" s="27">
        <v>169135.02</v>
      </c>
      <c r="D244" s="27">
        <v>321986</v>
      </c>
      <c r="E244" s="27">
        <v>19701.330000000002</v>
      </c>
      <c r="F244" s="27">
        <v>33883.61</v>
      </c>
      <c r="G244" s="27">
        <v>58449</v>
      </c>
      <c r="H244" s="206">
        <f t="shared" si="19"/>
        <v>603154.96000000008</v>
      </c>
      <c r="I244" s="35"/>
      <c r="J244" s="35"/>
      <c r="K244" s="35"/>
      <c r="L244" s="35"/>
    </row>
    <row r="245" spans="2:16" s="1" customFormat="1" ht="14.25" x14ac:dyDescent="0.2">
      <c r="B245" s="205" t="s">
        <v>55</v>
      </c>
      <c r="C245" s="27">
        <f>SUM(C246:C252)</f>
        <v>97131.17</v>
      </c>
      <c r="D245" s="27">
        <f t="shared" ref="D245:G245" si="20">SUM(D246:D252)</f>
        <v>140035.84</v>
      </c>
      <c r="E245" s="27">
        <f t="shared" si="20"/>
        <v>102088.07</v>
      </c>
      <c r="F245" s="27">
        <f t="shared" si="20"/>
        <v>151156.20000000001</v>
      </c>
      <c r="G245" s="27">
        <f t="shared" si="20"/>
        <v>13509</v>
      </c>
      <c r="H245" s="206">
        <f t="shared" si="19"/>
        <v>503920.28</v>
      </c>
      <c r="I245" s="35"/>
      <c r="J245" s="35"/>
      <c r="K245" s="35"/>
      <c r="L245" s="35"/>
    </row>
    <row r="246" spans="2:16" s="1" customFormat="1" ht="14.25" x14ac:dyDescent="0.2">
      <c r="B246" s="57" t="s">
        <v>93</v>
      </c>
      <c r="C246" s="26">
        <v>0</v>
      </c>
      <c r="D246" s="26">
        <v>1000</v>
      </c>
      <c r="E246" s="26">
        <v>0</v>
      </c>
      <c r="F246" s="26">
        <v>0</v>
      </c>
      <c r="G246" s="26">
        <v>0</v>
      </c>
      <c r="H246" s="190">
        <f t="shared" si="19"/>
        <v>1000</v>
      </c>
      <c r="I246" s="35"/>
      <c r="J246" s="35"/>
      <c r="K246" s="35"/>
      <c r="L246" s="35"/>
    </row>
    <row r="247" spans="2:16" s="1" customFormat="1" ht="14.25" x14ac:dyDescent="0.2">
      <c r="B247" s="57" t="s">
        <v>56</v>
      </c>
      <c r="C247" s="26">
        <v>35769.18</v>
      </c>
      <c r="D247" s="26">
        <v>31168.26</v>
      </c>
      <c r="E247" s="26">
        <v>0</v>
      </c>
      <c r="F247" s="26">
        <v>4200</v>
      </c>
      <c r="G247" s="26">
        <v>5000</v>
      </c>
      <c r="H247" s="190">
        <f t="shared" si="19"/>
        <v>76137.440000000002</v>
      </c>
      <c r="I247" s="35"/>
      <c r="J247" s="35"/>
      <c r="K247" s="35"/>
      <c r="L247" s="35"/>
    </row>
    <row r="248" spans="2:16" s="1" customFormat="1" ht="14.25" x14ac:dyDescent="0.2">
      <c r="B248" s="57" t="s">
        <v>57</v>
      </c>
      <c r="C248" s="26">
        <v>24049.07</v>
      </c>
      <c r="D248" s="26">
        <v>40274.1</v>
      </c>
      <c r="E248" s="26">
        <v>90388.07</v>
      </c>
      <c r="F248" s="26">
        <v>139956.20000000001</v>
      </c>
      <c r="G248" s="26">
        <v>4289</v>
      </c>
      <c r="H248" s="190">
        <f t="shared" si="19"/>
        <v>298956.44</v>
      </c>
      <c r="I248" s="35"/>
      <c r="J248" s="35"/>
      <c r="K248" s="35"/>
      <c r="L248" s="35"/>
    </row>
    <row r="249" spans="2:16" s="1" customFormat="1" ht="14.25" x14ac:dyDescent="0.2">
      <c r="B249" s="57" t="s">
        <v>58</v>
      </c>
      <c r="C249" s="26">
        <v>0</v>
      </c>
      <c r="D249" s="26">
        <v>1100</v>
      </c>
      <c r="E249" s="26">
        <v>0</v>
      </c>
      <c r="F249" s="26">
        <v>0</v>
      </c>
      <c r="G249" s="26">
        <v>0</v>
      </c>
      <c r="H249" s="190">
        <f t="shared" si="19"/>
        <v>1100</v>
      </c>
      <c r="I249" s="35"/>
      <c r="J249" s="35"/>
      <c r="K249" s="35"/>
      <c r="L249" s="35"/>
    </row>
    <row r="250" spans="2:16" s="1" customFormat="1" ht="14.25" x14ac:dyDescent="0.2">
      <c r="B250" s="57" t="s">
        <v>60</v>
      </c>
      <c r="C250" s="26">
        <v>0</v>
      </c>
      <c r="D250" s="26">
        <v>300</v>
      </c>
      <c r="E250" s="26">
        <v>0</v>
      </c>
      <c r="F250" s="26">
        <v>0</v>
      </c>
      <c r="G250" s="26">
        <v>0</v>
      </c>
      <c r="H250" s="190">
        <f t="shared" si="19"/>
        <v>300</v>
      </c>
      <c r="I250" s="35"/>
      <c r="J250" s="35"/>
      <c r="K250" s="35"/>
      <c r="L250" s="35"/>
    </row>
    <row r="251" spans="2:16" s="1" customFormat="1" ht="14.25" customHeight="1" x14ac:dyDescent="0.2">
      <c r="B251" s="57" t="s">
        <v>59</v>
      </c>
      <c r="C251" s="26">
        <v>7750</v>
      </c>
      <c r="D251" s="26">
        <v>16780</v>
      </c>
      <c r="E251" s="26">
        <v>5600</v>
      </c>
      <c r="F251" s="26">
        <v>2500</v>
      </c>
      <c r="G251" s="26">
        <v>0</v>
      </c>
      <c r="H251" s="190">
        <f t="shared" si="19"/>
        <v>32630</v>
      </c>
      <c r="I251" s="35"/>
      <c r="J251" s="35"/>
      <c r="K251" s="35"/>
      <c r="L251" s="35"/>
    </row>
    <row r="252" spans="2:16" s="1" customFormat="1" ht="14.25" x14ac:dyDescent="0.2">
      <c r="B252" s="57" t="s">
        <v>61</v>
      </c>
      <c r="C252" s="26">
        <v>29562.92</v>
      </c>
      <c r="D252" s="26">
        <v>49413.48</v>
      </c>
      <c r="E252" s="26">
        <v>6100</v>
      </c>
      <c r="F252" s="26">
        <v>4500</v>
      </c>
      <c r="G252" s="26">
        <v>4220</v>
      </c>
      <c r="H252" s="190">
        <f t="shared" si="19"/>
        <v>93796.4</v>
      </c>
      <c r="I252" s="35"/>
      <c r="J252" s="35"/>
      <c r="K252" s="35"/>
      <c r="L252" s="35"/>
    </row>
    <row r="253" spans="2:16" s="1" customFormat="1" ht="14.25" x14ac:dyDescent="0.2">
      <c r="B253" s="205" t="s">
        <v>62</v>
      </c>
      <c r="C253" s="27">
        <v>2500</v>
      </c>
      <c r="D253" s="27">
        <v>8534.18</v>
      </c>
      <c r="E253" s="27">
        <v>300</v>
      </c>
      <c r="F253" s="27">
        <v>700</v>
      </c>
      <c r="G253" s="27">
        <v>1000</v>
      </c>
      <c r="H253" s="206">
        <f t="shared" si="19"/>
        <v>13034.18</v>
      </c>
      <c r="I253" s="35"/>
      <c r="J253" s="35"/>
      <c r="K253" s="35"/>
      <c r="L253" s="35"/>
    </row>
    <row r="254" spans="2:16" s="1" customFormat="1" ht="14.25" x14ac:dyDescent="0.2">
      <c r="B254" s="245" t="s">
        <v>488</v>
      </c>
      <c r="C254" s="30">
        <v>0</v>
      </c>
      <c r="D254" s="30">
        <v>0</v>
      </c>
      <c r="E254" s="30">
        <v>0</v>
      </c>
      <c r="F254" s="30">
        <v>0</v>
      </c>
      <c r="G254" s="30"/>
      <c r="H254" s="246">
        <f t="shared" si="19"/>
        <v>0</v>
      </c>
      <c r="I254" s="35"/>
      <c r="J254" s="35"/>
      <c r="K254" s="35"/>
      <c r="L254" s="35"/>
    </row>
    <row r="255" spans="2:16" s="1" customFormat="1" ht="24" customHeight="1" x14ac:dyDescent="0.2">
      <c r="B255" s="207" t="s">
        <v>95</v>
      </c>
      <c r="C255" s="45">
        <f>C243+C244+C245+C253</f>
        <v>726957.38</v>
      </c>
      <c r="D255" s="45">
        <f>D243+D244+D245+D253+D254</f>
        <v>1331066.04</v>
      </c>
      <c r="E255" s="45">
        <f>E243+E244+E245+E253</f>
        <v>175669.46000000002</v>
      </c>
      <c r="F255" s="45">
        <f>F243+F244+F245+F253</f>
        <v>274938.81</v>
      </c>
      <c r="G255" s="45">
        <f>G243+G244+G245+G253</f>
        <v>227348</v>
      </c>
      <c r="H255" s="208">
        <f>C255+D255+E255+F255+G255</f>
        <v>2735979.69</v>
      </c>
      <c r="I255" s="35"/>
      <c r="J255" s="35"/>
      <c r="K255" s="35"/>
      <c r="L255" s="35"/>
    </row>
    <row r="256" spans="2:16" s="1" customFormat="1" ht="14.25" x14ac:dyDescent="0.2">
      <c r="B256" s="35"/>
      <c r="C256" s="35"/>
      <c r="D256" s="35"/>
      <c r="E256" s="35"/>
      <c r="F256" s="35"/>
      <c r="G256" s="35"/>
      <c r="H256" s="35"/>
      <c r="I256" s="77"/>
      <c r="J256" s="77"/>
      <c r="K256" s="77"/>
      <c r="L256" s="35"/>
      <c r="M256" s="35"/>
      <c r="N256" s="35"/>
      <c r="O256" s="35"/>
      <c r="P256" s="35"/>
    </row>
    <row r="257" spans="2:16" s="1" customFormat="1" ht="14.25" x14ac:dyDescent="0.2">
      <c r="B257" s="35"/>
      <c r="C257" s="35"/>
      <c r="D257" s="35"/>
      <c r="E257" s="35"/>
      <c r="F257" s="35"/>
      <c r="G257" s="35"/>
      <c r="H257" s="35"/>
      <c r="I257" s="77"/>
      <c r="J257" s="77"/>
      <c r="K257" s="77"/>
      <c r="L257" s="35"/>
      <c r="M257" s="35"/>
      <c r="N257" s="35"/>
      <c r="O257" s="35"/>
      <c r="P257" s="35"/>
    </row>
    <row r="258" spans="2:16" s="1" customFormat="1" ht="14.25" x14ac:dyDescent="0.2">
      <c r="B258" s="35"/>
      <c r="C258" s="35"/>
      <c r="D258" s="35"/>
      <c r="E258" s="35"/>
      <c r="F258" s="35"/>
      <c r="G258" s="35"/>
      <c r="H258" s="35"/>
      <c r="I258" s="77"/>
      <c r="J258" s="77"/>
      <c r="K258" s="77"/>
      <c r="L258" s="35"/>
      <c r="M258" s="35"/>
      <c r="N258" s="35"/>
      <c r="O258" s="35"/>
      <c r="P258" s="35"/>
    </row>
    <row r="259" spans="2:16" s="1" customFormat="1" ht="18" x14ac:dyDescent="0.25">
      <c r="B259" s="199" t="s">
        <v>144</v>
      </c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</row>
    <row r="260" spans="2:16" s="1" customFormat="1" ht="7.5" customHeight="1" x14ac:dyDescent="0.2"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</row>
    <row r="261" spans="2:16" s="76" customFormat="1" ht="19.5" customHeight="1" x14ac:dyDescent="0.25">
      <c r="B261" s="576" t="s">
        <v>99</v>
      </c>
      <c r="C261" s="576"/>
      <c r="D261" s="576"/>
      <c r="E261" s="576"/>
      <c r="F261" s="200"/>
    </row>
    <row r="262" spans="2:16" s="1" customFormat="1" ht="14.25" x14ac:dyDescent="0.2">
      <c r="B262" s="566" t="s">
        <v>131</v>
      </c>
      <c r="C262" s="566"/>
      <c r="D262" s="566"/>
      <c r="E262" s="48">
        <v>18606.990000000002</v>
      </c>
      <c r="F262" s="211"/>
      <c r="G262" s="35"/>
      <c r="H262" s="35"/>
      <c r="I262" s="35"/>
      <c r="J262" s="35"/>
      <c r="K262" s="35"/>
      <c r="L262" s="35"/>
      <c r="M262" s="35"/>
      <c r="N262" s="35"/>
      <c r="O262" s="35"/>
      <c r="P262" s="35"/>
    </row>
    <row r="263" spans="2:16" s="1" customFormat="1" ht="26.25" customHeight="1" x14ac:dyDescent="0.2">
      <c r="B263" s="566" t="s">
        <v>538</v>
      </c>
      <c r="C263" s="566"/>
      <c r="D263" s="566"/>
      <c r="E263" s="48">
        <v>1200</v>
      </c>
      <c r="F263" s="211"/>
      <c r="G263" s="35"/>
      <c r="H263" s="35"/>
      <c r="I263" s="35"/>
      <c r="J263" s="35"/>
      <c r="K263" s="35"/>
      <c r="L263" s="35"/>
      <c r="M263" s="35"/>
      <c r="N263" s="35"/>
      <c r="O263" s="35"/>
      <c r="P263" s="35"/>
    </row>
    <row r="264" spans="2:16" s="1" customFormat="1" ht="14.25" x14ac:dyDescent="0.2">
      <c r="B264" s="566" t="s">
        <v>132</v>
      </c>
      <c r="C264" s="566"/>
      <c r="D264" s="566"/>
      <c r="E264" s="48">
        <v>82374.5</v>
      </c>
      <c r="F264" s="211"/>
      <c r="G264" s="35"/>
      <c r="H264" s="35"/>
      <c r="I264" s="35"/>
      <c r="J264" s="35"/>
      <c r="K264" s="35"/>
      <c r="L264" s="35"/>
      <c r="M264" s="35"/>
      <c r="N264" s="35"/>
      <c r="O264" s="35"/>
      <c r="P264" s="35"/>
    </row>
    <row r="265" spans="2:16" s="1" customFormat="1" ht="14.25" x14ac:dyDescent="0.2">
      <c r="B265" s="566" t="s">
        <v>133</v>
      </c>
      <c r="C265" s="566"/>
      <c r="D265" s="566"/>
      <c r="E265" s="48">
        <v>50904.4</v>
      </c>
      <c r="F265" s="211"/>
      <c r="G265" s="35"/>
      <c r="H265" s="35"/>
      <c r="I265" s="35"/>
      <c r="J265" s="35"/>
      <c r="K265" s="35"/>
      <c r="L265" s="35"/>
      <c r="M265" s="35"/>
      <c r="N265" s="35"/>
      <c r="O265" s="35"/>
      <c r="P265" s="35"/>
    </row>
    <row r="266" spans="2:16" s="192" customFormat="1" x14ac:dyDescent="0.25">
      <c r="B266" s="593" t="s">
        <v>103</v>
      </c>
      <c r="C266" s="593"/>
      <c r="D266" s="593"/>
      <c r="E266" s="41">
        <v>47348.5</v>
      </c>
      <c r="F266" s="201"/>
    </row>
    <row r="267" spans="2:16" s="192" customFormat="1" x14ac:dyDescent="0.25">
      <c r="B267" s="57" t="s">
        <v>49</v>
      </c>
      <c r="C267" s="57"/>
      <c r="D267" s="57"/>
      <c r="E267" s="41">
        <v>1465.92</v>
      </c>
      <c r="F267" s="201"/>
    </row>
    <row r="268" spans="2:16" s="192" customFormat="1" ht="14.25" customHeight="1" x14ac:dyDescent="0.25">
      <c r="B268" s="57" t="s">
        <v>134</v>
      </c>
      <c r="C268" s="57"/>
      <c r="D268" s="57"/>
      <c r="E268" s="41">
        <v>11740</v>
      </c>
      <c r="F268" s="201"/>
    </row>
    <row r="269" spans="2:16" s="1" customFormat="1" ht="20.25" customHeight="1" x14ac:dyDescent="0.2">
      <c r="B269" s="575" t="s">
        <v>95</v>
      </c>
      <c r="C269" s="575"/>
      <c r="D269" s="575"/>
      <c r="E269" s="216">
        <f>SUM(E262:E268)</f>
        <v>213640.31000000003</v>
      </c>
      <c r="F269" s="217"/>
      <c r="G269" s="35"/>
      <c r="H269" s="35"/>
      <c r="I269" s="35"/>
      <c r="J269" s="35"/>
      <c r="K269" s="35"/>
      <c r="L269" s="35"/>
      <c r="M269" s="35"/>
      <c r="N269" s="35"/>
      <c r="O269" s="35"/>
      <c r="P269" s="35"/>
    </row>
    <row r="270" spans="2:16" s="1" customFormat="1" ht="10.5" customHeight="1" x14ac:dyDescent="0.2"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</row>
    <row r="271" spans="2:16" s="69" customFormat="1" ht="38.25" x14ac:dyDescent="0.25">
      <c r="B271" s="52" t="s">
        <v>52</v>
      </c>
      <c r="C271" s="592" t="s">
        <v>482</v>
      </c>
      <c r="D271" s="592"/>
      <c r="E271" s="592" t="s">
        <v>483</v>
      </c>
      <c r="F271" s="592"/>
      <c r="G271" s="202" t="s">
        <v>484</v>
      </c>
      <c r="H271" s="37" t="s">
        <v>485</v>
      </c>
      <c r="I271" s="188" t="s">
        <v>95</v>
      </c>
    </row>
    <row r="272" spans="2:16" s="69" customFormat="1" x14ac:dyDescent="0.25">
      <c r="B272" s="203"/>
      <c r="C272" s="102" t="s">
        <v>287</v>
      </c>
      <c r="D272" s="102" t="s">
        <v>289</v>
      </c>
      <c r="E272" s="102" t="s">
        <v>296</v>
      </c>
      <c r="F272" s="102" t="s">
        <v>298</v>
      </c>
      <c r="G272" s="102" t="s">
        <v>291</v>
      </c>
      <c r="H272" s="102" t="s">
        <v>307</v>
      </c>
      <c r="I272" s="204"/>
    </row>
    <row r="273" spans="2:16" s="1" customFormat="1" ht="14.25" x14ac:dyDescent="0.2">
      <c r="B273" s="205" t="s">
        <v>53</v>
      </c>
      <c r="C273" s="27">
        <v>697044.72</v>
      </c>
      <c r="D273" s="27">
        <v>897676.88</v>
      </c>
      <c r="E273" s="27">
        <v>66062</v>
      </c>
      <c r="F273" s="27">
        <v>64591.75</v>
      </c>
      <c r="G273" s="27">
        <v>221115.16</v>
      </c>
      <c r="H273" s="27">
        <v>0</v>
      </c>
      <c r="I273" s="206">
        <f t="shared" ref="I273:I285" si="21">C273+D273+E273+F273+G273+H273</f>
        <v>1946490.51</v>
      </c>
      <c r="J273" s="35"/>
      <c r="K273" s="35"/>
      <c r="L273" s="35"/>
      <c r="M273" s="35"/>
    </row>
    <row r="274" spans="2:16" s="1" customFormat="1" ht="14.25" x14ac:dyDescent="0.2">
      <c r="B274" s="205" t="s">
        <v>54</v>
      </c>
      <c r="C274" s="27">
        <v>235641</v>
      </c>
      <c r="D274" s="27">
        <v>350462</v>
      </c>
      <c r="E274" s="27">
        <v>23245</v>
      </c>
      <c r="F274" s="27">
        <v>24794.63</v>
      </c>
      <c r="G274" s="27">
        <v>78635.34</v>
      </c>
      <c r="H274" s="27">
        <v>0</v>
      </c>
      <c r="I274" s="206">
        <f t="shared" si="21"/>
        <v>712777.97</v>
      </c>
      <c r="J274" s="35"/>
      <c r="K274" s="35"/>
      <c r="L274" s="35"/>
      <c r="M274" s="35"/>
    </row>
    <row r="275" spans="2:16" s="1" customFormat="1" ht="14.25" x14ac:dyDescent="0.2">
      <c r="B275" s="205" t="s">
        <v>55</v>
      </c>
      <c r="C275" s="27">
        <f t="shared" ref="C275:H275" si="22">SUM(C276:C281)</f>
        <v>46544.82</v>
      </c>
      <c r="D275" s="27">
        <f t="shared" si="22"/>
        <v>248571.52000000002</v>
      </c>
      <c r="E275" s="27">
        <f t="shared" si="22"/>
        <v>181631.61</v>
      </c>
      <c r="F275" s="27">
        <f t="shared" si="22"/>
        <v>213196.94</v>
      </c>
      <c r="G275" s="27">
        <f t="shared" si="22"/>
        <v>25360</v>
      </c>
      <c r="H275" s="27">
        <f t="shared" si="22"/>
        <v>0</v>
      </c>
      <c r="I275" s="206">
        <f t="shared" si="21"/>
        <v>715304.89</v>
      </c>
      <c r="J275" s="35"/>
      <c r="K275" s="35"/>
      <c r="L275" s="35"/>
      <c r="M275" s="35"/>
    </row>
    <row r="276" spans="2:16" s="1" customFormat="1" ht="14.25" x14ac:dyDescent="0.2">
      <c r="B276" s="57" t="s">
        <v>66</v>
      </c>
      <c r="C276" s="26">
        <v>1400</v>
      </c>
      <c r="D276" s="26">
        <v>1051.2</v>
      </c>
      <c r="E276" s="26">
        <v>0</v>
      </c>
      <c r="F276" s="26">
        <v>0</v>
      </c>
      <c r="G276" s="26">
        <v>100</v>
      </c>
      <c r="H276" s="26">
        <v>0</v>
      </c>
      <c r="I276" s="190">
        <f t="shared" si="21"/>
        <v>2551.1999999999998</v>
      </c>
      <c r="J276" s="35"/>
      <c r="K276" s="35"/>
      <c r="L276" s="35"/>
      <c r="M276" s="35"/>
    </row>
    <row r="277" spans="2:16" s="1" customFormat="1" ht="14.25" x14ac:dyDescent="0.2">
      <c r="B277" s="57" t="s">
        <v>56</v>
      </c>
      <c r="C277" s="26">
        <v>7564.15</v>
      </c>
      <c r="D277" s="26">
        <v>25963.38</v>
      </c>
      <c r="E277" s="26">
        <v>18960</v>
      </c>
      <c r="F277" s="26">
        <v>18879.22</v>
      </c>
      <c r="G277" s="26">
        <v>10900</v>
      </c>
      <c r="H277" s="26">
        <v>0</v>
      </c>
      <c r="I277" s="190">
        <f t="shared" si="21"/>
        <v>82266.75</v>
      </c>
      <c r="J277" s="35"/>
      <c r="K277" s="35"/>
      <c r="L277" s="35"/>
      <c r="M277" s="35"/>
    </row>
    <row r="278" spans="2:16" s="1" customFormat="1" ht="14.25" x14ac:dyDescent="0.2">
      <c r="B278" s="57" t="s">
        <v>57</v>
      </c>
      <c r="C278" s="26">
        <v>14676.34</v>
      </c>
      <c r="D278" s="26">
        <v>85530.93</v>
      </c>
      <c r="E278" s="26">
        <v>140066.74</v>
      </c>
      <c r="F278" s="26">
        <v>183658.02</v>
      </c>
      <c r="G278" s="26">
        <v>9760</v>
      </c>
      <c r="H278" s="26">
        <v>0</v>
      </c>
      <c r="I278" s="190">
        <f t="shared" si="21"/>
        <v>433692.02999999997</v>
      </c>
      <c r="J278" s="35"/>
      <c r="K278" s="35"/>
      <c r="L278" s="35"/>
      <c r="M278" s="35"/>
    </row>
    <row r="279" spans="2:16" s="1" customFormat="1" ht="16.5" customHeight="1" x14ac:dyDescent="0.2">
      <c r="B279" s="57" t="s">
        <v>59</v>
      </c>
      <c r="C279" s="26">
        <v>3268.27</v>
      </c>
      <c r="D279" s="26">
        <v>18928.400000000001</v>
      </c>
      <c r="E279" s="26">
        <v>3000</v>
      </c>
      <c r="F279" s="26">
        <v>6150</v>
      </c>
      <c r="G279" s="26">
        <v>0</v>
      </c>
      <c r="H279" s="26">
        <v>0</v>
      </c>
      <c r="I279" s="190">
        <f t="shared" si="21"/>
        <v>31346.670000000002</v>
      </c>
      <c r="J279" s="35"/>
      <c r="K279" s="35"/>
      <c r="L279" s="35"/>
      <c r="M279" s="35"/>
    </row>
    <row r="280" spans="2:16" s="1" customFormat="1" ht="14.25" x14ac:dyDescent="0.2">
      <c r="B280" s="57" t="s">
        <v>140</v>
      </c>
      <c r="C280" s="26">
        <v>1583.86</v>
      </c>
      <c r="D280" s="26">
        <v>5725.28</v>
      </c>
      <c r="E280" s="26">
        <v>0</v>
      </c>
      <c r="F280" s="26">
        <v>0</v>
      </c>
      <c r="G280" s="26">
        <v>0</v>
      </c>
      <c r="H280" s="26">
        <v>0</v>
      </c>
      <c r="I280" s="190">
        <f t="shared" si="21"/>
        <v>7309.1399999999994</v>
      </c>
      <c r="J280" s="35"/>
      <c r="K280" s="35"/>
      <c r="L280" s="35"/>
      <c r="M280" s="35"/>
    </row>
    <row r="281" spans="2:16" s="1" customFormat="1" ht="14.25" x14ac:dyDescent="0.2">
      <c r="B281" s="57" t="s">
        <v>61</v>
      </c>
      <c r="C281" s="26">
        <v>18052.2</v>
      </c>
      <c r="D281" s="26">
        <v>111372.33</v>
      </c>
      <c r="E281" s="26">
        <v>19604.87</v>
      </c>
      <c r="F281" s="26">
        <v>4509.7</v>
      </c>
      <c r="G281" s="26">
        <v>4600</v>
      </c>
      <c r="H281" s="26">
        <v>0</v>
      </c>
      <c r="I281" s="190">
        <f t="shared" si="21"/>
        <v>158139.1</v>
      </c>
      <c r="J281" s="35"/>
      <c r="K281" s="35"/>
      <c r="L281" s="35"/>
      <c r="M281" s="35"/>
    </row>
    <row r="282" spans="2:16" s="1" customFormat="1" ht="14.25" x14ac:dyDescent="0.2">
      <c r="B282" s="205" t="s">
        <v>62</v>
      </c>
      <c r="C282" s="27">
        <v>16406.16</v>
      </c>
      <c r="D282" s="27">
        <v>21449.81</v>
      </c>
      <c r="E282" s="27">
        <v>1440</v>
      </c>
      <c r="F282" s="27">
        <v>2757.3</v>
      </c>
      <c r="G282" s="27">
        <v>2951.46</v>
      </c>
      <c r="H282" s="27">
        <v>0</v>
      </c>
      <c r="I282" s="206">
        <f t="shared" si="21"/>
        <v>45004.73</v>
      </c>
      <c r="J282" s="35"/>
      <c r="K282" s="35"/>
      <c r="L282" s="35"/>
      <c r="M282" s="35"/>
    </row>
    <row r="283" spans="2:16" s="1" customFormat="1" ht="14.25" x14ac:dyDescent="0.2">
      <c r="B283" s="205" t="s">
        <v>487</v>
      </c>
      <c r="C283" s="27">
        <v>0</v>
      </c>
      <c r="D283" s="27">
        <v>0</v>
      </c>
      <c r="E283" s="27">
        <v>0</v>
      </c>
      <c r="F283" s="27">
        <v>22880</v>
      </c>
      <c r="G283" s="27"/>
      <c r="H283" s="27">
        <v>0</v>
      </c>
      <c r="I283" s="206">
        <f t="shared" si="21"/>
        <v>22880</v>
      </c>
      <c r="J283" s="35"/>
      <c r="K283" s="35"/>
      <c r="L283" s="35"/>
      <c r="M283" s="35"/>
    </row>
    <row r="284" spans="2:16" s="1" customFormat="1" ht="14.25" x14ac:dyDescent="0.2">
      <c r="B284" s="245" t="s">
        <v>488</v>
      </c>
      <c r="C284" s="30">
        <v>0</v>
      </c>
      <c r="D284" s="30">
        <v>36000</v>
      </c>
      <c r="E284" s="30">
        <v>0</v>
      </c>
      <c r="F284" s="30">
        <v>0</v>
      </c>
      <c r="G284" s="30"/>
      <c r="H284" s="30">
        <v>0</v>
      </c>
      <c r="I284" s="246">
        <f t="shared" si="21"/>
        <v>36000</v>
      </c>
      <c r="J284" s="35"/>
      <c r="K284" s="35"/>
      <c r="L284" s="35"/>
      <c r="M284" s="35"/>
    </row>
    <row r="285" spans="2:16" s="1" customFormat="1" ht="21.75" customHeight="1" x14ac:dyDescent="0.2">
      <c r="B285" s="207" t="s">
        <v>95</v>
      </c>
      <c r="C285" s="45">
        <f>C273+C274+C275+C282</f>
        <v>995636.7</v>
      </c>
      <c r="D285" s="45">
        <f>D273+D274+D275+D282+D283+D284</f>
        <v>1554160.21</v>
      </c>
      <c r="E285" s="45">
        <f>E273+E274+E275+E282</f>
        <v>272378.61</v>
      </c>
      <c r="F285" s="45">
        <f>F273+F274+F275+F282+F283</f>
        <v>328220.62</v>
      </c>
      <c r="G285" s="45">
        <f>G273+G274+G275+G282</f>
        <v>328061.96000000002</v>
      </c>
      <c r="H285" s="45">
        <f>H273+H274+H275+H282</f>
        <v>0</v>
      </c>
      <c r="I285" s="208">
        <f t="shared" si="21"/>
        <v>3478458.1</v>
      </c>
      <c r="J285" s="35"/>
      <c r="K285" s="99"/>
      <c r="L285" s="35"/>
      <c r="M285" s="99"/>
    </row>
    <row r="286" spans="2:16" s="1" customFormat="1" ht="14.25" x14ac:dyDescent="0.2"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</row>
    <row r="287" spans="2:16" s="1" customFormat="1" ht="14.25" x14ac:dyDescent="0.2"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</row>
    <row r="288" spans="2:16" s="1" customFormat="1" ht="14.25" x14ac:dyDescent="0.2"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</row>
    <row r="289" spans="2:16" s="1" customFormat="1" ht="14.25" x14ac:dyDescent="0.2"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</row>
    <row r="290" spans="2:16" s="1" customFormat="1" ht="14.25" x14ac:dyDescent="0.2"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</row>
    <row r="291" spans="2:16" s="1" customFormat="1" ht="14.25" x14ac:dyDescent="0.2"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</row>
    <row r="292" spans="2:16" s="1" customFormat="1" ht="14.25" x14ac:dyDescent="0.2"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</row>
    <row r="293" spans="2:16" s="1" customFormat="1" ht="14.25" x14ac:dyDescent="0.2"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</row>
    <row r="294" spans="2:16" s="1" customFormat="1" ht="14.25" x14ac:dyDescent="0.2"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</row>
    <row r="295" spans="2:16" s="1" customFormat="1" ht="14.25" x14ac:dyDescent="0.2"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</row>
    <row r="296" spans="2:16" s="1" customFormat="1" ht="14.25" x14ac:dyDescent="0.2"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</row>
    <row r="297" spans="2:16" s="1" customFormat="1" ht="14.25" x14ac:dyDescent="0.2"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</row>
    <row r="298" spans="2:16" s="1" customFormat="1" ht="14.25" x14ac:dyDescent="0.2"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</row>
    <row r="299" spans="2:16" s="1" customFormat="1" ht="14.25" x14ac:dyDescent="0.2"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</row>
    <row r="300" spans="2:16" s="1" customFormat="1" ht="14.25" x14ac:dyDescent="0.2"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</row>
    <row r="301" spans="2:16" s="1" customFormat="1" ht="14.25" x14ac:dyDescent="0.2"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</row>
    <row r="302" spans="2:16" s="1" customFormat="1" ht="14.25" x14ac:dyDescent="0.2"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</row>
    <row r="303" spans="2:16" s="1" customFormat="1" ht="14.25" x14ac:dyDescent="0.2"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</row>
    <row r="304" spans="2:16" s="1" customFormat="1" ht="14.25" x14ac:dyDescent="0.2"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</row>
    <row r="305" spans="2:16" s="1" customFormat="1" ht="18" x14ac:dyDescent="0.25">
      <c r="B305" s="199" t="s">
        <v>145</v>
      </c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</row>
    <row r="307" spans="2:16" s="1" customFormat="1" ht="20.25" customHeight="1" x14ac:dyDescent="0.2">
      <c r="B307" s="576" t="s">
        <v>99</v>
      </c>
      <c r="C307" s="576"/>
      <c r="D307" s="576"/>
      <c r="E307" s="576"/>
      <c r="F307" s="200"/>
      <c r="G307" s="35"/>
      <c r="H307" s="99"/>
      <c r="I307" s="99"/>
      <c r="J307" s="99"/>
      <c r="K307" s="99"/>
      <c r="L307" s="35"/>
      <c r="M307" s="36"/>
      <c r="N307" s="36"/>
      <c r="O307" s="36"/>
      <c r="P307" s="35"/>
    </row>
    <row r="308" spans="2:16" s="1" customFormat="1" ht="14.25" x14ac:dyDescent="0.2">
      <c r="B308" s="566" t="s">
        <v>131</v>
      </c>
      <c r="C308" s="566"/>
      <c r="D308" s="566"/>
      <c r="E308" s="48">
        <f>E262+E234+E184+E161+E119+E87+E41+E10</f>
        <v>170666.6</v>
      </c>
      <c r="F308" s="219"/>
      <c r="G308" s="99"/>
      <c r="H308" s="35"/>
      <c r="I308" s="99"/>
      <c r="J308" s="99"/>
      <c r="K308" s="99"/>
      <c r="L308" s="35"/>
      <c r="M308" s="36"/>
      <c r="N308" s="36"/>
      <c r="O308" s="36"/>
      <c r="P308" s="35"/>
    </row>
    <row r="309" spans="2:16" s="1" customFormat="1" ht="27" customHeight="1" x14ac:dyDescent="0.2">
      <c r="B309" s="566" t="s">
        <v>538</v>
      </c>
      <c r="C309" s="566"/>
      <c r="D309" s="566"/>
      <c r="E309" s="136">
        <f>E235+E185+E88+E11+E263</f>
        <v>6300</v>
      </c>
      <c r="F309" s="219"/>
      <c r="G309" s="99"/>
      <c r="H309" s="35"/>
      <c r="I309" s="99"/>
      <c r="J309" s="99"/>
      <c r="K309" s="99"/>
      <c r="L309" s="35"/>
      <c r="M309" s="36"/>
      <c r="N309" s="36"/>
      <c r="O309" s="36"/>
      <c r="P309" s="35"/>
    </row>
    <row r="310" spans="2:16" s="1" customFormat="1" ht="14.25" x14ac:dyDescent="0.2">
      <c r="B310" s="566" t="s">
        <v>132</v>
      </c>
      <c r="C310" s="566"/>
      <c r="D310" s="566"/>
      <c r="E310" s="48">
        <f>E264+E236+E186+E120+E89+E42+E12</f>
        <v>404162.14999999997</v>
      </c>
      <c r="F310" s="219"/>
      <c r="G310" s="99"/>
      <c r="H310" s="35"/>
      <c r="I310" s="99"/>
      <c r="J310" s="99"/>
      <c r="K310" s="99"/>
      <c r="L310" s="35"/>
      <c r="M310" s="36"/>
      <c r="N310" s="36"/>
      <c r="O310" s="36"/>
      <c r="P310" s="35"/>
    </row>
    <row r="311" spans="2:16" s="1" customFormat="1" ht="14.25" x14ac:dyDescent="0.2">
      <c r="B311" s="566" t="s">
        <v>133</v>
      </c>
      <c r="C311" s="566"/>
      <c r="D311" s="566"/>
      <c r="E311" s="48">
        <f>E265+E237+E187+E162+E121+E90+E43+E13</f>
        <v>312119.11</v>
      </c>
      <c r="F311" s="219"/>
      <c r="G311" s="99"/>
      <c r="H311" s="99"/>
      <c r="I311" s="99"/>
      <c r="J311" s="99"/>
      <c r="K311" s="99"/>
      <c r="L311" s="35"/>
      <c r="M311" s="36"/>
      <c r="N311" s="36"/>
      <c r="O311" s="36"/>
      <c r="P311" s="35"/>
    </row>
    <row r="312" spans="2:16" s="1" customFormat="1" ht="14.25" x14ac:dyDescent="0.2">
      <c r="B312" s="566" t="s">
        <v>103</v>
      </c>
      <c r="C312" s="566"/>
      <c r="D312" s="566"/>
      <c r="E312" s="48">
        <f>E266+E238+E188+E122+E91+E44+E14</f>
        <v>370191.69</v>
      </c>
      <c r="F312" s="219"/>
      <c r="G312" s="99"/>
      <c r="H312" s="99"/>
      <c r="I312" s="99"/>
      <c r="J312" s="99"/>
      <c r="K312" s="99"/>
      <c r="L312" s="35"/>
      <c r="M312" s="36"/>
      <c r="N312" s="36"/>
      <c r="O312" s="36"/>
      <c r="P312" s="35"/>
    </row>
    <row r="313" spans="2:16" s="1" customFormat="1" ht="14.25" x14ac:dyDescent="0.2">
      <c r="B313" s="593" t="s">
        <v>49</v>
      </c>
      <c r="C313" s="593"/>
      <c r="D313" s="593"/>
      <c r="E313" s="41">
        <f>E189+E267+E123+E45+E92</f>
        <v>19538.310000000001</v>
      </c>
      <c r="F313" s="220"/>
      <c r="G313" s="221"/>
      <c r="H313" s="35"/>
      <c r="I313" s="99"/>
      <c r="J313" s="99"/>
      <c r="K313" s="99"/>
      <c r="L313" s="35"/>
      <c r="M313" s="36"/>
      <c r="N313" s="36"/>
      <c r="O313" s="36"/>
      <c r="P313" s="35"/>
    </row>
    <row r="314" spans="2:16" s="1" customFormat="1" ht="14.25" x14ac:dyDescent="0.2">
      <c r="B314" s="593" t="s">
        <v>50</v>
      </c>
      <c r="C314" s="593"/>
      <c r="D314" s="593"/>
      <c r="E314" s="41">
        <f>E93+E46</f>
        <v>32332.880000000001</v>
      </c>
      <c r="F314" s="220"/>
      <c r="G314" s="221"/>
      <c r="H314" s="35"/>
      <c r="I314" s="99"/>
      <c r="J314" s="99"/>
      <c r="K314" s="99"/>
      <c r="L314" s="35"/>
      <c r="M314" s="36"/>
      <c r="N314" s="36"/>
      <c r="O314" s="36"/>
      <c r="P314" s="36"/>
    </row>
    <row r="315" spans="2:16" s="1" customFormat="1" ht="14.25" x14ac:dyDescent="0.2">
      <c r="B315" s="593" t="s">
        <v>134</v>
      </c>
      <c r="C315" s="593"/>
      <c r="D315" s="593"/>
      <c r="E315" s="41">
        <f>E268+E47+E94</f>
        <v>76194.5</v>
      </c>
      <c r="F315" s="220"/>
      <c r="G315" s="221"/>
      <c r="H315" s="35"/>
      <c r="I315" s="99"/>
      <c r="J315" s="99"/>
      <c r="K315" s="99"/>
      <c r="L315" s="35"/>
      <c r="M315" s="36"/>
      <c r="N315" s="36"/>
      <c r="O315" s="36"/>
      <c r="P315" s="36"/>
    </row>
    <row r="316" spans="2:16" s="1" customFormat="1" ht="14.25" x14ac:dyDescent="0.2">
      <c r="B316" s="593" t="s">
        <v>135</v>
      </c>
      <c r="C316" s="593"/>
      <c r="D316" s="593"/>
      <c r="E316" s="41">
        <f>E95</f>
        <v>1000</v>
      </c>
      <c r="F316" s="220"/>
      <c r="G316" s="221"/>
      <c r="H316" s="35"/>
      <c r="I316" s="35"/>
      <c r="J316" s="35"/>
      <c r="K316" s="35"/>
      <c r="L316" s="35"/>
      <c r="M316" s="35"/>
      <c r="N316" s="35"/>
      <c r="O316" s="36"/>
      <c r="P316" s="35"/>
    </row>
    <row r="317" spans="2:16" s="1" customFormat="1" ht="21.75" customHeight="1" x14ac:dyDescent="0.2">
      <c r="B317" s="575" t="s">
        <v>95</v>
      </c>
      <c r="C317" s="575"/>
      <c r="D317" s="575"/>
      <c r="E317" s="216">
        <f>SUM(E308:E316)</f>
        <v>1392505.24</v>
      </c>
      <c r="F317" s="222"/>
      <c r="G317" s="221"/>
      <c r="H317" s="99"/>
      <c r="I317" s="99"/>
      <c r="J317" s="99"/>
      <c r="K317" s="99"/>
      <c r="L317" s="99"/>
      <c r="M317" s="99"/>
      <c r="N317" s="99"/>
      <c r="O317" s="99"/>
      <c r="P317" s="35"/>
    </row>
    <row r="318" spans="2:16" s="1" customFormat="1" ht="14.25" x14ac:dyDescent="0.2">
      <c r="B318" s="35"/>
      <c r="C318" s="35"/>
      <c r="D318" s="35"/>
      <c r="E318" s="35"/>
      <c r="F318" s="35"/>
      <c r="G318" s="221"/>
      <c r="H318" s="35"/>
      <c r="I318" s="35"/>
      <c r="J318" s="35"/>
      <c r="K318" s="35"/>
      <c r="L318" s="35"/>
      <c r="M318" s="35"/>
      <c r="N318" s="35"/>
      <c r="O318" s="35"/>
      <c r="P318" s="35"/>
    </row>
    <row r="319" spans="2:16" s="1" customFormat="1" ht="48" x14ac:dyDescent="0.2">
      <c r="B319" s="223" t="s">
        <v>52</v>
      </c>
      <c r="C319" s="224" t="s">
        <v>486</v>
      </c>
      <c r="D319" s="591" t="s">
        <v>482</v>
      </c>
      <c r="E319" s="591"/>
      <c r="F319" s="591" t="s">
        <v>483</v>
      </c>
      <c r="G319" s="591"/>
      <c r="H319" s="591"/>
      <c r="I319" s="224" t="s">
        <v>484</v>
      </c>
      <c r="J319" s="225" t="s">
        <v>485</v>
      </c>
      <c r="K319" s="226" t="s">
        <v>95</v>
      </c>
      <c r="L319" s="35"/>
      <c r="M319" s="35"/>
      <c r="N319" s="35"/>
      <c r="O319" s="35"/>
    </row>
    <row r="320" spans="2:16" s="1" customFormat="1" ht="14.25" x14ac:dyDescent="0.2">
      <c r="B320" s="227"/>
      <c r="C320" s="228" t="s">
        <v>275</v>
      </c>
      <c r="D320" s="228" t="s">
        <v>287</v>
      </c>
      <c r="E320" s="228" t="s">
        <v>289</v>
      </c>
      <c r="F320" s="228" t="s">
        <v>295</v>
      </c>
      <c r="G320" s="228" t="s">
        <v>296</v>
      </c>
      <c r="H320" s="228" t="s">
        <v>298</v>
      </c>
      <c r="I320" s="228" t="s">
        <v>291</v>
      </c>
      <c r="J320" s="228" t="s">
        <v>307</v>
      </c>
      <c r="K320" s="229"/>
      <c r="L320" s="35"/>
      <c r="M320" s="35"/>
      <c r="N320" s="35"/>
      <c r="O320" s="35"/>
    </row>
    <row r="321" spans="2:16" s="1" customFormat="1" ht="14.25" x14ac:dyDescent="0.2">
      <c r="B321" s="230" t="s">
        <v>53</v>
      </c>
      <c r="C321" s="231">
        <f>C167</f>
        <v>0</v>
      </c>
      <c r="D321" s="231">
        <f>C273+C243+C194+D167+C128+C100+C52+C19</f>
        <v>3580252.03</v>
      </c>
      <c r="E321" s="231">
        <f>D273+D243+D194+E167+D128+D100+D52+D19</f>
        <v>6371624.6099999994</v>
      </c>
      <c r="F321" s="231">
        <v>0</v>
      </c>
      <c r="G321" s="231">
        <f>E273+E243+F194+E128+F100+E52+E19</f>
        <v>401365.86</v>
      </c>
      <c r="H321" s="231">
        <f>F273+F243+G194+F167+F128+G100+F52+F19</f>
        <v>454441.5</v>
      </c>
      <c r="I321" s="231">
        <f>G273+G243+H194+G167+G128+H100+G52+G19</f>
        <v>1437844.17</v>
      </c>
      <c r="J321" s="231">
        <f>H167+H52+H19+H128+H273</f>
        <v>0</v>
      </c>
      <c r="K321" s="232">
        <f t="shared" ref="K321:K334" si="23">C321+D321+E321+G321+H321+I321+J321+F321</f>
        <v>12245528.169999998</v>
      </c>
      <c r="L321" s="35"/>
      <c r="M321" s="99"/>
      <c r="N321" s="35"/>
      <c r="O321" s="35"/>
    </row>
    <row r="322" spans="2:16" s="1" customFormat="1" ht="14.25" x14ac:dyDescent="0.2">
      <c r="B322" s="230" t="s">
        <v>54</v>
      </c>
      <c r="C322" s="231">
        <f>C168</f>
        <v>0</v>
      </c>
      <c r="D322" s="231">
        <f>C274+C244+C195+D168+C129+C101+C53+C20</f>
        <v>1294062.02</v>
      </c>
      <c r="E322" s="231">
        <f>D274+D244+D195+E168+D129+D101+D53+D20</f>
        <v>2362662.5</v>
      </c>
      <c r="F322" s="231">
        <v>0</v>
      </c>
      <c r="G322" s="231">
        <f>E274+E244+F195+E129+F101+E53+E20</f>
        <v>144596.37</v>
      </c>
      <c r="H322" s="231">
        <f>F274+F244+G195+F168+F129+G101+F53+F20</f>
        <v>167568.86000000002</v>
      </c>
      <c r="I322" s="231">
        <f>G274+G244+H195+G168+G129+H101+G53+G20</f>
        <v>519310.00999999995</v>
      </c>
      <c r="J322" s="231">
        <f>H168+H53+H20+H129+H274</f>
        <v>0</v>
      </c>
      <c r="K322" s="232">
        <f t="shared" si="23"/>
        <v>4488199.76</v>
      </c>
      <c r="L322" s="35"/>
      <c r="M322" s="99"/>
      <c r="N322" s="35"/>
      <c r="O322" s="35"/>
    </row>
    <row r="323" spans="2:16" s="1" customFormat="1" ht="14.25" x14ac:dyDescent="0.2">
      <c r="B323" s="230" t="s">
        <v>55</v>
      </c>
      <c r="C323" s="231">
        <f t="shared" ref="C323:J323" si="24">SUM(C324:C330)</f>
        <v>76060</v>
      </c>
      <c r="D323" s="231">
        <f t="shared" si="24"/>
        <v>772394.99</v>
      </c>
      <c r="E323" s="231">
        <f t="shared" si="24"/>
        <v>1964276.75</v>
      </c>
      <c r="F323" s="231">
        <f t="shared" si="24"/>
        <v>52359.3</v>
      </c>
      <c r="G323" s="231">
        <f t="shared" si="24"/>
        <v>653431.38</v>
      </c>
      <c r="H323" s="231">
        <f t="shared" si="24"/>
        <v>1212674.23</v>
      </c>
      <c r="I323" s="231">
        <f t="shared" si="24"/>
        <v>256912.32</v>
      </c>
      <c r="J323" s="231">
        <f t="shared" si="24"/>
        <v>280765.39999999997</v>
      </c>
      <c r="K323" s="232">
        <f t="shared" si="23"/>
        <v>5268874.37</v>
      </c>
      <c r="L323" s="35"/>
      <c r="M323" s="99"/>
      <c r="N323" s="35"/>
      <c r="O323" s="35"/>
    </row>
    <row r="324" spans="2:16" s="1" customFormat="1" ht="14.25" x14ac:dyDescent="0.2">
      <c r="B324" s="233" t="s">
        <v>66</v>
      </c>
      <c r="C324" s="234">
        <v>0</v>
      </c>
      <c r="D324" s="234">
        <f>C276+C103+C55+C22+D170+C246</f>
        <v>1996.8700000000001</v>
      </c>
      <c r="E324" s="234">
        <f>D276+D103+D55+D22+D246+E170</f>
        <v>6603.35</v>
      </c>
      <c r="F324" s="234">
        <v>0</v>
      </c>
      <c r="G324" s="234">
        <f>E276+F103+E55+E22</f>
        <v>0</v>
      </c>
      <c r="H324" s="234">
        <f>F276+G103+F55+F22</f>
        <v>0</v>
      </c>
      <c r="I324" s="234">
        <f>G276+H103+G55+G22</f>
        <v>100</v>
      </c>
      <c r="J324" s="234">
        <f>H55+H22+H276</f>
        <v>0</v>
      </c>
      <c r="K324" s="235">
        <f t="shared" si="23"/>
        <v>8700.2200000000012</v>
      </c>
      <c r="L324" s="35"/>
      <c r="M324" s="35"/>
      <c r="N324" s="35"/>
      <c r="O324" s="35"/>
    </row>
    <row r="325" spans="2:16" s="1" customFormat="1" ht="14.25" x14ac:dyDescent="0.2">
      <c r="B325" s="233" t="s">
        <v>56</v>
      </c>
      <c r="C325" s="234">
        <f>C171</f>
        <v>0</v>
      </c>
      <c r="D325" s="234">
        <f>C277+C247+C197+D171+C131+C104+C56+C23</f>
        <v>224788.06999999998</v>
      </c>
      <c r="E325" s="234">
        <f>D277+D247+D197+E171+D131+D104+D56+D23</f>
        <v>584043.43999999994</v>
      </c>
      <c r="F325" s="234">
        <v>0</v>
      </c>
      <c r="G325" s="234">
        <f>E277+E247+F197+E131+F104+E56+E23</f>
        <v>79171.239999999991</v>
      </c>
      <c r="H325" s="234">
        <f>F277+F247+G197+F171+F131+G104+F56+F23</f>
        <v>91780.59</v>
      </c>
      <c r="I325" s="234">
        <f>G277+G247+H197+G171+G131+H104+G56+G23</f>
        <v>136911.04999999999</v>
      </c>
      <c r="J325" s="234">
        <f>H171+H56+H23+H131+H277</f>
        <v>0</v>
      </c>
      <c r="K325" s="235">
        <f t="shared" si="23"/>
        <v>1116694.3899999999</v>
      </c>
      <c r="L325" s="35"/>
      <c r="M325" s="35"/>
      <c r="N325" s="35"/>
      <c r="O325" s="35"/>
    </row>
    <row r="326" spans="2:16" s="1" customFormat="1" ht="14.25" x14ac:dyDescent="0.2">
      <c r="B326" s="233" t="s">
        <v>57</v>
      </c>
      <c r="C326" s="234">
        <f>C172</f>
        <v>0</v>
      </c>
      <c r="D326" s="234">
        <f>C278+C248+C198+D172+C132+C105+C57+C24</f>
        <v>193806.24000000002</v>
      </c>
      <c r="E326" s="234">
        <f>D278+D248+D198+E172+D132+D105+D57+D24</f>
        <v>603886.30999999994</v>
      </c>
      <c r="F326" s="234">
        <f>E198+E105</f>
        <v>46978.3</v>
      </c>
      <c r="G326" s="234">
        <f>E278+E248+F198+E132+F105+E57+E24</f>
        <v>473208.65</v>
      </c>
      <c r="H326" s="234">
        <f>F278+F248+G198+F172+F132+G105+F57+F24</f>
        <v>1003832.3</v>
      </c>
      <c r="I326" s="234">
        <f>G278+G248+H198+G172+G132+H105+G57+G24</f>
        <v>45972.369999999995</v>
      </c>
      <c r="J326" s="234">
        <f>H172+H57+H24+H132+I198+H278+I105</f>
        <v>280765.39999999997</v>
      </c>
      <c r="K326" s="235">
        <f t="shared" si="23"/>
        <v>2648449.5699999998</v>
      </c>
      <c r="L326" s="35"/>
      <c r="M326" s="35"/>
      <c r="N326" s="35"/>
      <c r="O326" s="35"/>
    </row>
    <row r="327" spans="2:16" s="1" customFormat="1" ht="14.25" x14ac:dyDescent="0.2">
      <c r="B327" s="233" t="s">
        <v>58</v>
      </c>
      <c r="C327" s="234">
        <v>0</v>
      </c>
      <c r="D327" s="234">
        <f>C249+C133+C25+C106+C199+C58</f>
        <v>3904.07</v>
      </c>
      <c r="E327" s="234">
        <f>D249+D133+D25+D106+D58</f>
        <v>4185.78</v>
      </c>
      <c r="F327" s="234">
        <v>0</v>
      </c>
      <c r="G327" s="234">
        <f>E249+E133+E25+F106</f>
        <v>0</v>
      </c>
      <c r="H327" s="234">
        <f>F249+F133+F25+G106</f>
        <v>0</v>
      </c>
      <c r="I327" s="234">
        <f>G249+G133+G25+H106</f>
        <v>499.2</v>
      </c>
      <c r="J327" s="234">
        <f>H25+H133</f>
        <v>0</v>
      </c>
      <c r="K327" s="235">
        <f t="shared" si="23"/>
        <v>8589.0500000000011</v>
      </c>
      <c r="L327" s="35"/>
      <c r="M327" s="35"/>
      <c r="N327" s="35"/>
      <c r="O327" s="35"/>
    </row>
    <row r="328" spans="2:16" s="1" customFormat="1" ht="14.25" x14ac:dyDescent="0.2">
      <c r="B328" s="233" t="s">
        <v>59</v>
      </c>
      <c r="C328" s="234">
        <f>C173</f>
        <v>0</v>
      </c>
      <c r="D328" s="234">
        <f>C279+C251+C200+D173+C134+C107+C59+C26</f>
        <v>102901.75</v>
      </c>
      <c r="E328" s="234">
        <f>D279+D251+D200+E173+D134+D107+D59+D26</f>
        <v>241322.59999999998</v>
      </c>
      <c r="F328" s="234">
        <v>0</v>
      </c>
      <c r="G328" s="234">
        <f>E279+E251+F200+E134+F107+E59+E26</f>
        <v>45520.350000000006</v>
      </c>
      <c r="H328" s="234">
        <f>F279+F251+G200+F173+F134+G107+F59+F26</f>
        <v>65822.149999999994</v>
      </c>
      <c r="I328" s="234">
        <f>G279+G251+H200+G173+G134+H107+G59+G26</f>
        <v>30035.5</v>
      </c>
      <c r="J328" s="234">
        <f>H173+H59+H26+H134+H279</f>
        <v>0</v>
      </c>
      <c r="K328" s="235">
        <f t="shared" si="23"/>
        <v>485602.35</v>
      </c>
      <c r="L328" s="35"/>
      <c r="M328" s="35"/>
      <c r="N328" s="35"/>
      <c r="O328" s="35"/>
    </row>
    <row r="329" spans="2:16" s="1" customFormat="1" ht="14.25" x14ac:dyDescent="0.2">
      <c r="B329" s="233" t="s">
        <v>140</v>
      </c>
      <c r="C329" s="234">
        <f>C174</f>
        <v>76060</v>
      </c>
      <c r="D329" s="234">
        <f>C280+D174+C108+C60+C27+C201</f>
        <v>6632.26</v>
      </c>
      <c r="E329" s="234">
        <f>D280+E174+D108+D60+D27+D250</f>
        <v>13250.589999999998</v>
      </c>
      <c r="F329" s="234">
        <v>0</v>
      </c>
      <c r="G329" s="234">
        <f>E280+F108+E60+E27</f>
        <v>0</v>
      </c>
      <c r="H329" s="234">
        <f>F280+F174+G108+F60+F27</f>
        <v>0</v>
      </c>
      <c r="I329" s="234">
        <f>G280+G174+H108+G60+G27</f>
        <v>0</v>
      </c>
      <c r="J329" s="234">
        <f>H174+H60+H27+H280</f>
        <v>0</v>
      </c>
      <c r="K329" s="235">
        <f t="shared" si="23"/>
        <v>95942.849999999991</v>
      </c>
      <c r="L329" s="35"/>
      <c r="M329" s="35"/>
      <c r="N329" s="35"/>
      <c r="O329" s="35"/>
    </row>
    <row r="330" spans="2:16" s="1" customFormat="1" ht="14.25" x14ac:dyDescent="0.2">
      <c r="B330" s="233" t="s">
        <v>61</v>
      </c>
      <c r="C330" s="234">
        <v>0</v>
      </c>
      <c r="D330" s="234">
        <f>C281+C252+C202+D175+C135+C109+C61+C28</f>
        <v>238365.72999999998</v>
      </c>
      <c r="E330" s="234">
        <f>D281+D252+D202+E175+D135+D109+D61+D28</f>
        <v>510984.67999999993</v>
      </c>
      <c r="F330" s="234">
        <f>E202</f>
        <v>5381</v>
      </c>
      <c r="G330" s="234">
        <f>E281+E252+F202+E135+F109+E61+E28</f>
        <v>55531.14</v>
      </c>
      <c r="H330" s="234">
        <f>F281+F252+G202+F175+F135+G109+F61+F28</f>
        <v>51239.19</v>
      </c>
      <c r="I330" s="234">
        <f>G281+G252+H202+G175+G135+H109+G61+G28</f>
        <v>43394.2</v>
      </c>
      <c r="J330" s="234">
        <f>H175+H61+H28+H135+H281</f>
        <v>0</v>
      </c>
      <c r="K330" s="235">
        <f t="shared" si="23"/>
        <v>904895.94</v>
      </c>
      <c r="L330" s="35"/>
      <c r="M330" s="35"/>
      <c r="N330" s="35"/>
      <c r="O330" s="35"/>
    </row>
    <row r="331" spans="2:16" s="1" customFormat="1" ht="14.25" x14ac:dyDescent="0.2">
      <c r="B331" s="230" t="s">
        <v>62</v>
      </c>
      <c r="C331" s="231">
        <v>0</v>
      </c>
      <c r="D331" s="231">
        <f>C282+C253+C203+D176+C136+C110+C62+C29</f>
        <v>43841.43</v>
      </c>
      <c r="E331" s="231">
        <f>D282+D253+D203+E176+D136+D110+D62+D29</f>
        <v>110220.22</v>
      </c>
      <c r="F331" s="231">
        <v>0</v>
      </c>
      <c r="G331" s="231">
        <f>E282+E253+F203+E136+F110+E62+E29</f>
        <v>10977.880000000001</v>
      </c>
      <c r="H331" s="231">
        <f>F282+F253+G203+F176+F136+G110+F62+F29</f>
        <v>16857.46</v>
      </c>
      <c r="I331" s="231">
        <f>G282+G253+H203+G176+G136+H110+G62+G29</f>
        <v>13275.880000000001</v>
      </c>
      <c r="J331" s="231">
        <f>H176+H62+H29+H136+H282</f>
        <v>66.400000000000006</v>
      </c>
      <c r="K331" s="232">
        <f t="shared" si="23"/>
        <v>195239.27</v>
      </c>
      <c r="L331" s="35"/>
      <c r="M331" s="35"/>
      <c r="N331" s="35"/>
      <c r="O331" s="35"/>
    </row>
    <row r="332" spans="2:16" s="76" customFormat="1" ht="19.5" customHeight="1" x14ac:dyDescent="0.25">
      <c r="B332" s="230" t="s">
        <v>489</v>
      </c>
      <c r="C332" s="236">
        <v>0</v>
      </c>
      <c r="D332" s="236">
        <f>C137+C64+C30</f>
        <v>3636</v>
      </c>
      <c r="E332" s="236">
        <f>D137+D64+D283+D111+D30</f>
        <v>7282.8</v>
      </c>
      <c r="F332" s="236">
        <v>0</v>
      </c>
      <c r="G332" s="236">
        <f>E137+E64+F111+F204</f>
        <v>5511</v>
      </c>
      <c r="H332" s="236">
        <f>F137+F64+G204+F283+G111+F30</f>
        <v>121686.8</v>
      </c>
      <c r="I332" s="236">
        <f>G137+G64</f>
        <v>0</v>
      </c>
      <c r="J332" s="236">
        <f>H64</f>
        <v>0</v>
      </c>
      <c r="K332" s="237">
        <f t="shared" si="23"/>
        <v>138116.6</v>
      </c>
    </row>
    <row r="333" spans="2:16" s="76" customFormat="1" ht="27" customHeight="1" x14ac:dyDescent="0.25">
      <c r="B333" s="230" t="s">
        <v>519</v>
      </c>
      <c r="C333" s="236">
        <v>0</v>
      </c>
      <c r="D333" s="236">
        <v>0</v>
      </c>
      <c r="E333" s="236">
        <f>D112</f>
        <v>0</v>
      </c>
      <c r="F333" s="236">
        <v>0</v>
      </c>
      <c r="G333" s="236">
        <v>0</v>
      </c>
      <c r="H333" s="236">
        <v>0</v>
      </c>
      <c r="I333" s="236">
        <v>0</v>
      </c>
      <c r="J333" s="236">
        <v>0</v>
      </c>
      <c r="K333" s="237">
        <f t="shared" si="23"/>
        <v>0</v>
      </c>
    </row>
    <row r="334" spans="2:16" s="8" customFormat="1" ht="14.25" x14ac:dyDescent="0.25">
      <c r="B334" s="230" t="s">
        <v>437</v>
      </c>
      <c r="C334" s="236">
        <v>0</v>
      </c>
      <c r="D334" s="236">
        <v>0</v>
      </c>
      <c r="E334" s="236">
        <f>D63+D31+D254+D284</f>
        <v>48996</v>
      </c>
      <c r="F334" s="236">
        <f>E63</f>
        <v>0</v>
      </c>
      <c r="G334" s="236">
        <v>0</v>
      </c>
      <c r="H334" s="236">
        <f>F63</f>
        <v>0</v>
      </c>
      <c r="I334" s="236">
        <f>H63</f>
        <v>0</v>
      </c>
      <c r="J334" s="236">
        <v>0</v>
      </c>
      <c r="K334" s="237">
        <f t="shared" si="23"/>
        <v>48996</v>
      </c>
      <c r="L334" s="76"/>
      <c r="M334" s="80"/>
      <c r="N334" s="76"/>
      <c r="O334" s="76"/>
    </row>
    <row r="335" spans="2:16" s="1" customFormat="1" ht="21" customHeight="1" x14ac:dyDescent="0.2">
      <c r="B335" s="238" t="s">
        <v>95</v>
      </c>
      <c r="C335" s="239">
        <f t="shared" ref="C335:J335" si="25">C321+C322+C323+C331+C334+C332+C333</f>
        <v>76060</v>
      </c>
      <c r="D335" s="239">
        <f t="shared" si="25"/>
        <v>5694186.4699999997</v>
      </c>
      <c r="E335" s="239">
        <f t="shared" si="25"/>
        <v>10865062.880000001</v>
      </c>
      <c r="F335" s="239">
        <f t="shared" si="25"/>
        <v>52359.3</v>
      </c>
      <c r="G335" s="239">
        <f t="shared" si="25"/>
        <v>1215882.4899999998</v>
      </c>
      <c r="H335" s="239">
        <f t="shared" si="25"/>
        <v>1973228.8499999999</v>
      </c>
      <c r="I335" s="239">
        <f t="shared" si="25"/>
        <v>2227342.38</v>
      </c>
      <c r="J335" s="239">
        <f t="shared" si="25"/>
        <v>280831.8</v>
      </c>
      <c r="K335" s="240">
        <f>C335+D335+E335+G335+H335+I335+J335+F335</f>
        <v>22384954.170000002</v>
      </c>
      <c r="L335" s="99"/>
      <c r="M335" s="99"/>
      <c r="N335" s="99"/>
      <c r="O335" s="35"/>
    </row>
    <row r="336" spans="2:16" s="1" customFormat="1" ht="14.25" x14ac:dyDescent="0.2">
      <c r="B336" s="35"/>
      <c r="C336" s="99"/>
      <c r="D336" s="99"/>
      <c r="E336" s="35"/>
      <c r="F336" s="35"/>
      <c r="G336" s="35"/>
      <c r="H336" s="99"/>
      <c r="I336" s="99"/>
      <c r="J336" s="99"/>
      <c r="K336" s="99"/>
      <c r="L336" s="35"/>
      <c r="M336" s="99"/>
      <c r="N336" s="35"/>
      <c r="O336" s="35"/>
      <c r="P336" s="35"/>
    </row>
    <row r="337" spans="2:16" s="1" customFormat="1" ht="14.25" x14ac:dyDescent="0.2">
      <c r="B337" s="35"/>
      <c r="C337" s="99"/>
      <c r="D337" s="99"/>
      <c r="E337" s="99"/>
      <c r="F337" s="99"/>
      <c r="G337" s="99"/>
      <c r="H337" s="99"/>
      <c r="I337" s="99"/>
      <c r="J337" s="99"/>
      <c r="K337" s="99"/>
      <c r="L337" s="35"/>
      <c r="M337" s="35"/>
      <c r="N337" s="35"/>
      <c r="O337" s="35"/>
      <c r="P337" s="35"/>
    </row>
    <row r="338" spans="2:16" s="1" customFormat="1" ht="14.25" x14ac:dyDescent="0.2">
      <c r="B338" s="35"/>
      <c r="C338" s="35"/>
      <c r="D338" s="99"/>
      <c r="E338" s="99"/>
      <c r="F338" s="35"/>
      <c r="G338" s="35"/>
      <c r="H338" s="99"/>
      <c r="I338" s="35"/>
      <c r="J338" s="35"/>
      <c r="K338" s="99"/>
      <c r="L338" s="35"/>
      <c r="M338" s="35"/>
      <c r="N338" s="35"/>
      <c r="O338" s="35"/>
      <c r="P338" s="35"/>
    </row>
    <row r="339" spans="2:16" s="1" customFormat="1" ht="14.25" x14ac:dyDescent="0.2"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</row>
    <row r="340" spans="2:16" s="1" customFormat="1" ht="14.25" x14ac:dyDescent="0.2"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</row>
    <row r="341" spans="2:16" s="1" customFormat="1" ht="14.25" x14ac:dyDescent="0.2"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</row>
    <row r="342" spans="2:16" s="1" customFormat="1" ht="14.25" x14ac:dyDescent="0.2"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</row>
    <row r="343" spans="2:16" s="1" customFormat="1" ht="14.25" x14ac:dyDescent="0.2"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</row>
    <row r="344" spans="2:16" s="1" customFormat="1" ht="14.25" x14ac:dyDescent="0.2"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</row>
    <row r="345" spans="2:16" s="1" customFormat="1" ht="14.25" x14ac:dyDescent="0.2"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</row>
    <row r="346" spans="2:16" s="1" customFormat="1" ht="14.25" x14ac:dyDescent="0.2"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</row>
    <row r="347" spans="2:16" s="1" customFormat="1" ht="14.25" x14ac:dyDescent="0.2"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</row>
    <row r="348" spans="2:16" s="1" customFormat="1" ht="14.25" x14ac:dyDescent="0.2"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</row>
    <row r="349" spans="2:16" s="1" customFormat="1" ht="14.25" x14ac:dyDescent="0.2"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</row>
    <row r="350" spans="2:16" s="1" customFormat="1" ht="14.25" x14ac:dyDescent="0.2"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</row>
    <row r="351" spans="2:16" s="1" customFormat="1" ht="14.25" x14ac:dyDescent="0.2"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</row>
    <row r="352" spans="2:16" s="1" customFormat="1" ht="14.25" x14ac:dyDescent="0.2"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</row>
    <row r="353" spans="2:16" s="1" customFormat="1" ht="14.25" x14ac:dyDescent="0.2"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</row>
    <row r="354" spans="2:16" s="1" customFormat="1" ht="14.25" x14ac:dyDescent="0.2"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</row>
    <row r="355" spans="2:16" s="1" customFormat="1" ht="14.25" x14ac:dyDescent="0.2"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</row>
    <row r="356" spans="2:16" s="1" customFormat="1" ht="14.25" x14ac:dyDescent="0.2"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</row>
    <row r="357" spans="2:16" s="1" customFormat="1" ht="14.25" x14ac:dyDescent="0.2"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</row>
    <row r="358" spans="2:16" s="1" customFormat="1" ht="14.25" x14ac:dyDescent="0.2"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</row>
    <row r="359" spans="2:16" s="1" customFormat="1" ht="14.25" x14ac:dyDescent="0.2"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</row>
    <row r="360" spans="2:16" s="1" customFormat="1" ht="14.25" x14ac:dyDescent="0.2"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</row>
    <row r="361" spans="2:16" s="1" customFormat="1" ht="14.25" x14ac:dyDescent="0.2"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</row>
    <row r="362" spans="2:16" s="1" customFormat="1" ht="14.25" x14ac:dyDescent="0.2"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</row>
    <row r="363" spans="2:16" s="1" customFormat="1" ht="14.25" x14ac:dyDescent="0.2"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</row>
    <row r="364" spans="2:16" s="1" customFormat="1" ht="14.25" x14ac:dyDescent="0.2"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</row>
    <row r="365" spans="2:16" s="1" customFormat="1" ht="14.25" x14ac:dyDescent="0.2"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</row>
    <row r="366" spans="2:16" s="1" customFormat="1" ht="14.25" x14ac:dyDescent="0.2"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</row>
    <row r="367" spans="2:16" s="1" customFormat="1" ht="14.25" x14ac:dyDescent="0.2"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</row>
    <row r="368" spans="2:16" s="1" customFormat="1" ht="14.25" x14ac:dyDescent="0.2"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</row>
    <row r="369" spans="2:16" s="1" customFormat="1" ht="14.25" x14ac:dyDescent="0.2"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</row>
    <row r="370" spans="2:16" s="1" customFormat="1" ht="14.25" x14ac:dyDescent="0.2"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</row>
    <row r="371" spans="2:16" s="1" customFormat="1" ht="14.25" x14ac:dyDescent="0.2"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</row>
    <row r="372" spans="2:16" s="1" customFormat="1" ht="14.25" x14ac:dyDescent="0.2"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</row>
    <row r="373" spans="2:16" s="1" customFormat="1" ht="14.25" x14ac:dyDescent="0.2"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</row>
    <row r="374" spans="2:16" s="1" customFormat="1" ht="14.25" x14ac:dyDescent="0.2"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</row>
    <row r="375" spans="2:16" s="1" customFormat="1" ht="14.25" x14ac:dyDescent="0.2"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</row>
    <row r="376" spans="2:16" s="1" customFormat="1" ht="14.25" x14ac:dyDescent="0.2"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</row>
    <row r="377" spans="2:16" s="1" customFormat="1" ht="18" x14ac:dyDescent="0.25">
      <c r="B377" s="199" t="s">
        <v>412</v>
      </c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</row>
    <row r="379" spans="2:16" s="1" customFormat="1" ht="21.75" customHeight="1" x14ac:dyDescent="0.2">
      <c r="B379" s="576" t="s">
        <v>99</v>
      </c>
      <c r="C379" s="576"/>
      <c r="D379" s="576"/>
      <c r="E379" s="576"/>
      <c r="F379" s="200"/>
      <c r="G379" s="35"/>
      <c r="H379" s="35"/>
      <c r="I379" s="35"/>
      <c r="J379" s="35"/>
      <c r="K379" s="35"/>
      <c r="L379" s="35"/>
      <c r="M379" s="35"/>
      <c r="N379" s="35"/>
      <c r="O379" s="35"/>
      <c r="P379" s="35"/>
    </row>
    <row r="380" spans="2:16" s="1" customFormat="1" ht="14.25" x14ac:dyDescent="0.2">
      <c r="B380" s="570" t="s">
        <v>147</v>
      </c>
      <c r="C380" s="570"/>
      <c r="D380" s="570"/>
      <c r="E380" s="26">
        <v>42523.5</v>
      </c>
      <c r="F380" s="58"/>
      <c r="G380" s="35"/>
      <c r="H380" s="35"/>
      <c r="I380" s="35"/>
      <c r="J380" s="35"/>
      <c r="K380" s="35"/>
      <c r="L380" s="35"/>
      <c r="M380" s="35"/>
      <c r="N380" s="35"/>
      <c r="O380" s="35"/>
      <c r="P380" s="35"/>
    </row>
    <row r="381" spans="2:16" s="1" customFormat="1" ht="14.25" x14ac:dyDescent="0.2">
      <c r="B381" s="570" t="s">
        <v>134</v>
      </c>
      <c r="C381" s="570"/>
      <c r="D381" s="570"/>
      <c r="E381" s="26">
        <v>0</v>
      </c>
      <c r="F381" s="58"/>
      <c r="G381" s="35"/>
      <c r="H381" s="35"/>
      <c r="I381" s="35"/>
      <c r="J381" s="35"/>
      <c r="K381" s="35"/>
      <c r="L381" s="35"/>
      <c r="M381" s="35"/>
      <c r="N381" s="35"/>
      <c r="O381" s="35"/>
      <c r="P381" s="35"/>
    </row>
    <row r="382" spans="2:16" s="1" customFormat="1" ht="14.25" x14ac:dyDescent="0.2">
      <c r="B382" s="593" t="s">
        <v>135</v>
      </c>
      <c r="C382" s="593"/>
      <c r="D382" s="593"/>
      <c r="E382" s="41">
        <v>12700</v>
      </c>
      <c r="F382" s="201"/>
      <c r="G382" s="192"/>
      <c r="H382" s="192"/>
      <c r="I382" s="35"/>
      <c r="J382" s="35"/>
      <c r="K382" s="35"/>
      <c r="L382" s="35"/>
      <c r="M382" s="35"/>
      <c r="N382" s="35"/>
      <c r="O382" s="35"/>
      <c r="P382" s="35"/>
    </row>
    <row r="383" spans="2:16" s="192" customFormat="1" ht="21.75" customHeight="1" x14ac:dyDescent="0.2">
      <c r="B383" s="575" t="s">
        <v>95</v>
      </c>
      <c r="C383" s="575"/>
      <c r="D383" s="575"/>
      <c r="E383" s="45">
        <f>SUM(E380:E382)</f>
        <v>55223.5</v>
      </c>
      <c r="F383" s="241"/>
      <c r="G383" s="35"/>
      <c r="H383" s="35"/>
    </row>
    <row r="384" spans="2:16" ht="23.25" customHeight="1" x14ac:dyDescent="0.2"/>
    <row r="385" spans="2:16" s="1" customFormat="1" ht="38.25" x14ac:dyDescent="0.2">
      <c r="B385" s="52" t="s">
        <v>52</v>
      </c>
      <c r="C385" s="37" t="s">
        <v>484</v>
      </c>
      <c r="D385" s="242"/>
      <c r="E385" s="243"/>
      <c r="F385" s="243"/>
      <c r="G385" s="243"/>
      <c r="H385" s="69"/>
      <c r="I385" s="35"/>
      <c r="J385" s="35"/>
      <c r="K385" s="35"/>
      <c r="L385" s="35"/>
      <c r="M385" s="35"/>
      <c r="N385" s="35"/>
      <c r="O385" s="35"/>
      <c r="P385" s="35"/>
    </row>
    <row r="386" spans="2:16" s="1" customFormat="1" ht="14.25" x14ac:dyDescent="0.2">
      <c r="B386" s="203"/>
      <c r="C386" s="102" t="s">
        <v>291</v>
      </c>
      <c r="D386" s="242"/>
      <c r="E386" s="243"/>
      <c r="F386" s="243"/>
      <c r="G386" s="243"/>
      <c r="H386" s="69"/>
      <c r="I386" s="35"/>
      <c r="J386" s="35"/>
      <c r="K386" s="35"/>
      <c r="L386" s="35"/>
      <c r="M386" s="35"/>
      <c r="N386" s="35"/>
      <c r="O386" s="35"/>
      <c r="P386" s="35"/>
    </row>
    <row r="387" spans="2:16" s="1" customFormat="1" ht="14.25" x14ac:dyDescent="0.2">
      <c r="B387" s="205" t="s">
        <v>53</v>
      </c>
      <c r="C387" s="27">
        <v>170607.47</v>
      </c>
      <c r="D387" s="99"/>
      <c r="E387" s="99"/>
      <c r="F387" s="99"/>
      <c r="G387" s="99"/>
      <c r="H387" s="35"/>
      <c r="I387" s="35"/>
      <c r="J387" s="35"/>
      <c r="K387" s="35"/>
      <c r="L387" s="35"/>
      <c r="M387" s="35"/>
      <c r="N387" s="35"/>
      <c r="O387" s="35"/>
      <c r="P387" s="35"/>
    </row>
    <row r="388" spans="2:16" s="69" customFormat="1" x14ac:dyDescent="0.2">
      <c r="B388" s="205" t="s">
        <v>54</v>
      </c>
      <c r="C388" s="27">
        <v>62522.99</v>
      </c>
      <c r="D388" s="99"/>
      <c r="E388" s="99"/>
      <c r="F388" s="99"/>
      <c r="G388" s="99"/>
      <c r="H388" s="35"/>
    </row>
    <row r="389" spans="2:16" s="1" customFormat="1" ht="14.25" x14ac:dyDescent="0.2">
      <c r="B389" s="205" t="s">
        <v>55</v>
      </c>
      <c r="C389" s="27">
        <f>SUM(C390:C396)</f>
        <v>82946.28</v>
      </c>
      <c r="D389" s="99"/>
      <c r="E389" s="99"/>
      <c r="F389" s="99"/>
      <c r="G389" s="99"/>
      <c r="H389" s="35"/>
      <c r="I389" s="35"/>
      <c r="J389" s="35"/>
      <c r="K389" s="35"/>
      <c r="L389" s="35"/>
      <c r="M389" s="35"/>
      <c r="N389" s="35"/>
      <c r="O389" s="35"/>
      <c r="P389" s="35"/>
    </row>
    <row r="390" spans="2:16" s="1" customFormat="1" ht="14.25" x14ac:dyDescent="0.2">
      <c r="B390" s="57" t="s">
        <v>66</v>
      </c>
      <c r="C390" s="26">
        <v>169.15</v>
      </c>
      <c r="D390" s="99"/>
      <c r="E390" s="99"/>
      <c r="F390" s="99"/>
      <c r="G390" s="99"/>
      <c r="H390" s="35"/>
      <c r="I390" s="35"/>
      <c r="J390" s="35"/>
      <c r="K390" s="35"/>
      <c r="L390" s="35"/>
      <c r="M390" s="35"/>
      <c r="N390" s="35"/>
      <c r="O390" s="35"/>
      <c r="P390" s="35"/>
    </row>
    <row r="391" spans="2:16" s="1" customFormat="1" ht="14.25" x14ac:dyDescent="0.2">
      <c r="B391" s="57" t="s">
        <v>56</v>
      </c>
      <c r="C391" s="26">
        <v>14229.66</v>
      </c>
      <c r="D391" s="99"/>
      <c r="E391" s="99"/>
      <c r="F391" s="99"/>
      <c r="G391" s="99"/>
      <c r="H391" s="35"/>
      <c r="I391" s="35"/>
      <c r="J391" s="35"/>
      <c r="K391" s="35"/>
      <c r="L391" s="35"/>
      <c r="M391" s="35"/>
      <c r="N391" s="35"/>
      <c r="O391" s="35"/>
      <c r="P391" s="35"/>
    </row>
    <row r="392" spans="2:16" s="1" customFormat="1" ht="14.25" x14ac:dyDescent="0.2">
      <c r="B392" s="57" t="s">
        <v>57</v>
      </c>
      <c r="C392" s="26">
        <v>17466.71</v>
      </c>
      <c r="D392" s="99"/>
      <c r="E392" s="99"/>
      <c r="F392" s="99"/>
      <c r="G392" s="99"/>
      <c r="H392" s="35"/>
      <c r="I392" s="35"/>
      <c r="J392" s="35"/>
      <c r="K392" s="35"/>
      <c r="L392" s="35"/>
      <c r="M392" s="35"/>
      <c r="N392" s="35"/>
      <c r="O392" s="35"/>
      <c r="P392" s="35"/>
    </row>
    <row r="393" spans="2:16" s="1" customFormat="1" ht="14.25" x14ac:dyDescent="0.2">
      <c r="B393" s="57" t="s">
        <v>58</v>
      </c>
      <c r="C393" s="26">
        <v>30</v>
      </c>
      <c r="D393" s="99"/>
      <c r="E393" s="99"/>
      <c r="F393" s="99"/>
      <c r="G393" s="99"/>
      <c r="H393" s="35"/>
      <c r="I393" s="35"/>
      <c r="J393" s="35"/>
      <c r="K393" s="35"/>
      <c r="L393" s="35"/>
      <c r="M393" s="35"/>
      <c r="N393" s="35"/>
      <c r="O393" s="35"/>
      <c r="P393" s="35"/>
    </row>
    <row r="394" spans="2:16" s="1" customFormat="1" ht="15.75" customHeight="1" x14ac:dyDescent="0.2">
      <c r="B394" s="57" t="s">
        <v>59</v>
      </c>
      <c r="C394" s="26">
        <v>1078.28</v>
      </c>
      <c r="D394" s="99"/>
      <c r="E394" s="99"/>
      <c r="F394" s="99"/>
      <c r="G394" s="99"/>
      <c r="H394" s="35"/>
      <c r="I394" s="35"/>
      <c r="J394" s="35"/>
      <c r="K394" s="35"/>
      <c r="L394" s="35"/>
      <c r="M394" s="35"/>
      <c r="N394" s="35"/>
      <c r="O394" s="35"/>
      <c r="P394" s="35"/>
    </row>
    <row r="395" spans="2:16" s="1" customFormat="1" ht="14.25" x14ac:dyDescent="0.2">
      <c r="B395" s="57" t="s">
        <v>60</v>
      </c>
      <c r="C395" s="26">
        <v>1555.56</v>
      </c>
      <c r="D395" s="99"/>
      <c r="E395" s="99"/>
      <c r="F395" s="99"/>
      <c r="G395" s="99"/>
      <c r="H395" s="35"/>
      <c r="I395" s="35"/>
      <c r="J395" s="35"/>
      <c r="K395" s="35"/>
      <c r="L395" s="35"/>
      <c r="M395" s="35"/>
      <c r="N395" s="35"/>
      <c r="O395" s="35"/>
      <c r="P395" s="35"/>
    </row>
    <row r="396" spans="2:16" s="1" customFormat="1" ht="14.25" x14ac:dyDescent="0.2">
      <c r="B396" s="57" t="s">
        <v>61</v>
      </c>
      <c r="C396" s="26">
        <v>48416.92</v>
      </c>
      <c r="D396" s="99"/>
      <c r="E396" s="99"/>
      <c r="F396" s="99"/>
      <c r="G396" s="99"/>
      <c r="H396" s="35"/>
      <c r="I396" s="35"/>
      <c r="J396" s="35"/>
      <c r="K396" s="35"/>
      <c r="L396" s="35"/>
      <c r="M396" s="35"/>
      <c r="N396" s="35"/>
      <c r="O396" s="35"/>
      <c r="P396" s="35"/>
    </row>
    <row r="397" spans="2:16" s="1" customFormat="1" ht="14.25" x14ac:dyDescent="0.2">
      <c r="B397" s="205" t="s">
        <v>62</v>
      </c>
      <c r="C397" s="27">
        <v>1276.3699999999999</v>
      </c>
      <c r="D397" s="99"/>
      <c r="E397" s="99"/>
      <c r="F397" s="99"/>
      <c r="G397" s="99"/>
      <c r="H397" s="35"/>
      <c r="I397" s="35"/>
      <c r="J397" s="35"/>
      <c r="K397" s="35"/>
      <c r="L397" s="35"/>
      <c r="M397" s="35"/>
      <c r="N397" s="35"/>
      <c r="O397" s="35"/>
      <c r="P397" s="35"/>
    </row>
    <row r="398" spans="2:16" s="1" customFormat="1" ht="19.5" customHeight="1" x14ac:dyDescent="0.2">
      <c r="B398" s="207" t="s">
        <v>95</v>
      </c>
      <c r="C398" s="45">
        <f>C387+C388+C389+C397</f>
        <v>317353.11</v>
      </c>
      <c r="D398" s="7"/>
      <c r="E398" s="7"/>
      <c r="F398" s="7"/>
      <c r="G398" s="7"/>
      <c r="H398" s="36"/>
      <c r="I398" s="35"/>
      <c r="J398" s="35"/>
      <c r="K398" s="35"/>
      <c r="L398" s="35"/>
      <c r="M398" s="35"/>
      <c r="N398" s="35"/>
      <c r="O398" s="35"/>
      <c r="P398" s="35"/>
    </row>
    <row r="399" spans="2:16" s="1" customFormat="1" ht="14.25" x14ac:dyDescent="0.2"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</row>
    <row r="400" spans="2:16" s="1" customFormat="1" ht="14.25" x14ac:dyDescent="0.2"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</row>
    <row r="401" spans="2:16" s="1" customFormat="1" ht="18" x14ac:dyDescent="0.25">
      <c r="B401" s="199" t="s">
        <v>146</v>
      </c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</row>
    <row r="403" spans="2:16" s="1" customFormat="1" ht="18" customHeight="1" x14ac:dyDescent="0.2">
      <c r="B403" s="576" t="s">
        <v>99</v>
      </c>
      <c r="C403" s="576"/>
      <c r="D403" s="576"/>
      <c r="E403" s="576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</row>
    <row r="404" spans="2:16" s="1" customFormat="1" ht="15" customHeight="1" x14ac:dyDescent="0.2">
      <c r="B404" s="566" t="s">
        <v>148</v>
      </c>
      <c r="C404" s="566"/>
      <c r="D404" s="566"/>
      <c r="E404" s="26">
        <v>161659</v>
      </c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</row>
    <row r="405" spans="2:16" s="1" customFormat="1" ht="14.25" x14ac:dyDescent="0.2">
      <c r="B405" s="566" t="s">
        <v>131</v>
      </c>
      <c r="C405" s="566"/>
      <c r="D405" s="566"/>
      <c r="E405" s="41">
        <v>68.2</v>
      </c>
      <c r="F405" s="192"/>
      <c r="G405" s="192"/>
      <c r="H405" s="192"/>
      <c r="I405" s="35"/>
      <c r="J405" s="35"/>
      <c r="K405" s="35"/>
      <c r="L405" s="35"/>
      <c r="M405" s="35"/>
      <c r="N405" s="35"/>
      <c r="O405" s="35"/>
      <c r="P405" s="35"/>
    </row>
    <row r="406" spans="2:16" s="192" customFormat="1" x14ac:dyDescent="0.2">
      <c r="B406" s="594" t="s">
        <v>95</v>
      </c>
      <c r="C406" s="594"/>
      <c r="D406" s="594"/>
      <c r="E406" s="244">
        <f>SUM(E404:E405)</f>
        <v>161727.20000000001</v>
      </c>
      <c r="F406" s="35"/>
      <c r="G406" s="35"/>
      <c r="H406" s="35"/>
    </row>
    <row r="408" spans="2:16" s="1" customFormat="1" ht="38.25" x14ac:dyDescent="0.2">
      <c r="B408" s="52" t="s">
        <v>52</v>
      </c>
      <c r="C408" s="37" t="s">
        <v>484</v>
      </c>
      <c r="D408" s="242"/>
      <c r="E408" s="243"/>
      <c r="F408" s="243"/>
      <c r="G408" s="243"/>
      <c r="H408" s="69"/>
      <c r="I408" s="35"/>
      <c r="J408" s="35"/>
      <c r="K408" s="35"/>
      <c r="L408" s="35"/>
      <c r="M408" s="35"/>
      <c r="N408" s="35"/>
      <c r="O408" s="35"/>
      <c r="P408" s="35"/>
    </row>
    <row r="409" spans="2:16" s="1" customFormat="1" ht="14.25" x14ac:dyDescent="0.2">
      <c r="B409" s="203"/>
      <c r="C409" s="102" t="s">
        <v>291</v>
      </c>
      <c r="D409" s="242"/>
      <c r="E409" s="243"/>
      <c r="F409" s="243"/>
      <c r="G409" s="243"/>
      <c r="H409" s="69"/>
      <c r="I409" s="35"/>
      <c r="J409" s="35"/>
      <c r="K409" s="35"/>
      <c r="L409" s="35"/>
      <c r="M409" s="35"/>
      <c r="N409" s="35"/>
      <c r="O409" s="35"/>
      <c r="P409" s="35"/>
    </row>
    <row r="410" spans="2:16" s="1" customFormat="1" ht="14.25" x14ac:dyDescent="0.2">
      <c r="B410" s="205" t="s">
        <v>53</v>
      </c>
      <c r="C410" s="27">
        <v>1128488.75</v>
      </c>
      <c r="D410" s="99"/>
      <c r="E410" s="99"/>
      <c r="F410" s="99"/>
      <c r="G410" s="99"/>
      <c r="H410" s="35"/>
      <c r="I410" s="35"/>
      <c r="J410" s="35"/>
      <c r="K410" s="35"/>
      <c r="L410" s="35"/>
      <c r="M410" s="35"/>
      <c r="N410" s="35"/>
      <c r="O410" s="35"/>
      <c r="P410" s="35"/>
    </row>
    <row r="411" spans="2:16" s="69" customFormat="1" x14ac:dyDescent="0.2">
      <c r="B411" s="205" t="s">
        <v>54</v>
      </c>
      <c r="C411" s="27">
        <v>398495.89</v>
      </c>
      <c r="D411" s="99"/>
      <c r="E411" s="99"/>
      <c r="F411" s="99"/>
      <c r="G411" s="99"/>
      <c r="H411" s="35"/>
    </row>
    <row r="412" spans="2:16" s="1" customFormat="1" ht="14.25" x14ac:dyDescent="0.2">
      <c r="B412" s="205" t="s">
        <v>55</v>
      </c>
      <c r="C412" s="27">
        <f>SUM(C413:C418)</f>
        <v>209883.26</v>
      </c>
      <c r="D412" s="99"/>
      <c r="E412" s="99"/>
      <c r="F412" s="99"/>
      <c r="G412" s="99"/>
      <c r="H412" s="35"/>
      <c r="I412" s="35"/>
      <c r="J412" s="35"/>
      <c r="K412" s="35"/>
      <c r="L412" s="35"/>
      <c r="M412" s="35"/>
      <c r="N412" s="35"/>
      <c r="O412" s="35"/>
      <c r="P412" s="35"/>
    </row>
    <row r="413" spans="2:16" s="1" customFormat="1" ht="14.25" x14ac:dyDescent="0.2">
      <c r="B413" s="57" t="s">
        <v>66</v>
      </c>
      <c r="C413" s="26">
        <v>575.35</v>
      </c>
      <c r="D413" s="99"/>
      <c r="E413" s="99"/>
      <c r="F413" s="99"/>
      <c r="G413" s="99"/>
      <c r="H413" s="35"/>
      <c r="I413" s="35"/>
      <c r="J413" s="35"/>
      <c r="K413" s="35"/>
      <c r="L413" s="35"/>
      <c r="M413" s="35"/>
      <c r="N413" s="35"/>
      <c r="O413" s="35"/>
      <c r="P413" s="35"/>
    </row>
    <row r="414" spans="2:16" s="1" customFormat="1" ht="14.25" x14ac:dyDescent="0.2">
      <c r="B414" s="57" t="s">
        <v>56</v>
      </c>
      <c r="C414" s="26">
        <v>37494.04</v>
      </c>
      <c r="D414" s="99"/>
      <c r="E414" s="99"/>
      <c r="F414" s="99"/>
      <c r="G414" s="99"/>
      <c r="H414" s="35"/>
      <c r="I414" s="35"/>
      <c r="J414" s="35"/>
      <c r="K414" s="35"/>
      <c r="L414" s="35"/>
      <c r="M414" s="35"/>
      <c r="N414" s="35"/>
      <c r="O414" s="35"/>
      <c r="P414" s="35"/>
    </row>
    <row r="415" spans="2:16" s="1" customFormat="1" ht="14.25" x14ac:dyDescent="0.2">
      <c r="B415" s="57" t="s">
        <v>57</v>
      </c>
      <c r="C415" s="26">
        <v>69015.59</v>
      </c>
      <c r="D415" s="99"/>
      <c r="E415" s="99"/>
      <c r="F415" s="99"/>
      <c r="G415" s="99"/>
      <c r="H415" s="35"/>
      <c r="I415" s="35"/>
      <c r="J415" s="35"/>
      <c r="K415" s="35"/>
      <c r="L415" s="35"/>
      <c r="M415" s="35"/>
      <c r="N415" s="35"/>
      <c r="O415" s="35"/>
      <c r="P415" s="35"/>
    </row>
    <row r="416" spans="2:16" s="1" customFormat="1" ht="13.5" customHeight="1" x14ac:dyDescent="0.2">
      <c r="B416" s="57" t="s">
        <v>59</v>
      </c>
      <c r="C416" s="26">
        <v>16796.71</v>
      </c>
      <c r="D416" s="99"/>
      <c r="E416" s="99"/>
      <c r="F416" s="99"/>
      <c r="G416" s="99"/>
      <c r="H416" s="35"/>
      <c r="I416" s="35"/>
      <c r="J416" s="35"/>
      <c r="K416" s="35"/>
      <c r="L416" s="35"/>
      <c r="M416" s="35"/>
      <c r="N416" s="35"/>
      <c r="O416" s="35"/>
      <c r="P416" s="35"/>
    </row>
    <row r="417" spans="2:16" s="1" customFormat="1" ht="14.25" x14ac:dyDescent="0.2">
      <c r="B417" s="57" t="s">
        <v>60</v>
      </c>
      <c r="C417" s="26">
        <v>2689.54</v>
      </c>
      <c r="D417" s="99"/>
      <c r="E417" s="99"/>
      <c r="F417" s="99"/>
      <c r="G417" s="99"/>
      <c r="H417" s="35"/>
      <c r="I417" s="35"/>
      <c r="J417" s="35"/>
      <c r="K417" s="35"/>
      <c r="L417" s="35"/>
      <c r="M417" s="35"/>
      <c r="N417" s="35"/>
      <c r="O417" s="35"/>
      <c r="P417" s="35"/>
    </row>
    <row r="418" spans="2:16" s="1" customFormat="1" ht="14.25" x14ac:dyDescent="0.2">
      <c r="B418" s="57" t="s">
        <v>61</v>
      </c>
      <c r="C418" s="26">
        <v>83312.03</v>
      </c>
      <c r="D418" s="7"/>
      <c r="E418" s="7"/>
      <c r="F418" s="7"/>
      <c r="G418" s="7"/>
      <c r="H418" s="36"/>
      <c r="I418" s="35"/>
      <c r="J418" s="35"/>
      <c r="K418" s="35"/>
      <c r="L418" s="35"/>
      <c r="M418" s="35"/>
      <c r="N418" s="35"/>
      <c r="O418" s="35"/>
      <c r="P418" s="35"/>
    </row>
    <row r="419" spans="2:16" s="1" customFormat="1" ht="14.25" x14ac:dyDescent="0.2">
      <c r="B419" s="205" t="s">
        <v>62</v>
      </c>
      <c r="C419" s="27">
        <v>12272.89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</row>
    <row r="420" spans="2:16" s="1" customFormat="1" ht="38.25" x14ac:dyDescent="0.2">
      <c r="B420" s="205" t="s">
        <v>664</v>
      </c>
      <c r="C420" s="209">
        <v>59900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</row>
    <row r="421" spans="2:16" s="1" customFormat="1" ht="21.75" customHeight="1" x14ac:dyDescent="0.2">
      <c r="B421" s="207" t="s">
        <v>95</v>
      </c>
      <c r="C421" s="45">
        <f>C410+C411+C412+C419+C420</f>
        <v>1809040.79</v>
      </c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</row>
  </sheetData>
  <mergeCells count="91">
    <mergeCell ref="B45:D45"/>
    <mergeCell ref="B46:D46"/>
    <mergeCell ref="B47:D47"/>
    <mergeCell ref="B309:D309"/>
    <mergeCell ref="B43:D43"/>
    <mergeCell ref="B96:D96"/>
    <mergeCell ref="B44:D44"/>
    <mergeCell ref="B48:D48"/>
    <mergeCell ref="B86:E86"/>
    <mergeCell ref="B87:D87"/>
    <mergeCell ref="B89:D89"/>
    <mergeCell ref="B90:D90"/>
    <mergeCell ref="B91:D91"/>
    <mergeCell ref="C50:D50"/>
    <mergeCell ref="E50:F50"/>
    <mergeCell ref="B88:D88"/>
    <mergeCell ref="B9:E9"/>
    <mergeCell ref="B10:D10"/>
    <mergeCell ref="B12:D12"/>
    <mergeCell ref="B13:D13"/>
    <mergeCell ref="B14:D14"/>
    <mergeCell ref="B11:D11"/>
    <mergeCell ref="B15:D15"/>
    <mergeCell ref="B40:E40"/>
    <mergeCell ref="B41:D41"/>
    <mergeCell ref="B42:D42"/>
    <mergeCell ref="C17:D17"/>
    <mergeCell ref="E17:F17"/>
    <mergeCell ref="C98:D98"/>
    <mergeCell ref="C126:D126"/>
    <mergeCell ref="E126:F126"/>
    <mergeCell ref="B118:E118"/>
    <mergeCell ref="B119:D119"/>
    <mergeCell ref="B120:D120"/>
    <mergeCell ref="B121:D121"/>
    <mergeCell ref="B122:D122"/>
    <mergeCell ref="B124:D124"/>
    <mergeCell ref="B123:D123"/>
    <mergeCell ref="B160:E160"/>
    <mergeCell ref="B190:D190"/>
    <mergeCell ref="B233:E233"/>
    <mergeCell ref="C192:D192"/>
    <mergeCell ref="B162:D162"/>
    <mergeCell ref="B183:E183"/>
    <mergeCell ref="B184:D184"/>
    <mergeCell ref="B186:D186"/>
    <mergeCell ref="B187:D187"/>
    <mergeCell ref="B188:D188"/>
    <mergeCell ref="B185:D185"/>
    <mergeCell ref="D165:E165"/>
    <mergeCell ref="B163:D163"/>
    <mergeCell ref="B307:E307"/>
    <mergeCell ref="B236:D236"/>
    <mergeCell ref="B237:D237"/>
    <mergeCell ref="B239:D239"/>
    <mergeCell ref="B261:E261"/>
    <mergeCell ref="B262:D262"/>
    <mergeCell ref="B264:D264"/>
    <mergeCell ref="B265:D265"/>
    <mergeCell ref="B266:D266"/>
    <mergeCell ref="B269:D269"/>
    <mergeCell ref="B263:D263"/>
    <mergeCell ref="B406:D406"/>
    <mergeCell ref="B380:D380"/>
    <mergeCell ref="B382:D382"/>
    <mergeCell ref="B383:D383"/>
    <mergeCell ref="B403:E403"/>
    <mergeCell ref="B404:D404"/>
    <mergeCell ref="B381:D381"/>
    <mergeCell ref="B313:D313"/>
    <mergeCell ref="B405:D405"/>
    <mergeCell ref="B379:E379"/>
    <mergeCell ref="B316:D316"/>
    <mergeCell ref="B314:D314"/>
    <mergeCell ref="B315:D315"/>
    <mergeCell ref="B234:D234"/>
    <mergeCell ref="B235:D235"/>
    <mergeCell ref="B161:D161"/>
    <mergeCell ref="E98:G98"/>
    <mergeCell ref="D319:E319"/>
    <mergeCell ref="F319:H319"/>
    <mergeCell ref="E192:G192"/>
    <mergeCell ref="C241:D241"/>
    <mergeCell ref="E241:F241"/>
    <mergeCell ref="C271:D271"/>
    <mergeCell ref="E271:F271"/>
    <mergeCell ref="B317:D317"/>
    <mergeCell ref="B308:D308"/>
    <mergeCell ref="B310:D310"/>
    <mergeCell ref="B311:D311"/>
    <mergeCell ref="B312:D312"/>
  </mergeCells>
  <pageMargins left="0.39370078740157483" right="0" top="0.59055118110236227" bottom="0.47244094488188981" header="0.19685039370078741" footer="7.874015748031496E-2"/>
  <pageSetup paperSize="9" scale="7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J81"/>
  <sheetViews>
    <sheetView workbookViewId="0"/>
  </sheetViews>
  <sheetFormatPr defaultRowHeight="14.25" x14ac:dyDescent="0.25"/>
  <cols>
    <col min="1" max="1" width="1.5703125" style="8" customWidth="1"/>
    <col min="2" max="2" width="4.28515625" style="8" customWidth="1"/>
    <col min="3" max="3" width="6.28515625" style="8" customWidth="1"/>
    <col min="4" max="4" width="39.42578125" style="8" customWidth="1"/>
    <col min="5" max="5" width="58.7109375" style="8" customWidth="1"/>
    <col min="6" max="6" width="17.85546875" style="267" customWidth="1"/>
    <col min="7" max="7" width="9.140625" style="8" customWidth="1"/>
    <col min="8" max="8" width="9.140625" style="8"/>
    <col min="9" max="9" width="14.28515625" style="8" bestFit="1" customWidth="1"/>
    <col min="10" max="16384" width="9.140625" style="8"/>
  </cols>
  <sheetData>
    <row r="1" spans="3:9" x14ac:dyDescent="0.25">
      <c r="C1" s="336"/>
      <c r="D1" s="336"/>
      <c r="E1" s="336"/>
      <c r="F1" s="337"/>
    </row>
    <row r="2" spans="3:9" x14ac:dyDescent="0.25">
      <c r="C2" s="336"/>
      <c r="D2" s="336"/>
      <c r="E2" s="336"/>
      <c r="F2" s="337"/>
    </row>
    <row r="3" spans="3:9" x14ac:dyDescent="0.25">
      <c r="C3" s="336"/>
      <c r="D3" s="336"/>
      <c r="E3" s="336"/>
      <c r="F3" s="338" t="s">
        <v>149</v>
      </c>
    </row>
    <row r="4" spans="3:9" ht="18" x14ac:dyDescent="0.25">
      <c r="C4" s="598" t="s">
        <v>608</v>
      </c>
      <c r="D4" s="598"/>
      <c r="E4" s="598"/>
      <c r="F4" s="598"/>
    </row>
    <row r="5" spans="3:9" ht="6" customHeight="1" x14ac:dyDescent="0.25">
      <c r="C5" s="339"/>
      <c r="D5" s="340"/>
      <c r="E5" s="340"/>
      <c r="F5" s="341"/>
    </row>
    <row r="6" spans="3:9" ht="33" customHeight="1" x14ac:dyDescent="0.25">
      <c r="C6" s="342" t="s">
        <v>150</v>
      </c>
      <c r="D6" s="343" t="s">
        <v>151</v>
      </c>
      <c r="E6" s="343" t="s">
        <v>152</v>
      </c>
      <c r="F6" s="344" t="s">
        <v>153</v>
      </c>
    </row>
    <row r="7" spans="3:9" x14ac:dyDescent="0.25">
      <c r="C7" s="595" t="s">
        <v>154</v>
      </c>
      <c r="D7" s="595"/>
      <c r="E7" s="595"/>
      <c r="F7" s="345">
        <f>SUM(F8:F33)</f>
        <v>17189361.719999999</v>
      </c>
    </row>
    <row r="8" spans="3:9" x14ac:dyDescent="0.2">
      <c r="C8" s="133">
        <v>1</v>
      </c>
      <c r="D8" s="433" t="s">
        <v>1002</v>
      </c>
      <c r="E8" s="433" t="s">
        <v>609</v>
      </c>
      <c r="F8" s="434">
        <v>26374.06</v>
      </c>
    </row>
    <row r="9" spans="3:9" x14ac:dyDescent="0.2">
      <c r="C9" s="133">
        <v>2</v>
      </c>
      <c r="D9" s="433" t="s">
        <v>1002</v>
      </c>
      <c r="E9" s="433" t="s">
        <v>610</v>
      </c>
      <c r="F9" s="434">
        <v>130827</v>
      </c>
    </row>
    <row r="10" spans="3:9" x14ac:dyDescent="0.2">
      <c r="C10" s="133">
        <v>3</v>
      </c>
      <c r="D10" s="433" t="s">
        <v>1002</v>
      </c>
      <c r="E10" s="433" t="s">
        <v>611</v>
      </c>
      <c r="F10" s="434">
        <v>118247</v>
      </c>
    </row>
    <row r="11" spans="3:9" x14ac:dyDescent="0.2">
      <c r="C11" s="133">
        <v>4</v>
      </c>
      <c r="D11" s="433" t="s">
        <v>1002</v>
      </c>
      <c r="E11" s="433" t="s">
        <v>999</v>
      </c>
      <c r="F11" s="434">
        <v>12369677</v>
      </c>
      <c r="I11" s="267"/>
    </row>
    <row r="12" spans="3:9" x14ac:dyDescent="0.2">
      <c r="C12" s="133">
        <v>5</v>
      </c>
      <c r="D12" s="433" t="s">
        <v>1002</v>
      </c>
      <c r="E12" s="433" t="s">
        <v>612</v>
      </c>
      <c r="F12" s="434">
        <v>22456.58</v>
      </c>
    </row>
    <row r="13" spans="3:9" x14ac:dyDescent="0.2">
      <c r="C13" s="133">
        <v>6</v>
      </c>
      <c r="D13" s="433" t="s">
        <v>1002</v>
      </c>
      <c r="E13" s="433" t="s">
        <v>613</v>
      </c>
      <c r="F13" s="434">
        <v>18530</v>
      </c>
    </row>
    <row r="14" spans="3:9" x14ac:dyDescent="0.2">
      <c r="C14" s="133">
        <v>7</v>
      </c>
      <c r="D14" s="433" t="s">
        <v>1002</v>
      </c>
      <c r="E14" s="433" t="s">
        <v>614</v>
      </c>
      <c r="F14" s="434">
        <v>304793</v>
      </c>
    </row>
    <row r="15" spans="3:9" x14ac:dyDescent="0.2">
      <c r="C15" s="133">
        <v>8</v>
      </c>
      <c r="D15" s="433" t="s">
        <v>1002</v>
      </c>
      <c r="E15" s="433" t="s">
        <v>988</v>
      </c>
      <c r="F15" s="434">
        <v>20000</v>
      </c>
    </row>
    <row r="16" spans="3:9" x14ac:dyDescent="0.2">
      <c r="C16" s="133">
        <v>9</v>
      </c>
      <c r="D16" s="433" t="s">
        <v>1002</v>
      </c>
      <c r="E16" s="433" t="s">
        <v>989</v>
      </c>
      <c r="F16" s="434">
        <v>34483</v>
      </c>
    </row>
    <row r="17" spans="3:9" ht="25.5" x14ac:dyDescent="0.2">
      <c r="C17" s="133">
        <v>10</v>
      </c>
      <c r="D17" s="433" t="s">
        <v>1002</v>
      </c>
      <c r="E17" s="436" t="s">
        <v>990</v>
      </c>
      <c r="F17" s="562">
        <v>700</v>
      </c>
    </row>
    <row r="18" spans="3:9" x14ac:dyDescent="0.2">
      <c r="C18" s="133">
        <v>11</v>
      </c>
      <c r="D18" s="433" t="s">
        <v>1002</v>
      </c>
      <c r="E18" s="433" t="s">
        <v>615</v>
      </c>
      <c r="F18" s="434">
        <v>112156</v>
      </c>
    </row>
    <row r="19" spans="3:9" x14ac:dyDescent="0.2">
      <c r="C19" s="133">
        <v>12</v>
      </c>
      <c r="D19" s="433" t="s">
        <v>1002</v>
      </c>
      <c r="E19" s="433" t="s">
        <v>616</v>
      </c>
      <c r="F19" s="434">
        <v>429684</v>
      </c>
      <c r="I19" s="346"/>
    </row>
    <row r="20" spans="3:9" x14ac:dyDescent="0.2">
      <c r="C20" s="133">
        <v>13</v>
      </c>
      <c r="D20" s="433" t="s">
        <v>1002</v>
      </c>
      <c r="E20" s="433" t="s">
        <v>617</v>
      </c>
      <c r="F20" s="434">
        <v>43761</v>
      </c>
      <c r="I20" s="346"/>
    </row>
    <row r="21" spans="3:9" x14ac:dyDescent="0.2">
      <c r="C21" s="133">
        <v>14</v>
      </c>
      <c r="D21" s="433" t="s">
        <v>1002</v>
      </c>
      <c r="E21" s="433" t="s">
        <v>618</v>
      </c>
      <c r="F21" s="434">
        <v>800</v>
      </c>
      <c r="H21" s="346"/>
      <c r="I21" s="346"/>
    </row>
    <row r="22" spans="3:9" x14ac:dyDescent="0.2">
      <c r="C22" s="133">
        <v>15</v>
      </c>
      <c r="D22" s="433" t="s">
        <v>1002</v>
      </c>
      <c r="E22" s="433" t="s">
        <v>522</v>
      </c>
      <c r="F22" s="434">
        <v>43700</v>
      </c>
      <c r="H22" s="346"/>
      <c r="I22" s="346"/>
    </row>
    <row r="23" spans="3:9" x14ac:dyDescent="0.2">
      <c r="C23" s="133">
        <v>16</v>
      </c>
      <c r="D23" s="433" t="s">
        <v>1002</v>
      </c>
      <c r="E23" s="433" t="s">
        <v>523</v>
      </c>
      <c r="F23" s="434">
        <v>65100</v>
      </c>
      <c r="H23" s="346"/>
      <c r="I23" s="346"/>
    </row>
    <row r="24" spans="3:9" x14ac:dyDescent="0.2">
      <c r="C24" s="133">
        <v>17</v>
      </c>
      <c r="D24" s="433" t="s">
        <v>1002</v>
      </c>
      <c r="E24" s="433" t="s">
        <v>619</v>
      </c>
      <c r="F24" s="434">
        <v>550</v>
      </c>
      <c r="H24" s="346"/>
      <c r="I24" s="346"/>
    </row>
    <row r="25" spans="3:9" x14ac:dyDescent="0.2">
      <c r="C25" s="133">
        <v>18</v>
      </c>
      <c r="D25" s="433" t="s">
        <v>1002</v>
      </c>
      <c r="E25" s="433" t="s">
        <v>620</v>
      </c>
      <c r="F25" s="434">
        <v>720</v>
      </c>
      <c r="H25" s="346"/>
      <c r="I25" s="346"/>
    </row>
    <row r="26" spans="3:9" x14ac:dyDescent="0.2">
      <c r="C26" s="133">
        <v>19</v>
      </c>
      <c r="D26" s="433" t="s">
        <v>448</v>
      </c>
      <c r="E26" s="433" t="s">
        <v>621</v>
      </c>
      <c r="F26" s="434">
        <v>249</v>
      </c>
      <c r="H26" s="347"/>
      <c r="I26" s="347"/>
    </row>
    <row r="27" spans="3:9" x14ac:dyDescent="0.2">
      <c r="C27" s="133">
        <v>20</v>
      </c>
      <c r="D27" s="433" t="s">
        <v>448</v>
      </c>
      <c r="E27" s="433" t="s">
        <v>622</v>
      </c>
      <c r="F27" s="434">
        <v>1764105.7</v>
      </c>
      <c r="H27" s="347"/>
      <c r="I27" s="347"/>
    </row>
    <row r="28" spans="3:9" x14ac:dyDescent="0.2">
      <c r="C28" s="133">
        <v>21</v>
      </c>
      <c r="D28" s="433" t="s">
        <v>602</v>
      </c>
      <c r="E28" s="35" t="s">
        <v>1001</v>
      </c>
      <c r="F28" s="434">
        <v>597253.38</v>
      </c>
      <c r="H28" s="347"/>
      <c r="I28" s="347"/>
    </row>
    <row r="29" spans="3:9" x14ac:dyDescent="0.2">
      <c r="C29" s="133">
        <v>22</v>
      </c>
      <c r="D29" s="433" t="s">
        <v>1002</v>
      </c>
      <c r="E29" s="433" t="s">
        <v>524</v>
      </c>
      <c r="F29" s="434">
        <v>2364</v>
      </c>
      <c r="H29" s="347"/>
      <c r="I29" s="347"/>
    </row>
    <row r="30" spans="3:9" x14ac:dyDescent="0.2">
      <c r="C30" s="133">
        <v>23</v>
      </c>
      <c r="D30" s="433" t="s">
        <v>1002</v>
      </c>
      <c r="E30" s="433" t="s">
        <v>525</v>
      </c>
      <c r="F30" s="434">
        <v>631554</v>
      </c>
      <c r="H30" s="347"/>
      <c r="I30" s="347"/>
    </row>
    <row r="31" spans="3:9" x14ac:dyDescent="0.2">
      <c r="C31" s="133">
        <v>24</v>
      </c>
      <c r="D31" s="433" t="s">
        <v>1002</v>
      </c>
      <c r="E31" s="433" t="s">
        <v>623</v>
      </c>
      <c r="F31" s="434">
        <v>79309</v>
      </c>
      <c r="H31" s="347"/>
      <c r="I31" s="347"/>
    </row>
    <row r="32" spans="3:9" x14ac:dyDescent="0.2">
      <c r="C32" s="133">
        <v>25</v>
      </c>
      <c r="D32" s="433" t="s">
        <v>1002</v>
      </c>
      <c r="E32" s="459" t="s">
        <v>624</v>
      </c>
      <c r="F32" s="434">
        <v>79718</v>
      </c>
      <c r="H32" s="347"/>
      <c r="I32" s="347"/>
    </row>
    <row r="33" spans="3:10" x14ac:dyDescent="0.2">
      <c r="C33" s="133">
        <v>26</v>
      </c>
      <c r="D33" s="433" t="s">
        <v>1002</v>
      </c>
      <c r="E33" s="433" t="s">
        <v>625</v>
      </c>
      <c r="F33" s="434">
        <v>292250</v>
      </c>
      <c r="H33" s="347"/>
      <c r="I33" s="347"/>
    </row>
    <row r="34" spans="3:10" x14ac:dyDescent="0.25">
      <c r="C34" s="597" t="s">
        <v>155</v>
      </c>
      <c r="D34" s="597"/>
      <c r="E34" s="597"/>
      <c r="F34" s="348">
        <f>SUM(F35:F64)</f>
        <v>5282512.49</v>
      </c>
      <c r="H34" s="347"/>
      <c r="I34" s="347"/>
    </row>
    <row r="35" spans="3:10" x14ac:dyDescent="0.2">
      <c r="C35" s="133">
        <v>27</v>
      </c>
      <c r="D35" s="433" t="s">
        <v>447</v>
      </c>
      <c r="E35" s="433" t="s">
        <v>626</v>
      </c>
      <c r="F35" s="349">
        <v>13317.9</v>
      </c>
      <c r="G35" s="346"/>
    </row>
    <row r="36" spans="3:10" x14ac:dyDescent="0.2">
      <c r="C36" s="133">
        <v>28</v>
      </c>
      <c r="D36" s="433" t="s">
        <v>452</v>
      </c>
      <c r="E36" s="433" t="s">
        <v>627</v>
      </c>
      <c r="F36" s="349">
        <v>26016</v>
      </c>
      <c r="G36" s="346"/>
    </row>
    <row r="37" spans="3:10" ht="24.75" customHeight="1" x14ac:dyDescent="0.25">
      <c r="C37" s="133">
        <v>29</v>
      </c>
      <c r="D37" s="438" t="s">
        <v>452</v>
      </c>
      <c r="E37" s="436" t="s">
        <v>628</v>
      </c>
      <c r="F37" s="350">
        <v>93348.479999999996</v>
      </c>
      <c r="G37" s="346"/>
    </row>
    <row r="38" spans="3:10" x14ac:dyDescent="0.2">
      <c r="C38" s="133">
        <v>30</v>
      </c>
      <c r="D38" s="433" t="s">
        <v>447</v>
      </c>
      <c r="E38" s="433" t="s">
        <v>629</v>
      </c>
      <c r="F38" s="351">
        <v>1122255</v>
      </c>
      <c r="G38" s="346"/>
    </row>
    <row r="39" spans="3:10" ht="15.75" customHeight="1" x14ac:dyDescent="0.25">
      <c r="C39" s="133">
        <v>31</v>
      </c>
      <c r="D39" s="436" t="s">
        <v>972</v>
      </c>
      <c r="E39" s="437" t="s">
        <v>630</v>
      </c>
      <c r="F39" s="351">
        <v>24253.48</v>
      </c>
      <c r="G39" s="336"/>
    </row>
    <row r="40" spans="3:10" x14ac:dyDescent="0.2">
      <c r="C40" s="133">
        <v>32</v>
      </c>
      <c r="D40" s="433" t="s">
        <v>447</v>
      </c>
      <c r="E40" s="438" t="s">
        <v>449</v>
      </c>
      <c r="F40" s="351">
        <v>6548.29</v>
      </c>
      <c r="G40" s="336"/>
    </row>
    <row r="41" spans="3:10" x14ac:dyDescent="0.25">
      <c r="C41" s="133">
        <v>33</v>
      </c>
      <c r="D41" s="436" t="s">
        <v>972</v>
      </c>
      <c r="E41" s="436" t="s">
        <v>450</v>
      </c>
      <c r="F41" s="427">
        <v>2337.42</v>
      </c>
      <c r="G41" s="336"/>
    </row>
    <row r="42" spans="3:10" x14ac:dyDescent="0.2">
      <c r="C42" s="133">
        <v>34</v>
      </c>
      <c r="D42" s="436" t="s">
        <v>972</v>
      </c>
      <c r="E42" s="433" t="s">
        <v>451</v>
      </c>
      <c r="F42" s="427">
        <v>88247.98</v>
      </c>
      <c r="G42" s="336"/>
      <c r="H42" s="356"/>
      <c r="I42" s="356"/>
      <c r="J42" s="356"/>
    </row>
    <row r="43" spans="3:10" ht="25.5" x14ac:dyDescent="0.25">
      <c r="C43" s="133">
        <v>35</v>
      </c>
      <c r="D43" s="436" t="s">
        <v>1000</v>
      </c>
      <c r="E43" s="436" t="s">
        <v>631</v>
      </c>
      <c r="F43" s="427">
        <v>1495523.46</v>
      </c>
      <c r="G43" s="336"/>
      <c r="H43" s="356"/>
      <c r="I43" s="356"/>
      <c r="J43" s="356"/>
    </row>
    <row r="44" spans="3:10" ht="13.5" customHeight="1" x14ac:dyDescent="0.2">
      <c r="C44" s="133">
        <v>36</v>
      </c>
      <c r="D44" s="433" t="s">
        <v>452</v>
      </c>
      <c r="E44" s="433" t="s">
        <v>453</v>
      </c>
      <c r="F44" s="427">
        <v>180396.6</v>
      </c>
      <c r="G44" s="336"/>
      <c r="H44" s="356"/>
      <c r="I44" s="356"/>
      <c r="J44" s="356"/>
    </row>
    <row r="45" spans="3:10" ht="14.25" customHeight="1" x14ac:dyDescent="0.2">
      <c r="C45" s="133">
        <v>37</v>
      </c>
      <c r="D45" s="433" t="s">
        <v>452</v>
      </c>
      <c r="E45" s="433" t="s">
        <v>454</v>
      </c>
      <c r="F45" s="427">
        <v>555.6</v>
      </c>
      <c r="G45" s="336"/>
      <c r="H45" s="356"/>
      <c r="I45" s="356"/>
      <c r="J45" s="356"/>
    </row>
    <row r="46" spans="3:10" x14ac:dyDescent="0.2">
      <c r="C46" s="133">
        <v>38</v>
      </c>
      <c r="D46" s="433" t="s">
        <v>452</v>
      </c>
      <c r="E46" s="433" t="s">
        <v>455</v>
      </c>
      <c r="F46" s="427">
        <v>17855.310000000001</v>
      </c>
      <c r="G46" s="336"/>
      <c r="H46" s="356"/>
      <c r="I46" s="356"/>
      <c r="J46" s="356"/>
    </row>
    <row r="47" spans="3:10" x14ac:dyDescent="0.2">
      <c r="C47" s="133">
        <v>39</v>
      </c>
      <c r="D47" s="459" t="s">
        <v>452</v>
      </c>
      <c r="E47" s="433" t="s">
        <v>986</v>
      </c>
      <c r="F47" s="427">
        <v>55197.82</v>
      </c>
      <c r="G47" s="336"/>
    </row>
    <row r="48" spans="3:10" x14ac:dyDescent="0.2">
      <c r="C48" s="133">
        <v>40</v>
      </c>
      <c r="D48" s="459" t="s">
        <v>452</v>
      </c>
      <c r="E48" s="433" t="s">
        <v>987</v>
      </c>
      <c r="F48" s="427">
        <v>93432.05</v>
      </c>
      <c r="G48" s="336"/>
    </row>
    <row r="49" spans="3:9" x14ac:dyDescent="0.2">
      <c r="C49" s="133">
        <v>41</v>
      </c>
      <c r="D49" s="433" t="s">
        <v>448</v>
      </c>
      <c r="E49" s="433" t="s">
        <v>456</v>
      </c>
      <c r="F49" s="427">
        <v>18220</v>
      </c>
      <c r="G49" s="336"/>
      <c r="I49" s="267"/>
    </row>
    <row r="50" spans="3:9" x14ac:dyDescent="0.2">
      <c r="C50" s="133">
        <v>42</v>
      </c>
      <c r="D50" s="433" t="s">
        <v>605</v>
      </c>
      <c r="E50" s="433" t="s">
        <v>991</v>
      </c>
      <c r="F50" s="427">
        <v>213991.22</v>
      </c>
      <c r="G50" s="336"/>
    </row>
    <row r="51" spans="3:9" ht="25.5" x14ac:dyDescent="0.25">
      <c r="C51" s="133">
        <v>43</v>
      </c>
      <c r="D51" s="89" t="s">
        <v>603</v>
      </c>
      <c r="E51" s="89" t="s">
        <v>971</v>
      </c>
      <c r="F51" s="427">
        <v>35568.11</v>
      </c>
      <c r="G51" s="336"/>
    </row>
    <row r="52" spans="3:9" ht="25.5" x14ac:dyDescent="0.2">
      <c r="C52" s="133">
        <v>44</v>
      </c>
      <c r="D52" s="435" t="s">
        <v>603</v>
      </c>
      <c r="E52" s="440" t="s">
        <v>639</v>
      </c>
      <c r="F52" s="427">
        <v>435430.72</v>
      </c>
      <c r="G52" s="336"/>
    </row>
    <row r="53" spans="3:9" ht="25.5" x14ac:dyDescent="0.2">
      <c r="C53" s="133">
        <v>45</v>
      </c>
      <c r="D53" s="435" t="s">
        <v>603</v>
      </c>
      <c r="E53" s="435" t="s">
        <v>632</v>
      </c>
      <c r="F53" s="427">
        <v>69568.97</v>
      </c>
      <c r="G53" s="336"/>
    </row>
    <row r="54" spans="3:9" x14ac:dyDescent="0.2">
      <c r="C54" s="133">
        <v>46</v>
      </c>
      <c r="D54" s="433" t="s">
        <v>457</v>
      </c>
      <c r="E54" s="433" t="s">
        <v>526</v>
      </c>
      <c r="F54" s="427">
        <v>3000</v>
      </c>
      <c r="G54" s="336"/>
    </row>
    <row r="55" spans="3:9" ht="16.5" customHeight="1" x14ac:dyDescent="0.2">
      <c r="C55" s="133">
        <v>47</v>
      </c>
      <c r="D55" s="433" t="s">
        <v>457</v>
      </c>
      <c r="E55" s="433" t="s">
        <v>527</v>
      </c>
      <c r="F55" s="427">
        <v>1400</v>
      </c>
      <c r="G55" s="336"/>
    </row>
    <row r="56" spans="3:9" x14ac:dyDescent="0.25">
      <c r="C56" s="133">
        <v>48</v>
      </c>
      <c r="D56" s="438" t="s">
        <v>528</v>
      </c>
      <c r="E56" s="436" t="s">
        <v>633</v>
      </c>
      <c r="F56" s="427">
        <v>20000</v>
      </c>
      <c r="G56" s="336"/>
    </row>
    <row r="57" spans="3:9" x14ac:dyDescent="0.25">
      <c r="C57" s="133">
        <v>49</v>
      </c>
      <c r="D57" s="438" t="s">
        <v>634</v>
      </c>
      <c r="E57" s="436" t="s">
        <v>635</v>
      </c>
      <c r="F57" s="427">
        <v>1800</v>
      </c>
      <c r="G57" s="336"/>
    </row>
    <row r="58" spans="3:9" ht="25.5" x14ac:dyDescent="0.2">
      <c r="C58" s="133">
        <v>50</v>
      </c>
      <c r="D58" s="435" t="s">
        <v>603</v>
      </c>
      <c r="E58" s="460" t="s">
        <v>970</v>
      </c>
      <c r="F58" s="427">
        <v>670000</v>
      </c>
      <c r="G58" s="336"/>
    </row>
    <row r="59" spans="3:9" x14ac:dyDescent="0.2">
      <c r="C59" s="133">
        <v>51</v>
      </c>
      <c r="D59" s="433" t="s">
        <v>992</v>
      </c>
      <c r="E59" s="459" t="s">
        <v>969</v>
      </c>
      <c r="F59" s="427">
        <v>12482.33</v>
      </c>
      <c r="G59" s="336"/>
    </row>
    <row r="60" spans="3:9" ht="29.25" customHeight="1" x14ac:dyDescent="0.2">
      <c r="C60" s="133">
        <v>52</v>
      </c>
      <c r="D60" s="438" t="s">
        <v>965</v>
      </c>
      <c r="E60" s="460" t="s">
        <v>966</v>
      </c>
      <c r="F60" s="427">
        <v>5000</v>
      </c>
      <c r="G60" s="336"/>
    </row>
    <row r="61" spans="3:9" x14ac:dyDescent="0.2">
      <c r="C61" s="133">
        <v>53</v>
      </c>
      <c r="D61" s="433" t="s">
        <v>448</v>
      </c>
      <c r="E61" s="461" t="s">
        <v>967</v>
      </c>
      <c r="F61" s="427">
        <v>393.25</v>
      </c>
      <c r="G61" s="336"/>
    </row>
    <row r="62" spans="3:9" x14ac:dyDescent="0.2">
      <c r="C62" s="133">
        <v>54</v>
      </c>
      <c r="D62" s="433" t="s">
        <v>968</v>
      </c>
      <c r="E62" s="459" t="s">
        <v>636</v>
      </c>
      <c r="F62" s="427">
        <v>519681</v>
      </c>
      <c r="G62" s="336"/>
    </row>
    <row r="63" spans="3:9" x14ac:dyDescent="0.2">
      <c r="C63" s="133">
        <v>55</v>
      </c>
      <c r="D63" s="433"/>
      <c r="E63" s="461" t="s">
        <v>984</v>
      </c>
      <c r="F63" s="427">
        <v>4191.5</v>
      </c>
      <c r="G63" s="336"/>
    </row>
    <row r="64" spans="3:9" x14ac:dyDescent="0.2">
      <c r="C64" s="133">
        <v>56</v>
      </c>
      <c r="D64" s="433"/>
      <c r="E64" s="459" t="s">
        <v>985</v>
      </c>
      <c r="F64" s="427">
        <v>52500</v>
      </c>
      <c r="G64" s="336"/>
    </row>
    <row r="65" spans="3:7" x14ac:dyDescent="0.25">
      <c r="C65" s="596" t="s">
        <v>95</v>
      </c>
      <c r="D65" s="596"/>
      <c r="E65" s="596"/>
      <c r="F65" s="352">
        <f>F34+F7</f>
        <v>22471874.210000001</v>
      </c>
      <c r="G65" s="336"/>
    </row>
    <row r="66" spans="3:7" x14ac:dyDescent="0.25">
      <c r="C66" s="336"/>
      <c r="D66" s="336"/>
      <c r="E66" s="336"/>
      <c r="F66" s="337"/>
      <c r="G66" s="336"/>
    </row>
    <row r="67" spans="3:7" x14ac:dyDescent="0.25">
      <c r="C67" s="336"/>
      <c r="D67" s="336"/>
      <c r="E67" s="336"/>
      <c r="F67" s="337"/>
      <c r="G67" s="336"/>
    </row>
    <row r="68" spans="3:7" x14ac:dyDescent="0.25">
      <c r="C68" s="336"/>
      <c r="D68" s="336"/>
      <c r="E68" s="347"/>
      <c r="F68" s="337"/>
      <c r="G68" s="336"/>
    </row>
    <row r="69" spans="3:7" x14ac:dyDescent="0.25">
      <c r="C69" s="336"/>
      <c r="D69" s="336"/>
      <c r="E69" s="336"/>
      <c r="F69" s="337"/>
      <c r="G69" s="336"/>
    </row>
    <row r="70" spans="3:7" x14ac:dyDescent="0.25">
      <c r="C70" s="336"/>
      <c r="D70" s="336"/>
      <c r="E70" s="336"/>
      <c r="F70" s="337"/>
      <c r="G70" s="336"/>
    </row>
    <row r="71" spans="3:7" x14ac:dyDescent="0.25">
      <c r="C71" s="336"/>
      <c r="D71" s="336"/>
      <c r="E71" s="336"/>
      <c r="F71" s="337"/>
      <c r="G71" s="336"/>
    </row>
    <row r="81" spans="3:7" x14ac:dyDescent="0.25">
      <c r="C81" s="346"/>
      <c r="D81" s="346"/>
      <c r="E81" s="346"/>
      <c r="F81" s="337"/>
      <c r="G81" s="346"/>
    </row>
  </sheetData>
  <mergeCells count="4">
    <mergeCell ref="C7:E7"/>
    <mergeCell ref="C65:E65"/>
    <mergeCell ref="C34:E34"/>
    <mergeCell ref="C4:F4"/>
  </mergeCells>
  <pageMargins left="0" right="0" top="0.55118110236220474" bottom="0.15748031496062992" header="0.15748031496062992" footer="0.15748031496062992"/>
  <pageSetup paperSize="9" scale="8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I35"/>
  <sheetViews>
    <sheetView workbookViewId="0"/>
  </sheetViews>
  <sheetFormatPr defaultRowHeight="14.25" x14ac:dyDescent="0.2"/>
  <cols>
    <col min="1" max="1" width="9.140625" style="1"/>
    <col min="2" max="2" width="6.140625" style="1" customWidth="1"/>
    <col min="3" max="3" width="48.140625" style="1" customWidth="1"/>
    <col min="4" max="4" width="73.5703125" style="1" customWidth="1"/>
    <col min="5" max="5" width="13.140625" style="283" customWidth="1"/>
    <col min="6" max="8" width="9.140625" style="1"/>
    <col min="9" max="9" width="13.140625" style="1" bestFit="1" customWidth="1"/>
    <col min="10" max="16384" width="9.140625" style="1"/>
  </cols>
  <sheetData>
    <row r="3" spans="1:9" x14ac:dyDescent="0.2">
      <c r="A3" s="1" t="s">
        <v>156</v>
      </c>
      <c r="E3" s="77" t="s">
        <v>416</v>
      </c>
    </row>
    <row r="4" spans="1:9" ht="16.5" x14ac:dyDescent="0.25">
      <c r="B4" s="600" t="s">
        <v>637</v>
      </c>
      <c r="C4" s="600"/>
      <c r="D4" s="600"/>
      <c r="E4" s="600"/>
    </row>
    <row r="5" spans="1:9" x14ac:dyDescent="0.2">
      <c r="B5" s="353"/>
      <c r="C5" s="354"/>
      <c r="D5" s="16"/>
      <c r="E5" s="355"/>
    </row>
    <row r="6" spans="1:9" ht="38.25" x14ac:dyDescent="0.2">
      <c r="B6" s="359" t="s">
        <v>150</v>
      </c>
      <c r="C6" s="360" t="s">
        <v>151</v>
      </c>
      <c r="D6" s="360" t="s">
        <v>993</v>
      </c>
      <c r="E6" s="361" t="s">
        <v>153</v>
      </c>
    </row>
    <row r="7" spans="1:9" s="8" customFormat="1" ht="25.5" x14ac:dyDescent="0.25">
      <c r="B7" s="364">
        <v>1</v>
      </c>
      <c r="C7" s="439" t="s">
        <v>603</v>
      </c>
      <c r="D7" s="440" t="s">
        <v>638</v>
      </c>
      <c r="E7" s="443">
        <v>431300</v>
      </c>
    </row>
    <row r="8" spans="1:9" s="8" customFormat="1" x14ac:dyDescent="0.25">
      <c r="B8" s="364">
        <v>2</v>
      </c>
      <c r="C8" s="441" t="s">
        <v>593</v>
      </c>
      <c r="D8" s="440" t="s">
        <v>639</v>
      </c>
      <c r="E8" s="443">
        <f>179531.01+1526013.55</f>
        <v>1705544.56</v>
      </c>
    </row>
    <row r="9" spans="1:9" s="8" customFormat="1" ht="25.5" x14ac:dyDescent="0.25">
      <c r="B9" s="364">
        <v>3</v>
      </c>
      <c r="C9" s="439" t="s">
        <v>603</v>
      </c>
      <c r="D9" s="440" t="s">
        <v>640</v>
      </c>
      <c r="E9" s="443">
        <v>8619.43</v>
      </c>
      <c r="G9" s="356"/>
    </row>
    <row r="10" spans="1:9" s="8" customFormat="1" ht="25.5" x14ac:dyDescent="0.25">
      <c r="B10" s="364">
        <v>4</v>
      </c>
      <c r="C10" s="439" t="s">
        <v>603</v>
      </c>
      <c r="D10" s="440" t="s">
        <v>641</v>
      </c>
      <c r="E10" s="443">
        <v>7062.93</v>
      </c>
      <c r="G10" s="356"/>
      <c r="H10" s="356"/>
    </row>
    <row r="11" spans="1:9" s="8" customFormat="1" ht="25.5" x14ac:dyDescent="0.25">
      <c r="B11" s="364">
        <v>5</v>
      </c>
      <c r="C11" s="439" t="s">
        <v>603</v>
      </c>
      <c r="D11" s="440" t="s">
        <v>594</v>
      </c>
      <c r="E11" s="443">
        <v>155027.46</v>
      </c>
      <c r="G11" s="356"/>
      <c r="H11" s="356"/>
    </row>
    <row r="12" spans="1:9" s="8" customFormat="1" x14ac:dyDescent="0.25">
      <c r="B12" s="364">
        <v>6</v>
      </c>
      <c r="C12" s="441" t="s">
        <v>642</v>
      </c>
      <c r="D12" s="440" t="s">
        <v>632</v>
      </c>
      <c r="E12" s="443">
        <f>149262.72+17560.32</f>
        <v>166823.04000000001</v>
      </c>
      <c r="G12" s="356"/>
      <c r="H12" s="356"/>
    </row>
    <row r="13" spans="1:9" s="8" customFormat="1" ht="25.5" x14ac:dyDescent="0.25">
      <c r="B13" s="364">
        <v>7</v>
      </c>
      <c r="C13" s="439" t="s">
        <v>603</v>
      </c>
      <c r="D13" s="440" t="s">
        <v>643</v>
      </c>
      <c r="E13" s="443">
        <f>967901.76+79709.56</f>
        <v>1047611.3200000001</v>
      </c>
      <c r="G13" s="356"/>
      <c r="H13" s="356"/>
    </row>
    <row r="14" spans="1:9" s="8" customFormat="1" ht="25.5" x14ac:dyDescent="0.25">
      <c r="B14" s="364">
        <v>8</v>
      </c>
      <c r="C14" s="439" t="s">
        <v>603</v>
      </c>
      <c r="D14" s="442" t="s">
        <v>644</v>
      </c>
      <c r="E14" s="443">
        <v>29070</v>
      </c>
      <c r="G14" s="356"/>
      <c r="H14" s="356"/>
    </row>
    <row r="15" spans="1:9" s="8" customFormat="1" x14ac:dyDescent="0.25">
      <c r="B15" s="364">
        <v>9</v>
      </c>
      <c r="C15" s="441" t="s">
        <v>529</v>
      </c>
      <c r="D15" s="440" t="s">
        <v>646</v>
      </c>
      <c r="E15" s="443">
        <v>566103.86</v>
      </c>
      <c r="G15" s="356"/>
      <c r="H15" s="356"/>
      <c r="I15" s="267"/>
    </row>
    <row r="16" spans="1:9" s="8" customFormat="1" ht="25.5" x14ac:dyDescent="0.25">
      <c r="B16" s="364">
        <v>10</v>
      </c>
      <c r="C16" s="439" t="s">
        <v>603</v>
      </c>
      <c r="D16" s="440" t="s">
        <v>645</v>
      </c>
      <c r="E16" s="443">
        <f>12330+61650</f>
        <v>73980</v>
      </c>
      <c r="G16" s="356"/>
      <c r="H16" s="356"/>
      <c r="I16" s="267"/>
    </row>
    <row r="17" spans="2:8" s="8" customFormat="1" ht="21.75" customHeight="1" x14ac:dyDescent="0.25">
      <c r="B17" s="362"/>
      <c r="C17" s="362" t="s">
        <v>95</v>
      </c>
      <c r="D17" s="362"/>
      <c r="E17" s="363">
        <f>SUM(E7:E16)</f>
        <v>4191142.6</v>
      </c>
      <c r="G17" s="356"/>
      <c r="H17" s="356"/>
    </row>
    <row r="20" spans="2:8" x14ac:dyDescent="0.2">
      <c r="E20" s="357"/>
    </row>
    <row r="22" spans="2:8" x14ac:dyDescent="0.2">
      <c r="C22" s="358"/>
    </row>
    <row r="33" spans="7:7" x14ac:dyDescent="0.2">
      <c r="G33" s="599"/>
    </row>
    <row r="34" spans="7:7" x14ac:dyDescent="0.2">
      <c r="G34" s="599"/>
    </row>
    <row r="35" spans="7:7" x14ac:dyDescent="0.2">
      <c r="G35" s="599"/>
    </row>
  </sheetData>
  <mergeCells count="2">
    <mergeCell ref="G33:G35"/>
    <mergeCell ref="B4:E4"/>
  </mergeCells>
  <pageMargins left="0.62992125984251968" right="0.23622047244094491" top="0.15748031496062992" bottom="0.15748031496062992" header="0.31496062992125984" footer="0.31496062992125984"/>
  <pageSetup paperSize="9" scale="90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42"/>
  <sheetViews>
    <sheetView workbookViewId="0"/>
  </sheetViews>
  <sheetFormatPr defaultColWidth="17.42578125" defaultRowHeight="14.25" x14ac:dyDescent="0.2"/>
  <cols>
    <col min="1" max="2" width="6.7109375" style="1" customWidth="1"/>
    <col min="3" max="3" width="46.42578125" style="1" customWidth="1"/>
    <col min="4" max="4" width="13.42578125" style="1" customWidth="1"/>
    <col min="5" max="16384" width="17.42578125" style="1"/>
  </cols>
  <sheetData>
    <row r="1" spans="2:5" x14ac:dyDescent="0.2">
      <c r="B1" s="247"/>
      <c r="C1" s="247"/>
      <c r="D1" s="247"/>
    </row>
    <row r="2" spans="2:5" x14ac:dyDescent="0.2">
      <c r="B2" s="247"/>
      <c r="C2" s="247"/>
      <c r="D2" s="247"/>
    </row>
    <row r="3" spans="2:5" x14ac:dyDescent="0.2">
      <c r="B3" s="248"/>
      <c r="C3" s="247"/>
      <c r="D3" s="249" t="s">
        <v>157</v>
      </c>
    </row>
    <row r="4" spans="2:5" x14ac:dyDescent="0.2">
      <c r="B4" s="248"/>
      <c r="C4" s="247"/>
      <c r="D4" s="247"/>
    </row>
    <row r="5" spans="2:5" ht="32.25" customHeight="1" x14ac:dyDescent="0.2">
      <c r="B5" s="601" t="s">
        <v>751</v>
      </c>
      <c r="C5" s="601"/>
      <c r="D5" s="601"/>
    </row>
    <row r="6" spans="2:5" x14ac:dyDescent="0.2">
      <c r="B6" s="250"/>
      <c r="C6" s="251"/>
      <c r="D6" s="251"/>
    </row>
    <row r="7" spans="2:5" ht="29.25" customHeight="1" x14ac:dyDescent="0.2">
      <c r="B7" s="252" t="s">
        <v>150</v>
      </c>
      <c r="C7" s="253" t="s">
        <v>158</v>
      </c>
      <c r="D7" s="254" t="s">
        <v>417</v>
      </c>
    </row>
    <row r="8" spans="2:5" s="8" customFormat="1" x14ac:dyDescent="0.2">
      <c r="B8" s="255">
        <v>1</v>
      </c>
      <c r="C8" s="261" t="s">
        <v>665</v>
      </c>
      <c r="D8" s="286">
        <v>959</v>
      </c>
      <c r="E8" s="256"/>
    </row>
    <row r="9" spans="2:5" s="8" customFormat="1" x14ac:dyDescent="0.2">
      <c r="B9" s="255">
        <v>2</v>
      </c>
      <c r="C9" s="262" t="s">
        <v>428</v>
      </c>
      <c r="D9" s="270">
        <v>1950</v>
      </c>
      <c r="E9" s="256"/>
    </row>
    <row r="10" spans="2:5" s="8" customFormat="1" x14ac:dyDescent="0.2">
      <c r="B10" s="255">
        <v>3</v>
      </c>
      <c r="C10" s="262" t="s">
        <v>666</v>
      </c>
      <c r="D10" s="270">
        <v>1735</v>
      </c>
      <c r="E10" s="256"/>
    </row>
    <row r="11" spans="2:5" s="8" customFormat="1" x14ac:dyDescent="0.2">
      <c r="B11" s="255">
        <v>4</v>
      </c>
      <c r="C11" s="262" t="s">
        <v>549</v>
      </c>
      <c r="D11" s="270">
        <v>305</v>
      </c>
      <c r="E11" s="256"/>
    </row>
    <row r="12" spans="2:5" s="8" customFormat="1" x14ac:dyDescent="0.2">
      <c r="B12" s="255">
        <v>5</v>
      </c>
      <c r="C12" s="262" t="s">
        <v>545</v>
      </c>
      <c r="D12" s="270">
        <v>442</v>
      </c>
      <c r="E12" s="256"/>
    </row>
    <row r="13" spans="2:5" s="8" customFormat="1" x14ac:dyDescent="0.2">
      <c r="B13" s="255">
        <v>6</v>
      </c>
      <c r="C13" s="262" t="s">
        <v>667</v>
      </c>
      <c r="D13" s="270">
        <v>1881</v>
      </c>
      <c r="E13" s="256"/>
    </row>
    <row r="14" spans="2:5" s="8" customFormat="1" x14ac:dyDescent="0.2">
      <c r="B14" s="255">
        <v>7</v>
      </c>
      <c r="C14" s="262" t="s">
        <v>505</v>
      </c>
      <c r="D14" s="270">
        <v>2112</v>
      </c>
      <c r="E14" s="256"/>
    </row>
    <row r="15" spans="2:5" s="8" customFormat="1" x14ac:dyDescent="0.2">
      <c r="B15" s="255">
        <v>8</v>
      </c>
      <c r="C15" s="262" t="s">
        <v>544</v>
      </c>
      <c r="D15" s="270">
        <v>3058</v>
      </c>
      <c r="E15" s="256"/>
    </row>
    <row r="16" spans="2:5" s="8" customFormat="1" x14ac:dyDescent="0.2">
      <c r="B16" s="255">
        <v>9</v>
      </c>
      <c r="C16" s="262" t="s">
        <v>668</v>
      </c>
      <c r="D16" s="270">
        <v>1701</v>
      </c>
      <c r="E16" s="256"/>
    </row>
    <row r="17" spans="2:5" s="8" customFormat="1" x14ac:dyDescent="0.2">
      <c r="B17" s="255">
        <v>10</v>
      </c>
      <c r="C17" s="262" t="s">
        <v>427</v>
      </c>
      <c r="D17" s="270">
        <v>383</v>
      </c>
      <c r="E17" s="257"/>
    </row>
    <row r="18" spans="2:5" s="8" customFormat="1" x14ac:dyDescent="0.2">
      <c r="B18" s="255">
        <v>11</v>
      </c>
      <c r="C18" s="262" t="s">
        <v>546</v>
      </c>
      <c r="D18" s="270">
        <v>697</v>
      </c>
      <c r="E18" s="257"/>
    </row>
    <row r="19" spans="2:5" s="8" customFormat="1" x14ac:dyDescent="0.2">
      <c r="B19" s="255">
        <v>12</v>
      </c>
      <c r="C19" s="262" t="s">
        <v>434</v>
      </c>
      <c r="D19" s="270">
        <v>1121</v>
      </c>
      <c r="E19" s="257"/>
    </row>
    <row r="20" spans="2:5" s="8" customFormat="1" x14ac:dyDescent="0.2">
      <c r="B20" s="255">
        <v>13</v>
      </c>
      <c r="C20" s="262" t="s">
        <v>492</v>
      </c>
      <c r="D20" s="270">
        <v>1995</v>
      </c>
      <c r="E20" s="258"/>
    </row>
    <row r="21" spans="2:5" s="8" customFormat="1" x14ac:dyDescent="0.2">
      <c r="B21" s="255">
        <v>14</v>
      </c>
      <c r="C21" s="262" t="s">
        <v>542</v>
      </c>
      <c r="D21" s="270">
        <v>147</v>
      </c>
      <c r="E21" s="258"/>
    </row>
    <row r="22" spans="2:5" s="8" customFormat="1" x14ac:dyDescent="0.2">
      <c r="B22" s="255">
        <v>15</v>
      </c>
      <c r="C22" s="262" t="s">
        <v>669</v>
      </c>
      <c r="D22" s="270">
        <v>798</v>
      </c>
      <c r="E22" s="258"/>
    </row>
    <row r="23" spans="2:5" s="8" customFormat="1" x14ac:dyDescent="0.2">
      <c r="B23" s="255">
        <v>16</v>
      </c>
      <c r="C23" s="262" t="s">
        <v>429</v>
      </c>
      <c r="D23" s="270">
        <v>2074</v>
      </c>
      <c r="E23" s="258"/>
    </row>
    <row r="24" spans="2:5" s="8" customFormat="1" x14ac:dyDescent="0.2">
      <c r="B24" s="255">
        <v>17</v>
      </c>
      <c r="C24" s="262" t="s">
        <v>504</v>
      </c>
      <c r="D24" s="270">
        <v>425</v>
      </c>
      <c r="E24" s="258"/>
    </row>
    <row r="25" spans="2:5" s="8" customFormat="1" x14ac:dyDescent="0.2">
      <c r="B25" s="255">
        <v>18</v>
      </c>
      <c r="C25" s="262" t="s">
        <v>670</v>
      </c>
      <c r="D25" s="270">
        <v>126</v>
      </c>
      <c r="E25" s="258"/>
    </row>
    <row r="26" spans="2:5" s="8" customFormat="1" x14ac:dyDescent="0.2">
      <c r="B26" s="255">
        <v>19</v>
      </c>
      <c r="C26" s="262" t="s">
        <v>671</v>
      </c>
      <c r="D26" s="270">
        <v>270</v>
      </c>
      <c r="E26" s="258"/>
    </row>
    <row r="27" spans="2:5" s="8" customFormat="1" x14ac:dyDescent="0.2">
      <c r="B27" s="255">
        <v>20</v>
      </c>
      <c r="C27" s="262" t="s">
        <v>500</v>
      </c>
      <c r="D27" s="270">
        <v>874</v>
      </c>
      <c r="E27" s="258"/>
    </row>
    <row r="28" spans="2:5" s="8" customFormat="1" x14ac:dyDescent="0.2">
      <c r="B28" s="255">
        <v>21</v>
      </c>
      <c r="C28" s="262" t="s">
        <v>672</v>
      </c>
      <c r="D28" s="270">
        <v>1722</v>
      </c>
      <c r="E28" s="258"/>
    </row>
    <row r="29" spans="2:5" s="8" customFormat="1" x14ac:dyDescent="0.2">
      <c r="B29" s="255">
        <v>22</v>
      </c>
      <c r="C29" s="262" t="s">
        <v>673</v>
      </c>
      <c r="D29" s="270">
        <v>363</v>
      </c>
      <c r="E29" s="258"/>
    </row>
    <row r="30" spans="2:5" s="8" customFormat="1" x14ac:dyDescent="0.2">
      <c r="B30" s="255">
        <v>23</v>
      </c>
      <c r="C30" s="262" t="s">
        <v>493</v>
      </c>
      <c r="D30" s="270">
        <v>411</v>
      </c>
      <c r="E30" s="258"/>
    </row>
    <row r="31" spans="2:5" s="8" customFormat="1" x14ac:dyDescent="0.2">
      <c r="B31" s="255">
        <v>24</v>
      </c>
      <c r="C31" s="262" t="s">
        <v>543</v>
      </c>
      <c r="D31" s="270">
        <v>276</v>
      </c>
      <c r="E31" s="258"/>
    </row>
    <row r="32" spans="2:5" s="8" customFormat="1" x14ac:dyDescent="0.2">
      <c r="B32" s="255">
        <v>25</v>
      </c>
      <c r="C32" s="262" t="s">
        <v>674</v>
      </c>
      <c r="D32" s="270">
        <v>1296</v>
      </c>
      <c r="E32" s="258"/>
    </row>
    <row r="33" spans="2:5" s="8" customFormat="1" x14ac:dyDescent="0.2">
      <c r="B33" s="255">
        <v>26</v>
      </c>
      <c r="C33" s="262" t="s">
        <v>559</v>
      </c>
      <c r="D33" s="270">
        <v>226</v>
      </c>
      <c r="E33" s="258"/>
    </row>
    <row r="34" spans="2:5" s="8" customFormat="1" x14ac:dyDescent="0.2">
      <c r="B34" s="255">
        <v>27</v>
      </c>
      <c r="C34" s="262" t="s">
        <v>435</v>
      </c>
      <c r="D34" s="270">
        <v>781</v>
      </c>
      <c r="E34" s="258"/>
    </row>
    <row r="35" spans="2:5" s="8" customFormat="1" x14ac:dyDescent="0.2">
      <c r="B35" s="255">
        <v>28</v>
      </c>
      <c r="C35" s="262" t="s">
        <v>675</v>
      </c>
      <c r="D35" s="270">
        <v>1504</v>
      </c>
      <c r="E35" s="258"/>
    </row>
    <row r="36" spans="2:5" s="8" customFormat="1" x14ac:dyDescent="0.2">
      <c r="B36" s="255">
        <v>29</v>
      </c>
      <c r="C36" s="262" t="s">
        <v>676</v>
      </c>
      <c r="D36" s="270">
        <v>177</v>
      </c>
      <c r="E36" s="258"/>
    </row>
    <row r="37" spans="2:5" s="8" customFormat="1" x14ac:dyDescent="0.2">
      <c r="B37" s="255">
        <v>30</v>
      </c>
      <c r="C37" s="262" t="s">
        <v>432</v>
      </c>
      <c r="D37" s="270">
        <v>701</v>
      </c>
      <c r="E37" s="258"/>
    </row>
    <row r="38" spans="2:5" s="8" customFormat="1" x14ac:dyDescent="0.2">
      <c r="B38" s="255">
        <v>31</v>
      </c>
      <c r="C38" s="262" t="s">
        <v>551</v>
      </c>
      <c r="D38" s="270">
        <v>312</v>
      </c>
      <c r="E38" s="258"/>
    </row>
    <row r="39" spans="2:5" s="8" customFormat="1" x14ac:dyDescent="0.2">
      <c r="B39" s="255">
        <v>32</v>
      </c>
      <c r="C39" s="262" t="s">
        <v>677</v>
      </c>
      <c r="D39" s="270">
        <v>1934</v>
      </c>
      <c r="E39" s="258"/>
    </row>
    <row r="40" spans="2:5" s="8" customFormat="1" x14ac:dyDescent="0.2">
      <c r="B40" s="255">
        <v>33</v>
      </c>
      <c r="C40" s="262" t="s">
        <v>678</v>
      </c>
      <c r="D40" s="270">
        <v>2595</v>
      </c>
      <c r="E40" s="258"/>
    </row>
    <row r="41" spans="2:5" s="8" customFormat="1" x14ac:dyDescent="0.2">
      <c r="B41" s="255">
        <v>34</v>
      </c>
      <c r="C41" s="262" t="s">
        <v>679</v>
      </c>
      <c r="D41" s="270">
        <v>1096</v>
      </c>
      <c r="E41" s="258"/>
    </row>
    <row r="42" spans="2:5" x14ac:dyDescent="0.2">
      <c r="B42" s="259"/>
      <c r="C42" s="260" t="s">
        <v>9</v>
      </c>
      <c r="D42" s="265">
        <f>SUM(D8:D41)</f>
        <v>36447</v>
      </c>
    </row>
  </sheetData>
  <mergeCells count="1">
    <mergeCell ref="B5:D5"/>
  </mergeCells>
  <pageMargins left="0.9055118110236221" right="0.43307086614173229" top="0.35433070866141736" bottom="0.15748031496062992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25</vt:i4>
      </vt:variant>
      <vt:variant>
        <vt:lpstr>Pomenované rozsahy</vt:lpstr>
      </vt:variant>
      <vt:variant>
        <vt:i4>25</vt:i4>
      </vt:variant>
    </vt:vector>
  </HeadingPairs>
  <TitlesOfParts>
    <vt:vector size="50" baseType="lpstr">
      <vt:lpstr>Súvahy</vt:lpstr>
      <vt:lpstr>MHSL</vt:lpstr>
      <vt:lpstr>SSMT</vt:lpstr>
      <vt:lpstr>ŠZMT</vt:lpstr>
      <vt:lpstr>Materské_školy</vt:lpstr>
      <vt:lpstr>Základné_školy</vt:lpstr>
      <vt:lpstr>Bežné_dotácie</vt:lpstr>
      <vt:lpstr>Kapitálové_dotácie</vt:lpstr>
      <vt:lpstr>Dotácie_na_šport_1</vt:lpstr>
      <vt:lpstr>Dotácie_na_šport_2</vt:lpstr>
      <vt:lpstr>Dotácie_kultúra</vt:lpstr>
      <vt:lpstr>Dotácie_v_soc_oblasti</vt:lpstr>
      <vt:lpstr>Dotácie_v_oblasti_školstva</vt:lpstr>
      <vt:lpstr>Dotácie_v_oblasti_ŽP</vt:lpstr>
      <vt:lpstr>Pohľadávky</vt:lpstr>
      <vt:lpstr>Prehľad_dlhu</vt:lpstr>
      <vt:lpstr>Vývoj_dlhovej_služby</vt:lpstr>
      <vt:lpstr>BV-funkčná_kl_</vt:lpstr>
      <vt:lpstr>KV-funkčná_kl_</vt:lpstr>
      <vt:lpstr>Výdavky_ek_kl_</vt:lpstr>
      <vt:lpstr>FO_podľa_RK</vt:lpstr>
      <vt:lpstr>Počet_zamest_ZŠ</vt:lpstr>
      <vt:lpstr>Počet_žiakov_a_tried</vt:lpstr>
      <vt:lpstr>Zoznam_org_</vt:lpstr>
      <vt:lpstr>ESA</vt:lpstr>
      <vt:lpstr>Bežné_dotácie!Oblasť_tlače</vt:lpstr>
      <vt:lpstr>'BV-funkčná_kl_'!Oblasť_tlače</vt:lpstr>
      <vt:lpstr>Dotácie_kultúra!Oblasť_tlače</vt:lpstr>
      <vt:lpstr>Dotácie_na_šport_1!Oblasť_tlače</vt:lpstr>
      <vt:lpstr>Dotácie_na_šport_2!Oblasť_tlače</vt:lpstr>
      <vt:lpstr>Dotácie_v_oblasti_školstva!Oblasť_tlače</vt:lpstr>
      <vt:lpstr>Dotácie_v_oblasti_ŽP!Oblasť_tlače</vt:lpstr>
      <vt:lpstr>Dotácie_v_soc_oblasti!Oblasť_tlače</vt:lpstr>
      <vt:lpstr>ESA!Oblasť_tlače</vt:lpstr>
      <vt:lpstr>FO_podľa_RK!Oblasť_tlače</vt:lpstr>
      <vt:lpstr>Kapitálové_dotácie!Oblasť_tlače</vt:lpstr>
      <vt:lpstr>'KV-funkčná_kl_'!Oblasť_tlače</vt:lpstr>
      <vt:lpstr>Materské_školy!Oblasť_tlače</vt:lpstr>
      <vt:lpstr>MHSL!Oblasť_tlače</vt:lpstr>
      <vt:lpstr>Počet_zamest_ZŠ!Oblasť_tlače</vt:lpstr>
      <vt:lpstr>Počet_žiakov_a_tried!Oblasť_tlače</vt:lpstr>
      <vt:lpstr>Pohľadávky!Oblasť_tlače</vt:lpstr>
      <vt:lpstr>Prehľad_dlhu!Oblasť_tlače</vt:lpstr>
      <vt:lpstr>SSMT!Oblasť_tlače</vt:lpstr>
      <vt:lpstr>Súvahy!Oblasť_tlače</vt:lpstr>
      <vt:lpstr>ŠZMT!Oblasť_tlače</vt:lpstr>
      <vt:lpstr>Výdavky_ek_kl_!Oblasť_tlače</vt:lpstr>
      <vt:lpstr>Vývoj_dlhovej_služby!Oblasť_tlače</vt:lpstr>
      <vt:lpstr>Základné_školy!Oblasť_tlače</vt:lpstr>
      <vt:lpstr>Zoznam_org_!Oblasť_tlače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Záverečný účet 2024 prílohy</dc:title>
  <dc:creator>zilkova</dc:creator>
  <cp:lastModifiedBy>Žilková Andrea, Ing.</cp:lastModifiedBy>
  <cp:lastPrinted>2025-04-10T05:40:34Z</cp:lastPrinted>
  <dcterms:created xsi:type="dcterms:W3CDTF">2012-02-23T12:08:44Z</dcterms:created>
  <dcterms:modified xsi:type="dcterms:W3CDTF">2025-04-24T12:26:47Z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